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codeName="ThisWorkbook" defaultThemeVersion="166925"/>
  <mc:AlternateContent xmlns:mc="http://schemas.openxmlformats.org/markup-compatibility/2006">
    <mc:Choice Requires="x15">
      <x15ac:absPath xmlns:x15ac="http://schemas.microsoft.com/office/spreadsheetml/2010/11/ac" url="https://unimelbcloud-my.sharepoint.com/personal/e_akpan_unimelb_edu_au/Documents/PCV Projects/PCV-Costeffectiveness-Thresholds/data/"/>
    </mc:Choice>
  </mc:AlternateContent>
  <xr:revisionPtr revIDLastSave="9641" documentId="13_ncr:1_{B0A7599F-7E5E-44A3-9AA9-FA800BF477DA}" xr6:coauthVersionLast="47" xr6:coauthVersionMax="47" xr10:uidLastSave="{974D901B-FA6C-714A-99B5-5A85AC1B8B09}"/>
  <bookViews>
    <workbookView xWindow="0" yWindow="760" windowWidth="30240" windowHeight="18880" tabRatio="652" activeTab="1" xr2:uid="{00000000-000D-0000-FFFF-FFFF00000000}"/>
  </bookViews>
  <sheets>
    <sheet name="fulltext_review" sheetId="18" state="hidden" r:id="rId1"/>
    <sheet name="studies" sheetId="27" r:id="rId2"/>
    <sheet name="data" sheetId="7" state="hidden" r:id="rId3"/>
    <sheet name="countries" sheetId="25" state="hidden" r:id="rId4"/>
    <sheet name="sam random" sheetId="17" state="hidden" r:id="rId5"/>
    <sheet name="studies_NC" sheetId="20" state="hidden" r:id="rId6"/>
    <sheet name="analysis" sheetId="14" state="hidden" r:id="rId7"/>
    <sheet name="studies (AP)" sheetId="22" state="hidden" r:id="rId8"/>
    <sheet name="analysis (AP)" sheetId="21" state="hidden" r:id="rId9"/>
    <sheet name="gdppc" sheetId="11" r:id="rId10"/>
    <sheet name="xRates" sheetId="15" r:id="rId11"/>
    <sheet name="ppp" sheetId="19" r:id="rId12"/>
    <sheet name="thresholds" sheetId="10" r:id="rId13"/>
    <sheet name="incomeGroup" sheetId="23" r:id="rId14"/>
    <sheet name="Sheet1" sheetId="28" r:id="rId15"/>
    <sheet name="high_income_archived" sheetId="13" state="hidden" r:id="rId16"/>
  </sheets>
  <definedNames>
    <definedName name="_xlnm._FilterDatabase" localSheetId="2" hidden="1">data!$A$1:$BR$197</definedName>
    <definedName name="_xlnm._FilterDatabase" localSheetId="0" hidden="1">fulltext_review!$A$1:$G$36</definedName>
    <definedName name="_xlnm._FilterDatabase" localSheetId="1" hidden="1">studies!$A$1:$BF$212</definedName>
    <definedName name="_xlnm._FilterDatabase" localSheetId="7" hidden="1">'studies (AP)'!$A$1:$AG$76</definedName>
    <definedName name="_xlnm._FilterDatabase" localSheetId="5" hidden="1">studies_NC!$A$1:$AG$190</definedName>
    <definedName name="gdppc" localSheetId="0">#REF!</definedName>
    <definedName name="gdppc">gdppc!$A:$BM</definedName>
    <definedName name="income">incomeGroup!$A:$AL</definedName>
    <definedName name="ochalek" localSheetId="0">#REF!</definedName>
    <definedName name="ochalek">thresholds!$J$2:$T$99</definedName>
    <definedName name="riviere">thresholds!$AC$2:$AJ$176</definedName>
    <definedName name="woods" localSheetId="0">#REF!</definedName>
    <definedName name="woods">thresholds!$V$2:$AA$184</definedName>
    <definedName name="xRates">xRates!$A:$BM</definedName>
  </definedNames>
  <calcPr calcId="191028"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27" l="1"/>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L130" i="27"/>
  <c r="L131" i="27"/>
  <c r="L132" i="27"/>
  <c r="L133" i="27"/>
  <c r="L134" i="27"/>
  <c r="L135" i="27"/>
  <c r="L136" i="27"/>
  <c r="L137" i="27"/>
  <c r="L138" i="27"/>
  <c r="L139" i="27"/>
  <c r="L140" i="27"/>
  <c r="L141" i="27"/>
  <c r="L142" i="27"/>
  <c r="L143" i="27"/>
  <c r="L144" i="27"/>
  <c r="L145" i="27"/>
  <c r="L146" i="27"/>
  <c r="L147" i="27"/>
  <c r="L148" i="27"/>
  <c r="L149" i="27"/>
  <c r="L150" i="27"/>
  <c r="L151" i="27"/>
  <c r="L152" i="27"/>
  <c r="L153" i="27"/>
  <c r="L154" i="27"/>
  <c r="L155" i="27"/>
  <c r="L156" i="27"/>
  <c r="L157" i="27"/>
  <c r="L158" i="27"/>
  <c r="L159" i="27"/>
  <c r="L160" i="27"/>
  <c r="L161" i="27"/>
  <c r="L162" i="27"/>
  <c r="L163" i="27"/>
  <c r="L164" i="27"/>
  <c r="L165" i="27"/>
  <c r="L166" i="27"/>
  <c r="L167" i="27"/>
  <c r="L168" i="27"/>
  <c r="L169" i="27"/>
  <c r="L170" i="27"/>
  <c r="L171" i="27"/>
  <c r="L172" i="27"/>
  <c r="L173" i="27"/>
  <c r="L174" i="27"/>
  <c r="L175" i="27"/>
  <c r="L176" i="27"/>
  <c r="L177" i="27"/>
  <c r="L178" i="27"/>
  <c r="L179" i="27"/>
  <c r="L180" i="27"/>
  <c r="L181" i="27"/>
  <c r="L182" i="27"/>
  <c r="L183" i="27"/>
  <c r="L184" i="27"/>
  <c r="L185" i="27"/>
  <c r="L186" i="27"/>
  <c r="L187" i="27"/>
  <c r="L188" i="27"/>
  <c r="L189" i="27"/>
  <c r="L190" i="27"/>
  <c r="L191" i="27"/>
  <c r="L192" i="27"/>
  <c r="L193" i="27"/>
  <c r="L194" i="27"/>
  <c r="L195" i="27"/>
  <c r="L196" i="27"/>
  <c r="L197" i="27"/>
  <c r="L198" i="27"/>
  <c r="L199" i="27"/>
  <c r="L200" i="27"/>
  <c r="L201" i="27"/>
  <c r="L202" i="27"/>
  <c r="L203" i="27"/>
  <c r="L204" i="27"/>
  <c r="L205" i="27"/>
  <c r="L206" i="27"/>
  <c r="L207" i="27"/>
  <c r="L208" i="27"/>
  <c r="L209" i="27"/>
  <c r="L210" i="27"/>
  <c r="L211" i="27"/>
  <c r="L212" i="27"/>
  <c r="L2" i="27"/>
  <c r="H100" i="27"/>
  <c r="H101" i="27"/>
  <c r="H102" i="27"/>
  <c r="H103" i="27"/>
  <c r="H104" i="27"/>
  <c r="H105" i="27"/>
  <c r="H106" i="27"/>
  <c r="H107" i="27"/>
  <c r="H108" i="27"/>
  <c r="H109" i="27"/>
  <c r="H110" i="27"/>
  <c r="H111" i="27"/>
  <c r="H112" i="27"/>
  <c r="H113" i="27"/>
  <c r="H114" i="27"/>
  <c r="H115" i="27"/>
  <c r="H116" i="27"/>
  <c r="H117" i="27"/>
  <c r="H118" i="27"/>
  <c r="H119" i="27"/>
  <c r="H120" i="27"/>
  <c r="H121" i="27"/>
  <c r="H122" i="27"/>
  <c r="H123" i="27"/>
  <c r="H124" i="27"/>
  <c r="H125" i="27"/>
  <c r="H126" i="27"/>
  <c r="H127" i="27"/>
  <c r="H128" i="27"/>
  <c r="H129" i="27"/>
  <c r="H130" i="27"/>
  <c r="H131" i="27"/>
  <c r="H132" i="27"/>
  <c r="H133" i="27"/>
  <c r="H134" i="27"/>
  <c r="H135" i="27"/>
  <c r="H136" i="27"/>
  <c r="H137" i="27"/>
  <c r="H138" i="27"/>
  <c r="H139" i="27"/>
  <c r="H140" i="27"/>
  <c r="H141" i="27"/>
  <c r="H142" i="27"/>
  <c r="H143" i="27"/>
  <c r="H144" i="27"/>
  <c r="H145" i="27"/>
  <c r="H146" i="27"/>
  <c r="H147" i="27"/>
  <c r="H148" i="27"/>
  <c r="H149" i="27"/>
  <c r="H150" i="27"/>
  <c r="H151" i="27"/>
  <c r="H152" i="27"/>
  <c r="H153" i="27"/>
  <c r="H154" i="27"/>
  <c r="H155" i="27"/>
  <c r="H156" i="27"/>
  <c r="H157" i="27"/>
  <c r="H158" i="27"/>
  <c r="H159" i="27"/>
  <c r="H160" i="27"/>
  <c r="H161" i="27"/>
  <c r="H162" i="27"/>
  <c r="H163" i="27"/>
  <c r="H164" i="27"/>
  <c r="H165" i="27"/>
  <c r="H166" i="27"/>
  <c r="H167" i="27"/>
  <c r="H168" i="27"/>
  <c r="H169" i="27"/>
  <c r="H170" i="27"/>
  <c r="H171" i="27"/>
  <c r="H172" i="27"/>
  <c r="H173" i="27"/>
  <c r="H174" i="27"/>
  <c r="H175" i="27"/>
  <c r="H176" i="27"/>
  <c r="H177" i="27"/>
  <c r="H178" i="27"/>
  <c r="H179" i="27"/>
  <c r="H180" i="27"/>
  <c r="H181" i="27"/>
  <c r="H182" i="27"/>
  <c r="H183" i="27"/>
  <c r="H184" i="27"/>
  <c r="H185" i="27"/>
  <c r="H186" i="27"/>
  <c r="H187" i="27"/>
  <c r="H188" i="27"/>
  <c r="H189" i="27"/>
  <c r="H190" i="27"/>
  <c r="H191" i="27"/>
  <c r="H192" i="27"/>
  <c r="H193" i="27"/>
  <c r="H194" i="27"/>
  <c r="H195" i="27"/>
  <c r="H196" i="27"/>
  <c r="H197" i="27"/>
  <c r="H198" i="27"/>
  <c r="H199" i="27"/>
  <c r="H200" i="27"/>
  <c r="H201" i="27"/>
  <c r="H202" i="27"/>
  <c r="H203" i="27"/>
  <c r="H204" i="27"/>
  <c r="H205" i="27"/>
  <c r="H206" i="27"/>
  <c r="H207" i="27"/>
  <c r="H208" i="27"/>
  <c r="H209" i="27"/>
  <c r="H210" i="27"/>
  <c r="H211" i="27"/>
  <c r="H212" i="27"/>
  <c r="H93" i="27"/>
  <c r="H94" i="27"/>
  <c r="H95" i="27"/>
  <c r="H96" i="27"/>
  <c r="H97" i="27"/>
  <c r="H98" i="27"/>
  <c r="H99" i="27"/>
  <c r="H88" i="27"/>
  <c r="H89" i="27"/>
  <c r="H90" i="27"/>
  <c r="H91" i="27"/>
  <c r="H92" i="27"/>
  <c r="H81" i="27"/>
  <c r="H82" i="27"/>
  <c r="H83" i="27"/>
  <c r="H84" i="27"/>
  <c r="H85" i="27"/>
  <c r="H86" i="27"/>
  <c r="H87" i="27"/>
  <c r="H75" i="27"/>
  <c r="H76" i="27"/>
  <c r="H77" i="27"/>
  <c r="H78" i="27"/>
  <c r="H79" i="27"/>
  <c r="H80" i="27"/>
  <c r="H68" i="27"/>
  <c r="H69" i="27"/>
  <c r="H70" i="27"/>
  <c r="H71" i="27"/>
  <c r="H72" i="27"/>
  <c r="H73" i="27"/>
  <c r="H74" i="27"/>
  <c r="H61" i="27"/>
  <c r="H62" i="27"/>
  <c r="H63" i="27"/>
  <c r="H64" i="27"/>
  <c r="H65" i="27"/>
  <c r="H66" i="27"/>
  <c r="H67" i="27"/>
  <c r="H57" i="27"/>
  <c r="H58" i="27"/>
  <c r="H59" i="27"/>
  <c r="H60" i="27"/>
  <c r="H53" i="27"/>
  <c r="H54" i="27"/>
  <c r="H55" i="27"/>
  <c r="H56" i="27"/>
  <c r="H45" i="27"/>
  <c r="H46" i="27"/>
  <c r="H47" i="27"/>
  <c r="H48" i="27"/>
  <c r="H49" i="27"/>
  <c r="H50" i="27"/>
  <c r="H51" i="27"/>
  <c r="H52" i="27"/>
  <c r="H28" i="27"/>
  <c r="H29" i="27"/>
  <c r="H30" i="27"/>
  <c r="H31" i="27"/>
  <c r="H32" i="27"/>
  <c r="H33" i="27"/>
  <c r="H34" i="27"/>
  <c r="H35" i="27"/>
  <c r="H36" i="27"/>
  <c r="H37" i="27"/>
  <c r="H38" i="27"/>
  <c r="H39" i="27"/>
  <c r="H40" i="27"/>
  <c r="H41" i="27"/>
  <c r="H42" i="27"/>
  <c r="H43" i="27"/>
  <c r="H44" i="27"/>
  <c r="H3" i="27"/>
  <c r="H4" i="27"/>
  <c r="H5" i="27"/>
  <c r="H6" i="27"/>
  <c r="H7" i="27"/>
  <c r="H8" i="27"/>
  <c r="H9" i="27"/>
  <c r="H10" i="27"/>
  <c r="H11" i="27"/>
  <c r="H12" i="27"/>
  <c r="H13" i="27"/>
  <c r="H14" i="27"/>
  <c r="H15" i="27"/>
  <c r="H16" i="27"/>
  <c r="H17" i="27"/>
  <c r="H18" i="27"/>
  <c r="H19" i="27"/>
  <c r="H20" i="27"/>
  <c r="H21" i="27"/>
  <c r="H22" i="27"/>
  <c r="H23" i="27"/>
  <c r="H24" i="27"/>
  <c r="H25" i="27"/>
  <c r="H26" i="27"/>
  <c r="H27" i="27"/>
  <c r="H2" i="27"/>
  <c r="V174" i="27"/>
  <c r="V175" i="27"/>
  <c r="V176" i="27"/>
  <c r="V177" i="27"/>
  <c r="V178" i="27"/>
  <c r="V179" i="27"/>
  <c r="V180" i="27"/>
  <c r="V181" i="27"/>
  <c r="V182" i="27"/>
  <c r="V183" i="27"/>
  <c r="V184" i="27"/>
  <c r="V185" i="27"/>
  <c r="V186" i="27"/>
  <c r="V187" i="27"/>
  <c r="V188" i="27"/>
  <c r="V189" i="27"/>
  <c r="V190" i="27"/>
  <c r="V191" i="27"/>
  <c r="V192" i="27"/>
  <c r="V193" i="27"/>
  <c r="V194" i="27"/>
  <c r="V195" i="27"/>
  <c r="V196" i="27"/>
  <c r="V197" i="27"/>
  <c r="V198" i="27"/>
  <c r="V199" i="27"/>
  <c r="V200" i="27"/>
  <c r="V201" i="27"/>
  <c r="V202" i="27"/>
  <c r="V203" i="27"/>
  <c r="V204" i="27"/>
  <c r="V205" i="27"/>
  <c r="V206" i="27"/>
  <c r="V207" i="27"/>
  <c r="V208" i="27"/>
  <c r="V209" i="27"/>
  <c r="V210" i="27"/>
  <c r="V211" i="27"/>
  <c r="V212" i="27"/>
  <c r="V165" i="27"/>
  <c r="V166" i="27"/>
  <c r="V167" i="27"/>
  <c r="V168" i="27"/>
  <c r="V169" i="27"/>
  <c r="V170" i="27"/>
  <c r="V171" i="27"/>
  <c r="V172" i="27"/>
  <c r="V173" i="27"/>
  <c r="V103" i="27"/>
  <c r="V104" i="27"/>
  <c r="V105" i="27"/>
  <c r="V106" i="27"/>
  <c r="V107" i="27"/>
  <c r="V108" i="27"/>
  <c r="V109" i="27"/>
  <c r="V110" i="27"/>
  <c r="V111" i="27"/>
  <c r="V112" i="27"/>
  <c r="V113" i="27"/>
  <c r="V114" i="27"/>
  <c r="V115" i="27"/>
  <c r="V116" i="27"/>
  <c r="V117" i="27"/>
  <c r="V118" i="27"/>
  <c r="V119" i="27"/>
  <c r="V120" i="27"/>
  <c r="V121" i="27"/>
  <c r="V122" i="27"/>
  <c r="V123" i="27"/>
  <c r="V124" i="27"/>
  <c r="V125" i="27"/>
  <c r="V126" i="27"/>
  <c r="V127" i="27"/>
  <c r="V128" i="27"/>
  <c r="V129" i="27"/>
  <c r="V130" i="27"/>
  <c r="V131" i="27"/>
  <c r="V132" i="27"/>
  <c r="V133" i="27"/>
  <c r="V134" i="27"/>
  <c r="V135" i="27"/>
  <c r="V136" i="27"/>
  <c r="V137" i="27"/>
  <c r="V138" i="27"/>
  <c r="V139" i="27"/>
  <c r="V140" i="27"/>
  <c r="V141" i="27"/>
  <c r="V142" i="27"/>
  <c r="V143" i="27"/>
  <c r="V144" i="27"/>
  <c r="V145" i="27"/>
  <c r="V146" i="27"/>
  <c r="V147" i="27"/>
  <c r="V148" i="27"/>
  <c r="V149" i="27"/>
  <c r="V150" i="27"/>
  <c r="V151" i="27"/>
  <c r="V152" i="27"/>
  <c r="V153" i="27"/>
  <c r="V154" i="27"/>
  <c r="V155" i="27"/>
  <c r="V156" i="27"/>
  <c r="V157" i="27"/>
  <c r="V158" i="27"/>
  <c r="V159" i="27"/>
  <c r="V160" i="27"/>
  <c r="V161" i="27"/>
  <c r="V162" i="27"/>
  <c r="V163" i="27"/>
  <c r="V164" i="27"/>
  <c r="AD118" i="27"/>
  <c r="AE118" i="27" s="1"/>
  <c r="AD119" i="27"/>
  <c r="AE119" i="27" s="1"/>
  <c r="AD120" i="27"/>
  <c r="AE120" i="27" s="1"/>
  <c r="AD121" i="27"/>
  <c r="AE121" i="27" s="1"/>
  <c r="AD122" i="27"/>
  <c r="AD123" i="27"/>
  <c r="AD124" i="27"/>
  <c r="AD125" i="27"/>
  <c r="AD126" i="27"/>
  <c r="AD127" i="27"/>
  <c r="AE127" i="27" s="1"/>
  <c r="AD128" i="27"/>
  <c r="AE128" i="27" s="1"/>
  <c r="AD129" i="27"/>
  <c r="AD130" i="27"/>
  <c r="AE130" i="27" s="1"/>
  <c r="AD131" i="27"/>
  <c r="AE131" i="27" s="1"/>
  <c r="AD132" i="27"/>
  <c r="AE132" i="27" s="1"/>
  <c r="AD133" i="27"/>
  <c r="AE133" i="27" s="1"/>
  <c r="AD134" i="27"/>
  <c r="AE134" i="27" s="1"/>
  <c r="AD135" i="27"/>
  <c r="AE135" i="27" s="1"/>
  <c r="AD136" i="27"/>
  <c r="AE136" i="27" s="1"/>
  <c r="AD137" i="27"/>
  <c r="AD138" i="27"/>
  <c r="AE138" i="27" s="1"/>
  <c r="AD139" i="27"/>
  <c r="AE139" i="27" s="1"/>
  <c r="AD140" i="27"/>
  <c r="AE140" i="27" s="1"/>
  <c r="AD141" i="27"/>
  <c r="AE141" i="27" s="1"/>
  <c r="AD142" i="27"/>
  <c r="AE142" i="27" s="1"/>
  <c r="AD143" i="27"/>
  <c r="AE143" i="27" s="1"/>
  <c r="AD144" i="27"/>
  <c r="AE144" i="27" s="1"/>
  <c r="AD145" i="27"/>
  <c r="AD146" i="27"/>
  <c r="AE146" i="27" s="1"/>
  <c r="AD147" i="27"/>
  <c r="AE147" i="27" s="1"/>
  <c r="AD148" i="27"/>
  <c r="AE148" i="27" s="1"/>
  <c r="AD149" i="27"/>
  <c r="AE149" i="27" s="1"/>
  <c r="AD150" i="27"/>
  <c r="AE150" i="27" s="1"/>
  <c r="AD151" i="27"/>
  <c r="AE151" i="27" s="1"/>
  <c r="AD152" i="27"/>
  <c r="AE152" i="27" s="1"/>
  <c r="AD153" i="27"/>
  <c r="AE153" i="27" s="1"/>
  <c r="AD155" i="27"/>
  <c r="AD156" i="27"/>
  <c r="AD157" i="27"/>
  <c r="AD158" i="27"/>
  <c r="AD159" i="27"/>
  <c r="AD160" i="27"/>
  <c r="AD161" i="27"/>
  <c r="AE161" i="27" s="1"/>
  <c r="AD162" i="27"/>
  <c r="AE162" i="27" s="1"/>
  <c r="AD163" i="27"/>
  <c r="AD164" i="27"/>
  <c r="AE164" i="27" s="1"/>
  <c r="AD165" i="27"/>
  <c r="AD166" i="27"/>
  <c r="AD167" i="27"/>
  <c r="AD168" i="27"/>
  <c r="AE168" i="27" s="1"/>
  <c r="AD169" i="27"/>
  <c r="AD171" i="27"/>
  <c r="AE171" i="27" s="1"/>
  <c r="AD172" i="27"/>
  <c r="AE172" i="27" s="1"/>
  <c r="AD176" i="27"/>
  <c r="AD177" i="27"/>
  <c r="AE177" i="27" s="1"/>
  <c r="AD178" i="27"/>
  <c r="AD179" i="27"/>
  <c r="AD180" i="27"/>
  <c r="AE180" i="27" s="1"/>
  <c r="AD181" i="27"/>
  <c r="AE181" i="27" s="1"/>
  <c r="AD182" i="27"/>
  <c r="AD183" i="27"/>
  <c r="AD184" i="27"/>
  <c r="AE184" i="27" s="1"/>
  <c r="AD185" i="27"/>
  <c r="AE185" i="27" s="1"/>
  <c r="AD186" i="27"/>
  <c r="AD187" i="27"/>
  <c r="AD188" i="27"/>
  <c r="AE188" i="27" s="1"/>
  <c r="AD189" i="27"/>
  <c r="AE189" i="27" s="1"/>
  <c r="AD190" i="27"/>
  <c r="AD191" i="27"/>
  <c r="AE191" i="27" s="1"/>
  <c r="AD198" i="27"/>
  <c r="AD210" i="27"/>
  <c r="AE210" i="27" s="1"/>
  <c r="AD211" i="27"/>
  <c r="AE211" i="27" s="1"/>
  <c r="AD212" i="27"/>
  <c r="AD104" i="27"/>
  <c r="AD106" i="27"/>
  <c r="AE106" i="27" s="1"/>
  <c r="AD108" i="27"/>
  <c r="AD109" i="27"/>
  <c r="AD110" i="27"/>
  <c r="AE110" i="27" s="1"/>
  <c r="AD111" i="27"/>
  <c r="AD112" i="27"/>
  <c r="AE112" i="27" s="1"/>
  <c r="AD113" i="27"/>
  <c r="AD114" i="27"/>
  <c r="AE114" i="27" s="1"/>
  <c r="AD115" i="27"/>
  <c r="AE115" i="27" s="1"/>
  <c r="AD116" i="27"/>
  <c r="AE116" i="27" s="1"/>
  <c r="AD117" i="27"/>
  <c r="AE117" i="27" s="1"/>
  <c r="AD97" i="27"/>
  <c r="AD98" i="27"/>
  <c r="AD99" i="27"/>
  <c r="AD100" i="27"/>
  <c r="AE100" i="27" s="1"/>
  <c r="AD101" i="27"/>
  <c r="AE101" i="27" s="1"/>
  <c r="AD46" i="27"/>
  <c r="AE46" i="27" s="1"/>
  <c r="AD47" i="27"/>
  <c r="AD48" i="27"/>
  <c r="AD49" i="27"/>
  <c r="AD50" i="27"/>
  <c r="AE50" i="27" s="1"/>
  <c r="AD51" i="27"/>
  <c r="AD52" i="27"/>
  <c r="AD53" i="27"/>
  <c r="AG53" i="27" s="1"/>
  <c r="AD54" i="27"/>
  <c r="AE54" i="27" s="1"/>
  <c r="AD55" i="27"/>
  <c r="AE55" i="27" s="1"/>
  <c r="AD56" i="27"/>
  <c r="AD57" i="27"/>
  <c r="AD58" i="27"/>
  <c r="AE58" i="27" s="1"/>
  <c r="AD59" i="27"/>
  <c r="AD60" i="27"/>
  <c r="AE60" i="27" s="1"/>
  <c r="AD61" i="27"/>
  <c r="AE61" i="27" s="1"/>
  <c r="AD62" i="27"/>
  <c r="AD63" i="27"/>
  <c r="AE63" i="27" s="1"/>
  <c r="AD64" i="27"/>
  <c r="AE64" i="27" s="1"/>
  <c r="AD65" i="27"/>
  <c r="AD66" i="27"/>
  <c r="AD67" i="27"/>
  <c r="AD68" i="27"/>
  <c r="AE68" i="27" s="1"/>
  <c r="AD69" i="27"/>
  <c r="AE69" i="27" s="1"/>
  <c r="AD70" i="27"/>
  <c r="AE70" i="27" s="1"/>
  <c r="AD71" i="27"/>
  <c r="AE71" i="27" s="1"/>
  <c r="AD72" i="27"/>
  <c r="AD73" i="27"/>
  <c r="AD74" i="27"/>
  <c r="AE74" i="27" s="1"/>
  <c r="AD75" i="27"/>
  <c r="AD76" i="27"/>
  <c r="AD77" i="27"/>
  <c r="AE77" i="27" s="1"/>
  <c r="AD78" i="27"/>
  <c r="AD79" i="27"/>
  <c r="AE79" i="27" s="1"/>
  <c r="AD80" i="27"/>
  <c r="AD81" i="27"/>
  <c r="AD82" i="27"/>
  <c r="AD83" i="27"/>
  <c r="AD84" i="27"/>
  <c r="AD85" i="27"/>
  <c r="AE85" i="27" s="1"/>
  <c r="AD86" i="27"/>
  <c r="AE86" i="27" s="1"/>
  <c r="AD87" i="27"/>
  <c r="AD88" i="27"/>
  <c r="AE88" i="27" s="1"/>
  <c r="AD89" i="27"/>
  <c r="AE89" i="27" s="1"/>
  <c r="AD90" i="27"/>
  <c r="AE90" i="27" s="1"/>
  <c r="AD91" i="27"/>
  <c r="AE91" i="27" s="1"/>
  <c r="AD92" i="27"/>
  <c r="AE92" i="27" s="1"/>
  <c r="AD93" i="27"/>
  <c r="AE93" i="27" s="1"/>
  <c r="AD94" i="27"/>
  <c r="AE94" i="27" s="1"/>
  <c r="AD95" i="27"/>
  <c r="AE95" i="27" s="1"/>
  <c r="AD96" i="27"/>
  <c r="AD102" i="27"/>
  <c r="AD33" i="27"/>
  <c r="AE33" i="27" s="1"/>
  <c r="AD34" i="27"/>
  <c r="AD35" i="27"/>
  <c r="AD36" i="27"/>
  <c r="AD37" i="27"/>
  <c r="AE37" i="27" s="1"/>
  <c r="AD38" i="27"/>
  <c r="AE38" i="27" s="1"/>
  <c r="AD39" i="27"/>
  <c r="AE39" i="27" s="1"/>
  <c r="AD40" i="27"/>
  <c r="AD41" i="27"/>
  <c r="AD42" i="27"/>
  <c r="AD43" i="27"/>
  <c r="AD44" i="27"/>
  <c r="AE44" i="27" s="1"/>
  <c r="AD45" i="27"/>
  <c r="AE45" i="27" s="1"/>
  <c r="AD20" i="27"/>
  <c r="AE20" i="27" s="1"/>
  <c r="AD21" i="27"/>
  <c r="AD22" i="27"/>
  <c r="AE22" i="27" s="1"/>
  <c r="AD23" i="27"/>
  <c r="AD24" i="27"/>
  <c r="AE24" i="27" s="1"/>
  <c r="AD25" i="27"/>
  <c r="AE25" i="27" s="1"/>
  <c r="AD26" i="27"/>
  <c r="AE26" i="27" s="1"/>
  <c r="AD27" i="27"/>
  <c r="AE27" i="27" s="1"/>
  <c r="AD28" i="27"/>
  <c r="AE28" i="27" s="1"/>
  <c r="AD29" i="27"/>
  <c r="AD30" i="27"/>
  <c r="AD31" i="27"/>
  <c r="AD32" i="27"/>
  <c r="AD10" i="27"/>
  <c r="AD11" i="27"/>
  <c r="AD12" i="27"/>
  <c r="AE12" i="27" s="1"/>
  <c r="AD13" i="27"/>
  <c r="AE13" i="27" s="1"/>
  <c r="AD14" i="27"/>
  <c r="AE14" i="27" s="1"/>
  <c r="AD15" i="27"/>
  <c r="AD16" i="27"/>
  <c r="AE16" i="27" s="1"/>
  <c r="AD17" i="27"/>
  <c r="AD18" i="27"/>
  <c r="AD19" i="27"/>
  <c r="AE19" i="27" s="1"/>
  <c r="AD3" i="27"/>
  <c r="AE3" i="27" s="1"/>
  <c r="AD4" i="27"/>
  <c r="AD5" i="27"/>
  <c r="AE5" i="27" s="1"/>
  <c r="AD6" i="27"/>
  <c r="AD7" i="27"/>
  <c r="AD8" i="27"/>
  <c r="AD9" i="27"/>
  <c r="AE9" i="27" s="1"/>
  <c r="AD2" i="27"/>
  <c r="AE2" i="27" s="1"/>
  <c r="V86" i="27"/>
  <c r="V87" i="27"/>
  <c r="V88" i="27"/>
  <c r="V89" i="27"/>
  <c r="V90" i="27"/>
  <c r="V91" i="27"/>
  <c r="V92" i="27"/>
  <c r="V93" i="27"/>
  <c r="V94" i="27"/>
  <c r="V95" i="27"/>
  <c r="V96" i="27"/>
  <c r="V97" i="27"/>
  <c r="V98" i="27"/>
  <c r="V99" i="27"/>
  <c r="V100" i="27"/>
  <c r="V101" i="27"/>
  <c r="V102" i="27"/>
  <c r="V67" i="27"/>
  <c r="V68" i="27"/>
  <c r="V69" i="27"/>
  <c r="V70" i="27"/>
  <c r="V71" i="27"/>
  <c r="V72" i="27"/>
  <c r="V73" i="27"/>
  <c r="V74" i="27"/>
  <c r="V75" i="27"/>
  <c r="V76" i="27"/>
  <c r="V77" i="27"/>
  <c r="V78" i="27"/>
  <c r="V79" i="27"/>
  <c r="V80" i="27"/>
  <c r="V81" i="27"/>
  <c r="V82" i="27"/>
  <c r="V83" i="27"/>
  <c r="V84" i="27"/>
  <c r="V85" i="27"/>
  <c r="V54" i="27"/>
  <c r="V55" i="27"/>
  <c r="V56" i="27"/>
  <c r="V57" i="27"/>
  <c r="V58" i="27"/>
  <c r="V59" i="27"/>
  <c r="V60" i="27"/>
  <c r="V61" i="27"/>
  <c r="V62" i="27"/>
  <c r="V63" i="27"/>
  <c r="V64" i="27"/>
  <c r="V65" i="27"/>
  <c r="V66" i="27"/>
  <c r="V29" i="27"/>
  <c r="V30" i="27"/>
  <c r="V31" i="27"/>
  <c r="V32" i="27"/>
  <c r="V33" i="27"/>
  <c r="V34" i="27"/>
  <c r="V35" i="27"/>
  <c r="V36" i="27"/>
  <c r="V37" i="27"/>
  <c r="V38" i="27"/>
  <c r="V39" i="27"/>
  <c r="V40" i="27"/>
  <c r="V41" i="27"/>
  <c r="V42" i="27"/>
  <c r="V43" i="27"/>
  <c r="V44" i="27"/>
  <c r="V45" i="27"/>
  <c r="V46" i="27"/>
  <c r="V47" i="27"/>
  <c r="V48" i="27"/>
  <c r="V49" i="27"/>
  <c r="V50" i="27"/>
  <c r="V51" i="27"/>
  <c r="V52" i="27"/>
  <c r="V53" i="27"/>
  <c r="V3" i="27"/>
  <c r="V4" i="27"/>
  <c r="V5" i="27"/>
  <c r="V6" i="27"/>
  <c r="V7" i="27"/>
  <c r="V8" i="27"/>
  <c r="V9" i="27"/>
  <c r="V10" i="27"/>
  <c r="V11" i="27"/>
  <c r="V12" i="27"/>
  <c r="V13" i="27"/>
  <c r="V14" i="27"/>
  <c r="V15" i="27"/>
  <c r="V16" i="27"/>
  <c r="V17" i="27"/>
  <c r="V18" i="27"/>
  <c r="V19" i="27"/>
  <c r="V20" i="27"/>
  <c r="V21" i="27"/>
  <c r="V22" i="27"/>
  <c r="V23" i="27"/>
  <c r="V24" i="27"/>
  <c r="V25" i="27"/>
  <c r="V26" i="27"/>
  <c r="V27" i="27"/>
  <c r="V28" i="27"/>
  <c r="V2" i="27"/>
  <c r="T211" i="27"/>
  <c r="T212" i="27"/>
  <c r="T191" i="27"/>
  <c r="T192" i="27"/>
  <c r="T193" i="27"/>
  <c r="T194" i="27"/>
  <c r="T195" i="27"/>
  <c r="T196" i="27"/>
  <c r="T197" i="27"/>
  <c r="T198" i="27"/>
  <c r="T199" i="27"/>
  <c r="T200" i="27"/>
  <c r="T201" i="27"/>
  <c r="T202" i="27"/>
  <c r="T203" i="27"/>
  <c r="T204" i="27"/>
  <c r="T205" i="27"/>
  <c r="T206" i="27"/>
  <c r="T207" i="27"/>
  <c r="T208" i="27"/>
  <c r="T209" i="27"/>
  <c r="T210" i="27"/>
  <c r="T167" i="27"/>
  <c r="T168" i="27"/>
  <c r="T169" i="27"/>
  <c r="T170" i="27"/>
  <c r="T171" i="27"/>
  <c r="T172" i="27"/>
  <c r="T173" i="27"/>
  <c r="T174" i="27"/>
  <c r="T175" i="27"/>
  <c r="T176" i="27"/>
  <c r="T177" i="27"/>
  <c r="T178" i="27"/>
  <c r="T179" i="27"/>
  <c r="T180" i="27"/>
  <c r="T181" i="27"/>
  <c r="T182" i="27"/>
  <c r="T183" i="27"/>
  <c r="T184" i="27"/>
  <c r="T185" i="27"/>
  <c r="T186" i="27"/>
  <c r="T187" i="27"/>
  <c r="T188" i="27"/>
  <c r="T189" i="27"/>
  <c r="T190" i="27"/>
  <c r="T147" i="27"/>
  <c r="T148" i="27"/>
  <c r="T149" i="27"/>
  <c r="T150" i="27"/>
  <c r="T151" i="27"/>
  <c r="T152" i="27"/>
  <c r="T153" i="27"/>
  <c r="T154" i="27"/>
  <c r="T155" i="27"/>
  <c r="T156" i="27"/>
  <c r="T157" i="27"/>
  <c r="T158" i="27"/>
  <c r="T159" i="27"/>
  <c r="T160" i="27"/>
  <c r="T161" i="27"/>
  <c r="T162" i="27"/>
  <c r="T163" i="27"/>
  <c r="T164" i="27"/>
  <c r="T165" i="27"/>
  <c r="T166" i="27"/>
  <c r="T127" i="27"/>
  <c r="T128" i="27"/>
  <c r="T129" i="27"/>
  <c r="T130" i="27"/>
  <c r="T131" i="27"/>
  <c r="T132" i="27"/>
  <c r="T133" i="27"/>
  <c r="T134" i="27"/>
  <c r="T135" i="27"/>
  <c r="T136" i="27"/>
  <c r="T137" i="27"/>
  <c r="T138" i="27"/>
  <c r="T139" i="27"/>
  <c r="T140" i="27"/>
  <c r="T141" i="27"/>
  <c r="T142" i="27"/>
  <c r="T143" i="27"/>
  <c r="T144" i="27"/>
  <c r="T145" i="27"/>
  <c r="T146" i="27"/>
  <c r="T104" i="27"/>
  <c r="T105" i="27"/>
  <c r="T106" i="27"/>
  <c r="T107" i="27"/>
  <c r="T108" i="27"/>
  <c r="T109" i="27"/>
  <c r="T110" i="27"/>
  <c r="T111" i="27"/>
  <c r="T112" i="27"/>
  <c r="T113" i="27"/>
  <c r="T114" i="27"/>
  <c r="T115" i="27"/>
  <c r="T116" i="27"/>
  <c r="T117" i="27"/>
  <c r="T118" i="27"/>
  <c r="T119" i="27"/>
  <c r="T120" i="27"/>
  <c r="T121" i="27"/>
  <c r="T122" i="27"/>
  <c r="T123" i="27"/>
  <c r="T124" i="27"/>
  <c r="T125" i="27"/>
  <c r="T126" i="27"/>
  <c r="T103" i="27"/>
  <c r="T98" i="27"/>
  <c r="T99" i="27"/>
  <c r="T100" i="27"/>
  <c r="T101" i="27"/>
  <c r="T97" i="27"/>
  <c r="T38" i="27"/>
  <c r="T39" i="27"/>
  <c r="T40" i="27"/>
  <c r="T41" i="27"/>
  <c r="T42" i="27"/>
  <c r="T43" i="27"/>
  <c r="T44" i="27"/>
  <c r="T45" i="27"/>
  <c r="T46" i="27"/>
  <c r="T47" i="27"/>
  <c r="T48" i="27"/>
  <c r="T49" i="27"/>
  <c r="T50" i="27"/>
  <c r="T51" i="27"/>
  <c r="T52" i="27"/>
  <c r="T53" i="27"/>
  <c r="T54" i="27"/>
  <c r="T55" i="27"/>
  <c r="T56" i="27"/>
  <c r="T57" i="27"/>
  <c r="T58" i="27"/>
  <c r="T59" i="27"/>
  <c r="T60" i="27"/>
  <c r="T61" i="27"/>
  <c r="T62" i="27"/>
  <c r="T63" i="27"/>
  <c r="T64" i="27"/>
  <c r="T65" i="27"/>
  <c r="T66" i="27"/>
  <c r="T67" i="27"/>
  <c r="T68" i="27"/>
  <c r="T69" i="27"/>
  <c r="T70" i="27"/>
  <c r="T71" i="27"/>
  <c r="T72" i="27"/>
  <c r="T73" i="27"/>
  <c r="T74" i="27"/>
  <c r="T75" i="27"/>
  <c r="T76" i="27"/>
  <c r="T77" i="27"/>
  <c r="T78" i="27"/>
  <c r="T79" i="27"/>
  <c r="T80" i="27"/>
  <c r="T81" i="27"/>
  <c r="T82" i="27"/>
  <c r="T83" i="27"/>
  <c r="T84" i="27"/>
  <c r="T85" i="27"/>
  <c r="T86" i="27"/>
  <c r="T87" i="27"/>
  <c r="T88" i="27"/>
  <c r="T89" i="27"/>
  <c r="T90" i="27"/>
  <c r="T91" i="27"/>
  <c r="T92" i="27"/>
  <c r="T93" i="27"/>
  <c r="T94" i="27"/>
  <c r="T30" i="27"/>
  <c r="T31" i="27"/>
  <c r="T32" i="27"/>
  <c r="T33" i="27"/>
  <c r="T34" i="27"/>
  <c r="T35" i="27"/>
  <c r="T36" i="27"/>
  <c r="T37" i="27"/>
  <c r="T18" i="27"/>
  <c r="T19" i="27"/>
  <c r="T20" i="27"/>
  <c r="T21" i="27"/>
  <c r="T22" i="27"/>
  <c r="T23" i="27"/>
  <c r="T24" i="27"/>
  <c r="T25" i="27"/>
  <c r="T26" i="27"/>
  <c r="T27" i="27"/>
  <c r="T28" i="27"/>
  <c r="T29" i="27"/>
  <c r="T3" i="27"/>
  <c r="T4" i="27"/>
  <c r="T5" i="27"/>
  <c r="T6" i="27"/>
  <c r="T7" i="27"/>
  <c r="T8" i="27"/>
  <c r="T9" i="27"/>
  <c r="T10" i="27"/>
  <c r="T11" i="27"/>
  <c r="T12" i="27"/>
  <c r="T13" i="27"/>
  <c r="T14" i="27"/>
  <c r="T15" i="27"/>
  <c r="T16" i="27"/>
  <c r="T17" i="27"/>
  <c r="T2" i="27"/>
  <c r="B201" i="27"/>
  <c r="B202" i="27" s="1"/>
  <c r="B203" i="27" s="1"/>
  <c r="B204" i="27" s="1"/>
  <c r="B205" i="27" s="1"/>
  <c r="B206" i="27"/>
  <c r="B207" i="27"/>
  <c r="B208" i="27"/>
  <c r="B209" i="27"/>
  <c r="B210" i="27"/>
  <c r="B211" i="27" s="1"/>
  <c r="B212" i="27" s="1"/>
  <c r="AC207" i="27"/>
  <c r="AD207" i="27" s="1"/>
  <c r="AC206" i="27"/>
  <c r="AD206" i="27" s="1"/>
  <c r="AH206" i="27" s="1"/>
  <c r="AC209" i="27"/>
  <c r="AD209" i="27" s="1"/>
  <c r="AX209" i="27"/>
  <c r="AY209" i="27"/>
  <c r="AZ209" i="27"/>
  <c r="BA209" i="27"/>
  <c r="BB209" i="27"/>
  <c r="BC209" i="27"/>
  <c r="AJ212" i="27"/>
  <c r="AJ211" i="27"/>
  <c r="AJ210" i="27"/>
  <c r="AL212" i="27"/>
  <c r="AL211" i="27"/>
  <c r="AL210" i="27"/>
  <c r="AL209" i="27"/>
  <c r="AF212" i="27"/>
  <c r="AF211" i="27"/>
  <c r="AF210" i="27"/>
  <c r="AE212" i="27"/>
  <c r="AJ209" i="27"/>
  <c r="AF209" i="27"/>
  <c r="BB207" i="27"/>
  <c r="BA207" i="27"/>
  <c r="AZ207" i="27"/>
  <c r="AY207" i="27"/>
  <c r="BC207" i="27"/>
  <c r="AX207" i="27"/>
  <c r="AL206" i="27"/>
  <c r="AL207" i="27"/>
  <c r="AJ206" i="27"/>
  <c r="AJ207" i="27"/>
  <c r="AF206" i="27"/>
  <c r="AF207" i="27"/>
  <c r="AF205" i="27"/>
  <c r="AZ201" i="27"/>
  <c r="AZ202" i="27"/>
  <c r="AZ203" i="27"/>
  <c r="AZ204" i="27"/>
  <c r="AZ205" i="27"/>
  <c r="BA201" i="27"/>
  <c r="BA202" i="27"/>
  <c r="BA203" i="27"/>
  <c r="BA204" i="27"/>
  <c r="BA205" i="27"/>
  <c r="BB201" i="27"/>
  <c r="BB202" i="27"/>
  <c r="BB203" i="27"/>
  <c r="BB204" i="27"/>
  <c r="BB205" i="27"/>
  <c r="BC201" i="27"/>
  <c r="BC202" i="27"/>
  <c r="BC203" i="27"/>
  <c r="BC204" i="27"/>
  <c r="BC205" i="27"/>
  <c r="AY201" i="27"/>
  <c r="AY202" i="27"/>
  <c r="AY203" i="27"/>
  <c r="AY204" i="27"/>
  <c r="AY205" i="27"/>
  <c r="AX201" i="27"/>
  <c r="AX202" i="27"/>
  <c r="AX203" i="27"/>
  <c r="AX204" i="27"/>
  <c r="AX205" i="27"/>
  <c r="AL201" i="27"/>
  <c r="AL202" i="27"/>
  <c r="AL203" i="27"/>
  <c r="AL204" i="27"/>
  <c r="AL205" i="27"/>
  <c r="AJ201" i="27"/>
  <c r="AJ202" i="27"/>
  <c r="AJ203" i="27"/>
  <c r="AJ204" i="27"/>
  <c r="AJ205" i="27"/>
  <c r="AF201" i="27"/>
  <c r="AF202" i="27"/>
  <c r="AF203" i="27"/>
  <c r="AF204" i="27"/>
  <c r="AC205" i="27"/>
  <c r="AD205" i="27" s="1"/>
  <c r="AC203" i="27"/>
  <c r="AD203" i="27" s="1"/>
  <c r="AC202" i="27"/>
  <c r="AD202" i="27" s="1"/>
  <c r="AC201" i="27"/>
  <c r="AD201" i="27" s="1"/>
  <c r="AE201" i="27" s="1"/>
  <c r="AC204" i="27"/>
  <c r="AD204" i="27" s="1"/>
  <c r="AC200" i="27"/>
  <c r="AC199" i="27"/>
  <c r="AD199" i="27" s="1"/>
  <c r="AC208" i="27"/>
  <c r="AD208" i="27" s="1"/>
  <c r="AL208" i="27"/>
  <c r="AJ208" i="27"/>
  <c r="AF208" i="27"/>
  <c r="AJ200" i="27"/>
  <c r="AL200" i="27"/>
  <c r="AF200" i="27"/>
  <c r="B198" i="27"/>
  <c r="B199" i="27" s="1"/>
  <c r="B200" i="27" s="1"/>
  <c r="BC197" i="27"/>
  <c r="BB197" i="27"/>
  <c r="BA197" i="27"/>
  <c r="AZ197" i="27"/>
  <c r="AY197" i="27"/>
  <c r="AX197" i="27"/>
  <c r="AJ198" i="27"/>
  <c r="AJ199" i="27"/>
  <c r="AL198" i="27"/>
  <c r="AL199" i="27"/>
  <c r="AF198" i="27"/>
  <c r="AF199" i="27"/>
  <c r="AE6" i="27"/>
  <c r="AE7" i="27"/>
  <c r="AE8" i="27"/>
  <c r="AE18" i="27"/>
  <c r="AE21" i="27"/>
  <c r="AE23" i="27"/>
  <c r="AE56" i="27"/>
  <c r="AE57" i="27"/>
  <c r="AE59" i="27"/>
  <c r="AE98" i="27"/>
  <c r="AE99" i="27"/>
  <c r="AE104" i="27"/>
  <c r="AE108" i="27"/>
  <c r="AE109" i="27"/>
  <c r="AE111" i="27"/>
  <c r="AE122" i="27"/>
  <c r="AE123" i="27"/>
  <c r="AE129" i="27"/>
  <c r="AE137" i="27"/>
  <c r="AE145" i="27"/>
  <c r="AE165" i="27"/>
  <c r="AJ3" i="27"/>
  <c r="AJ4" i="27"/>
  <c r="AJ5" i="27"/>
  <c r="AJ6" i="27"/>
  <c r="AJ7" i="27"/>
  <c r="AJ8" i="27"/>
  <c r="AJ9" i="27"/>
  <c r="AJ10" i="27"/>
  <c r="AJ11" i="27"/>
  <c r="AJ12" i="27"/>
  <c r="AJ13" i="27"/>
  <c r="AJ14" i="27"/>
  <c r="AJ15" i="27"/>
  <c r="AJ16" i="27"/>
  <c r="AJ17" i="27"/>
  <c r="AJ18" i="27"/>
  <c r="AJ19" i="27"/>
  <c r="AJ20" i="27"/>
  <c r="AJ21" i="27"/>
  <c r="AJ22" i="27"/>
  <c r="AJ23" i="27"/>
  <c r="AJ24" i="27"/>
  <c r="AJ25" i="27"/>
  <c r="AJ26" i="27"/>
  <c r="AJ27" i="27"/>
  <c r="AJ28" i="27"/>
  <c r="AJ29" i="27"/>
  <c r="AJ30" i="27"/>
  <c r="AJ31" i="27"/>
  <c r="AJ32" i="27"/>
  <c r="AJ33" i="27"/>
  <c r="AJ34" i="27"/>
  <c r="AJ35" i="27"/>
  <c r="AJ36" i="27"/>
  <c r="AJ37" i="27"/>
  <c r="AJ38" i="27"/>
  <c r="AJ39" i="27"/>
  <c r="AJ40" i="27"/>
  <c r="AJ41" i="27"/>
  <c r="AJ42" i="27"/>
  <c r="AJ43" i="27"/>
  <c r="AJ44" i="27"/>
  <c r="AJ45" i="27"/>
  <c r="AJ46" i="27"/>
  <c r="AJ47" i="27"/>
  <c r="AJ48" i="27"/>
  <c r="AJ49" i="27"/>
  <c r="AJ50" i="27"/>
  <c r="AJ51" i="27"/>
  <c r="AJ52" i="27"/>
  <c r="AJ53" i="27"/>
  <c r="AJ54" i="27"/>
  <c r="AJ55" i="27"/>
  <c r="AJ56" i="27"/>
  <c r="AJ57" i="27"/>
  <c r="AJ58" i="27"/>
  <c r="AJ59" i="27"/>
  <c r="AJ60" i="27"/>
  <c r="AJ61" i="27"/>
  <c r="AJ62" i="27"/>
  <c r="AJ63" i="27"/>
  <c r="AJ64" i="27"/>
  <c r="AJ65" i="27"/>
  <c r="AJ66" i="27"/>
  <c r="AJ67" i="27"/>
  <c r="AJ68" i="27"/>
  <c r="AJ69" i="27"/>
  <c r="AJ70" i="27"/>
  <c r="AJ71" i="27"/>
  <c r="AJ72" i="27"/>
  <c r="AJ73" i="27"/>
  <c r="AJ74" i="27"/>
  <c r="AJ75" i="27"/>
  <c r="AJ76" i="27"/>
  <c r="AJ77" i="27"/>
  <c r="AJ78" i="27"/>
  <c r="AJ79" i="27"/>
  <c r="AJ80" i="27"/>
  <c r="AJ81" i="27"/>
  <c r="AJ82" i="27"/>
  <c r="AJ83" i="27"/>
  <c r="AJ84" i="27"/>
  <c r="AJ85" i="27"/>
  <c r="AJ86" i="27"/>
  <c r="AJ87" i="27"/>
  <c r="AJ88" i="27"/>
  <c r="AJ89" i="27"/>
  <c r="AJ90" i="27"/>
  <c r="AJ91" i="27"/>
  <c r="AJ92" i="27"/>
  <c r="AJ93" i="27"/>
  <c r="AJ94" i="27"/>
  <c r="AJ95" i="27"/>
  <c r="AJ96" i="27"/>
  <c r="AJ97" i="27"/>
  <c r="AJ98" i="27"/>
  <c r="AJ99" i="27"/>
  <c r="AJ100" i="27"/>
  <c r="AJ101" i="27"/>
  <c r="AJ102" i="27"/>
  <c r="AJ103" i="27"/>
  <c r="AJ104" i="27"/>
  <c r="AJ105" i="27"/>
  <c r="AJ106" i="27"/>
  <c r="AJ107" i="27"/>
  <c r="AJ108" i="27"/>
  <c r="AJ109" i="27"/>
  <c r="AJ110" i="27"/>
  <c r="AJ111" i="27"/>
  <c r="AJ112" i="27"/>
  <c r="AJ113" i="27"/>
  <c r="AJ114" i="27"/>
  <c r="AJ115" i="27"/>
  <c r="AJ116" i="27"/>
  <c r="AJ117" i="27"/>
  <c r="AJ118" i="27"/>
  <c r="AJ119" i="27"/>
  <c r="AJ120" i="27"/>
  <c r="AJ121" i="27"/>
  <c r="AJ122" i="27"/>
  <c r="AJ123" i="27"/>
  <c r="AJ124" i="27"/>
  <c r="AJ125" i="27"/>
  <c r="AJ126" i="27"/>
  <c r="AJ127" i="27"/>
  <c r="AJ128" i="27"/>
  <c r="AJ129" i="27"/>
  <c r="AJ130" i="27"/>
  <c r="AJ131" i="27"/>
  <c r="AJ132" i="27"/>
  <c r="AJ133" i="27"/>
  <c r="AJ134" i="27"/>
  <c r="AJ135" i="27"/>
  <c r="AJ136" i="27"/>
  <c r="AJ137" i="27"/>
  <c r="AJ138" i="27"/>
  <c r="AJ139" i="27"/>
  <c r="AJ140" i="27"/>
  <c r="AJ141" i="27"/>
  <c r="AJ142" i="27"/>
  <c r="AJ143" i="27"/>
  <c r="AJ144" i="27"/>
  <c r="AJ145" i="27"/>
  <c r="AJ146" i="27"/>
  <c r="AJ147" i="27"/>
  <c r="AJ148" i="27"/>
  <c r="AJ149" i="27"/>
  <c r="AJ150" i="27"/>
  <c r="AJ151" i="27"/>
  <c r="AJ152" i="27"/>
  <c r="AJ153" i="27"/>
  <c r="AJ154" i="27"/>
  <c r="AJ155" i="27"/>
  <c r="AJ156" i="27"/>
  <c r="AJ157" i="27"/>
  <c r="AJ158" i="27"/>
  <c r="AJ159" i="27"/>
  <c r="AJ160" i="27"/>
  <c r="AJ161" i="27"/>
  <c r="AJ162" i="27"/>
  <c r="AJ163" i="27"/>
  <c r="AJ164" i="27"/>
  <c r="AJ165" i="27"/>
  <c r="AJ166" i="27"/>
  <c r="AJ167" i="27"/>
  <c r="AJ168" i="27"/>
  <c r="AJ169" i="27"/>
  <c r="AJ170" i="27"/>
  <c r="AJ171" i="27"/>
  <c r="AJ172" i="27"/>
  <c r="AJ173" i="27"/>
  <c r="AJ174" i="27"/>
  <c r="AJ175" i="27"/>
  <c r="AJ176" i="27"/>
  <c r="AJ177" i="27"/>
  <c r="AJ178" i="27"/>
  <c r="AJ179" i="27"/>
  <c r="AJ180" i="27"/>
  <c r="AJ181" i="27"/>
  <c r="AJ182" i="27"/>
  <c r="AJ183" i="27"/>
  <c r="AJ184" i="27"/>
  <c r="AJ185" i="27"/>
  <c r="AJ186" i="27"/>
  <c r="AJ187" i="27"/>
  <c r="AJ188" i="27"/>
  <c r="AJ189" i="27"/>
  <c r="AJ190" i="27"/>
  <c r="AJ191" i="27"/>
  <c r="AJ192" i="27"/>
  <c r="AJ193" i="27"/>
  <c r="AJ194" i="27"/>
  <c r="AJ195" i="27"/>
  <c r="AJ196" i="27"/>
  <c r="AJ197" i="27"/>
  <c r="AT86" i="27"/>
  <c r="AT87" i="27"/>
  <c r="AT92" i="27"/>
  <c r="AT93" i="27"/>
  <c r="AR86" i="27"/>
  <c r="AR87" i="27"/>
  <c r="AR92" i="27"/>
  <c r="AR93" i="27"/>
  <c r="AP75" i="27"/>
  <c r="AP76" i="27"/>
  <c r="AP77" i="27"/>
  <c r="AP78" i="27"/>
  <c r="AP79" i="27"/>
  <c r="AP80" i="27"/>
  <c r="AP86" i="27"/>
  <c r="AP87" i="27"/>
  <c r="AP102" i="27"/>
  <c r="AP131" i="27"/>
  <c r="AP132" i="27"/>
  <c r="AP133" i="27"/>
  <c r="AP134" i="27"/>
  <c r="AP151" i="27"/>
  <c r="AP152" i="27"/>
  <c r="AP153" i="27"/>
  <c r="AN75" i="27"/>
  <c r="AN76" i="27"/>
  <c r="AN77" i="27"/>
  <c r="AN78" i="27"/>
  <c r="AN79" i="27"/>
  <c r="AN80" i="27"/>
  <c r="AN86" i="27"/>
  <c r="AN87" i="27"/>
  <c r="AN102" i="27"/>
  <c r="AN131" i="27"/>
  <c r="AN132" i="27"/>
  <c r="AN133" i="27"/>
  <c r="AN134" i="27"/>
  <c r="AN151" i="27"/>
  <c r="AN152" i="27"/>
  <c r="AN153" i="27"/>
  <c r="AL3" i="27"/>
  <c r="AL4" i="27"/>
  <c r="AL5" i="27"/>
  <c r="AL6" i="27"/>
  <c r="AL7" i="27"/>
  <c r="AL8" i="27"/>
  <c r="AL9" i="27"/>
  <c r="AL10" i="27"/>
  <c r="AL11" i="27"/>
  <c r="AL12" i="27"/>
  <c r="AL13" i="27"/>
  <c r="AL14" i="27"/>
  <c r="AL15" i="27"/>
  <c r="AL16" i="27"/>
  <c r="AL17" i="27"/>
  <c r="AL18" i="27"/>
  <c r="AL19" i="27"/>
  <c r="AL20" i="27"/>
  <c r="AL21" i="27"/>
  <c r="AL22" i="27"/>
  <c r="AL23" i="27"/>
  <c r="AL24" i="27"/>
  <c r="AL25" i="27"/>
  <c r="AL26" i="27"/>
  <c r="AL27" i="27"/>
  <c r="AL28" i="27"/>
  <c r="AL29" i="27"/>
  <c r="AL30" i="27"/>
  <c r="AL31" i="27"/>
  <c r="AL32" i="27"/>
  <c r="AL33" i="27"/>
  <c r="AL34" i="27"/>
  <c r="AL35" i="27"/>
  <c r="AL36" i="27"/>
  <c r="AL37" i="27"/>
  <c r="AL38" i="27"/>
  <c r="AL39" i="27"/>
  <c r="AL40" i="27"/>
  <c r="AL41" i="27"/>
  <c r="AL42" i="27"/>
  <c r="AL43" i="27"/>
  <c r="AL44" i="27"/>
  <c r="AL45" i="27"/>
  <c r="AL46" i="27"/>
  <c r="AL47" i="27"/>
  <c r="AL48" i="27"/>
  <c r="AL49" i="27"/>
  <c r="AL50" i="27"/>
  <c r="AL51" i="27"/>
  <c r="AL52" i="27"/>
  <c r="AL53" i="27"/>
  <c r="AL54" i="27"/>
  <c r="AL55" i="27"/>
  <c r="AL56" i="27"/>
  <c r="AL57" i="27"/>
  <c r="AL58" i="27"/>
  <c r="AL59" i="27"/>
  <c r="AL60" i="27"/>
  <c r="AL61" i="27"/>
  <c r="AL62" i="27"/>
  <c r="AL63" i="27"/>
  <c r="AL64" i="27"/>
  <c r="AL65" i="27"/>
  <c r="AL66" i="27"/>
  <c r="AL67" i="27"/>
  <c r="AL68" i="27"/>
  <c r="AL69" i="27"/>
  <c r="AL70" i="27"/>
  <c r="AL71" i="27"/>
  <c r="AL72" i="27"/>
  <c r="AL73" i="27"/>
  <c r="AL74" i="27"/>
  <c r="AL75" i="27"/>
  <c r="AL76" i="27"/>
  <c r="AL77" i="27"/>
  <c r="AL78" i="27"/>
  <c r="AL79" i="27"/>
  <c r="AL80" i="27"/>
  <c r="AL81" i="27"/>
  <c r="AL82" i="27"/>
  <c r="AL83" i="27"/>
  <c r="AL84" i="27"/>
  <c r="AL85" i="27"/>
  <c r="AL86" i="27"/>
  <c r="AL87" i="27"/>
  <c r="AL88" i="27"/>
  <c r="AL89" i="27"/>
  <c r="AL90" i="27"/>
  <c r="AL91" i="27"/>
  <c r="AL92" i="27"/>
  <c r="AL93" i="27"/>
  <c r="AL94" i="27"/>
  <c r="AL95" i="27"/>
  <c r="AL96" i="27"/>
  <c r="AL97" i="27"/>
  <c r="AL98" i="27"/>
  <c r="AL99" i="27"/>
  <c r="AL100" i="27"/>
  <c r="AL101" i="27"/>
  <c r="AL102" i="27"/>
  <c r="AL103" i="27"/>
  <c r="AL104" i="27"/>
  <c r="AL105" i="27"/>
  <c r="AL106" i="27"/>
  <c r="AL107" i="27"/>
  <c r="AL108" i="27"/>
  <c r="AL109" i="27"/>
  <c r="AL110" i="27"/>
  <c r="AL111" i="27"/>
  <c r="AL112" i="27"/>
  <c r="AL113" i="27"/>
  <c r="AL114" i="27"/>
  <c r="AL115" i="27"/>
  <c r="AL116" i="27"/>
  <c r="AL117" i="27"/>
  <c r="AL118" i="27"/>
  <c r="AL119" i="27"/>
  <c r="AL120" i="27"/>
  <c r="AL121" i="27"/>
  <c r="AL122" i="27"/>
  <c r="AL123" i="27"/>
  <c r="AL124" i="27"/>
  <c r="AL125" i="27"/>
  <c r="AL126" i="27"/>
  <c r="AL127" i="27"/>
  <c r="AL128" i="27"/>
  <c r="AL129" i="27"/>
  <c r="AL130" i="27"/>
  <c r="AL131" i="27"/>
  <c r="AL132" i="27"/>
  <c r="AL133" i="27"/>
  <c r="AL134" i="27"/>
  <c r="AL135" i="27"/>
  <c r="AL136" i="27"/>
  <c r="AL137" i="27"/>
  <c r="AL138" i="27"/>
  <c r="AL139" i="27"/>
  <c r="AL140" i="27"/>
  <c r="AL141" i="27"/>
  <c r="AL142" i="27"/>
  <c r="AL143" i="27"/>
  <c r="AL144" i="27"/>
  <c r="AL145" i="27"/>
  <c r="AL146" i="27"/>
  <c r="AL147" i="27"/>
  <c r="AL148" i="27"/>
  <c r="AL149" i="27"/>
  <c r="AL150" i="27"/>
  <c r="AL151" i="27"/>
  <c r="AL152" i="27"/>
  <c r="AL153" i="27"/>
  <c r="AL154" i="27"/>
  <c r="AL155" i="27"/>
  <c r="AL156" i="27"/>
  <c r="AL157" i="27"/>
  <c r="AL158" i="27"/>
  <c r="AL159" i="27"/>
  <c r="AL160" i="27"/>
  <c r="AL161" i="27"/>
  <c r="AL162" i="27"/>
  <c r="AL163" i="27"/>
  <c r="AL164" i="27"/>
  <c r="AL165" i="27"/>
  <c r="AL166" i="27"/>
  <c r="AL167" i="27"/>
  <c r="AL168" i="27"/>
  <c r="AL169" i="27"/>
  <c r="AL170" i="27"/>
  <c r="AL171" i="27"/>
  <c r="AL172" i="27"/>
  <c r="AL173" i="27"/>
  <c r="AL174" i="27"/>
  <c r="AL175" i="27"/>
  <c r="AL176" i="27"/>
  <c r="AL177" i="27"/>
  <c r="AL178" i="27"/>
  <c r="AL179" i="27"/>
  <c r="AL180" i="27"/>
  <c r="AL181" i="27"/>
  <c r="AL182" i="27"/>
  <c r="AL183" i="27"/>
  <c r="AL184" i="27"/>
  <c r="AL185" i="27"/>
  <c r="AL186" i="27"/>
  <c r="AL187" i="27"/>
  <c r="AL188" i="27"/>
  <c r="AL189" i="27"/>
  <c r="AL190" i="27"/>
  <c r="AL191" i="27"/>
  <c r="AL192" i="27"/>
  <c r="AL193" i="27"/>
  <c r="AL194" i="27"/>
  <c r="AL195" i="27"/>
  <c r="AL196" i="27"/>
  <c r="AL197" i="27"/>
  <c r="AL2" i="27"/>
  <c r="AJ2" i="27"/>
  <c r="AX3" i="27"/>
  <c r="AY3" i="27"/>
  <c r="AZ3" i="27"/>
  <c r="BA3" i="27"/>
  <c r="BB3" i="27"/>
  <c r="BC3" i="27"/>
  <c r="AX8" i="27"/>
  <c r="AY8" i="27"/>
  <c r="AZ8" i="27"/>
  <c r="BA8" i="27"/>
  <c r="BB8" i="27"/>
  <c r="BC8" i="27"/>
  <c r="AX9" i="27"/>
  <c r="AY9" i="27"/>
  <c r="AZ9" i="27"/>
  <c r="BA9" i="27"/>
  <c r="BB9" i="27"/>
  <c r="BC9" i="27"/>
  <c r="AX17" i="27"/>
  <c r="AY17" i="27"/>
  <c r="AZ17" i="27"/>
  <c r="BA17" i="27"/>
  <c r="BB17" i="27"/>
  <c r="BC17" i="27"/>
  <c r="AX19" i="27"/>
  <c r="AY19" i="27"/>
  <c r="AZ19" i="27"/>
  <c r="BA19" i="27"/>
  <c r="BB19" i="27"/>
  <c r="BC19" i="27"/>
  <c r="AX20" i="27"/>
  <c r="AY20" i="27"/>
  <c r="AZ20" i="27"/>
  <c r="BA20" i="27"/>
  <c r="BB20" i="27"/>
  <c r="BC20" i="27"/>
  <c r="AX21" i="27"/>
  <c r="AY21" i="27"/>
  <c r="AZ21" i="27"/>
  <c r="BA21" i="27"/>
  <c r="BB21" i="27"/>
  <c r="BC21" i="27"/>
  <c r="AX24" i="27"/>
  <c r="AY24" i="27"/>
  <c r="AZ24" i="27"/>
  <c r="BA24" i="27"/>
  <c r="BB24" i="27"/>
  <c r="BC24" i="27"/>
  <c r="AX25" i="27"/>
  <c r="AY25" i="27"/>
  <c r="AZ25" i="27"/>
  <c r="BA25" i="27"/>
  <c r="BB25" i="27"/>
  <c r="BC25" i="27"/>
  <c r="AX26" i="27"/>
  <c r="AY26" i="27"/>
  <c r="AZ26" i="27"/>
  <c r="BA26" i="27"/>
  <c r="BB26" i="27"/>
  <c r="BC26" i="27"/>
  <c r="AX27" i="27"/>
  <c r="AY27" i="27"/>
  <c r="AZ27" i="27"/>
  <c r="BA27" i="27"/>
  <c r="BB27" i="27"/>
  <c r="BC27" i="27"/>
  <c r="AX29" i="27"/>
  <c r="AY29" i="27"/>
  <c r="AZ29" i="27"/>
  <c r="BA29" i="27"/>
  <c r="BB29" i="27"/>
  <c r="BC29" i="27"/>
  <c r="AX30" i="27"/>
  <c r="AY30" i="27"/>
  <c r="AZ30" i="27"/>
  <c r="BA30" i="27"/>
  <c r="BB30" i="27"/>
  <c r="BC30" i="27"/>
  <c r="AX31" i="27"/>
  <c r="AY31" i="27"/>
  <c r="AZ31" i="27"/>
  <c r="BA31" i="27"/>
  <c r="BB31" i="27"/>
  <c r="BC31" i="27"/>
  <c r="AX32" i="27"/>
  <c r="AY32" i="27"/>
  <c r="AZ32" i="27"/>
  <c r="BA32" i="27"/>
  <c r="BB32" i="27"/>
  <c r="BC32" i="27"/>
  <c r="AX33" i="27"/>
  <c r="AY33" i="27"/>
  <c r="AZ33" i="27"/>
  <c r="BA33" i="27"/>
  <c r="BB33" i="27"/>
  <c r="BC33" i="27"/>
  <c r="AX34" i="27"/>
  <c r="AY34" i="27"/>
  <c r="AZ34" i="27"/>
  <c r="BA34" i="27"/>
  <c r="BB34" i="27"/>
  <c r="BC34" i="27"/>
  <c r="AX37" i="27"/>
  <c r="AY37" i="27"/>
  <c r="AZ37" i="27"/>
  <c r="BA37" i="27"/>
  <c r="BB37" i="27"/>
  <c r="BC37" i="27"/>
  <c r="AX38" i="27"/>
  <c r="AY38" i="27"/>
  <c r="AZ38" i="27"/>
  <c r="BA38" i="27"/>
  <c r="BB38" i="27"/>
  <c r="BC38" i="27"/>
  <c r="AX39" i="27"/>
  <c r="AY39" i="27"/>
  <c r="AZ39" i="27"/>
  <c r="BA39" i="27"/>
  <c r="BB39" i="27"/>
  <c r="BC39" i="27"/>
  <c r="AX40" i="27"/>
  <c r="AY40" i="27"/>
  <c r="AZ40" i="27"/>
  <c r="BA40" i="27"/>
  <c r="BB40" i="27"/>
  <c r="BC40" i="27"/>
  <c r="AX41" i="27"/>
  <c r="AY41" i="27"/>
  <c r="AZ41" i="27"/>
  <c r="BA41" i="27"/>
  <c r="BB41" i="27"/>
  <c r="BC41" i="27"/>
  <c r="AX42" i="27"/>
  <c r="AY42" i="27"/>
  <c r="AZ42" i="27"/>
  <c r="BA42" i="27"/>
  <c r="BB42" i="27"/>
  <c r="BC42" i="27"/>
  <c r="AX43" i="27"/>
  <c r="AY43" i="27"/>
  <c r="AZ43" i="27"/>
  <c r="BA43" i="27"/>
  <c r="BB43" i="27"/>
  <c r="BC43" i="27"/>
  <c r="AX44" i="27"/>
  <c r="AY44" i="27"/>
  <c r="AZ44" i="27"/>
  <c r="BA44" i="27"/>
  <c r="BB44" i="27"/>
  <c r="BC44" i="27"/>
  <c r="AX52" i="27"/>
  <c r="AY52" i="27"/>
  <c r="AZ52" i="27"/>
  <c r="BA52" i="27"/>
  <c r="BB52" i="27"/>
  <c r="BC52" i="27"/>
  <c r="AX53" i="27"/>
  <c r="AY53" i="27"/>
  <c r="AZ53" i="27"/>
  <c r="BA53" i="27"/>
  <c r="BB53" i="27"/>
  <c r="BC53" i="27"/>
  <c r="AX103" i="27"/>
  <c r="AY103" i="27"/>
  <c r="AZ103" i="27"/>
  <c r="BA103" i="27"/>
  <c r="BB103" i="27"/>
  <c r="BC103" i="27"/>
  <c r="AX104" i="27"/>
  <c r="AY104" i="27"/>
  <c r="AZ104" i="27"/>
  <c r="BA104" i="27"/>
  <c r="BB104" i="27"/>
  <c r="BC104" i="27"/>
  <c r="AX105" i="27"/>
  <c r="AY105" i="27"/>
  <c r="AZ105" i="27"/>
  <c r="BA105" i="27"/>
  <c r="BB105" i="27"/>
  <c r="BC105" i="27"/>
  <c r="AX106" i="27"/>
  <c r="AY106" i="27"/>
  <c r="AZ106" i="27"/>
  <c r="BA106" i="27"/>
  <c r="BB106" i="27"/>
  <c r="BC106" i="27"/>
  <c r="AX112" i="27"/>
  <c r="AY112" i="27"/>
  <c r="AZ112" i="27"/>
  <c r="BA112" i="27"/>
  <c r="BB112" i="27"/>
  <c r="BC112" i="27"/>
  <c r="AX113" i="27"/>
  <c r="AY113" i="27"/>
  <c r="AZ113" i="27"/>
  <c r="BA113" i="27"/>
  <c r="BB113" i="27"/>
  <c r="BC113" i="27"/>
  <c r="AX118" i="27"/>
  <c r="AY118" i="27"/>
  <c r="AZ118" i="27"/>
  <c r="BA118" i="27"/>
  <c r="BB118" i="27"/>
  <c r="BC118" i="27"/>
  <c r="AX124" i="27"/>
  <c r="AY124" i="27"/>
  <c r="AZ124" i="27"/>
  <c r="BA124" i="27"/>
  <c r="BB124" i="27"/>
  <c r="BC124" i="27"/>
  <c r="AX154" i="27"/>
  <c r="AY154" i="27"/>
  <c r="AZ154" i="27"/>
  <c r="BA154" i="27"/>
  <c r="BB154" i="27"/>
  <c r="BC154" i="27"/>
  <c r="AX155" i="27"/>
  <c r="AY155" i="27"/>
  <c r="AZ155" i="27"/>
  <c r="BA155" i="27"/>
  <c r="BB155" i="27"/>
  <c r="BC155" i="27"/>
  <c r="AX165" i="27"/>
  <c r="AY165" i="27"/>
  <c r="AZ165" i="27"/>
  <c r="BA165" i="27"/>
  <c r="BB165" i="27"/>
  <c r="BC165" i="27"/>
  <c r="AX170" i="27"/>
  <c r="AY170" i="27"/>
  <c r="AZ170" i="27"/>
  <c r="BA170" i="27"/>
  <c r="BB170" i="27"/>
  <c r="BC170" i="27"/>
  <c r="AX171" i="27"/>
  <c r="AY171" i="27"/>
  <c r="AZ171" i="27"/>
  <c r="BA171" i="27"/>
  <c r="BB171" i="27"/>
  <c r="BC171" i="27"/>
  <c r="AX172" i="27"/>
  <c r="AY172" i="27"/>
  <c r="AZ172" i="27"/>
  <c r="BA172" i="27"/>
  <c r="BB172" i="27"/>
  <c r="BC172" i="27"/>
  <c r="AX173" i="27"/>
  <c r="AY173" i="27"/>
  <c r="AZ173" i="27"/>
  <c r="BA173" i="27"/>
  <c r="BB173" i="27"/>
  <c r="BC173" i="27"/>
  <c r="AX174" i="27"/>
  <c r="AY174" i="27"/>
  <c r="AZ174" i="27"/>
  <c r="BA174" i="27"/>
  <c r="BB174" i="27"/>
  <c r="BC174" i="27"/>
  <c r="AX175" i="27"/>
  <c r="AY175" i="27"/>
  <c r="AZ175" i="27"/>
  <c r="BA175" i="27"/>
  <c r="BB175" i="27"/>
  <c r="BC175" i="27"/>
  <c r="BC2" i="27"/>
  <c r="BB2" i="27"/>
  <c r="BA2" i="27"/>
  <c r="AZ2" i="27"/>
  <c r="AY2" i="27"/>
  <c r="AX2" i="27"/>
  <c r="B197" i="27"/>
  <c r="B192" i="27"/>
  <c r="B193" i="27" s="1"/>
  <c r="B194" i="27" s="1"/>
  <c r="B195" i="27" s="1"/>
  <c r="B196" i="27" s="1"/>
  <c r="B188" i="27"/>
  <c r="B189" i="27" s="1"/>
  <c r="B190" i="27" s="1"/>
  <c r="B191" i="27" s="1"/>
  <c r="B176" i="27"/>
  <c r="B177" i="27" s="1"/>
  <c r="B178" i="27" s="1"/>
  <c r="B179" i="27" s="1"/>
  <c r="B180" i="27" s="1"/>
  <c r="B181" i="27" s="1"/>
  <c r="B182" i="27" s="1"/>
  <c r="B183" i="27" s="1"/>
  <c r="B184" i="27" s="1"/>
  <c r="B185" i="27" s="1"/>
  <c r="B186" i="27" s="1"/>
  <c r="B187" i="27" s="1"/>
  <c r="B175" i="27"/>
  <c r="B173" i="27"/>
  <c r="B174" i="27" s="1"/>
  <c r="B171" i="27"/>
  <c r="B172" i="27" s="1"/>
  <c r="B170" i="27"/>
  <c r="B166" i="27"/>
  <c r="B167" i="27" s="1"/>
  <c r="B168" i="27" s="1"/>
  <c r="B169" i="27" s="1"/>
  <c r="B165" i="27"/>
  <c r="B162" i="27"/>
  <c r="B163" i="27" s="1"/>
  <c r="B164" i="27" s="1"/>
  <c r="B156" i="27"/>
  <c r="B157" i="27" s="1"/>
  <c r="B158" i="27" s="1"/>
  <c r="B159" i="27" s="1"/>
  <c r="B160" i="27" s="1"/>
  <c r="B161" i="27" s="1"/>
  <c r="B154" i="27"/>
  <c r="B155" i="27" s="1"/>
  <c r="B151" i="27"/>
  <c r="B152" i="27" s="1"/>
  <c r="B153" i="27" s="1"/>
  <c r="B131" i="27"/>
  <c r="B132" i="27" s="1"/>
  <c r="B133" i="27" s="1"/>
  <c r="B134" i="27" s="1"/>
  <c r="B135" i="27" s="1"/>
  <c r="B136" i="27" s="1"/>
  <c r="B137" i="27" s="1"/>
  <c r="B138" i="27" s="1"/>
  <c r="B139" i="27" s="1"/>
  <c r="B140" i="27" s="1"/>
  <c r="B141" i="27" s="1"/>
  <c r="B142" i="27" s="1"/>
  <c r="B143" i="27" s="1"/>
  <c r="B144" i="27" s="1"/>
  <c r="B145" i="27" s="1"/>
  <c r="B146" i="27" s="1"/>
  <c r="B147" i="27" s="1"/>
  <c r="B148" i="27" s="1"/>
  <c r="B149" i="27" s="1"/>
  <c r="B150" i="27" s="1"/>
  <c r="B130" i="27"/>
  <c r="B127" i="27"/>
  <c r="B128" i="27" s="1"/>
  <c r="B129" i="27" s="1"/>
  <c r="B125" i="27"/>
  <c r="B126" i="27" s="1"/>
  <c r="B122" i="27"/>
  <c r="B123" i="27" s="1"/>
  <c r="B124" i="27" s="1"/>
  <c r="B120" i="27"/>
  <c r="B121" i="27" s="1"/>
  <c r="B114" i="27"/>
  <c r="B115" i="27" s="1"/>
  <c r="B116" i="27" s="1"/>
  <c r="B117" i="27" s="1"/>
  <c r="B118" i="27" s="1"/>
  <c r="B119" i="27" s="1"/>
  <c r="B109" i="27"/>
  <c r="B110" i="27" s="1"/>
  <c r="B111" i="27" s="1"/>
  <c r="B112" i="27" s="1"/>
  <c r="B113" i="27" s="1"/>
  <c r="B106" i="27"/>
  <c r="B107" i="27" s="1"/>
  <c r="B108" i="27" s="1"/>
  <c r="B103" i="27"/>
  <c r="B104" i="27" s="1"/>
  <c r="B105" i="27" s="1"/>
  <c r="B102" i="27"/>
  <c r="B100" i="27"/>
  <c r="B101" i="27" s="1"/>
  <c r="B99" i="27"/>
  <c r="B97" i="27"/>
  <c r="B98" i="27" s="1"/>
  <c r="B95" i="27"/>
  <c r="B96" i="27" s="1"/>
  <c r="B94" i="27"/>
  <c r="B92" i="27"/>
  <c r="B93" i="27" s="1"/>
  <c r="B89" i="27"/>
  <c r="B90" i="27" s="1"/>
  <c r="B91" i="27" s="1"/>
  <c r="B88" i="27"/>
  <c r="B86" i="27"/>
  <c r="B87" i="27" s="1"/>
  <c r="B82" i="27"/>
  <c r="B83" i="27" s="1"/>
  <c r="B84" i="27" s="1"/>
  <c r="B85" i="27" s="1"/>
  <c r="B81" i="27"/>
  <c r="B75" i="27"/>
  <c r="B76" i="27" s="1"/>
  <c r="B77" i="27" s="1"/>
  <c r="B78" i="27" s="1"/>
  <c r="B79" i="27" s="1"/>
  <c r="B80" i="27" s="1"/>
  <c r="B68" i="27"/>
  <c r="B69" i="27" s="1"/>
  <c r="B70" i="27" s="1"/>
  <c r="B71" i="27" s="1"/>
  <c r="B72" i="27" s="1"/>
  <c r="B73" i="27" s="1"/>
  <c r="B74" i="27" s="1"/>
  <c r="B62" i="27"/>
  <c r="B63" i="27" s="1"/>
  <c r="B64" i="27" s="1"/>
  <c r="B65" i="27" s="1"/>
  <c r="B66" i="27" s="1"/>
  <c r="B67" i="27" s="1"/>
  <c r="B60" i="27"/>
  <c r="B61" i="27" s="1"/>
  <c r="B57" i="27"/>
  <c r="B58" i="27" s="1"/>
  <c r="B59" i="27" s="1"/>
  <c r="B53" i="27"/>
  <c r="B54" i="27" s="1"/>
  <c r="B55" i="27" s="1"/>
  <c r="B56" i="27" s="1"/>
  <c r="B51" i="27"/>
  <c r="B52" i="27" s="1"/>
  <c r="B45" i="27"/>
  <c r="B46" i="27" s="1"/>
  <c r="B47" i="27" s="1"/>
  <c r="B48" i="27" s="1"/>
  <c r="B49" i="27" s="1"/>
  <c r="B50" i="27" s="1"/>
  <c r="B37" i="27"/>
  <c r="B38" i="27" s="1"/>
  <c r="B39" i="27" s="1"/>
  <c r="B40" i="27" s="1"/>
  <c r="B41" i="27" s="1"/>
  <c r="B42" i="27" s="1"/>
  <c r="B43" i="27" s="1"/>
  <c r="B44" i="27" s="1"/>
  <c r="B29" i="27"/>
  <c r="B30" i="27" s="1"/>
  <c r="B31" i="27" s="1"/>
  <c r="B32" i="27" s="1"/>
  <c r="B33" i="27" s="1"/>
  <c r="B34" i="27" s="1"/>
  <c r="B35" i="27" s="1"/>
  <c r="B36" i="27" s="1"/>
  <c r="B28" i="27"/>
  <c r="B20" i="27"/>
  <c r="B21" i="27" s="1"/>
  <c r="B22" i="27" s="1"/>
  <c r="B23" i="27" s="1"/>
  <c r="B24" i="27" s="1"/>
  <c r="B25" i="27" s="1"/>
  <c r="B26" i="27" s="1"/>
  <c r="B27" i="27" s="1"/>
  <c r="B18" i="27"/>
  <c r="B19" i="27" s="1"/>
  <c r="B16" i="27"/>
  <c r="B17" i="27" s="1"/>
  <c r="B15" i="27"/>
  <c r="B13" i="27"/>
  <c r="B14" i="27" s="1"/>
  <c r="B10" i="27"/>
  <c r="B11" i="27" s="1"/>
  <c r="B12" i="27" s="1"/>
  <c r="B8" i="27"/>
  <c r="B9" i="27" s="1"/>
  <c r="B5" i="27"/>
  <c r="B6" i="27" s="1"/>
  <c r="B7" i="27" s="1"/>
  <c r="B4" i="27"/>
  <c r="B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4" i="27" s="1"/>
  <c r="A135" i="27" s="1"/>
  <c r="A136" i="27" s="1"/>
  <c r="A137" i="27" s="1"/>
  <c r="A138" i="27" s="1"/>
  <c r="A139" i="27" s="1"/>
  <c r="A140" i="27" s="1"/>
  <c r="A141" i="27" s="1"/>
  <c r="A142" i="27" s="1"/>
  <c r="A143" i="27" s="1"/>
  <c r="A144" i="27" s="1"/>
  <c r="A145" i="27" s="1"/>
  <c r="A146" i="27" s="1"/>
  <c r="A147" i="27" s="1"/>
  <c r="A148" i="27" s="1"/>
  <c r="A149" i="27" s="1"/>
  <c r="A150" i="27" s="1"/>
  <c r="A151" i="27" s="1"/>
  <c r="A152" i="27" s="1"/>
  <c r="A153" i="27" s="1"/>
  <c r="A154" i="27" s="1"/>
  <c r="A155" i="27" s="1"/>
  <c r="A156" i="27" s="1"/>
  <c r="A157" i="27" s="1"/>
  <c r="A158" i="27" s="1"/>
  <c r="A159" i="27" s="1"/>
  <c r="A160" i="27" s="1"/>
  <c r="A161" i="27" s="1"/>
  <c r="A162" i="27" s="1"/>
  <c r="A163" i="27" s="1"/>
  <c r="A164" i="27" s="1"/>
  <c r="A165" i="27" s="1"/>
  <c r="A166" i="27" s="1"/>
  <c r="A167" i="27" s="1"/>
  <c r="A168" i="27" s="1"/>
  <c r="A169" i="27" s="1"/>
  <c r="A170" i="27" s="1"/>
  <c r="A171" i="27" s="1"/>
  <c r="A172" i="27" s="1"/>
  <c r="A173" i="27" s="1"/>
  <c r="A174" i="27" s="1"/>
  <c r="A175" i="27" s="1"/>
  <c r="A176" i="27" s="1"/>
  <c r="A177" i="27" s="1"/>
  <c r="A178" i="27" s="1"/>
  <c r="A179" i="27" s="1"/>
  <c r="A180" i="27" s="1"/>
  <c r="A181" i="27" s="1"/>
  <c r="A182" i="27" s="1"/>
  <c r="A183" i="27" s="1"/>
  <c r="A184" i="27" s="1"/>
  <c r="A185" i="27" s="1"/>
  <c r="A186" i="27" s="1"/>
  <c r="A187" i="27" s="1"/>
  <c r="A188" i="27" s="1"/>
  <c r="A189" i="27" s="1"/>
  <c r="A190" i="27" s="1"/>
  <c r="A191" i="27" s="1"/>
  <c r="A192" i="27" s="1"/>
  <c r="A193" i="27" s="1"/>
  <c r="A194" i="27" s="1"/>
  <c r="A195" i="27" s="1"/>
  <c r="A196" i="27" s="1"/>
  <c r="A197" i="27" s="1"/>
  <c r="A198" i="27" s="1"/>
  <c r="AH53" i="27"/>
  <c r="AH112" i="27"/>
  <c r="AH171" i="27"/>
  <c r="AH172" i="27"/>
  <c r="AG112" i="27"/>
  <c r="AG171" i="27"/>
  <c r="AG172" i="27"/>
  <c r="AF197" i="27"/>
  <c r="AC197" i="27"/>
  <c r="AD197" i="27" s="1"/>
  <c r="AF196" i="27"/>
  <c r="AC196" i="27"/>
  <c r="AD196" i="27" s="1"/>
  <c r="AF195" i="27"/>
  <c r="AC195" i="27"/>
  <c r="AD195" i="27" s="1"/>
  <c r="AF194" i="27"/>
  <c r="AC194" i="27"/>
  <c r="AD194" i="27" s="1"/>
  <c r="AF193" i="27"/>
  <c r="AC193" i="27"/>
  <c r="AD193" i="27" s="1"/>
  <c r="AF192" i="27"/>
  <c r="AC192" i="27"/>
  <c r="AD192" i="27" s="1"/>
  <c r="AF191" i="27"/>
  <c r="AF190" i="27"/>
  <c r="AE190" i="27"/>
  <c r="AF189" i="27"/>
  <c r="AF188" i="27"/>
  <c r="AF187" i="27"/>
  <c r="AE187" i="27"/>
  <c r="AF186" i="27"/>
  <c r="AE186" i="27"/>
  <c r="AF185" i="27"/>
  <c r="AF184" i="27"/>
  <c r="AF183" i="27"/>
  <c r="AE183" i="27"/>
  <c r="AF182" i="27"/>
  <c r="AE182" i="27"/>
  <c r="AF181" i="27"/>
  <c r="AF180" i="27"/>
  <c r="AF179" i="27"/>
  <c r="AE179" i="27"/>
  <c r="AF178" i="27"/>
  <c r="AE178" i="27"/>
  <c r="AF177" i="27"/>
  <c r="AF176" i="27"/>
  <c r="AE176" i="27"/>
  <c r="AF175" i="27"/>
  <c r="AC175" i="27"/>
  <c r="AD175" i="27" s="1"/>
  <c r="AF174" i="27"/>
  <c r="AC174" i="27"/>
  <c r="AD174" i="27" s="1"/>
  <c r="AF173" i="27"/>
  <c r="AC173" i="27"/>
  <c r="AD173" i="27" s="1"/>
  <c r="AF172" i="27"/>
  <c r="AI172" i="27" s="1"/>
  <c r="AF171" i="27"/>
  <c r="AF170" i="27"/>
  <c r="AC170" i="27"/>
  <c r="AD170" i="27" s="1"/>
  <c r="AF169" i="27"/>
  <c r="AE169" i="27"/>
  <c r="AF168" i="27"/>
  <c r="AF167" i="27"/>
  <c r="AE167" i="27"/>
  <c r="AF166" i="27"/>
  <c r="AE166" i="27"/>
  <c r="AF165" i="27"/>
  <c r="AI165" i="27" s="1"/>
  <c r="AF164" i="27"/>
  <c r="AF163" i="27"/>
  <c r="AE163" i="27"/>
  <c r="AF162" i="27"/>
  <c r="AF161" i="27"/>
  <c r="AF160" i="27"/>
  <c r="AE160" i="27"/>
  <c r="AF159" i="27"/>
  <c r="AE159" i="27"/>
  <c r="AF158" i="27"/>
  <c r="AF157" i="27"/>
  <c r="AE157" i="27"/>
  <c r="AF156" i="27"/>
  <c r="AE156" i="27"/>
  <c r="AF155" i="27"/>
  <c r="AF154" i="27"/>
  <c r="AC154" i="27"/>
  <c r="AD154" i="27" s="1"/>
  <c r="AF153" i="27"/>
  <c r="AF152" i="27"/>
  <c r="AF151" i="27"/>
  <c r="AH151" i="27" s="1"/>
  <c r="AF150" i="27"/>
  <c r="AH150" i="27" s="1"/>
  <c r="AF149" i="27"/>
  <c r="AI149" i="27" s="1"/>
  <c r="AF148" i="27"/>
  <c r="AI148" i="27" s="1"/>
  <c r="AF147" i="27"/>
  <c r="AF146" i="27"/>
  <c r="AF145" i="27"/>
  <c r="AF144" i="27"/>
  <c r="AF143" i="27"/>
  <c r="AI143" i="27" s="1"/>
  <c r="AF142" i="27"/>
  <c r="AI142" i="27" s="1"/>
  <c r="AF141" i="27"/>
  <c r="AI141" i="27" s="1"/>
  <c r="AF140" i="27"/>
  <c r="AI140" i="27" s="1"/>
  <c r="AF139" i="27"/>
  <c r="AF138" i="27"/>
  <c r="AF137" i="27"/>
  <c r="AF136" i="27"/>
  <c r="AF135" i="27"/>
  <c r="AH135" i="27" s="1"/>
  <c r="AF134" i="27"/>
  <c r="AH134" i="27" s="1"/>
  <c r="AF133" i="27"/>
  <c r="AH133" i="27" s="1"/>
  <c r="AF132" i="27"/>
  <c r="AI132" i="27" s="1"/>
  <c r="AF131" i="27"/>
  <c r="AF130" i="27"/>
  <c r="AF129" i="27"/>
  <c r="AF128" i="27"/>
  <c r="AF127" i="27"/>
  <c r="AI127" i="27" s="1"/>
  <c r="AF126" i="27"/>
  <c r="AE126" i="27"/>
  <c r="AF125" i="27"/>
  <c r="AE125" i="27"/>
  <c r="AF124" i="27"/>
  <c r="AF123" i="27"/>
  <c r="AF122" i="27"/>
  <c r="AH122" i="27" s="1"/>
  <c r="AF121" i="27"/>
  <c r="AH121" i="27" s="1"/>
  <c r="AF120" i="27"/>
  <c r="AF119" i="27"/>
  <c r="AI119" i="27" s="1"/>
  <c r="AF118" i="27"/>
  <c r="AH118" i="27" s="1"/>
  <c r="AF117" i="27"/>
  <c r="AF116" i="27"/>
  <c r="AF115" i="27"/>
  <c r="AF114" i="27"/>
  <c r="AI114" i="27" s="1"/>
  <c r="AF113" i="27"/>
  <c r="AE113" i="27"/>
  <c r="AF112" i="27"/>
  <c r="AI112" i="27" s="1"/>
  <c r="AF111" i="27"/>
  <c r="AI111" i="27" s="1"/>
  <c r="AF110" i="27"/>
  <c r="AF109" i="27"/>
  <c r="AF108" i="27"/>
  <c r="AF107" i="27"/>
  <c r="AC107" i="27"/>
  <c r="AF106" i="27"/>
  <c r="AF105" i="27"/>
  <c r="AC105" i="27"/>
  <c r="AD105" i="27" s="1"/>
  <c r="AF104" i="27"/>
  <c r="AF103" i="27"/>
  <c r="AC103" i="27"/>
  <c r="AD103" i="27" s="1"/>
  <c r="AF102" i="27"/>
  <c r="AE102" i="27"/>
  <c r="T102" i="27"/>
  <c r="AF101" i="27"/>
  <c r="AF100" i="27"/>
  <c r="AI100" i="27" s="1"/>
  <c r="AF99" i="27"/>
  <c r="AG99" i="27" s="1"/>
  <c r="AF98" i="27"/>
  <c r="AF97" i="27"/>
  <c r="AE97" i="27"/>
  <c r="AF96" i="27"/>
  <c r="AE96" i="27"/>
  <c r="T96" i="27"/>
  <c r="AF95" i="27"/>
  <c r="T95" i="27"/>
  <c r="AF94" i="27"/>
  <c r="AF93" i="27"/>
  <c r="AF92" i="27"/>
  <c r="AI92" i="27" s="1"/>
  <c r="AF91" i="27"/>
  <c r="AI91" i="27" s="1"/>
  <c r="AF90" i="27"/>
  <c r="AH90" i="27" s="1"/>
  <c r="AF89" i="27"/>
  <c r="AH89" i="27" s="1"/>
  <c r="AF88" i="27"/>
  <c r="AF87" i="27"/>
  <c r="AE87" i="27"/>
  <c r="AF86" i="27"/>
  <c r="AF85" i="27"/>
  <c r="AF84" i="27"/>
  <c r="AE84" i="27"/>
  <c r="AF83" i="27"/>
  <c r="AE83" i="27"/>
  <c r="AF82" i="27"/>
  <c r="AE82" i="27"/>
  <c r="AF81" i="27"/>
  <c r="AF80" i="27"/>
  <c r="AE80" i="27"/>
  <c r="AF79" i="27"/>
  <c r="AF78" i="27"/>
  <c r="AE78" i="27"/>
  <c r="AF77" i="27"/>
  <c r="AF76" i="27"/>
  <c r="AE76" i="27"/>
  <c r="AF75" i="27"/>
  <c r="AE75" i="27"/>
  <c r="AF74" i="27"/>
  <c r="AF73" i="27"/>
  <c r="AE73" i="27"/>
  <c r="AF72" i="27"/>
  <c r="AE72" i="27"/>
  <c r="AF71" i="27"/>
  <c r="AF70" i="27"/>
  <c r="AF69" i="27"/>
  <c r="AF68" i="27"/>
  <c r="AH68" i="27" s="1"/>
  <c r="AF67" i="27"/>
  <c r="AE67" i="27"/>
  <c r="AF66" i="27"/>
  <c r="AE66" i="27"/>
  <c r="AF65" i="27"/>
  <c r="AE65" i="27"/>
  <c r="AF64" i="27"/>
  <c r="AF63" i="27"/>
  <c r="AF62" i="27"/>
  <c r="AE62" i="27"/>
  <c r="AF61" i="27"/>
  <c r="AF60" i="27"/>
  <c r="AH60" i="27" s="1"/>
  <c r="AF59" i="27"/>
  <c r="AH59" i="27" s="1"/>
  <c r="AF58" i="27"/>
  <c r="AF57" i="27"/>
  <c r="AF56" i="27"/>
  <c r="AI56" i="27" s="1"/>
  <c r="AF55" i="27"/>
  <c r="AF54" i="27"/>
  <c r="AG54" i="27" s="1"/>
  <c r="AF53" i="27"/>
  <c r="AF52" i="27"/>
  <c r="AE52" i="27"/>
  <c r="AF51" i="27"/>
  <c r="AE51" i="27"/>
  <c r="AF50" i="27"/>
  <c r="AF49" i="27"/>
  <c r="AE49" i="27"/>
  <c r="AF48" i="27"/>
  <c r="AE48" i="27"/>
  <c r="AF47" i="27"/>
  <c r="AE47" i="27"/>
  <c r="AF46" i="27"/>
  <c r="AF45" i="27"/>
  <c r="AF44" i="27"/>
  <c r="AF43" i="27"/>
  <c r="AE43" i="27"/>
  <c r="AF42" i="27"/>
  <c r="AE42" i="27"/>
  <c r="AF41" i="27"/>
  <c r="AE41" i="27"/>
  <c r="AF40" i="27"/>
  <c r="AE40" i="27"/>
  <c r="AF39" i="27"/>
  <c r="AF38" i="27"/>
  <c r="AF37" i="27"/>
  <c r="AF36" i="27"/>
  <c r="AE36" i="27"/>
  <c r="AF35" i="27"/>
  <c r="AE35" i="27"/>
  <c r="AF34" i="27"/>
  <c r="AE34" i="27"/>
  <c r="AF33" i="27"/>
  <c r="AF32" i="27"/>
  <c r="AF31" i="27"/>
  <c r="AF30" i="27"/>
  <c r="AF29" i="27"/>
  <c r="AF28" i="27"/>
  <c r="AF27" i="27"/>
  <c r="AF26" i="27"/>
  <c r="AF25" i="27"/>
  <c r="AI25" i="27" s="1"/>
  <c r="AF24" i="27"/>
  <c r="AI24" i="27" s="1"/>
  <c r="AF23" i="27"/>
  <c r="AG23" i="27" s="1"/>
  <c r="AF22" i="27"/>
  <c r="AI22" i="27" s="1"/>
  <c r="AF21" i="27"/>
  <c r="AI21" i="27" s="1"/>
  <c r="AF20" i="27"/>
  <c r="AF19" i="27"/>
  <c r="AF18" i="27"/>
  <c r="AH18" i="27" s="1"/>
  <c r="AF17" i="27"/>
  <c r="AE17" i="27"/>
  <c r="AF16" i="27"/>
  <c r="AG16" i="27" s="1"/>
  <c r="AF15" i="27"/>
  <c r="AE15" i="27"/>
  <c r="AF14" i="27"/>
  <c r="AH14" i="27" s="1"/>
  <c r="AF13" i="27"/>
  <c r="AF12" i="27"/>
  <c r="AF11" i="27"/>
  <c r="AE11" i="27"/>
  <c r="AF10" i="27"/>
  <c r="AE10" i="27"/>
  <c r="AF9" i="27"/>
  <c r="AG9" i="27" s="1"/>
  <c r="AF8" i="27"/>
  <c r="AG8" i="27" s="1"/>
  <c r="AF7" i="27"/>
  <c r="AF6" i="27"/>
  <c r="AF5" i="27"/>
  <c r="AH5" i="27" s="1"/>
  <c r="AF4" i="27"/>
  <c r="AE4" i="27"/>
  <c r="AF3" i="27"/>
  <c r="AF2" i="27"/>
  <c r="C2" i="2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2" i="7"/>
  <c r="H2" i="7"/>
  <c r="H3" i="7"/>
  <c r="H4" i="7"/>
  <c r="H5" i="7"/>
  <c r="H6" i="7"/>
  <c r="H7" i="7"/>
  <c r="H8" i="7"/>
  <c r="H9" i="7"/>
  <c r="H10" i="7"/>
  <c r="H11" i="7"/>
  <c r="H12" i="7"/>
  <c r="H13" i="7"/>
  <c r="H14" i="7"/>
  <c r="H15" i="7"/>
  <c r="H16" i="7"/>
  <c r="H17" i="7"/>
  <c r="H18" i="7"/>
  <c r="H19" i="7"/>
  <c r="H20" i="7"/>
  <c r="H21" i="7"/>
  <c r="H22" i="7"/>
  <c r="H23" i="7"/>
  <c r="H24" i="7"/>
  <c r="H25" i="7"/>
  <c r="H26" i="7"/>
  <c r="H27" i="7"/>
  <c r="B170" i="7"/>
  <c r="B171" i="7"/>
  <c r="B172" i="7" s="1"/>
  <c r="B173" i="7"/>
  <c r="B174" i="7"/>
  <c r="B175" i="7"/>
  <c r="B176" i="7"/>
  <c r="B177" i="7" s="1"/>
  <c r="B178" i="7" s="1"/>
  <c r="B179" i="7" s="1"/>
  <c r="B180" i="7" s="1"/>
  <c r="B181" i="7" s="1"/>
  <c r="B182" i="7" s="1"/>
  <c r="B183" i="7" s="1"/>
  <c r="B184" i="7" s="1"/>
  <c r="B185" i="7" s="1"/>
  <c r="B186" i="7" s="1"/>
  <c r="B187" i="7" s="1"/>
  <c r="B188" i="7"/>
  <c r="B189" i="7" s="1"/>
  <c r="B190" i="7" s="1"/>
  <c r="B191" i="7" s="1"/>
  <c r="B192" i="7"/>
  <c r="B193" i="7" s="1"/>
  <c r="B194" i="7" s="1"/>
  <c r="B195" i="7" s="1"/>
  <c r="B196" i="7" s="1"/>
  <c r="B197" i="7"/>
  <c r="BL3" i="7"/>
  <c r="BL8" i="7"/>
  <c r="BL9" i="7"/>
  <c r="BL17" i="7"/>
  <c r="BL19" i="7"/>
  <c r="BL20" i="7"/>
  <c r="BL21" i="7"/>
  <c r="BL24" i="7"/>
  <c r="BL25" i="7"/>
  <c r="BL26" i="7"/>
  <c r="BL27" i="7"/>
  <c r="BL29" i="7"/>
  <c r="BL30" i="7"/>
  <c r="BL31" i="7"/>
  <c r="BL32" i="7"/>
  <c r="BL33" i="7"/>
  <c r="BL34" i="7"/>
  <c r="BL37" i="7"/>
  <c r="BL38" i="7"/>
  <c r="BL39" i="7"/>
  <c r="BL40" i="7"/>
  <c r="BL41" i="7"/>
  <c r="BL42" i="7"/>
  <c r="BL43" i="7"/>
  <c r="BL44" i="7"/>
  <c r="BL52" i="7"/>
  <c r="BL53" i="7"/>
  <c r="BL103" i="7"/>
  <c r="BL104" i="7"/>
  <c r="BL105" i="7"/>
  <c r="BL106" i="7"/>
  <c r="BL112" i="7"/>
  <c r="BL113" i="7"/>
  <c r="BL118" i="7"/>
  <c r="BL124" i="7"/>
  <c r="BL154" i="7"/>
  <c r="BL155" i="7"/>
  <c r="BL165" i="7"/>
  <c r="BL170" i="7"/>
  <c r="BL171" i="7"/>
  <c r="BL172" i="7"/>
  <c r="BL173" i="7"/>
  <c r="BL174" i="7"/>
  <c r="BL175" i="7"/>
  <c r="BL197" i="7"/>
  <c r="BL2" i="7"/>
  <c r="BK3" i="7"/>
  <c r="BK8" i="7"/>
  <c r="BK9" i="7"/>
  <c r="BK17" i="7"/>
  <c r="BK19" i="7"/>
  <c r="BK20" i="7"/>
  <c r="BK21" i="7"/>
  <c r="BK24" i="7"/>
  <c r="BK25" i="7"/>
  <c r="BK26" i="7"/>
  <c r="BK27" i="7"/>
  <c r="BK29" i="7"/>
  <c r="BK30" i="7"/>
  <c r="BK31" i="7"/>
  <c r="BK32" i="7"/>
  <c r="BK33" i="7"/>
  <c r="BK34" i="7"/>
  <c r="BK37" i="7"/>
  <c r="BK38" i="7"/>
  <c r="BK39" i="7"/>
  <c r="BK40" i="7"/>
  <c r="BK41" i="7"/>
  <c r="BK42" i="7"/>
  <c r="BK43" i="7"/>
  <c r="BK44" i="7"/>
  <c r="BK52" i="7"/>
  <c r="BK53" i="7"/>
  <c r="BK103" i="7"/>
  <c r="BK104" i="7"/>
  <c r="BK105" i="7"/>
  <c r="BK106" i="7"/>
  <c r="BK112" i="7"/>
  <c r="BK113" i="7"/>
  <c r="BK118" i="7"/>
  <c r="BK124" i="7"/>
  <c r="BK154" i="7"/>
  <c r="BK155" i="7"/>
  <c r="BK165" i="7"/>
  <c r="BK170" i="7"/>
  <c r="BK171" i="7"/>
  <c r="BK172" i="7"/>
  <c r="BK173" i="7"/>
  <c r="BK174" i="7"/>
  <c r="BK175" i="7"/>
  <c r="BK197" i="7"/>
  <c r="BK2" i="7"/>
  <c r="BC86" i="7"/>
  <c r="BC87" i="7"/>
  <c r="BC92" i="7"/>
  <c r="BC93" i="7"/>
  <c r="BA86" i="7"/>
  <c r="BA87" i="7"/>
  <c r="BA92" i="7"/>
  <c r="BA93" i="7"/>
  <c r="AG4" i="10"/>
  <c r="AH4" i="10" s="1"/>
  <c r="AG5" i="10"/>
  <c r="AH5" i="10" s="1"/>
  <c r="AG6" i="10"/>
  <c r="AH6" i="10" s="1"/>
  <c r="AG7" i="10"/>
  <c r="AH7" i="10" s="1"/>
  <c r="AG8" i="10"/>
  <c r="AH8" i="10" s="1"/>
  <c r="AG9" i="10"/>
  <c r="AH9" i="10" s="1"/>
  <c r="AG10" i="10"/>
  <c r="AH10" i="10" s="1"/>
  <c r="AG11" i="10"/>
  <c r="AH11" i="10" s="1"/>
  <c r="AG12" i="10"/>
  <c r="AH12" i="10" s="1"/>
  <c r="AG13" i="10"/>
  <c r="AH13" i="10" s="1"/>
  <c r="AG14" i="10"/>
  <c r="AH14" i="10" s="1"/>
  <c r="AG15" i="10"/>
  <c r="AH15" i="10" s="1"/>
  <c r="AG16" i="10"/>
  <c r="AH16" i="10" s="1"/>
  <c r="AG17" i="10"/>
  <c r="AH17" i="10" s="1"/>
  <c r="AG18" i="10"/>
  <c r="AH18" i="10" s="1"/>
  <c r="AG19" i="10"/>
  <c r="AH19" i="10" s="1"/>
  <c r="AG20" i="10"/>
  <c r="AH20" i="10" s="1"/>
  <c r="AG21" i="10"/>
  <c r="AH21" i="10" s="1"/>
  <c r="AG22" i="10"/>
  <c r="AH22" i="10" s="1"/>
  <c r="AG23" i="10"/>
  <c r="AH23" i="10" s="1"/>
  <c r="AG24" i="10"/>
  <c r="AH24" i="10" s="1"/>
  <c r="AG25" i="10"/>
  <c r="AH25" i="10" s="1"/>
  <c r="AG26" i="10"/>
  <c r="AH26" i="10" s="1"/>
  <c r="AG27" i="10"/>
  <c r="AH27" i="10" s="1"/>
  <c r="AG28" i="10"/>
  <c r="AH28" i="10" s="1"/>
  <c r="AG29" i="10"/>
  <c r="AH29" i="10" s="1"/>
  <c r="AG30" i="10"/>
  <c r="AH30" i="10" s="1"/>
  <c r="AG31" i="10"/>
  <c r="AH31" i="10" s="1"/>
  <c r="AG32" i="10"/>
  <c r="AH32" i="10" s="1"/>
  <c r="AG33" i="10"/>
  <c r="AH33" i="10" s="1"/>
  <c r="AG34" i="10"/>
  <c r="AH34" i="10" s="1"/>
  <c r="AG35" i="10"/>
  <c r="AH35" i="10" s="1"/>
  <c r="AG36" i="10"/>
  <c r="AH36" i="10" s="1"/>
  <c r="AG37" i="10"/>
  <c r="AH37" i="10" s="1"/>
  <c r="AG38" i="10"/>
  <c r="AH38" i="10" s="1"/>
  <c r="AG39" i="10"/>
  <c r="AH39" i="10" s="1"/>
  <c r="AG40" i="10"/>
  <c r="AH40" i="10" s="1"/>
  <c r="AG41" i="10"/>
  <c r="AH41" i="10" s="1"/>
  <c r="AG42" i="10"/>
  <c r="AH42" i="10" s="1"/>
  <c r="AG43" i="10"/>
  <c r="AH43" i="10" s="1"/>
  <c r="AG44" i="10"/>
  <c r="AH44" i="10" s="1"/>
  <c r="AG45" i="10"/>
  <c r="AH45" i="10" s="1"/>
  <c r="AG46" i="10"/>
  <c r="AH46" i="10" s="1"/>
  <c r="AG47" i="10"/>
  <c r="AH47" i="10" s="1"/>
  <c r="AG48" i="10"/>
  <c r="AH48" i="10" s="1"/>
  <c r="AG49" i="10"/>
  <c r="AH49" i="10" s="1"/>
  <c r="AG50" i="10"/>
  <c r="AH50" i="10" s="1"/>
  <c r="AG51" i="10"/>
  <c r="AH51" i="10" s="1"/>
  <c r="AG52" i="10"/>
  <c r="AH52" i="10" s="1"/>
  <c r="AG53" i="10"/>
  <c r="AH53" i="10" s="1"/>
  <c r="AG54" i="10"/>
  <c r="AH54" i="10" s="1"/>
  <c r="AG55" i="10"/>
  <c r="AH55" i="10" s="1"/>
  <c r="AG56" i="10"/>
  <c r="AH56" i="10" s="1"/>
  <c r="AG57" i="10"/>
  <c r="AH57" i="10" s="1"/>
  <c r="AG58" i="10"/>
  <c r="AH58" i="10" s="1"/>
  <c r="AG59" i="10"/>
  <c r="AH59" i="10" s="1"/>
  <c r="AG60" i="10"/>
  <c r="AH60" i="10" s="1"/>
  <c r="AG61" i="10"/>
  <c r="AH61" i="10" s="1"/>
  <c r="AG62" i="10"/>
  <c r="AH62" i="10" s="1"/>
  <c r="AG63" i="10"/>
  <c r="AH63" i="10" s="1"/>
  <c r="AG64" i="10"/>
  <c r="AH64" i="10" s="1"/>
  <c r="AG65" i="10"/>
  <c r="AH65" i="10" s="1"/>
  <c r="AG66" i="10"/>
  <c r="AH66" i="10" s="1"/>
  <c r="AG67" i="10"/>
  <c r="AH67" i="10" s="1"/>
  <c r="AG68" i="10"/>
  <c r="AH68" i="10" s="1"/>
  <c r="AG69" i="10"/>
  <c r="AH69" i="10" s="1"/>
  <c r="AG70" i="10"/>
  <c r="AH70" i="10" s="1"/>
  <c r="AG71" i="10"/>
  <c r="AH71" i="10" s="1"/>
  <c r="AG72" i="10"/>
  <c r="AH72" i="10" s="1"/>
  <c r="AG73" i="10"/>
  <c r="AH73" i="10" s="1"/>
  <c r="AG74" i="10"/>
  <c r="AH74" i="10" s="1"/>
  <c r="AG75" i="10"/>
  <c r="AH75" i="10" s="1"/>
  <c r="AG76" i="10"/>
  <c r="AH76" i="10" s="1"/>
  <c r="AG77" i="10"/>
  <c r="AH77" i="10" s="1"/>
  <c r="AG78" i="10"/>
  <c r="AH78" i="10" s="1"/>
  <c r="AG79" i="10"/>
  <c r="AH79" i="10" s="1"/>
  <c r="AG80" i="10"/>
  <c r="AH80" i="10" s="1"/>
  <c r="AG81" i="10"/>
  <c r="AH81" i="10" s="1"/>
  <c r="AG82" i="10"/>
  <c r="AH82" i="10" s="1"/>
  <c r="AG83" i="10"/>
  <c r="AH83" i="10" s="1"/>
  <c r="AG84" i="10"/>
  <c r="AH84" i="10" s="1"/>
  <c r="AG85" i="10"/>
  <c r="AH85" i="10" s="1"/>
  <c r="AG86" i="10"/>
  <c r="AH86" i="10" s="1"/>
  <c r="AG87" i="10"/>
  <c r="AH87" i="10" s="1"/>
  <c r="AG88" i="10"/>
  <c r="AH88" i="10" s="1"/>
  <c r="AG89" i="10"/>
  <c r="AH89" i="10" s="1"/>
  <c r="AG90" i="10"/>
  <c r="AH90" i="10" s="1"/>
  <c r="AG91" i="10"/>
  <c r="AH91" i="10" s="1"/>
  <c r="AG92" i="10"/>
  <c r="AH92" i="10" s="1"/>
  <c r="AG93" i="10"/>
  <c r="AH93" i="10" s="1"/>
  <c r="AG94" i="10"/>
  <c r="AH94" i="10" s="1"/>
  <c r="AG95" i="10"/>
  <c r="AH95" i="10" s="1"/>
  <c r="AG96" i="10"/>
  <c r="AH96" i="10" s="1"/>
  <c r="AG97" i="10"/>
  <c r="AH97" i="10" s="1"/>
  <c r="AG98" i="10"/>
  <c r="AH98" i="10" s="1"/>
  <c r="AG99" i="10"/>
  <c r="AH99" i="10" s="1"/>
  <c r="AG100" i="10"/>
  <c r="AH100" i="10" s="1"/>
  <c r="AG101" i="10"/>
  <c r="AH101" i="10" s="1"/>
  <c r="AG102" i="10"/>
  <c r="AH102" i="10" s="1"/>
  <c r="AG103" i="10"/>
  <c r="AH103" i="10" s="1"/>
  <c r="AG104" i="10"/>
  <c r="AH104" i="10" s="1"/>
  <c r="AG105" i="10"/>
  <c r="AH105" i="10" s="1"/>
  <c r="AG106" i="10"/>
  <c r="AH106" i="10" s="1"/>
  <c r="AG107" i="10"/>
  <c r="AH107" i="10" s="1"/>
  <c r="AG108" i="10"/>
  <c r="AH108" i="10" s="1"/>
  <c r="AG109" i="10"/>
  <c r="AH109" i="10" s="1"/>
  <c r="AG110" i="10"/>
  <c r="AH110" i="10" s="1"/>
  <c r="AG111" i="10"/>
  <c r="AH111" i="10" s="1"/>
  <c r="AG112" i="10"/>
  <c r="AH112" i="10" s="1"/>
  <c r="AG113" i="10"/>
  <c r="AH113" i="10" s="1"/>
  <c r="AG114" i="10"/>
  <c r="AH114" i="10" s="1"/>
  <c r="AG115" i="10"/>
  <c r="AH115" i="10" s="1"/>
  <c r="AG116" i="10"/>
  <c r="AH116" i="10" s="1"/>
  <c r="AG117" i="10"/>
  <c r="AH117" i="10" s="1"/>
  <c r="AG118" i="10"/>
  <c r="AH118" i="10" s="1"/>
  <c r="AG119" i="10"/>
  <c r="AH119" i="10" s="1"/>
  <c r="AG120" i="10"/>
  <c r="AH120" i="10" s="1"/>
  <c r="AG121" i="10"/>
  <c r="AH121" i="10" s="1"/>
  <c r="AG122" i="10"/>
  <c r="AH122" i="10" s="1"/>
  <c r="AG123" i="10"/>
  <c r="AH123" i="10" s="1"/>
  <c r="AG124" i="10"/>
  <c r="AH124" i="10" s="1"/>
  <c r="AG125" i="10"/>
  <c r="AH125" i="10" s="1"/>
  <c r="AG126" i="10"/>
  <c r="AH126" i="10" s="1"/>
  <c r="AG127" i="10"/>
  <c r="AH127" i="10" s="1"/>
  <c r="AG128" i="10"/>
  <c r="AH128" i="10" s="1"/>
  <c r="AG129" i="10"/>
  <c r="AH129" i="10" s="1"/>
  <c r="AG130" i="10"/>
  <c r="AH130" i="10" s="1"/>
  <c r="AG131" i="10"/>
  <c r="AH131" i="10" s="1"/>
  <c r="AG132" i="10"/>
  <c r="AH132" i="10" s="1"/>
  <c r="AG133" i="10"/>
  <c r="AH133" i="10" s="1"/>
  <c r="AG134" i="10"/>
  <c r="AH134" i="10" s="1"/>
  <c r="AG135" i="10"/>
  <c r="AH135" i="10" s="1"/>
  <c r="AG136" i="10"/>
  <c r="AH136" i="10" s="1"/>
  <c r="AG137" i="10"/>
  <c r="AH137" i="10" s="1"/>
  <c r="AG138" i="10"/>
  <c r="AH138" i="10" s="1"/>
  <c r="AG139" i="10"/>
  <c r="AH139" i="10" s="1"/>
  <c r="AG140" i="10"/>
  <c r="AH140" i="10" s="1"/>
  <c r="AG141" i="10"/>
  <c r="AH141" i="10" s="1"/>
  <c r="AG142" i="10"/>
  <c r="AH142" i="10" s="1"/>
  <c r="AG143" i="10"/>
  <c r="AH143" i="10" s="1"/>
  <c r="AG144" i="10"/>
  <c r="AH144" i="10" s="1"/>
  <c r="AG145" i="10"/>
  <c r="AH145" i="10" s="1"/>
  <c r="AG146" i="10"/>
  <c r="AH146" i="10" s="1"/>
  <c r="AG147" i="10"/>
  <c r="AH147" i="10" s="1"/>
  <c r="AG148" i="10"/>
  <c r="AH148" i="10" s="1"/>
  <c r="AG149" i="10"/>
  <c r="AH149" i="10" s="1"/>
  <c r="AG150" i="10"/>
  <c r="AH150" i="10" s="1"/>
  <c r="AG151" i="10"/>
  <c r="AH151" i="10" s="1"/>
  <c r="AG152" i="10"/>
  <c r="AH152" i="10" s="1"/>
  <c r="AG153" i="10"/>
  <c r="AH153" i="10" s="1"/>
  <c r="AG154" i="10"/>
  <c r="AH154" i="10" s="1"/>
  <c r="AG155" i="10"/>
  <c r="AH155" i="10" s="1"/>
  <c r="AG156" i="10"/>
  <c r="AH156" i="10" s="1"/>
  <c r="AG157" i="10"/>
  <c r="AH157" i="10" s="1"/>
  <c r="AG158" i="10"/>
  <c r="AH158" i="10" s="1"/>
  <c r="AG159" i="10"/>
  <c r="AH159" i="10" s="1"/>
  <c r="AG160" i="10"/>
  <c r="AH160" i="10" s="1"/>
  <c r="AG161" i="10"/>
  <c r="AH161" i="10" s="1"/>
  <c r="AG162" i="10"/>
  <c r="AH162" i="10" s="1"/>
  <c r="AG163" i="10"/>
  <c r="AH163" i="10" s="1"/>
  <c r="AG164" i="10"/>
  <c r="AH164" i="10" s="1"/>
  <c r="AG165" i="10"/>
  <c r="AH165" i="10" s="1"/>
  <c r="AG166" i="10"/>
  <c r="AH166" i="10" s="1"/>
  <c r="AG167" i="10"/>
  <c r="AH167" i="10" s="1"/>
  <c r="AG168" i="10"/>
  <c r="AH168" i="10" s="1"/>
  <c r="AG169" i="10"/>
  <c r="AH169" i="10" s="1"/>
  <c r="AG170" i="10"/>
  <c r="AH170" i="10" s="1"/>
  <c r="AG171" i="10"/>
  <c r="AH171" i="10" s="1"/>
  <c r="AG172" i="10"/>
  <c r="AH172" i="10" s="1"/>
  <c r="AG173" i="10"/>
  <c r="AH173" i="10" s="1"/>
  <c r="AG174" i="10"/>
  <c r="AH174" i="10" s="1"/>
  <c r="AG175" i="10"/>
  <c r="AH175" i="10" s="1"/>
  <c r="AG176" i="10"/>
  <c r="AH176" i="10" s="1"/>
  <c r="AG3" i="10"/>
  <c r="AH3" i="10" s="1"/>
  <c r="E97" i="10"/>
  <c r="D97" i="10"/>
  <c r="E95" i="10"/>
  <c r="D95" i="10"/>
  <c r="E76" i="10"/>
  <c r="D76" i="10"/>
  <c r="E53" i="10"/>
  <c r="D53" i="10"/>
  <c r="E50" i="10"/>
  <c r="D50" i="10"/>
  <c r="E28" i="10"/>
  <c r="D28" i="10"/>
  <c r="E25" i="10"/>
  <c r="D25" i="10"/>
  <c r="E20" i="10"/>
  <c r="D20" i="10"/>
  <c r="E5" i="10"/>
  <c r="D5" i="10"/>
  <c r="L34" i="14"/>
  <c r="S33" i="14"/>
  <c r="L33" i="14"/>
  <c r="S32" i="14"/>
  <c r="L32" i="14"/>
  <c r="S31" i="14"/>
  <c r="L31" i="14"/>
  <c r="M10" i="14"/>
  <c r="L10" i="14"/>
  <c r="K10" i="14"/>
  <c r="D10" i="14"/>
  <c r="M9" i="14"/>
  <c r="L9" i="14"/>
  <c r="K9" i="14"/>
  <c r="D9" i="14"/>
  <c r="M8" i="14"/>
  <c r="L8" i="14"/>
  <c r="K8" i="14"/>
  <c r="D8" i="14"/>
  <c r="M7" i="14"/>
  <c r="L7" i="14"/>
  <c r="K7" i="14"/>
  <c r="D7" i="14"/>
  <c r="M6" i="14"/>
  <c r="L6" i="14"/>
  <c r="K6" i="14"/>
  <c r="D6" i="14"/>
  <c r="M5" i="14"/>
  <c r="L5" i="14"/>
  <c r="K5" i="14"/>
  <c r="D5" i="14"/>
  <c r="M4" i="14"/>
  <c r="L4" i="14"/>
  <c r="K4" i="14"/>
  <c r="D4" i="14"/>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AN161" i="7"/>
  <c r="V161" i="7"/>
  <c r="AN160" i="7"/>
  <c r="V160" i="7"/>
  <c r="AN159" i="7"/>
  <c r="V159" i="7"/>
  <c r="AN158" i="7"/>
  <c r="V158" i="7"/>
  <c r="AN157" i="7"/>
  <c r="V157" i="7"/>
  <c r="AN156"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28" i="7"/>
  <c r="V127" i="7"/>
  <c r="AN126" i="7"/>
  <c r="V126" i="7"/>
  <c r="AN125" i="7"/>
  <c r="V125" i="7"/>
  <c r="V124" i="7"/>
  <c r="V123" i="7"/>
  <c r="V122" i="7"/>
  <c r="V121" i="7"/>
  <c r="V120" i="7"/>
  <c r="V119" i="7"/>
  <c r="V118" i="7"/>
  <c r="V117" i="7"/>
  <c r="V116" i="7"/>
  <c r="V115" i="7"/>
  <c r="V114" i="7"/>
  <c r="V113" i="7"/>
  <c r="V112" i="7"/>
  <c r="V111" i="7"/>
  <c r="V110" i="7"/>
  <c r="V109" i="7"/>
  <c r="V108" i="7"/>
  <c r="V107" i="7"/>
  <c r="V106" i="7"/>
  <c r="V105" i="7"/>
  <c r="V104" i="7"/>
  <c r="V103" i="7"/>
  <c r="V101" i="7"/>
  <c r="V100" i="7"/>
  <c r="V99" i="7"/>
  <c r="V98" i="7"/>
  <c r="V97" i="7"/>
  <c r="V93" i="7"/>
  <c r="V92" i="7"/>
  <c r="V91" i="7"/>
  <c r="V90" i="7"/>
  <c r="V89" i="7"/>
  <c r="V88" i="7"/>
  <c r="V87" i="7"/>
  <c r="V86" i="7"/>
  <c r="V85" i="7"/>
  <c r="V84" i="7"/>
  <c r="V83" i="7"/>
  <c r="V82" i="7"/>
  <c r="V81" i="7"/>
  <c r="V80" i="7"/>
  <c r="V79" i="7"/>
  <c r="V78" i="7"/>
  <c r="V77" i="7"/>
  <c r="V76" i="7"/>
  <c r="V75" i="7"/>
  <c r="V74" i="7"/>
  <c r="V73" i="7"/>
  <c r="V72" i="7"/>
  <c r="V71" i="7"/>
  <c r="V70" i="7"/>
  <c r="V69" i="7"/>
  <c r="V68" i="7"/>
  <c r="AN67" i="7"/>
  <c r="V67" i="7"/>
  <c r="AN66" i="7"/>
  <c r="V66" i="7"/>
  <c r="AN65" i="7"/>
  <c r="V65" i="7"/>
  <c r="AN64" i="7"/>
  <c r="V64" i="7"/>
  <c r="AN63" i="7"/>
  <c r="V63" i="7"/>
  <c r="AN62" i="7"/>
  <c r="V62" i="7"/>
  <c r="V61" i="7"/>
  <c r="V60" i="7"/>
  <c r="V59" i="7"/>
  <c r="V58" i="7"/>
  <c r="V57" i="7"/>
  <c r="V56" i="7"/>
  <c r="V55" i="7"/>
  <c r="V54" i="7"/>
  <c r="V53" i="7"/>
  <c r="AN52" i="7"/>
  <c r="V52" i="7"/>
  <c r="AN51" i="7"/>
  <c r="V51" i="7"/>
  <c r="AN50" i="7"/>
  <c r="V50" i="7"/>
  <c r="AN49" i="7"/>
  <c r="V49" i="7"/>
  <c r="AN48" i="7"/>
  <c r="V48" i="7"/>
  <c r="AN47" i="7"/>
  <c r="V47" i="7"/>
  <c r="AN46" i="7"/>
  <c r="V46" i="7"/>
  <c r="AN45" i="7"/>
  <c r="V45" i="7"/>
  <c r="AN44" i="7"/>
  <c r="V44" i="7"/>
  <c r="AN43" i="7"/>
  <c r="V43" i="7"/>
  <c r="AN42" i="7"/>
  <c r="V42" i="7"/>
  <c r="AN41" i="7"/>
  <c r="V41" i="7"/>
  <c r="AN40" i="7"/>
  <c r="V40" i="7"/>
  <c r="AN39" i="7"/>
  <c r="V39" i="7"/>
  <c r="AN38" i="7"/>
  <c r="V38" i="7"/>
  <c r="AN37" i="7"/>
  <c r="V37" i="7"/>
  <c r="AN36" i="7"/>
  <c r="V36" i="7"/>
  <c r="AN35" i="7"/>
  <c r="V35" i="7"/>
  <c r="AN34" i="7"/>
  <c r="V34" i="7"/>
  <c r="AN33" i="7"/>
  <c r="V33" i="7"/>
  <c r="AN32" i="7"/>
  <c r="V32" i="7"/>
  <c r="AN31" i="7"/>
  <c r="V31" i="7"/>
  <c r="AN30" i="7"/>
  <c r="V30" i="7"/>
  <c r="AN29" i="7"/>
  <c r="V29" i="7"/>
  <c r="V28" i="7"/>
  <c r="V27" i="7"/>
  <c r="V26" i="7"/>
  <c r="V25" i="7"/>
  <c r="V24" i="7"/>
  <c r="V23" i="7"/>
  <c r="V22" i="7"/>
  <c r="V21" i="7"/>
  <c r="V20" i="7"/>
  <c r="V19" i="7"/>
  <c r="V18" i="7"/>
  <c r="Z17" i="7"/>
  <c r="V16" i="7"/>
  <c r="V15" i="7"/>
  <c r="V14" i="7"/>
  <c r="V13" i="7"/>
  <c r="AN12" i="7"/>
  <c r="V12" i="7"/>
  <c r="AN11" i="7"/>
  <c r="V11" i="7"/>
  <c r="AN10" i="7"/>
  <c r="V10" i="7"/>
  <c r="V9" i="7"/>
  <c r="V8" i="7"/>
  <c r="V7" i="7"/>
  <c r="V6" i="7"/>
  <c r="V5" i="7"/>
  <c r="AN4" i="7"/>
  <c r="V4" i="7"/>
  <c r="V3" i="7"/>
  <c r="V2" i="7"/>
  <c r="V197" i="7"/>
  <c r="S35" i="14"/>
  <c r="S34" i="14"/>
  <c r="BJ172" i="7"/>
  <c r="BI172" i="7"/>
  <c r="BH172" i="7"/>
  <c r="BG172" i="7"/>
  <c r="AO172" i="7"/>
  <c r="AE172" i="7"/>
  <c r="AC172" i="7"/>
  <c r="H172" i="7"/>
  <c r="BJ171" i="7"/>
  <c r="BI171" i="7"/>
  <c r="BH171" i="7"/>
  <c r="BG171" i="7"/>
  <c r="AO171" i="7"/>
  <c r="AE171" i="7"/>
  <c r="AC171" i="7"/>
  <c r="H171" i="7"/>
  <c r="AS57" i="7"/>
  <c r="AS58" i="7"/>
  <c r="AS59" i="7"/>
  <c r="AS61" i="7"/>
  <c r="AS86" i="7"/>
  <c r="AS87" i="7"/>
  <c r="AS92" i="7"/>
  <c r="AS93" i="7"/>
  <c r="AS100" i="7"/>
  <c r="AS101" i="7"/>
  <c r="AS102" i="7"/>
  <c r="AU57" i="7"/>
  <c r="AU58" i="7"/>
  <c r="AU59" i="7"/>
  <c r="AU61" i="7"/>
  <c r="AU86" i="7"/>
  <c r="AU87" i="7"/>
  <c r="AU92" i="7"/>
  <c r="AU93" i="7"/>
  <c r="AU100" i="7"/>
  <c r="AU101" i="7"/>
  <c r="AU102" i="7"/>
  <c r="AY75" i="7"/>
  <c r="AY76" i="7"/>
  <c r="AY77" i="7"/>
  <c r="AY78" i="7"/>
  <c r="AY79" i="7"/>
  <c r="AY80" i="7"/>
  <c r="AY86" i="7"/>
  <c r="AY87" i="7"/>
  <c r="AY102" i="7"/>
  <c r="AY131" i="7"/>
  <c r="AY132" i="7"/>
  <c r="AY133" i="7"/>
  <c r="AY134" i="7"/>
  <c r="AY151" i="7"/>
  <c r="AY152" i="7"/>
  <c r="AY153" i="7"/>
  <c r="AW102" i="7"/>
  <c r="AW131" i="7"/>
  <c r="AW132" i="7"/>
  <c r="AW133" i="7"/>
  <c r="AW134" i="7"/>
  <c r="AW151" i="7"/>
  <c r="AW152" i="7"/>
  <c r="AW153" i="7"/>
  <c r="AW75" i="7"/>
  <c r="AW76" i="7"/>
  <c r="AW77" i="7"/>
  <c r="AW78" i="7"/>
  <c r="AW79" i="7"/>
  <c r="AW80" i="7"/>
  <c r="AW86" i="7"/>
  <c r="AW87" i="7"/>
  <c r="AH25" i="27" l="1"/>
  <c r="AH24" i="27"/>
  <c r="AH94" i="27"/>
  <c r="AG115" i="27"/>
  <c r="AI70" i="27"/>
  <c r="AG120" i="27"/>
  <c r="AG24" i="27"/>
  <c r="AI93" i="27"/>
  <c r="AS93" i="27" s="1"/>
  <c r="AG128" i="27"/>
  <c r="AI136" i="27"/>
  <c r="AM136" i="27" s="1"/>
  <c r="AY136" i="27" s="1"/>
  <c r="AG144" i="27"/>
  <c r="AG152" i="27"/>
  <c r="AH98" i="27"/>
  <c r="AH123" i="27"/>
  <c r="AH7" i="27"/>
  <c r="AI57" i="27"/>
  <c r="AM57" i="27" s="1"/>
  <c r="AI109" i="27"/>
  <c r="AM109" i="27" s="1"/>
  <c r="AY109" i="27" s="1"/>
  <c r="AI130" i="27"/>
  <c r="AK130" i="27" s="1"/>
  <c r="AI138" i="27"/>
  <c r="AI146" i="27"/>
  <c r="AM146" i="27" s="1"/>
  <c r="AY146" i="27" s="1"/>
  <c r="AE53" i="27"/>
  <c r="AI6" i="27"/>
  <c r="AM6" i="27" s="1"/>
  <c r="AY6" i="27" s="1"/>
  <c r="AH58" i="27"/>
  <c r="AI69" i="27"/>
  <c r="AM69" i="27" s="1"/>
  <c r="AY69" i="27" s="1"/>
  <c r="AI110" i="27"/>
  <c r="AK110" i="27" s="1"/>
  <c r="AX110" i="27" s="1"/>
  <c r="AG117" i="27"/>
  <c r="AH131" i="27"/>
  <c r="AI139" i="27"/>
  <c r="AK139" i="27" s="1"/>
  <c r="AX139" i="27" s="1"/>
  <c r="AI147" i="27"/>
  <c r="AM147" i="27" s="1"/>
  <c r="AY147" i="27" s="1"/>
  <c r="AI53" i="27"/>
  <c r="AU53" i="27" s="1"/>
  <c r="AI61" i="27"/>
  <c r="AM61" i="27" s="1"/>
  <c r="AY61" i="27" s="1"/>
  <c r="AH71" i="27"/>
  <c r="AG108" i="27"/>
  <c r="AI129" i="27"/>
  <c r="AM129" i="27" s="1"/>
  <c r="AH137" i="27"/>
  <c r="AG145" i="27"/>
  <c r="AI26" i="27"/>
  <c r="AM26" i="27" s="1"/>
  <c r="AG104" i="27"/>
  <c r="AI116" i="27"/>
  <c r="AK116" i="27" s="1"/>
  <c r="AG25" i="27"/>
  <c r="AI2" i="27"/>
  <c r="AH27" i="27"/>
  <c r="AH55" i="27"/>
  <c r="AG13" i="27"/>
  <c r="AG3" i="27"/>
  <c r="AI20" i="27"/>
  <c r="AM20" i="27" s="1"/>
  <c r="AH28" i="27"/>
  <c r="AI101" i="27"/>
  <c r="AK101" i="27" s="1"/>
  <c r="AE103" i="27"/>
  <c r="AG103" i="27"/>
  <c r="AH103" i="27"/>
  <c r="AG105" i="27"/>
  <c r="AH105" i="27"/>
  <c r="AE105" i="27"/>
  <c r="AI201" i="27"/>
  <c r="AU201" i="27" s="1"/>
  <c r="AD107" i="27"/>
  <c r="AE107" i="27" s="1"/>
  <c r="AD200" i="27"/>
  <c r="AH200" i="27" s="1"/>
  <c r="AI103" i="27"/>
  <c r="AM103" i="27" s="1"/>
  <c r="AE192" i="27"/>
  <c r="AI105" i="27"/>
  <c r="AI210" i="27"/>
  <c r="AK210" i="27" s="1"/>
  <c r="AX210" i="27" s="1"/>
  <c r="AI211" i="27"/>
  <c r="AK211" i="27" s="1"/>
  <c r="AX211" i="27" s="1"/>
  <c r="AG212" i="27"/>
  <c r="BD202" i="27"/>
  <c r="BD209" i="27"/>
  <c r="BM171" i="7"/>
  <c r="BM172" i="7"/>
  <c r="AG210" i="27"/>
  <c r="AH212" i="27"/>
  <c r="AI212" i="27"/>
  <c r="AK212" i="27" s="1"/>
  <c r="AX212" i="27" s="1"/>
  <c r="AM211" i="27"/>
  <c r="AY211" i="27" s="1"/>
  <c r="BD201" i="27"/>
  <c r="BD205" i="27"/>
  <c r="AI207" i="27"/>
  <c r="AK207" i="27" s="1"/>
  <c r="AH210" i="27"/>
  <c r="AI206" i="27"/>
  <c r="AM206" i="27" s="1"/>
  <c r="AY206" i="27" s="1"/>
  <c r="BD207" i="27"/>
  <c r="AG211" i="27"/>
  <c r="BD204" i="27"/>
  <c r="AH211" i="27"/>
  <c r="BD203" i="27"/>
  <c r="AI209" i="27"/>
  <c r="AH209" i="27"/>
  <c r="AG209" i="27"/>
  <c r="AE209" i="27"/>
  <c r="AH208" i="27"/>
  <c r="AE207" i="27"/>
  <c r="AH207" i="27"/>
  <c r="AG207" i="27"/>
  <c r="AE206" i="27"/>
  <c r="AG206" i="27"/>
  <c r="AI204" i="27"/>
  <c r="AH204" i="27"/>
  <c r="AG204" i="27"/>
  <c r="AE204" i="27"/>
  <c r="AH201" i="27"/>
  <c r="AG201" i="27"/>
  <c r="AI202" i="27"/>
  <c r="AH202" i="27"/>
  <c r="AG202" i="27"/>
  <c r="AE202" i="27"/>
  <c r="AI203" i="27"/>
  <c r="AH203" i="27"/>
  <c r="AG203" i="27"/>
  <c r="AE203" i="27"/>
  <c r="AI205" i="27"/>
  <c r="AH205" i="27"/>
  <c r="AG205" i="27"/>
  <c r="AE205" i="27"/>
  <c r="AM2" i="27"/>
  <c r="AK2" i="27"/>
  <c r="AM21" i="27"/>
  <c r="AK21" i="27"/>
  <c r="AM22" i="27"/>
  <c r="AY22" i="27" s="1"/>
  <c r="AK22" i="27"/>
  <c r="AX22" i="27" s="1"/>
  <c r="AU24" i="27"/>
  <c r="AS24" i="27"/>
  <c r="AQ24" i="27"/>
  <c r="AO24" i="27"/>
  <c r="AM24" i="27"/>
  <c r="AK24" i="27"/>
  <c r="AU25" i="27"/>
  <c r="AS25" i="27"/>
  <c r="AQ25" i="27"/>
  <c r="AO25" i="27"/>
  <c r="AM25" i="27"/>
  <c r="AK25" i="27"/>
  <c r="AH29" i="27"/>
  <c r="AE29" i="27"/>
  <c r="AH30" i="27"/>
  <c r="AE30" i="27"/>
  <c r="AH31" i="27"/>
  <c r="AE31" i="27"/>
  <c r="AG32" i="27"/>
  <c r="AE32" i="27"/>
  <c r="AO53" i="27"/>
  <c r="AM53" i="27"/>
  <c r="AK53" i="27"/>
  <c r="AM56" i="27"/>
  <c r="AY56" i="27" s="1"/>
  <c r="AK56" i="27"/>
  <c r="AX56" i="27" s="1"/>
  <c r="AM70" i="27"/>
  <c r="AY70" i="27" s="1"/>
  <c r="AK70" i="27"/>
  <c r="AX70" i="27" s="1"/>
  <c r="AI81" i="27"/>
  <c r="AE81" i="27"/>
  <c r="AM91" i="27"/>
  <c r="AK91" i="27"/>
  <c r="AU92" i="27"/>
  <c r="BC92" i="27" s="1"/>
  <c r="AS92" i="27"/>
  <c r="BB92" i="27" s="1"/>
  <c r="AM92" i="27"/>
  <c r="AY92" i="27" s="1"/>
  <c r="AK92" i="27"/>
  <c r="AX92" i="27" s="1"/>
  <c r="AU93" i="27"/>
  <c r="AM93" i="27"/>
  <c r="AK93" i="27"/>
  <c r="AM100" i="27"/>
  <c r="AY100" i="27" s="1"/>
  <c r="AK100" i="27"/>
  <c r="AM105" i="27"/>
  <c r="AK105" i="27"/>
  <c r="AM110" i="27"/>
  <c r="AM111" i="27"/>
  <c r="AY111" i="27" s="1"/>
  <c r="AK111" i="27"/>
  <c r="AX111" i="27" s="1"/>
  <c r="AU112" i="27"/>
  <c r="AS112" i="27"/>
  <c r="AQ112" i="27"/>
  <c r="AO112" i="27"/>
  <c r="AM112" i="27"/>
  <c r="AK112" i="27"/>
  <c r="AM114" i="27"/>
  <c r="AK114" i="27"/>
  <c r="AM119" i="27"/>
  <c r="AK119" i="27"/>
  <c r="AH124" i="27"/>
  <c r="AE124" i="27"/>
  <c r="AM127" i="27"/>
  <c r="AK127" i="27"/>
  <c r="AX127" i="27" s="1"/>
  <c r="AM130" i="27"/>
  <c r="AQ132" i="27"/>
  <c r="BA132" i="27" s="1"/>
  <c r="AO132" i="27"/>
  <c r="AZ132" i="27" s="1"/>
  <c r="AM132" i="27"/>
  <c r="AY132" i="27" s="1"/>
  <c r="AK132" i="27"/>
  <c r="AX132" i="27" s="1"/>
  <c r="AM138" i="27"/>
  <c r="AY138" i="27" s="1"/>
  <c r="AK138" i="27"/>
  <c r="AX138" i="27" s="1"/>
  <c r="AM139" i="27"/>
  <c r="AY139" i="27" s="1"/>
  <c r="AM140" i="27"/>
  <c r="AY140" i="27" s="1"/>
  <c r="AK140" i="27"/>
  <c r="AX140" i="27" s="1"/>
  <c r="AM141" i="27"/>
  <c r="AK141" i="27"/>
  <c r="AM142" i="27"/>
  <c r="AY142" i="27" s="1"/>
  <c r="AK142" i="27"/>
  <c r="AX142" i="27" s="1"/>
  <c r="AM143" i="27"/>
  <c r="AY143" i="27" s="1"/>
  <c r="AK143" i="27"/>
  <c r="AX143" i="27" s="1"/>
  <c r="AK146" i="27"/>
  <c r="AX146" i="27" s="1"/>
  <c r="AM148" i="27"/>
  <c r="AY148" i="27" s="1"/>
  <c r="AK148" i="27"/>
  <c r="AX148" i="27" s="1"/>
  <c r="AM149" i="27"/>
  <c r="AK149" i="27"/>
  <c r="AG154" i="27"/>
  <c r="AE154" i="27"/>
  <c r="AG155" i="27"/>
  <c r="AE155" i="27"/>
  <c r="AI158" i="27"/>
  <c r="AE158" i="27"/>
  <c r="AM165" i="27"/>
  <c r="AK165" i="27"/>
  <c r="AG170" i="27"/>
  <c r="AE170" i="27"/>
  <c r="AU172" i="27"/>
  <c r="AS172" i="27"/>
  <c r="AQ172" i="27"/>
  <c r="AO172" i="27"/>
  <c r="AM172" i="27"/>
  <c r="AK172" i="27"/>
  <c r="AH173" i="27"/>
  <c r="AE173" i="27"/>
  <c r="AH174" i="27"/>
  <c r="AE174" i="27"/>
  <c r="AH175" i="27"/>
  <c r="AE175" i="27"/>
  <c r="AG193" i="27"/>
  <c r="AE193" i="27"/>
  <c r="AG194" i="27"/>
  <c r="AE194" i="27"/>
  <c r="AH195" i="27"/>
  <c r="AE195" i="27"/>
  <c r="AH196" i="27"/>
  <c r="AE196" i="27"/>
  <c r="AH197" i="27"/>
  <c r="AE197" i="27"/>
  <c r="A199" i="27"/>
  <c r="A200" i="27" s="1"/>
  <c r="C198" i="27"/>
  <c r="AI198" i="27"/>
  <c r="AH198" i="27"/>
  <c r="AG198" i="27"/>
  <c r="AE198" i="27"/>
  <c r="AI199" i="27"/>
  <c r="AH199" i="27"/>
  <c r="AG199" i="27"/>
  <c r="AE199" i="27"/>
  <c r="AI208" i="27"/>
  <c r="AG208" i="27"/>
  <c r="AE208" i="27"/>
  <c r="AI72" i="27"/>
  <c r="AI80" i="27"/>
  <c r="AI88" i="27"/>
  <c r="AI4" i="27"/>
  <c r="AI19" i="27"/>
  <c r="AI15" i="27"/>
  <c r="AI73" i="27"/>
  <c r="AI40" i="27"/>
  <c r="AI48" i="27"/>
  <c r="AI12" i="27"/>
  <c r="AI39" i="27"/>
  <c r="AI47" i="27"/>
  <c r="AI156" i="27"/>
  <c r="AI164" i="27"/>
  <c r="AI169" i="27"/>
  <c r="AI179" i="27"/>
  <c r="AI187" i="27"/>
  <c r="AI192" i="27"/>
  <c r="AI36" i="27"/>
  <c r="AI44" i="27"/>
  <c r="AI52" i="27"/>
  <c r="AI65" i="27"/>
  <c r="AI77" i="27"/>
  <c r="AI85" i="27"/>
  <c r="AI96" i="27"/>
  <c r="AI160" i="27"/>
  <c r="AI183" i="27"/>
  <c r="AI191" i="27"/>
  <c r="AI159" i="27"/>
  <c r="AI10" i="27"/>
  <c r="AI37" i="27"/>
  <c r="AI45" i="27"/>
  <c r="AI66" i="27"/>
  <c r="AI78" i="27"/>
  <c r="AI86" i="27"/>
  <c r="AI97" i="27"/>
  <c r="AI106" i="27"/>
  <c r="AI125" i="27"/>
  <c r="AI161" i="27"/>
  <c r="AI166" i="27"/>
  <c r="AI176" i="27"/>
  <c r="AI184" i="27"/>
  <c r="AI34" i="27"/>
  <c r="AI42" i="27"/>
  <c r="AI50" i="27"/>
  <c r="AI63" i="27"/>
  <c r="AI75" i="27"/>
  <c r="AI83" i="27"/>
  <c r="AI181" i="27"/>
  <c r="AI189" i="27"/>
  <c r="AI153" i="27"/>
  <c r="AI163" i="27"/>
  <c r="AI168" i="27"/>
  <c r="AI178" i="27"/>
  <c r="AI186" i="27"/>
  <c r="AI33" i="27"/>
  <c r="AI41" i="27"/>
  <c r="AI49" i="27"/>
  <c r="AI62" i="27"/>
  <c r="AI74" i="27"/>
  <c r="AI82" i="27"/>
  <c r="AI157" i="27"/>
  <c r="AI180" i="27"/>
  <c r="AI188" i="27"/>
  <c r="AI11" i="27"/>
  <c r="AI38" i="27"/>
  <c r="AI46" i="27"/>
  <c r="AI67" i="27"/>
  <c r="AI79" i="27"/>
  <c r="AI87" i="27"/>
  <c r="AI102" i="27"/>
  <c r="AI126" i="27"/>
  <c r="AI162" i="27"/>
  <c r="AI167" i="27"/>
  <c r="AI177" i="27"/>
  <c r="AI185" i="27"/>
  <c r="AI17" i="27"/>
  <c r="AI35" i="27"/>
  <c r="AI43" i="27"/>
  <c r="AI51" i="27"/>
  <c r="AI64" i="27"/>
  <c r="AI76" i="27"/>
  <c r="AI84" i="27"/>
  <c r="AI95" i="27"/>
  <c r="AI113" i="27"/>
  <c r="AI182" i="27"/>
  <c r="AI190" i="27"/>
  <c r="AI194" i="27"/>
  <c r="AI174" i="27"/>
  <c r="AI170" i="27"/>
  <c r="AI154" i="27"/>
  <c r="AI150" i="27"/>
  <c r="AI134" i="27"/>
  <c r="AI122" i="27"/>
  <c r="AI118" i="27"/>
  <c r="AI98" i="27"/>
  <c r="AI94" i="27"/>
  <c r="AI90" i="27"/>
  <c r="AI58" i="27"/>
  <c r="AI54" i="27"/>
  <c r="AI30" i="27"/>
  <c r="AI18" i="27"/>
  <c r="AI14" i="27"/>
  <c r="AI197" i="27"/>
  <c r="AI193" i="27"/>
  <c r="AI173" i="27"/>
  <c r="AI145" i="27"/>
  <c r="AI137" i="27"/>
  <c r="AI133" i="27"/>
  <c r="AI121" i="27"/>
  <c r="AI117" i="27"/>
  <c r="AI89" i="27"/>
  <c r="AI29" i="27"/>
  <c r="AI13" i="27"/>
  <c r="AI9" i="27"/>
  <c r="AI5" i="27"/>
  <c r="AI196" i="27"/>
  <c r="AI152" i="27"/>
  <c r="AI144" i="27"/>
  <c r="AI128" i="27"/>
  <c r="AI124" i="27"/>
  <c r="AI120" i="27"/>
  <c r="AI108" i="27"/>
  <c r="AI104" i="27"/>
  <c r="AI68" i="27"/>
  <c r="AI60" i="27"/>
  <c r="AI32" i="27"/>
  <c r="AI28" i="27"/>
  <c r="AI16" i="27"/>
  <c r="AI8" i="27"/>
  <c r="AI195" i="27"/>
  <c r="AI175" i="27"/>
  <c r="AI171" i="27"/>
  <c r="AI155" i="27"/>
  <c r="AI151" i="27"/>
  <c r="AI135" i="27"/>
  <c r="AI131" i="27"/>
  <c r="AI123" i="27"/>
  <c r="AI115" i="27"/>
  <c r="AI99" i="27"/>
  <c r="AI71" i="27"/>
  <c r="AI59" i="27"/>
  <c r="AI55" i="27"/>
  <c r="AI31" i="27"/>
  <c r="AI27" i="27"/>
  <c r="AI23" i="27"/>
  <c r="AI7" i="27"/>
  <c r="AI3" i="27"/>
  <c r="BD154" i="27"/>
  <c r="BD8" i="27"/>
  <c r="BD173" i="27"/>
  <c r="BD38" i="27"/>
  <c r="BD31" i="27"/>
  <c r="BD172" i="27"/>
  <c r="BD3" i="27"/>
  <c r="AG11" i="27"/>
  <c r="BD197" i="27"/>
  <c r="BD29" i="27"/>
  <c r="BD44" i="27"/>
  <c r="BD52" i="27"/>
  <c r="BD124" i="27"/>
  <c r="BD175" i="27"/>
  <c r="BD17" i="27"/>
  <c r="BD19" i="27"/>
  <c r="BD42" i="27"/>
  <c r="BD103" i="27"/>
  <c r="BD113" i="27"/>
  <c r="BD21" i="27"/>
  <c r="BD24" i="27"/>
  <c r="BD26" i="27"/>
  <c r="BD32" i="27"/>
  <c r="BD39" i="27"/>
  <c r="BD105" i="27"/>
  <c r="BD155" i="27"/>
  <c r="BD170" i="27"/>
  <c r="BD34" i="27"/>
  <c r="BD41" i="27"/>
  <c r="BD112" i="27"/>
  <c r="BD104" i="27"/>
  <c r="BD2" i="27"/>
  <c r="AG12" i="27"/>
  <c r="BD20" i="27"/>
  <c r="BD25" i="27"/>
  <c r="BD27" i="27"/>
  <c r="BD43" i="27"/>
  <c r="BD118" i="27"/>
  <c r="BD33" i="27"/>
  <c r="BD40" i="27"/>
  <c r="BD174" i="27"/>
  <c r="BD9" i="27"/>
  <c r="AH10" i="27"/>
  <c r="BD30" i="27"/>
  <c r="BD37" i="27"/>
  <c r="BD53" i="27"/>
  <c r="BD106" i="27"/>
  <c r="BD165" i="27"/>
  <c r="BD171" i="27"/>
  <c r="AH15" i="27"/>
  <c r="AH102" i="27"/>
  <c r="AG178" i="27"/>
  <c r="AG4" i="27"/>
  <c r="AG35" i="27"/>
  <c r="AG177" i="27"/>
  <c r="AG197" i="27"/>
  <c r="AH183" i="27"/>
  <c r="AH19" i="27"/>
  <c r="AG186" i="27"/>
  <c r="AG196" i="27"/>
  <c r="AG45" i="27"/>
  <c r="AH78" i="27"/>
  <c r="AH86" i="27"/>
  <c r="AH97" i="27"/>
  <c r="AG185" i="27"/>
  <c r="AG174" i="27"/>
  <c r="AH17" i="27"/>
  <c r="AG40" i="27"/>
  <c r="AG44" i="27"/>
  <c r="AG72" i="27"/>
  <c r="AH73" i="27"/>
  <c r="AH74" i="27"/>
  <c r="AH88" i="27"/>
  <c r="AG107" i="27"/>
  <c r="AH125" i="27"/>
  <c r="AH126" i="27"/>
  <c r="AH194" i="27"/>
  <c r="AG49" i="27"/>
  <c r="AH62" i="27"/>
  <c r="AH63" i="27"/>
  <c r="AG64" i="27"/>
  <c r="AG65" i="27"/>
  <c r="AG66" i="27"/>
  <c r="AG67" i="27"/>
  <c r="AG76" i="27"/>
  <c r="AG80" i="27"/>
  <c r="AH87" i="27"/>
  <c r="AH156" i="27"/>
  <c r="AH157" i="27"/>
  <c r="AH158" i="27"/>
  <c r="AH159" i="27"/>
  <c r="AG160" i="27"/>
  <c r="AG161" i="27"/>
  <c r="AH166" i="27"/>
  <c r="AH167" i="27"/>
  <c r="AG168" i="27"/>
  <c r="AG169" i="27"/>
  <c r="AH181" i="27"/>
  <c r="AG181" i="27"/>
  <c r="AG134" i="27"/>
  <c r="AG86" i="27"/>
  <c r="AG126" i="27"/>
  <c r="AG78" i="27"/>
  <c r="AG22" i="27"/>
  <c r="AH107" i="27"/>
  <c r="AH44" i="27"/>
  <c r="AH162" i="27"/>
  <c r="AG180" i="27"/>
  <c r="AH190" i="27"/>
  <c r="AG2" i="27"/>
  <c r="AG118" i="27"/>
  <c r="AG70" i="27"/>
  <c r="AG14" i="27"/>
  <c r="AH170" i="27"/>
  <c r="AH32" i="27"/>
  <c r="AH36" i="27"/>
  <c r="AH37" i="27"/>
  <c r="AH46" i="27"/>
  <c r="AH83" i="27"/>
  <c r="AH84" i="27"/>
  <c r="AH85" i="27"/>
  <c r="AH95" i="27"/>
  <c r="AG96" i="27"/>
  <c r="AG62" i="27"/>
  <c r="AG6" i="27"/>
  <c r="AH154" i="27"/>
  <c r="AG166" i="27"/>
  <c r="AG110" i="27"/>
  <c r="AH146" i="27"/>
  <c r="AH96" i="27"/>
  <c r="AG38" i="27"/>
  <c r="AG176" i="27"/>
  <c r="AG184" i="27"/>
  <c r="AG195" i="27"/>
  <c r="AG158" i="27"/>
  <c r="AG46" i="27"/>
  <c r="AH193" i="27"/>
  <c r="AH138" i="27"/>
  <c r="AH23" i="27"/>
  <c r="AG75" i="27"/>
  <c r="AH79" i="27"/>
  <c r="AG183" i="27"/>
  <c r="AG190" i="27"/>
  <c r="AG150" i="27"/>
  <c r="AG30" i="27"/>
  <c r="AH186" i="27"/>
  <c r="AH127" i="27"/>
  <c r="AH76" i="27"/>
  <c r="AH13" i="27"/>
  <c r="AG34" i="27"/>
  <c r="AH39" i="27"/>
  <c r="AG43" i="27"/>
  <c r="AH50" i="27"/>
  <c r="AH51" i="27"/>
  <c r="AH52" i="27"/>
  <c r="AH106" i="27"/>
  <c r="AH113" i="27"/>
  <c r="AH182" i="27"/>
  <c r="AG182" i="27"/>
  <c r="AG142" i="27"/>
  <c r="AG94" i="27"/>
  <c r="AH178" i="27"/>
  <c r="AH117" i="27"/>
  <c r="AH64" i="27"/>
  <c r="AH3" i="27"/>
  <c r="AH149" i="27"/>
  <c r="AG149" i="27"/>
  <c r="AH54" i="27"/>
  <c r="AG77" i="27"/>
  <c r="AH77" i="27"/>
  <c r="AH20" i="27"/>
  <c r="AG20" i="27"/>
  <c r="AH91" i="27"/>
  <c r="AG91" i="27"/>
  <c r="AH101" i="27"/>
  <c r="AG101" i="27"/>
  <c r="AG116" i="27"/>
  <c r="AH116" i="27"/>
  <c r="AG102" i="27"/>
  <c r="AH33" i="27"/>
  <c r="AG33" i="27"/>
  <c r="AH47" i="27"/>
  <c r="AG47" i="27"/>
  <c r="AH93" i="27"/>
  <c r="AG93" i="27"/>
  <c r="AH141" i="27"/>
  <c r="AG141" i="27"/>
  <c r="AH38" i="27"/>
  <c r="AG48" i="27"/>
  <c r="AG153" i="27"/>
  <c r="AG162" i="27"/>
  <c r="AG163" i="27"/>
  <c r="AH164" i="27"/>
  <c r="AH180" i="27"/>
  <c r="AH119" i="27"/>
  <c r="AG119" i="27"/>
  <c r="AH165" i="27"/>
  <c r="AG165" i="27"/>
  <c r="AG179" i="27"/>
  <c r="AH179" i="27"/>
  <c r="AG187" i="27"/>
  <c r="AH187" i="27"/>
  <c r="AH188" i="27"/>
  <c r="AG188" i="27"/>
  <c r="AH189" i="27"/>
  <c r="AG189" i="27"/>
  <c r="AH191" i="27"/>
  <c r="AG191" i="27"/>
  <c r="AG192" i="27"/>
  <c r="AH192" i="27"/>
  <c r="AH42" i="27"/>
  <c r="AG175" i="27"/>
  <c r="AG167" i="27"/>
  <c r="AG159" i="27"/>
  <c r="AG151" i="27"/>
  <c r="AG143" i="27"/>
  <c r="AG135" i="27"/>
  <c r="AG127" i="27"/>
  <c r="AG111" i="27"/>
  <c r="AG95" i="27"/>
  <c r="AG87" i="27"/>
  <c r="AG79" i="27"/>
  <c r="AG71" i="27"/>
  <c r="AG63" i="27"/>
  <c r="AG55" i="27"/>
  <c r="AG39" i="27"/>
  <c r="AG31" i="27"/>
  <c r="AG15" i="27"/>
  <c r="AG7" i="27"/>
  <c r="AH163" i="27"/>
  <c r="AH155" i="27"/>
  <c r="AH147" i="27"/>
  <c r="AH139" i="27"/>
  <c r="AH128" i="27"/>
  <c r="AH108" i="27"/>
  <c r="AH99" i="27"/>
  <c r="AH67" i="27"/>
  <c r="AH45" i="27"/>
  <c r="AH35" i="27"/>
  <c r="AH4" i="27"/>
  <c r="AH41" i="27"/>
  <c r="AH81" i="27"/>
  <c r="AH82" i="27"/>
  <c r="AG173" i="27"/>
  <c r="AG157" i="27"/>
  <c r="AG133" i="27"/>
  <c r="AG125" i="27"/>
  <c r="AG109" i="27"/>
  <c r="AG85" i="27"/>
  <c r="AG69" i="27"/>
  <c r="AG61" i="27"/>
  <c r="AG37" i="27"/>
  <c r="AG29" i="27"/>
  <c r="AG21" i="27"/>
  <c r="AG5" i="27"/>
  <c r="AH185" i="27"/>
  <c r="AH177" i="27"/>
  <c r="AH169" i="27"/>
  <c r="AH161" i="27"/>
  <c r="AH153" i="27"/>
  <c r="AH145" i="27"/>
  <c r="AH136" i="27"/>
  <c r="AH75" i="27"/>
  <c r="AH43" i="27"/>
  <c r="AH22" i="27"/>
  <c r="AH12" i="27"/>
  <c r="AH26" i="27"/>
  <c r="AY110" i="27"/>
  <c r="AH129" i="27"/>
  <c r="AH130" i="27"/>
  <c r="AG164" i="27"/>
  <c r="AG156" i="27"/>
  <c r="AG148" i="27"/>
  <c r="AG140" i="27"/>
  <c r="AG132" i="27"/>
  <c r="AG124" i="27"/>
  <c r="AG100" i="27"/>
  <c r="AG92" i="27"/>
  <c r="AG84" i="27"/>
  <c r="AG68" i="27"/>
  <c r="AG60" i="27"/>
  <c r="AG52" i="27"/>
  <c r="AG36" i="27"/>
  <c r="AG28" i="27"/>
  <c r="AH184" i="27"/>
  <c r="AH176" i="27"/>
  <c r="AH168" i="27"/>
  <c r="AH160" i="27"/>
  <c r="AH152" i="27"/>
  <c r="AH144" i="27"/>
  <c r="AH115" i="27"/>
  <c r="AH104" i="27"/>
  <c r="AH72" i="27"/>
  <c r="AH40" i="27"/>
  <c r="AH21" i="27"/>
  <c r="AH11" i="27"/>
  <c r="AH57" i="27"/>
  <c r="AG147" i="27"/>
  <c r="AG139" i="27"/>
  <c r="AG131" i="27"/>
  <c r="AG123" i="27"/>
  <c r="AG83" i="27"/>
  <c r="AG59" i="27"/>
  <c r="AG51" i="27"/>
  <c r="AG27" i="27"/>
  <c r="AG19" i="27"/>
  <c r="AH143" i="27"/>
  <c r="AH61" i="27"/>
  <c r="AH8" i="27"/>
  <c r="AH114" i="27"/>
  <c r="AG146" i="27"/>
  <c r="AG138" i="27"/>
  <c r="AG130" i="27"/>
  <c r="AG122" i="27"/>
  <c r="AG114" i="27"/>
  <c r="AG106" i="27"/>
  <c r="AG98" i="27"/>
  <c r="AG90" i="27"/>
  <c r="AG82" i="27"/>
  <c r="AG74" i="27"/>
  <c r="AG58" i="27"/>
  <c r="AG50" i="27"/>
  <c r="AG42" i="27"/>
  <c r="AG26" i="27"/>
  <c r="AG18" i="27"/>
  <c r="AG10" i="27"/>
  <c r="AH2" i="27"/>
  <c r="AH142" i="27"/>
  <c r="AH111" i="27"/>
  <c r="AH92" i="27"/>
  <c r="AH80" i="27"/>
  <c r="AH70" i="27"/>
  <c r="AH48" i="27"/>
  <c r="AY127" i="27"/>
  <c r="AH34" i="27"/>
  <c r="AG137" i="27"/>
  <c r="AG129" i="27"/>
  <c r="AG121" i="27"/>
  <c r="AG113" i="27"/>
  <c r="AG97" i="27"/>
  <c r="AG89" i="27"/>
  <c r="AG81" i="27"/>
  <c r="AG73" i="27"/>
  <c r="AG57" i="27"/>
  <c r="AG41" i="27"/>
  <c r="AG17" i="27"/>
  <c r="AH132" i="27"/>
  <c r="AH120" i="27"/>
  <c r="AH110" i="27"/>
  <c r="AH69" i="27"/>
  <c r="AH16" i="27"/>
  <c r="AH6" i="27"/>
  <c r="AX100" i="27"/>
  <c r="AH9" i="27"/>
  <c r="AH49" i="27"/>
  <c r="AH65" i="27"/>
  <c r="AH66" i="27"/>
  <c r="AG136" i="27"/>
  <c r="AG88" i="27"/>
  <c r="AG56" i="27"/>
  <c r="AH148" i="27"/>
  <c r="AH140" i="27"/>
  <c r="AH109" i="27"/>
  <c r="AH100" i="27"/>
  <c r="AH56" i="27"/>
  <c r="C3" i="27"/>
  <c r="C6" i="27"/>
  <c r="C5" i="27"/>
  <c r="C4" i="27"/>
  <c r="AI114" i="10"/>
  <c r="AI58" i="10"/>
  <c r="AI50" i="10"/>
  <c r="AI137" i="10"/>
  <c r="AI65" i="10"/>
  <c r="AJ143" i="10"/>
  <c r="AJ88" i="10"/>
  <c r="AJ47" i="10"/>
  <c r="AI129" i="10"/>
  <c r="AJ135" i="10"/>
  <c r="AJ87" i="10"/>
  <c r="AJ41" i="10"/>
  <c r="AI121" i="10"/>
  <c r="AI57" i="10"/>
  <c r="AJ127" i="10"/>
  <c r="AJ81" i="10"/>
  <c r="AJ40" i="10"/>
  <c r="AJ121" i="10"/>
  <c r="AJ80" i="10"/>
  <c r="AJ39" i="10"/>
  <c r="AJ24" i="10"/>
  <c r="AI90" i="10"/>
  <c r="AI26" i="10"/>
  <c r="AJ105" i="10"/>
  <c r="AJ64" i="10"/>
  <c r="AJ23" i="10"/>
  <c r="AI97" i="10"/>
  <c r="AI33" i="10"/>
  <c r="AJ111" i="10"/>
  <c r="AJ65" i="10"/>
  <c r="AI89" i="10"/>
  <c r="AI25" i="10"/>
  <c r="AJ104" i="10"/>
  <c r="AJ63" i="10"/>
  <c r="AJ17" i="10"/>
  <c r="AI3" i="10"/>
  <c r="AI82" i="10"/>
  <c r="AI18" i="10"/>
  <c r="AJ103" i="10"/>
  <c r="AJ57" i="10"/>
  <c r="AJ16" i="10"/>
  <c r="AI169" i="10"/>
  <c r="AI113" i="10"/>
  <c r="AI81" i="10"/>
  <c r="AI49" i="10"/>
  <c r="AI17" i="10"/>
  <c r="AJ120" i="10"/>
  <c r="AJ97" i="10"/>
  <c r="AJ79" i="10"/>
  <c r="AJ56" i="10"/>
  <c r="AJ33" i="10"/>
  <c r="AJ15" i="10"/>
  <c r="AI161" i="10"/>
  <c r="AI106" i="10"/>
  <c r="AI74" i="10"/>
  <c r="AI42" i="10"/>
  <c r="AI10" i="10"/>
  <c r="AJ119" i="10"/>
  <c r="AJ96" i="10"/>
  <c r="AJ73" i="10"/>
  <c r="AJ55" i="10"/>
  <c r="AJ32" i="10"/>
  <c r="AJ9" i="10"/>
  <c r="AI153" i="10"/>
  <c r="AI105" i="10"/>
  <c r="AI73" i="10"/>
  <c r="AI41" i="10"/>
  <c r="AI9" i="10"/>
  <c r="AJ113" i="10"/>
  <c r="AJ95" i="10"/>
  <c r="AJ72" i="10"/>
  <c r="AJ49" i="10"/>
  <c r="AJ31" i="10"/>
  <c r="AJ8" i="10"/>
  <c r="AI145" i="10"/>
  <c r="AI98" i="10"/>
  <c r="AI66" i="10"/>
  <c r="AI34" i="10"/>
  <c r="AJ151" i="10"/>
  <c r="AJ112" i="10"/>
  <c r="AJ89" i="10"/>
  <c r="AJ71" i="10"/>
  <c r="AJ48" i="10"/>
  <c r="AJ25" i="10"/>
  <c r="AJ7" i="10"/>
  <c r="N5" i="14"/>
  <c r="N7" i="14"/>
  <c r="N9" i="14"/>
  <c r="AI173" i="10"/>
  <c r="AI165" i="10"/>
  <c r="AI157" i="10"/>
  <c r="AI149" i="10"/>
  <c r="AI141" i="10"/>
  <c r="AI133" i="10"/>
  <c r="AI125" i="10"/>
  <c r="AI117" i="10"/>
  <c r="AI109" i="10"/>
  <c r="AI101" i="10"/>
  <c r="AI93" i="10"/>
  <c r="AI85" i="10"/>
  <c r="AI77" i="10"/>
  <c r="AI69" i="10"/>
  <c r="AI61" i="10"/>
  <c r="AI53" i="10"/>
  <c r="AI45" i="10"/>
  <c r="AI37" i="10"/>
  <c r="AI29" i="10"/>
  <c r="AI21" i="10"/>
  <c r="AI13" i="10"/>
  <c r="AI5" i="10"/>
  <c r="AJ171" i="10"/>
  <c r="AJ163" i="10"/>
  <c r="AJ155" i="10"/>
  <c r="AJ147" i="10"/>
  <c r="AJ139" i="10"/>
  <c r="AJ131" i="10"/>
  <c r="AJ123" i="10"/>
  <c r="AJ115" i="10"/>
  <c r="AJ107" i="10"/>
  <c r="AJ99" i="10"/>
  <c r="AJ91" i="10"/>
  <c r="AJ83" i="10"/>
  <c r="AJ75" i="10"/>
  <c r="AJ67" i="10"/>
  <c r="AJ59" i="10"/>
  <c r="AJ51" i="10"/>
  <c r="AJ43" i="10"/>
  <c r="AJ35" i="10"/>
  <c r="AJ27" i="10"/>
  <c r="AJ19" i="10"/>
  <c r="AJ11" i="10"/>
  <c r="AI172" i="10"/>
  <c r="AI164" i="10"/>
  <c r="AI156" i="10"/>
  <c r="AI148" i="10"/>
  <c r="AI140" i="10"/>
  <c r="AI132" i="10"/>
  <c r="AI124" i="10"/>
  <c r="AI116" i="10"/>
  <c r="AI108" i="10"/>
  <c r="AI100" i="10"/>
  <c r="AI92" i="10"/>
  <c r="AI84" i="10"/>
  <c r="AI76" i="10"/>
  <c r="AI68" i="10"/>
  <c r="AI60" i="10"/>
  <c r="AI52" i="10"/>
  <c r="AI44" i="10"/>
  <c r="AI36" i="10"/>
  <c r="AI28" i="10"/>
  <c r="AI20" i="10"/>
  <c r="AI12" i="10"/>
  <c r="AI4" i="10"/>
  <c r="AJ170" i="10"/>
  <c r="AJ162" i="10"/>
  <c r="AJ154" i="10"/>
  <c r="AJ146" i="10"/>
  <c r="AJ138" i="10"/>
  <c r="AJ130" i="10"/>
  <c r="AJ122" i="10"/>
  <c r="AJ114" i="10"/>
  <c r="AJ106" i="10"/>
  <c r="AJ98" i="10"/>
  <c r="AJ90" i="10"/>
  <c r="AJ82" i="10"/>
  <c r="AJ74" i="10"/>
  <c r="AJ66" i="10"/>
  <c r="AJ58" i="10"/>
  <c r="AJ50" i="10"/>
  <c r="AJ42" i="10"/>
  <c r="AJ34" i="10"/>
  <c r="AJ26" i="10"/>
  <c r="AJ18" i="10"/>
  <c r="AJ10" i="10"/>
  <c r="AI171" i="10"/>
  <c r="AI163" i="10"/>
  <c r="AI155" i="10"/>
  <c r="AI147" i="10"/>
  <c r="AI139" i="10"/>
  <c r="AI131" i="10"/>
  <c r="AI123" i="10"/>
  <c r="AI115" i="10"/>
  <c r="AI107" i="10"/>
  <c r="AI99" i="10"/>
  <c r="AI91" i="10"/>
  <c r="AI83" i="10"/>
  <c r="AI75" i="10"/>
  <c r="AI67" i="10"/>
  <c r="AI59" i="10"/>
  <c r="AI51" i="10"/>
  <c r="AI43" i="10"/>
  <c r="AI35" i="10"/>
  <c r="AI27" i="10"/>
  <c r="AI19" i="10"/>
  <c r="AI11" i="10"/>
  <c r="AJ3" i="10"/>
  <c r="AJ169" i="10"/>
  <c r="AJ161" i="10"/>
  <c r="AJ153" i="10"/>
  <c r="AJ145" i="10"/>
  <c r="AJ137" i="10"/>
  <c r="AJ129" i="10"/>
  <c r="AI170" i="10"/>
  <c r="AI162" i="10"/>
  <c r="AI154" i="10"/>
  <c r="AI146" i="10"/>
  <c r="AI138" i="10"/>
  <c r="AI130" i="10"/>
  <c r="AI122" i="10"/>
  <c r="AJ176" i="10"/>
  <c r="AJ168" i="10"/>
  <c r="AJ160" i="10"/>
  <c r="AJ152" i="10"/>
  <c r="AJ144" i="10"/>
  <c r="AJ136" i="10"/>
  <c r="AJ128" i="10"/>
  <c r="AJ167" i="10"/>
  <c r="AI176" i="10"/>
  <c r="AI168" i="10"/>
  <c r="AI160" i="10"/>
  <c r="AI152" i="10"/>
  <c r="AI144" i="10"/>
  <c r="AI136" i="10"/>
  <c r="AI128" i="10"/>
  <c r="AI120" i="10"/>
  <c r="AI112" i="10"/>
  <c r="AI104" i="10"/>
  <c r="AI96" i="10"/>
  <c r="AI88" i="10"/>
  <c r="AI80" i="10"/>
  <c r="AI72" i="10"/>
  <c r="AI64" i="10"/>
  <c r="AI56" i="10"/>
  <c r="AI48" i="10"/>
  <c r="AI40" i="10"/>
  <c r="AI32" i="10"/>
  <c r="AI24" i="10"/>
  <c r="AI16" i="10"/>
  <c r="AI8" i="10"/>
  <c r="AJ174" i="10"/>
  <c r="AJ166" i="10"/>
  <c r="AJ158" i="10"/>
  <c r="AJ150" i="10"/>
  <c r="AJ142" i="10"/>
  <c r="AJ134" i="10"/>
  <c r="AJ126" i="10"/>
  <c r="AJ118" i="10"/>
  <c r="AJ110" i="10"/>
  <c r="AJ102" i="10"/>
  <c r="AJ94" i="10"/>
  <c r="AJ86" i="10"/>
  <c r="AJ78" i="10"/>
  <c r="AJ70" i="10"/>
  <c r="AJ62" i="10"/>
  <c r="AJ54" i="10"/>
  <c r="AJ46" i="10"/>
  <c r="AJ38" i="10"/>
  <c r="AJ30" i="10"/>
  <c r="AJ22" i="10"/>
  <c r="AJ14" i="10"/>
  <c r="AJ6" i="10"/>
  <c r="AI175" i="10"/>
  <c r="AI167" i="10"/>
  <c r="AI159" i="10"/>
  <c r="AI151" i="10"/>
  <c r="AI143" i="10"/>
  <c r="AI135" i="10"/>
  <c r="AI127" i="10"/>
  <c r="AI119" i="10"/>
  <c r="AI111" i="10"/>
  <c r="AI103" i="10"/>
  <c r="AI95" i="10"/>
  <c r="AI87" i="10"/>
  <c r="AI79" i="10"/>
  <c r="AI71" i="10"/>
  <c r="AI63" i="10"/>
  <c r="AI55" i="10"/>
  <c r="AI47" i="10"/>
  <c r="AI39" i="10"/>
  <c r="AI31" i="10"/>
  <c r="AI23" i="10"/>
  <c r="AI15" i="10"/>
  <c r="AI7" i="10"/>
  <c r="AJ173" i="10"/>
  <c r="AJ165" i="10"/>
  <c r="AJ157" i="10"/>
  <c r="AJ149" i="10"/>
  <c r="AJ141" i="10"/>
  <c r="AJ133" i="10"/>
  <c r="AJ125" i="10"/>
  <c r="AJ117" i="10"/>
  <c r="AJ109" i="10"/>
  <c r="AJ101" i="10"/>
  <c r="AJ93" i="10"/>
  <c r="AJ85" i="10"/>
  <c r="AJ77" i="10"/>
  <c r="AJ69" i="10"/>
  <c r="AJ61" i="10"/>
  <c r="AJ53" i="10"/>
  <c r="AJ45" i="10"/>
  <c r="AJ37" i="10"/>
  <c r="AJ29" i="10"/>
  <c r="AJ21" i="10"/>
  <c r="AJ13" i="10"/>
  <c r="AJ5" i="10"/>
  <c r="AJ175" i="10"/>
  <c r="AJ159" i="10"/>
  <c r="AI174" i="10"/>
  <c r="AI166" i="10"/>
  <c r="AI158" i="10"/>
  <c r="AI150" i="10"/>
  <c r="AI142" i="10"/>
  <c r="AI134" i="10"/>
  <c r="AI126" i="10"/>
  <c r="AI118" i="10"/>
  <c r="AI110" i="10"/>
  <c r="AI102" i="10"/>
  <c r="AI94" i="10"/>
  <c r="AI86" i="10"/>
  <c r="AI78" i="10"/>
  <c r="AI70" i="10"/>
  <c r="AI62" i="10"/>
  <c r="AI54" i="10"/>
  <c r="AI46" i="10"/>
  <c r="AI38" i="10"/>
  <c r="AI30" i="10"/>
  <c r="AI22" i="10"/>
  <c r="AI14" i="10"/>
  <c r="AI6" i="10"/>
  <c r="AJ172" i="10"/>
  <c r="AJ164" i="10"/>
  <c r="AJ156" i="10"/>
  <c r="AJ148" i="10"/>
  <c r="AJ140" i="10"/>
  <c r="AJ132" i="10"/>
  <c r="AJ124" i="10"/>
  <c r="AJ116" i="10"/>
  <c r="AJ108" i="10"/>
  <c r="AJ100" i="10"/>
  <c r="AJ92" i="10"/>
  <c r="AJ84" i="10"/>
  <c r="AJ76" i="10"/>
  <c r="AJ68" i="10"/>
  <c r="AJ60" i="10"/>
  <c r="AJ52" i="10"/>
  <c r="AJ44" i="10"/>
  <c r="AJ36" i="10"/>
  <c r="AJ28" i="10"/>
  <c r="AJ20" i="10"/>
  <c r="AJ12" i="10"/>
  <c r="AJ4" i="10"/>
  <c r="N4" i="14"/>
  <c r="N8" i="14"/>
  <c r="N10" i="14"/>
  <c r="N6" i="14"/>
  <c r="S36" i="14"/>
  <c r="AR171" i="7"/>
  <c r="AP171" i="7"/>
  <c r="AQ171" i="7"/>
  <c r="AR172" i="7"/>
  <c r="AP172" i="7"/>
  <c r="AQ172" i="7"/>
  <c r="AN113" i="7"/>
  <c r="B89" i="7"/>
  <c r="B90" i="7" s="1"/>
  <c r="B91" i="7" s="1"/>
  <c r="B92" i="7"/>
  <c r="B93" i="7" s="1"/>
  <c r="B94" i="7"/>
  <c r="B95" i="7"/>
  <c r="B96" i="7" s="1"/>
  <c r="B97" i="7"/>
  <c r="B98" i="7" s="1"/>
  <c r="B99" i="7"/>
  <c r="B100" i="7"/>
  <c r="B101" i="7" s="1"/>
  <c r="B102" i="7"/>
  <c r="B103" i="7"/>
  <c r="B106" i="7"/>
  <c r="B107" i="7" s="1"/>
  <c r="B108" i="7" s="1"/>
  <c r="B109" i="7"/>
  <c r="B110" i="7" s="1"/>
  <c r="B111" i="7" s="1"/>
  <c r="B112" i="7" s="1"/>
  <c r="B113" i="7" s="1"/>
  <c r="B114" i="7"/>
  <c r="B115" i="7" s="1"/>
  <c r="B116" i="7" s="1"/>
  <c r="B117" i="7" s="1"/>
  <c r="B118" i="7" s="1"/>
  <c r="B119" i="7" s="1"/>
  <c r="B120" i="7"/>
  <c r="B121" i="7" s="1"/>
  <c r="B122" i="7"/>
  <c r="B123" i="7" s="1"/>
  <c r="B124" i="7" s="1"/>
  <c r="B125" i="7"/>
  <c r="B126" i="7" s="1"/>
  <c r="B127" i="7"/>
  <c r="B128" i="7" s="1"/>
  <c r="B129" i="7" s="1"/>
  <c r="B130" i="7"/>
  <c r="B131" i="7"/>
  <c r="B132" i="7" s="1"/>
  <c r="B133" i="7" s="1"/>
  <c r="B134" i="7" s="1"/>
  <c r="B135" i="7" s="1"/>
  <c r="B136" i="7" s="1"/>
  <c r="B137" i="7" s="1"/>
  <c r="B138" i="7" s="1"/>
  <c r="B139" i="7" s="1"/>
  <c r="B140" i="7" s="1"/>
  <c r="B141" i="7" s="1"/>
  <c r="B142" i="7" s="1"/>
  <c r="B143" i="7" s="1"/>
  <c r="B144" i="7" s="1"/>
  <c r="B145" i="7" s="1"/>
  <c r="B146" i="7" s="1"/>
  <c r="B147" i="7" s="1"/>
  <c r="B148" i="7" s="1"/>
  <c r="B149" i="7" s="1"/>
  <c r="B150" i="7" s="1"/>
  <c r="B151" i="7"/>
  <c r="B152" i="7" s="1"/>
  <c r="B153" i="7" s="1"/>
  <c r="B154" i="7"/>
  <c r="B155" i="7" s="1"/>
  <c r="B156" i="7"/>
  <c r="B157" i="7" s="1"/>
  <c r="B158" i="7" s="1"/>
  <c r="B159" i="7" s="1"/>
  <c r="B160" i="7" s="1"/>
  <c r="B161" i="7" s="1"/>
  <c r="B162" i="7"/>
  <c r="B163" i="7" s="1"/>
  <c r="B164" i="7" s="1"/>
  <c r="B165" i="7"/>
  <c r="B166" i="7"/>
  <c r="B167" i="7" s="1"/>
  <c r="B168" i="7" s="1"/>
  <c r="B169" i="7" s="1"/>
  <c r="AM105" i="7"/>
  <c r="AM103" i="7"/>
  <c r="BO197" i="7"/>
  <c r="BO196" i="7"/>
  <c r="BO195" i="7"/>
  <c r="BO194" i="7"/>
  <c r="BO193" i="7"/>
  <c r="BO192" i="7"/>
  <c r="BO191" i="7"/>
  <c r="BO190" i="7"/>
  <c r="BO189" i="7"/>
  <c r="BO188" i="7"/>
  <c r="BO175" i="7"/>
  <c r="BO174" i="7"/>
  <c r="BO173" i="7"/>
  <c r="BO170" i="7"/>
  <c r="BO169" i="7"/>
  <c r="BO168" i="7"/>
  <c r="BO167" i="7"/>
  <c r="BO166" i="7"/>
  <c r="BO165" i="7"/>
  <c r="BO164" i="7"/>
  <c r="BO163" i="7"/>
  <c r="BO162" i="7"/>
  <c r="BO161" i="7"/>
  <c r="BO160" i="7"/>
  <c r="BO159" i="7"/>
  <c r="BO158" i="7"/>
  <c r="BO157" i="7"/>
  <c r="BO156" i="7"/>
  <c r="BO155" i="7"/>
  <c r="BO154" i="7"/>
  <c r="BO150" i="7"/>
  <c r="BO149" i="7"/>
  <c r="BO148" i="7"/>
  <c r="BO147" i="7"/>
  <c r="BO146" i="7"/>
  <c r="BO145" i="7"/>
  <c r="BO144" i="7"/>
  <c r="BO143" i="7"/>
  <c r="BO142" i="7"/>
  <c r="BO141" i="7"/>
  <c r="BO140" i="7"/>
  <c r="BO139" i="7"/>
  <c r="BO138" i="7"/>
  <c r="BO137" i="7"/>
  <c r="BO136" i="7"/>
  <c r="BO135" i="7"/>
  <c r="BO134" i="7"/>
  <c r="BO133" i="7"/>
  <c r="BO132" i="7"/>
  <c r="BO131" i="7"/>
  <c r="BO130" i="7"/>
  <c r="BO129" i="7"/>
  <c r="BO128" i="7"/>
  <c r="BO127" i="7"/>
  <c r="BO126" i="7"/>
  <c r="BO125" i="7"/>
  <c r="BO124" i="7"/>
  <c r="BO123" i="7"/>
  <c r="BO122" i="7"/>
  <c r="BO121" i="7"/>
  <c r="BO120" i="7"/>
  <c r="BO113" i="7"/>
  <c r="BO112" i="7"/>
  <c r="BO111" i="7"/>
  <c r="BO110" i="7"/>
  <c r="BO109" i="7"/>
  <c r="BO108" i="7"/>
  <c r="BO107" i="7"/>
  <c r="BO106" i="7"/>
  <c r="BO105" i="7"/>
  <c r="BO104" i="7"/>
  <c r="BO103" i="7"/>
  <c r="BO102" i="7"/>
  <c r="BO101" i="7"/>
  <c r="BO100" i="7"/>
  <c r="BO98" i="7"/>
  <c r="BO97" i="7"/>
  <c r="BO96" i="7"/>
  <c r="BO95" i="7"/>
  <c r="BO94" i="7"/>
  <c r="BO93" i="7"/>
  <c r="BO92" i="7"/>
  <c r="BO88" i="7"/>
  <c r="BO87" i="7"/>
  <c r="BO86" i="7"/>
  <c r="BO85" i="7"/>
  <c r="BO84" i="7"/>
  <c r="BO83" i="7"/>
  <c r="BO82" i="7"/>
  <c r="BO80" i="7"/>
  <c r="BO79" i="7"/>
  <c r="BO78" i="7"/>
  <c r="BO77" i="7"/>
  <c r="BO76" i="7"/>
  <c r="BO75" i="7"/>
  <c r="BO74" i="7"/>
  <c r="BO73" i="7"/>
  <c r="BO72" i="7"/>
  <c r="BO71" i="7"/>
  <c r="BO70" i="7"/>
  <c r="BO69" i="7"/>
  <c r="BO68" i="7"/>
  <c r="BO67" i="7"/>
  <c r="BO66" i="7"/>
  <c r="BO65" i="7"/>
  <c r="BO64" i="7"/>
  <c r="BO63" i="7"/>
  <c r="BO62" i="7"/>
  <c r="BO61" i="7"/>
  <c r="BO60" i="7"/>
  <c r="BO59" i="7"/>
  <c r="BO52" i="7"/>
  <c r="BO51" i="7"/>
  <c r="BO44" i="7"/>
  <c r="BO43" i="7"/>
  <c r="BO42" i="7"/>
  <c r="BO41" i="7"/>
  <c r="BO40" i="7"/>
  <c r="BO39" i="7"/>
  <c r="BO38" i="7"/>
  <c r="BO37"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AE196" i="7"/>
  <c r="AE195" i="7"/>
  <c r="AE194" i="7"/>
  <c r="AE193" i="7"/>
  <c r="AE192" i="7"/>
  <c r="AE191" i="7"/>
  <c r="AE190" i="7"/>
  <c r="AE189" i="7"/>
  <c r="AE188" i="7"/>
  <c r="AE187" i="7"/>
  <c r="AE186" i="7"/>
  <c r="AE185" i="7"/>
  <c r="AE184" i="7"/>
  <c r="AE183" i="7"/>
  <c r="AE182" i="7"/>
  <c r="AE181" i="7"/>
  <c r="AE180" i="7"/>
  <c r="AE179" i="7"/>
  <c r="AE178" i="7"/>
  <c r="AE177" i="7"/>
  <c r="AE176" i="7"/>
  <c r="AE169" i="7"/>
  <c r="AE168" i="7"/>
  <c r="AE167" i="7"/>
  <c r="AE166" i="7"/>
  <c r="AE165" i="7"/>
  <c r="AE164" i="7"/>
  <c r="AE163" i="7"/>
  <c r="AE162" i="7"/>
  <c r="AE161" i="7"/>
  <c r="AE160" i="7"/>
  <c r="AE159" i="7"/>
  <c r="AE158" i="7"/>
  <c r="AE157" i="7"/>
  <c r="AE156" i="7"/>
  <c r="AE153" i="7"/>
  <c r="AE152" i="7"/>
  <c r="AE151" i="7"/>
  <c r="AE149" i="7"/>
  <c r="AE148" i="7"/>
  <c r="AE147" i="7"/>
  <c r="AE145" i="7"/>
  <c r="AE144" i="7"/>
  <c r="AE143" i="7"/>
  <c r="AE141" i="7"/>
  <c r="AE140" i="7"/>
  <c r="AE139" i="7"/>
  <c r="AE137" i="7"/>
  <c r="AE136" i="7"/>
  <c r="AE135" i="7"/>
  <c r="AE133" i="7"/>
  <c r="AE132" i="7"/>
  <c r="AE131" i="7"/>
  <c r="AE130" i="7"/>
  <c r="AE129" i="7"/>
  <c r="AE128" i="7"/>
  <c r="AE127" i="7"/>
  <c r="AE126" i="7"/>
  <c r="AE125" i="7"/>
  <c r="AE124" i="7"/>
  <c r="AE123" i="7"/>
  <c r="AE122" i="7"/>
  <c r="AE119" i="7"/>
  <c r="AE118" i="7"/>
  <c r="AE117" i="7"/>
  <c r="AE116" i="7"/>
  <c r="AE115" i="7"/>
  <c r="AE114" i="7"/>
  <c r="AE113" i="7"/>
  <c r="AE112" i="7"/>
  <c r="AE111" i="7"/>
  <c r="AE110" i="7"/>
  <c r="AE109" i="7"/>
  <c r="AE108" i="7"/>
  <c r="AE107" i="7"/>
  <c r="AE106" i="7"/>
  <c r="AE105" i="7"/>
  <c r="AE104" i="7"/>
  <c r="AE103" i="7"/>
  <c r="AE102" i="7"/>
  <c r="AE101" i="7"/>
  <c r="AE100" i="7"/>
  <c r="AE99" i="7"/>
  <c r="AE98" i="7"/>
  <c r="AE97" i="7"/>
  <c r="AE96" i="7"/>
  <c r="AE95" i="7"/>
  <c r="AE94" i="7"/>
  <c r="AE93" i="7"/>
  <c r="AE92" i="7"/>
  <c r="AE91" i="7"/>
  <c r="AE90" i="7"/>
  <c r="AE89" i="7"/>
  <c r="AE87" i="7"/>
  <c r="AE86" i="7"/>
  <c r="AE83" i="7"/>
  <c r="AE82" i="7"/>
  <c r="AE81" i="7"/>
  <c r="AE80" i="7"/>
  <c r="AE79" i="7"/>
  <c r="AE78" i="7"/>
  <c r="AE77" i="7"/>
  <c r="AE76" i="7"/>
  <c r="AE75" i="7"/>
  <c r="AE71" i="7"/>
  <c r="AE70" i="7"/>
  <c r="AE69" i="7"/>
  <c r="AE68" i="7"/>
  <c r="AE67" i="7"/>
  <c r="AE66" i="7"/>
  <c r="AE65" i="7"/>
  <c r="AE64" i="7"/>
  <c r="AE63" i="7"/>
  <c r="AE62" i="7"/>
  <c r="AE61" i="7"/>
  <c r="AE60" i="7"/>
  <c r="AE59" i="7"/>
  <c r="AE58" i="7"/>
  <c r="AE57" i="7"/>
  <c r="AE56" i="7"/>
  <c r="AE55" i="7"/>
  <c r="AE50" i="7"/>
  <c r="AE49" i="7"/>
  <c r="AE48" i="7"/>
  <c r="AE47" i="7"/>
  <c r="AE46" i="7"/>
  <c r="AE45" i="7"/>
  <c r="AE44" i="7"/>
  <c r="AE43" i="7"/>
  <c r="AE40" i="7"/>
  <c r="AE39" i="7"/>
  <c r="AE36" i="7"/>
  <c r="AE35" i="7"/>
  <c r="AE34" i="7"/>
  <c r="AE33" i="7"/>
  <c r="AE32" i="7"/>
  <c r="AE31" i="7"/>
  <c r="AE30" i="7"/>
  <c r="AE29" i="7"/>
  <c r="AE28" i="7"/>
  <c r="AE27" i="7"/>
  <c r="AE26" i="7"/>
  <c r="AE25" i="7"/>
  <c r="AE24" i="7"/>
  <c r="AE23" i="7"/>
  <c r="AE22" i="7"/>
  <c r="AE21" i="7"/>
  <c r="AE20" i="7"/>
  <c r="AE19" i="7"/>
  <c r="AE18" i="7"/>
  <c r="AE17" i="7"/>
  <c r="AE16" i="7"/>
  <c r="AE15" i="7"/>
  <c r="AE12" i="7"/>
  <c r="AE11" i="7"/>
  <c r="AE10" i="7"/>
  <c r="AE9" i="7"/>
  <c r="AE8" i="7"/>
  <c r="AE7" i="7"/>
  <c r="AE6" i="7"/>
  <c r="AE5" i="7"/>
  <c r="AE4" i="7"/>
  <c r="AE3" i="7"/>
  <c r="AE2" i="7"/>
  <c r="AC191" i="7"/>
  <c r="AC190" i="7"/>
  <c r="AC189" i="7"/>
  <c r="AC188" i="7"/>
  <c r="AC187" i="7"/>
  <c r="AC186" i="7"/>
  <c r="AC185" i="7"/>
  <c r="AC184" i="7"/>
  <c r="AC183" i="7"/>
  <c r="AC182" i="7"/>
  <c r="AC181" i="7"/>
  <c r="AC180" i="7"/>
  <c r="AC179" i="7"/>
  <c r="AC178" i="7"/>
  <c r="AC177" i="7"/>
  <c r="AC176" i="7"/>
  <c r="AC169" i="7"/>
  <c r="AC168" i="7"/>
  <c r="AC167" i="7"/>
  <c r="AC166" i="7"/>
  <c r="AC165" i="7"/>
  <c r="AC164" i="7"/>
  <c r="AC163" i="7"/>
  <c r="AC162" i="7"/>
  <c r="AC161" i="7"/>
  <c r="AC160" i="7"/>
  <c r="AC159" i="7"/>
  <c r="AC158" i="7"/>
  <c r="AC157" i="7"/>
  <c r="AC156" i="7"/>
  <c r="AC154" i="7"/>
  <c r="AC153" i="7"/>
  <c r="AC151" i="7"/>
  <c r="AC148" i="7"/>
  <c r="AC147" i="7"/>
  <c r="AC144" i="7"/>
  <c r="AC143" i="7"/>
  <c r="AC140" i="7"/>
  <c r="AC139" i="7"/>
  <c r="AC136" i="7"/>
  <c r="AC135" i="7"/>
  <c r="AC132" i="7"/>
  <c r="AC131" i="7"/>
  <c r="AC130" i="7"/>
  <c r="AC129" i="7"/>
  <c r="AC128" i="7"/>
  <c r="AC127" i="7"/>
  <c r="AC126" i="7"/>
  <c r="AC125" i="7"/>
  <c r="AC124" i="7"/>
  <c r="AC123" i="7"/>
  <c r="AC122" i="7"/>
  <c r="AC119" i="7"/>
  <c r="AC118" i="7"/>
  <c r="AC117" i="7"/>
  <c r="AC116" i="7"/>
  <c r="AC115" i="7"/>
  <c r="AC114" i="7"/>
  <c r="AC113" i="7"/>
  <c r="AC112" i="7"/>
  <c r="AC111" i="7"/>
  <c r="AC110" i="7"/>
  <c r="AC109" i="7"/>
  <c r="AC108" i="7"/>
  <c r="AC107" i="7"/>
  <c r="AC106" i="7"/>
  <c r="AC105" i="7"/>
  <c r="AC104" i="7"/>
  <c r="AC103" i="7"/>
  <c r="AC102" i="7"/>
  <c r="AC101" i="7"/>
  <c r="AC100" i="7"/>
  <c r="AC99" i="7"/>
  <c r="AC98" i="7"/>
  <c r="AC97" i="7"/>
  <c r="AC96" i="7"/>
  <c r="AC95" i="7"/>
  <c r="AC94" i="7"/>
  <c r="AC93" i="7"/>
  <c r="AC92" i="7"/>
  <c r="AC91" i="7"/>
  <c r="AC90" i="7"/>
  <c r="AC89" i="7"/>
  <c r="AC87" i="7"/>
  <c r="AC86" i="7"/>
  <c r="B4" i="7"/>
  <c r="B5" i="7"/>
  <c r="B6" i="7" s="1"/>
  <c r="B7" i="7" s="1"/>
  <c r="B8" i="7"/>
  <c r="B9" i="7" s="1"/>
  <c r="B10" i="7"/>
  <c r="B13" i="7"/>
  <c r="B15" i="7"/>
  <c r="B16" i="7"/>
  <c r="B17" i="7" s="1"/>
  <c r="B18" i="7"/>
  <c r="B19" i="7" s="1"/>
  <c r="B20" i="7"/>
  <c r="B21" i="7" s="1"/>
  <c r="B22" i="7" s="1"/>
  <c r="B23" i="7" s="1"/>
  <c r="B24" i="7" s="1"/>
  <c r="B25" i="7" s="1"/>
  <c r="B26" i="7" s="1"/>
  <c r="B27" i="7" s="1"/>
  <c r="B28" i="7"/>
  <c r="B29" i="7"/>
  <c r="B30" i="7" s="1"/>
  <c r="B31" i="7" s="1"/>
  <c r="B32" i="7" s="1"/>
  <c r="B33" i="7" s="1"/>
  <c r="B34" i="7" s="1"/>
  <c r="B35" i="7" s="1"/>
  <c r="B36" i="7" s="1"/>
  <c r="B37" i="7"/>
  <c r="B38" i="7" s="1"/>
  <c r="B39" i="7" s="1"/>
  <c r="B40" i="7" s="1"/>
  <c r="B41" i="7" s="1"/>
  <c r="B42" i="7" s="1"/>
  <c r="B43" i="7" s="1"/>
  <c r="B44" i="7" s="1"/>
  <c r="B45" i="7"/>
  <c r="B46" i="7" s="1"/>
  <c r="B47" i="7" s="1"/>
  <c r="B48" i="7" s="1"/>
  <c r="B49" i="7" s="1"/>
  <c r="B50" i="7" s="1"/>
  <c r="B51" i="7"/>
  <c r="B52" i="7" s="1"/>
  <c r="B53" i="7"/>
  <c r="B54" i="7" s="1"/>
  <c r="B55" i="7" s="1"/>
  <c r="B56" i="7" s="1"/>
  <c r="B57" i="7"/>
  <c r="B58" i="7" s="1"/>
  <c r="B59" i="7" s="1"/>
  <c r="B60" i="7"/>
  <c r="B61" i="7" s="1"/>
  <c r="B62" i="7"/>
  <c r="B63" i="7" s="1"/>
  <c r="B64" i="7" s="1"/>
  <c r="B65" i="7" s="1"/>
  <c r="B66" i="7" s="1"/>
  <c r="B67" i="7" s="1"/>
  <c r="B68" i="7"/>
  <c r="B69" i="7" s="1"/>
  <c r="B70" i="7" s="1"/>
  <c r="B71" i="7" s="1"/>
  <c r="B72" i="7" s="1"/>
  <c r="B73" i="7" s="1"/>
  <c r="B74" i="7" s="1"/>
  <c r="B75" i="7"/>
  <c r="B76" i="7" s="1"/>
  <c r="B77" i="7" s="1"/>
  <c r="B78" i="7" s="1"/>
  <c r="B79" i="7" s="1"/>
  <c r="B80" i="7" s="1"/>
  <c r="B81" i="7"/>
  <c r="B82" i="7"/>
  <c r="B83" i="7" s="1"/>
  <c r="B84" i="7" s="1"/>
  <c r="B85" i="7" s="1"/>
  <c r="B86" i="7"/>
  <c r="B87" i="7" s="1"/>
  <c r="B88" i="7"/>
  <c r="AQ112" i="7"/>
  <c r="AQ103" i="7"/>
  <c r="AQ105" i="7"/>
  <c r="AQ53" i="7"/>
  <c r="AQ24" i="7"/>
  <c r="AQ25" i="7"/>
  <c r="AP103" i="7"/>
  <c r="AP105" i="7"/>
  <c r="AP112" i="7"/>
  <c r="AP24" i="7"/>
  <c r="AP25" i="7"/>
  <c r="AP53" i="7"/>
  <c r="AO197" i="7"/>
  <c r="AM197" i="7"/>
  <c r="AN197" i="7" s="1"/>
  <c r="BJ155" i="7"/>
  <c r="BI155" i="7"/>
  <c r="BH155" i="7"/>
  <c r="BG155" i="7"/>
  <c r="AO155" i="7"/>
  <c r="AN155" i="7"/>
  <c r="AP155" i="7" s="1"/>
  <c r="H155" i="7"/>
  <c r="AN86" i="7"/>
  <c r="AN87" i="7"/>
  <c r="AN88" i="7"/>
  <c r="AN80" i="7"/>
  <c r="AN81" i="7"/>
  <c r="AN82" i="7"/>
  <c r="AN83" i="7"/>
  <c r="AN84" i="7"/>
  <c r="AN85" i="7"/>
  <c r="AO121" i="7"/>
  <c r="AR121" i="7" s="1"/>
  <c r="H121" i="7"/>
  <c r="AO11" i="7"/>
  <c r="B17" i="25"/>
  <c r="G14" i="25" s="1"/>
  <c r="G15" i="25" s="1"/>
  <c r="G8" i="25"/>
  <c r="B4" i="25"/>
  <c r="AM101" i="27" l="1"/>
  <c r="AK69" i="27"/>
  <c r="AX69" i="27" s="1"/>
  <c r="AQ53" i="27"/>
  <c r="AK147" i="27"/>
  <c r="AX147" i="27" s="1"/>
  <c r="AK6" i="27"/>
  <c r="AX6" i="27" s="1"/>
  <c r="AM116" i="27"/>
  <c r="AK61" i="27"/>
  <c r="AX61" i="27" s="1"/>
  <c r="AM210" i="27"/>
  <c r="AY210" i="27" s="1"/>
  <c r="AK109" i="27"/>
  <c r="AX109" i="27" s="1"/>
  <c r="AS53" i="27"/>
  <c r="AK57" i="27"/>
  <c r="AK136" i="27"/>
  <c r="AX136" i="27" s="1"/>
  <c r="AK20" i="27"/>
  <c r="AK129" i="27"/>
  <c r="AK103" i="27"/>
  <c r="AO201" i="27"/>
  <c r="AE200" i="27"/>
  <c r="AK26" i="27"/>
  <c r="AI107" i="27"/>
  <c r="AM107" i="27" s="1"/>
  <c r="AY107" i="27" s="1"/>
  <c r="AI200" i="27"/>
  <c r="AU200" i="27" s="1"/>
  <c r="BC200" i="27" s="1"/>
  <c r="AK201" i="27"/>
  <c r="AM201" i="27"/>
  <c r="AQ201" i="27"/>
  <c r="AS201" i="27"/>
  <c r="C200" i="27"/>
  <c r="A201" i="27"/>
  <c r="AG200" i="27"/>
  <c r="AR102" i="27"/>
  <c r="AT88" i="27"/>
  <c r="AT212" i="27"/>
  <c r="AT211" i="27"/>
  <c r="AU211" i="27" s="1"/>
  <c r="BC211" i="27" s="1"/>
  <c r="AT210" i="27"/>
  <c r="AU210" i="27" s="1"/>
  <c r="BC210" i="27" s="1"/>
  <c r="AT28" i="27"/>
  <c r="AT61" i="27"/>
  <c r="AU61" i="27" s="1"/>
  <c r="AT102" i="27"/>
  <c r="AU102" i="27" s="1"/>
  <c r="AR88" i="27"/>
  <c r="AR212" i="27"/>
  <c r="AR211" i="27"/>
  <c r="AS211" i="27" s="1"/>
  <c r="BB211" i="27" s="1"/>
  <c r="AR210" i="27"/>
  <c r="AS210" i="27" s="1"/>
  <c r="BB210" i="27" s="1"/>
  <c r="AR28" i="27"/>
  <c r="AS28" i="27" s="1"/>
  <c r="AR61" i="27"/>
  <c r="AS61" i="27" s="1"/>
  <c r="AM207" i="27"/>
  <c r="AT168" i="27"/>
  <c r="AU168" i="27" s="1"/>
  <c r="AT169" i="27"/>
  <c r="AU169" i="27" s="1"/>
  <c r="AT54" i="27"/>
  <c r="AU54" i="27" s="1"/>
  <c r="AT55" i="27"/>
  <c r="AU55" i="27" s="1"/>
  <c r="AT56" i="27"/>
  <c r="AU56" i="27" s="1"/>
  <c r="AT53" i="27"/>
  <c r="AT46" i="27"/>
  <c r="AT174" i="27"/>
  <c r="AT47" i="27"/>
  <c r="AU47" i="27" s="1"/>
  <c r="AT48" i="27"/>
  <c r="AU48" i="27" s="1"/>
  <c r="AT49" i="27"/>
  <c r="AU49" i="27" s="1"/>
  <c r="AT51" i="27"/>
  <c r="AU51" i="27" s="1"/>
  <c r="AT52" i="27"/>
  <c r="AU52" i="27" s="1"/>
  <c r="AT45" i="27"/>
  <c r="AT173" i="27"/>
  <c r="AT50" i="27"/>
  <c r="AR53" i="27"/>
  <c r="AR55" i="27"/>
  <c r="AS55" i="27" s="1"/>
  <c r="AR54" i="27"/>
  <c r="AS54" i="27" s="1"/>
  <c r="AR56" i="27"/>
  <c r="AS56" i="27" s="1"/>
  <c r="AT118" i="27"/>
  <c r="AU118" i="27" s="1"/>
  <c r="AT119" i="27"/>
  <c r="AU119" i="27" s="1"/>
  <c r="AT160" i="27"/>
  <c r="AT161" i="27"/>
  <c r="AT115" i="27"/>
  <c r="AU115" i="27" s="1"/>
  <c r="AT117" i="27"/>
  <c r="AT114" i="27"/>
  <c r="AU114" i="27" s="1"/>
  <c r="AT116" i="27"/>
  <c r="AU116" i="27" s="1"/>
  <c r="AK206" i="27"/>
  <c r="AX206" i="27" s="1"/>
  <c r="AT57" i="27"/>
  <c r="AU57" i="27" s="1"/>
  <c r="AT59" i="27"/>
  <c r="AT58" i="27"/>
  <c r="AT70" i="27"/>
  <c r="AU70" i="27" s="1"/>
  <c r="AT71" i="27"/>
  <c r="AU71" i="27" s="1"/>
  <c r="AT72" i="27"/>
  <c r="AU72" i="27" s="1"/>
  <c r="AT73" i="27"/>
  <c r="AT81" i="27"/>
  <c r="AU81" i="27" s="1"/>
  <c r="AT171" i="27"/>
  <c r="AT68" i="27"/>
  <c r="AT69" i="27"/>
  <c r="AU69" i="27" s="1"/>
  <c r="AT74" i="27"/>
  <c r="AU74" i="27" s="1"/>
  <c r="AT172" i="27"/>
  <c r="AR158" i="27"/>
  <c r="AS158" i="27" s="1"/>
  <c r="AR159" i="27"/>
  <c r="AS159" i="27" s="1"/>
  <c r="AR114" i="27"/>
  <c r="AS114" i="27" s="1"/>
  <c r="AR115" i="27"/>
  <c r="AR116" i="27"/>
  <c r="AS116" i="27" s="1"/>
  <c r="AR117" i="27"/>
  <c r="AR160" i="27"/>
  <c r="AS160" i="27" s="1"/>
  <c r="AR161" i="27"/>
  <c r="AS161" i="27" s="1"/>
  <c r="AR118" i="27"/>
  <c r="AS118" i="27" s="1"/>
  <c r="AR119" i="27"/>
  <c r="AS119" i="27" s="1"/>
  <c r="AR10" i="27"/>
  <c r="AS10" i="27" s="1"/>
  <c r="AR3" i="27"/>
  <c r="AR11" i="27"/>
  <c r="AR4" i="27"/>
  <c r="AR12" i="27"/>
  <c r="AS12" i="27" s="1"/>
  <c r="AR188" i="27"/>
  <c r="AS188" i="27" s="1"/>
  <c r="AR5" i="27"/>
  <c r="AS5" i="27" s="1"/>
  <c r="AR13" i="27"/>
  <c r="AS13" i="27" s="1"/>
  <c r="AR189" i="27"/>
  <c r="AS189" i="27" s="1"/>
  <c r="AR208" i="27"/>
  <c r="AR7" i="27"/>
  <c r="AR9" i="27"/>
  <c r="AR190" i="27"/>
  <c r="AS190" i="27" s="1"/>
  <c r="AR191" i="27"/>
  <c r="AS191" i="27" s="1"/>
  <c r="AR6" i="27"/>
  <c r="AS6" i="27" s="1"/>
  <c r="AR8" i="27"/>
  <c r="AS8" i="27" s="1"/>
  <c r="AR2" i="27"/>
  <c r="AS2" i="27" s="1"/>
  <c r="AR14" i="27"/>
  <c r="AS14" i="27" s="1"/>
  <c r="AR18" i="27"/>
  <c r="AR26" i="27"/>
  <c r="AS26" i="27" s="1"/>
  <c r="AR194" i="27"/>
  <c r="AR19" i="27"/>
  <c r="AS19" i="27" s="1"/>
  <c r="AR27" i="27"/>
  <c r="AS27" i="27" s="1"/>
  <c r="AR195" i="27"/>
  <c r="AR20" i="27"/>
  <c r="AS20" i="27" s="1"/>
  <c r="AR196" i="27"/>
  <c r="AR21" i="27"/>
  <c r="AS21" i="27" s="1"/>
  <c r="AR15" i="27"/>
  <c r="AR23" i="27"/>
  <c r="AS23" i="27" s="1"/>
  <c r="AR17" i="27"/>
  <c r="AS17" i="27" s="1"/>
  <c r="AR25" i="27"/>
  <c r="AR22" i="27"/>
  <c r="AS22" i="27" s="1"/>
  <c r="AR24" i="27"/>
  <c r="AR192" i="27"/>
  <c r="AR193" i="27"/>
  <c r="AR16" i="27"/>
  <c r="AR165" i="27"/>
  <c r="AS165" i="27" s="1"/>
  <c r="AR105" i="27"/>
  <c r="AS105" i="27" s="1"/>
  <c r="AR127" i="27"/>
  <c r="AS127" i="27" s="1"/>
  <c r="AR128" i="27"/>
  <c r="AS128" i="27" s="1"/>
  <c r="AR129" i="27"/>
  <c r="AS129" i="27" s="1"/>
  <c r="AR103" i="27"/>
  <c r="AS103" i="27" s="1"/>
  <c r="AR104" i="27"/>
  <c r="AT78" i="27"/>
  <c r="AT134" i="27"/>
  <c r="AU134" i="27" s="1"/>
  <c r="BC134" i="27" s="1"/>
  <c r="AT79" i="27"/>
  <c r="AU79" i="27" s="1"/>
  <c r="AT151" i="27"/>
  <c r="AU151" i="27" s="1"/>
  <c r="BC151" i="27" s="1"/>
  <c r="AT80" i="27"/>
  <c r="AU80" i="27" s="1"/>
  <c r="AT152" i="27"/>
  <c r="AU152" i="27" s="1"/>
  <c r="BC152" i="27" s="1"/>
  <c r="AT153" i="27"/>
  <c r="AU153" i="27" s="1"/>
  <c r="BC153" i="27" s="1"/>
  <c r="AT75" i="27"/>
  <c r="AT131" i="27"/>
  <c r="AT76" i="27"/>
  <c r="AU76" i="27" s="1"/>
  <c r="AT77" i="27"/>
  <c r="AU77" i="27" s="1"/>
  <c r="AT133" i="27"/>
  <c r="AU133" i="27" s="1"/>
  <c r="BC133" i="27" s="1"/>
  <c r="AT132" i="27"/>
  <c r="AU132" i="27" s="1"/>
  <c r="AR82" i="27"/>
  <c r="AS82" i="27" s="1"/>
  <c r="AR83" i="27"/>
  <c r="AS83" i="27" s="1"/>
  <c r="BB83" i="27" s="1"/>
  <c r="AR99" i="27"/>
  <c r="AR84" i="27"/>
  <c r="AR85" i="27"/>
  <c r="AS85" i="27" s="1"/>
  <c r="BB85" i="27" s="1"/>
  <c r="AT157" i="27"/>
  <c r="AU157" i="27" s="1"/>
  <c r="AT156" i="27"/>
  <c r="AU156" i="27" s="1"/>
  <c r="AR50" i="27"/>
  <c r="AS50" i="27" s="1"/>
  <c r="AR51" i="27"/>
  <c r="AS51" i="27" s="1"/>
  <c r="BB51" i="27" s="1"/>
  <c r="AR52" i="27"/>
  <c r="AS52" i="27" s="1"/>
  <c r="AR45" i="27"/>
  <c r="AR173" i="27"/>
  <c r="AS173" i="27" s="1"/>
  <c r="AR47" i="27"/>
  <c r="AS47" i="27" s="1"/>
  <c r="BB47" i="27" s="1"/>
  <c r="AR49" i="27"/>
  <c r="AS49" i="27" s="1"/>
  <c r="BB49" i="27" s="1"/>
  <c r="AR174" i="27"/>
  <c r="AR46" i="27"/>
  <c r="AS46" i="27" s="1"/>
  <c r="BB46" i="27" s="1"/>
  <c r="AR48" i="27"/>
  <c r="AS48" i="27" s="1"/>
  <c r="AR146" i="27"/>
  <c r="AS146" i="27" s="1"/>
  <c r="AR154" i="27"/>
  <c r="AR155" i="27"/>
  <c r="AS155" i="27" s="1"/>
  <c r="AR197" i="27"/>
  <c r="AR143" i="27"/>
  <c r="AS143" i="27" s="1"/>
  <c r="AR144" i="27"/>
  <c r="AS144" i="27" s="1"/>
  <c r="AR145" i="27"/>
  <c r="AS145" i="27" s="1"/>
  <c r="AR206" i="27"/>
  <c r="AS206" i="27" s="1"/>
  <c r="BB206" i="27" s="1"/>
  <c r="AR207" i="27"/>
  <c r="AS207" i="27" s="1"/>
  <c r="AT142" i="27"/>
  <c r="AU142" i="27" s="1"/>
  <c r="AT95" i="27"/>
  <c r="AU95" i="27" s="1"/>
  <c r="AT209" i="27"/>
  <c r="AU209" i="27" s="1"/>
  <c r="AT96" i="27"/>
  <c r="AU96" i="27" s="1"/>
  <c r="AT107" i="27"/>
  <c r="AT123" i="27"/>
  <c r="AT139" i="27"/>
  <c r="AU139" i="27" s="1"/>
  <c r="AT163" i="27"/>
  <c r="AT141" i="27"/>
  <c r="AU141" i="27" s="1"/>
  <c r="AT122" i="27"/>
  <c r="AU122" i="27" s="1"/>
  <c r="AT124" i="27"/>
  <c r="AT130" i="27"/>
  <c r="AU130" i="27" s="1"/>
  <c r="AT162" i="27"/>
  <c r="AU162" i="27" s="1"/>
  <c r="BC162" i="27" s="1"/>
  <c r="AT164" i="27"/>
  <c r="AU164" i="27" s="1"/>
  <c r="AT106" i="27"/>
  <c r="AU106" i="27" s="1"/>
  <c r="AT170" i="27"/>
  <c r="AT108" i="27"/>
  <c r="AU108" i="27" s="1"/>
  <c r="AT140" i="27"/>
  <c r="AU140" i="27" s="1"/>
  <c r="AR98" i="27"/>
  <c r="AS98" i="27" s="1"/>
  <c r="AR97" i="27"/>
  <c r="AS97" i="27" s="1"/>
  <c r="AU212" i="27"/>
  <c r="BC212" i="27" s="1"/>
  <c r="AR74" i="27"/>
  <c r="AR171" i="27"/>
  <c r="AR68" i="27"/>
  <c r="AS68" i="27" s="1"/>
  <c r="AR172" i="27"/>
  <c r="AR69" i="27"/>
  <c r="AS69" i="27" s="1"/>
  <c r="AR73" i="27"/>
  <c r="AS73" i="27" s="1"/>
  <c r="AR81" i="27"/>
  <c r="AS81" i="27" s="1"/>
  <c r="AR70" i="27"/>
  <c r="AS70" i="27" s="1"/>
  <c r="AR71" i="27"/>
  <c r="AS71" i="27" s="1"/>
  <c r="AR72" i="27"/>
  <c r="AR156" i="27"/>
  <c r="AS156" i="27" s="1"/>
  <c r="AR157" i="27"/>
  <c r="AS157" i="27" s="1"/>
  <c r="AM212" i="27"/>
  <c r="AY212" i="27" s="1"/>
  <c r="AS212" i="27"/>
  <c r="BB212" i="27" s="1"/>
  <c r="AT120" i="27"/>
  <c r="AU120" i="27" s="1"/>
  <c r="BC120" i="27" s="1"/>
  <c r="AT121" i="27"/>
  <c r="AU121" i="27" s="1"/>
  <c r="BC121" i="27" s="1"/>
  <c r="AR34" i="27"/>
  <c r="AR42" i="27"/>
  <c r="AR35" i="27"/>
  <c r="AS35" i="27" s="1"/>
  <c r="AR43" i="27"/>
  <c r="AS43" i="27" s="1"/>
  <c r="AR201" i="27"/>
  <c r="AR36" i="27"/>
  <c r="AS36" i="27" s="1"/>
  <c r="BB36" i="27" s="1"/>
  <c r="AR44" i="27"/>
  <c r="AS44" i="27" s="1"/>
  <c r="AR202" i="27"/>
  <c r="AS202" i="27" s="1"/>
  <c r="AR29" i="27"/>
  <c r="AR37" i="27"/>
  <c r="AS37" i="27" s="1"/>
  <c r="AR204" i="27"/>
  <c r="AR31" i="27"/>
  <c r="AS31" i="27" s="1"/>
  <c r="AR39" i="27"/>
  <c r="AR205" i="27"/>
  <c r="AR33" i="27"/>
  <c r="AS33" i="27" s="1"/>
  <c r="AR41" i="27"/>
  <c r="AR30" i="27"/>
  <c r="AR32" i="27"/>
  <c r="AR38" i="27"/>
  <c r="AS38" i="27" s="1"/>
  <c r="AR40" i="27"/>
  <c r="AS40" i="27" s="1"/>
  <c r="AR203" i="27"/>
  <c r="AS203" i="27" s="1"/>
  <c r="AT206" i="27"/>
  <c r="AU206" i="27" s="1"/>
  <c r="BC206" i="27" s="1"/>
  <c r="AT207" i="27"/>
  <c r="AU207" i="27" s="1"/>
  <c r="AT97" i="27"/>
  <c r="AT98" i="27"/>
  <c r="AR100" i="27"/>
  <c r="AS100" i="27" s="1"/>
  <c r="AR101" i="27"/>
  <c r="AS101" i="27" s="1"/>
  <c r="AT110" i="27"/>
  <c r="AU110" i="27" s="1"/>
  <c r="AT150" i="27"/>
  <c r="AU150" i="27" s="1"/>
  <c r="AT111" i="27"/>
  <c r="AU111" i="27" s="1"/>
  <c r="AT112" i="27"/>
  <c r="AT89" i="27"/>
  <c r="AU89" i="27" s="1"/>
  <c r="AT113" i="27"/>
  <c r="AU113" i="27" s="1"/>
  <c r="AT91" i="27"/>
  <c r="AU91" i="27" s="1"/>
  <c r="AT147" i="27"/>
  <c r="AU147" i="27" s="1"/>
  <c r="AT109" i="27"/>
  <c r="AU109" i="27" s="1"/>
  <c r="AT149" i="27"/>
  <c r="AU149" i="27" s="1"/>
  <c r="AT90" i="27"/>
  <c r="AU90" i="27" s="1"/>
  <c r="AT148" i="27"/>
  <c r="AU148" i="27" s="1"/>
  <c r="AR90" i="27"/>
  <c r="AS90" i="27" s="1"/>
  <c r="AR91" i="27"/>
  <c r="AS91" i="27" s="1"/>
  <c r="AR147" i="27"/>
  <c r="AS147" i="27" s="1"/>
  <c r="AR148" i="27"/>
  <c r="AS148" i="27" s="1"/>
  <c r="AR109" i="27"/>
  <c r="AS109" i="27" s="1"/>
  <c r="AR149" i="27"/>
  <c r="AS149" i="27" s="1"/>
  <c r="AR110" i="27"/>
  <c r="AS110" i="27" s="1"/>
  <c r="AR111" i="27"/>
  <c r="AS111" i="27" s="1"/>
  <c r="AR112" i="27"/>
  <c r="AR113" i="27"/>
  <c r="AS113" i="27" s="1"/>
  <c r="AR150" i="27"/>
  <c r="AS150" i="27" s="1"/>
  <c r="AR89" i="27"/>
  <c r="AS89" i="27" s="1"/>
  <c r="BB89" i="27" s="1"/>
  <c r="AT166" i="27"/>
  <c r="AU166" i="27" s="1"/>
  <c r="AT167" i="27"/>
  <c r="AU167" i="27" s="1"/>
  <c r="AT200" i="27"/>
  <c r="AT198" i="27"/>
  <c r="AU198" i="27" s="1"/>
  <c r="BC198" i="27" s="1"/>
  <c r="AT199" i="27"/>
  <c r="AT182" i="27"/>
  <c r="AU182" i="27" s="1"/>
  <c r="AT183" i="27"/>
  <c r="AU183" i="27" s="1"/>
  <c r="AT176" i="27"/>
  <c r="AU176" i="27" s="1"/>
  <c r="AT184" i="27"/>
  <c r="AU184" i="27" s="1"/>
  <c r="AT177" i="27"/>
  <c r="AU177" i="27" s="1"/>
  <c r="AT185" i="27"/>
  <c r="AU185" i="27" s="1"/>
  <c r="AT179" i="27"/>
  <c r="AU179" i="27" s="1"/>
  <c r="AT187" i="27"/>
  <c r="AT181" i="27"/>
  <c r="AU181" i="27" s="1"/>
  <c r="AT186" i="27"/>
  <c r="AU186" i="27" s="1"/>
  <c r="AT178" i="27"/>
  <c r="AU178" i="27" s="1"/>
  <c r="AT180" i="27"/>
  <c r="AU180" i="27" s="1"/>
  <c r="AR198" i="27"/>
  <c r="AS198" i="27" s="1"/>
  <c r="BB198" i="27" s="1"/>
  <c r="AR200" i="27"/>
  <c r="AR199" i="27"/>
  <c r="AS199" i="27" s="1"/>
  <c r="BB199" i="27" s="1"/>
  <c r="AR166" i="27"/>
  <c r="AS166" i="27" s="1"/>
  <c r="AR167" i="27"/>
  <c r="AS167" i="27" s="1"/>
  <c r="AR178" i="27"/>
  <c r="AS178" i="27" s="1"/>
  <c r="AR186" i="27"/>
  <c r="AS186" i="27" s="1"/>
  <c r="AR179" i="27"/>
  <c r="AS179" i="27" s="1"/>
  <c r="AR187" i="27"/>
  <c r="AS187" i="27" s="1"/>
  <c r="AR180" i="27"/>
  <c r="AS180" i="27" s="1"/>
  <c r="AR181" i="27"/>
  <c r="AS181" i="27" s="1"/>
  <c r="AR185" i="27"/>
  <c r="AS185" i="27" s="1"/>
  <c r="AR176" i="27"/>
  <c r="AS176" i="27" s="1"/>
  <c r="AR177" i="27"/>
  <c r="AS177" i="27" s="1"/>
  <c r="AR182" i="27"/>
  <c r="AS182" i="27" s="1"/>
  <c r="AR183" i="27"/>
  <c r="AS183" i="27" s="1"/>
  <c r="AR184" i="27"/>
  <c r="AS184" i="27" s="1"/>
  <c r="AT30" i="27"/>
  <c r="AU30" i="27" s="1"/>
  <c r="AT38" i="27"/>
  <c r="AU38" i="27" s="1"/>
  <c r="AT205" i="27"/>
  <c r="AT31" i="27"/>
  <c r="AT39" i="27"/>
  <c r="AU39" i="27" s="1"/>
  <c r="AT32" i="27"/>
  <c r="AU32" i="27" s="1"/>
  <c r="AT40" i="27"/>
  <c r="AU40" i="27" s="1"/>
  <c r="AT33" i="27"/>
  <c r="AU33" i="27" s="1"/>
  <c r="AT41" i="27"/>
  <c r="AU41" i="27" s="1"/>
  <c r="AT202" i="27"/>
  <c r="AU202" i="27" s="1"/>
  <c r="AT35" i="27"/>
  <c r="AU35" i="27" s="1"/>
  <c r="AT43" i="27"/>
  <c r="AU43" i="27" s="1"/>
  <c r="AT203" i="27"/>
  <c r="AT36" i="27"/>
  <c r="AU36" i="27" s="1"/>
  <c r="AT44" i="27"/>
  <c r="AU44" i="27" s="1"/>
  <c r="AT204" i="27"/>
  <c r="AT29" i="27"/>
  <c r="AU29" i="27" s="1"/>
  <c r="AT37" i="27"/>
  <c r="AU37" i="27" s="1"/>
  <c r="AT201" i="27"/>
  <c r="AT34" i="27"/>
  <c r="AU34" i="27" s="1"/>
  <c r="AT42" i="27"/>
  <c r="AU42" i="27" s="1"/>
  <c r="AR121" i="27"/>
  <c r="AS121" i="27" s="1"/>
  <c r="AR120" i="27"/>
  <c r="AS120" i="27" s="1"/>
  <c r="AT143" i="27"/>
  <c r="AU143" i="27" s="1"/>
  <c r="AT144" i="27"/>
  <c r="AU144" i="27" s="1"/>
  <c r="AT145" i="27"/>
  <c r="AU145" i="27" s="1"/>
  <c r="AT155" i="27"/>
  <c r="AT197" i="27"/>
  <c r="AT154" i="27"/>
  <c r="AT146" i="27"/>
  <c r="AU146" i="27" s="1"/>
  <c r="AR169" i="27"/>
  <c r="AS169" i="27" s="1"/>
  <c r="AR168" i="27"/>
  <c r="AS168" i="27" s="1"/>
  <c r="AT83" i="27"/>
  <c r="AU83" i="27" s="1"/>
  <c r="AT99" i="27"/>
  <c r="AU99" i="27" s="1"/>
  <c r="AT84" i="27"/>
  <c r="AU84" i="27" s="1"/>
  <c r="AT85" i="27"/>
  <c r="AU85" i="27" s="1"/>
  <c r="AT82" i="27"/>
  <c r="AU82" i="27" s="1"/>
  <c r="AT158" i="27"/>
  <c r="AU158" i="27" s="1"/>
  <c r="AT159" i="27"/>
  <c r="AU159" i="27" s="1"/>
  <c r="AR58" i="27"/>
  <c r="AS58" i="27" s="1"/>
  <c r="AR59" i="27"/>
  <c r="AS59" i="27" s="1"/>
  <c r="AR57" i="27"/>
  <c r="AS57" i="27" s="1"/>
  <c r="AR106" i="27"/>
  <c r="AS106" i="27" s="1"/>
  <c r="AR122" i="27"/>
  <c r="AS122" i="27" s="1"/>
  <c r="AR130" i="27"/>
  <c r="AS130" i="27" s="1"/>
  <c r="BB130" i="27" s="1"/>
  <c r="AR162" i="27"/>
  <c r="AS162" i="27" s="1"/>
  <c r="AR170" i="27"/>
  <c r="AR107" i="27"/>
  <c r="AR123" i="27"/>
  <c r="AS123" i="27" s="1"/>
  <c r="AR139" i="27"/>
  <c r="AS139" i="27" s="1"/>
  <c r="AR163" i="27"/>
  <c r="AS163" i="27" s="1"/>
  <c r="AR108" i="27"/>
  <c r="AS108" i="27" s="1"/>
  <c r="AR124" i="27"/>
  <c r="AR140" i="27"/>
  <c r="AS140" i="27" s="1"/>
  <c r="AR164" i="27"/>
  <c r="AS164" i="27" s="1"/>
  <c r="AR209" i="27"/>
  <c r="AS209" i="27" s="1"/>
  <c r="AR141" i="27"/>
  <c r="AS141" i="27" s="1"/>
  <c r="AR142" i="27"/>
  <c r="AS142" i="27" s="1"/>
  <c r="AR95" i="27"/>
  <c r="AS95" i="27" s="1"/>
  <c r="BB95" i="27" s="1"/>
  <c r="AR96" i="27"/>
  <c r="AS96" i="27" s="1"/>
  <c r="AT62" i="27"/>
  <c r="AU62" i="27" s="1"/>
  <c r="BC62" i="27" s="1"/>
  <c r="AT94" i="27"/>
  <c r="AU94" i="27" s="1"/>
  <c r="AT126" i="27"/>
  <c r="AU126" i="27" s="1"/>
  <c r="AT63" i="27"/>
  <c r="AU63" i="27" s="1"/>
  <c r="AT135" i="27"/>
  <c r="AU135" i="27" s="1"/>
  <c r="BC135" i="27" s="1"/>
  <c r="AT175" i="27"/>
  <c r="AT64" i="27"/>
  <c r="AU64" i="27" s="1"/>
  <c r="AT136" i="27"/>
  <c r="AU136" i="27" s="1"/>
  <c r="AT65" i="27"/>
  <c r="AU65" i="27" s="1"/>
  <c r="AT137" i="27"/>
  <c r="AU137" i="27" s="1"/>
  <c r="AT67" i="27"/>
  <c r="AU67" i="27" s="1"/>
  <c r="AT60" i="27"/>
  <c r="AU60" i="27" s="1"/>
  <c r="BC60" i="27" s="1"/>
  <c r="AT125" i="27"/>
  <c r="AU125" i="27" s="1"/>
  <c r="AT66" i="27"/>
  <c r="AU66" i="27" s="1"/>
  <c r="AT138" i="27"/>
  <c r="AU138" i="27" s="1"/>
  <c r="AT6" i="27"/>
  <c r="AU6" i="27" s="1"/>
  <c r="AT14" i="27"/>
  <c r="AU14" i="27" s="1"/>
  <c r="AT190" i="27"/>
  <c r="AU190" i="27" s="1"/>
  <c r="AT2" i="27"/>
  <c r="AU2" i="27" s="1"/>
  <c r="AT7" i="27"/>
  <c r="AU7" i="27" s="1"/>
  <c r="AT191" i="27"/>
  <c r="AU191" i="27" s="1"/>
  <c r="AT8" i="27"/>
  <c r="AU8" i="27" s="1"/>
  <c r="AT9" i="27"/>
  <c r="AU9" i="27" s="1"/>
  <c r="AT3" i="27"/>
  <c r="AU3" i="27" s="1"/>
  <c r="AT11" i="27"/>
  <c r="AU11" i="27" s="1"/>
  <c r="BC11" i="27" s="1"/>
  <c r="AT208" i="27"/>
  <c r="AU208" i="27" s="1"/>
  <c r="BC208" i="27" s="1"/>
  <c r="AT4" i="27"/>
  <c r="AU4" i="27" s="1"/>
  <c r="AT12" i="27"/>
  <c r="AU12" i="27" s="1"/>
  <c r="BC12" i="27" s="1"/>
  <c r="AT5" i="27"/>
  <c r="AU5" i="27" s="1"/>
  <c r="AT13" i="27"/>
  <c r="AU13" i="27" s="1"/>
  <c r="AT189" i="27"/>
  <c r="AU189" i="27" s="1"/>
  <c r="AT188" i="27"/>
  <c r="AU188" i="27" s="1"/>
  <c r="AT10" i="27"/>
  <c r="AU10" i="27" s="1"/>
  <c r="AT22" i="27"/>
  <c r="AU22" i="27" s="1"/>
  <c r="AT15" i="27"/>
  <c r="AU15" i="27" s="1"/>
  <c r="AT23" i="27"/>
  <c r="AU23" i="27" s="1"/>
  <c r="AT16" i="27"/>
  <c r="AU16" i="27" s="1"/>
  <c r="AT24" i="27"/>
  <c r="AT192" i="27"/>
  <c r="AT17" i="27"/>
  <c r="AU17" i="27" s="1"/>
  <c r="AT25" i="27"/>
  <c r="AT193" i="27"/>
  <c r="AT19" i="27"/>
  <c r="AU19" i="27" s="1"/>
  <c r="AT27" i="27"/>
  <c r="AU27" i="27" s="1"/>
  <c r="AT195" i="27"/>
  <c r="AT20" i="27"/>
  <c r="AU20" i="27" s="1"/>
  <c r="AT21" i="27"/>
  <c r="AU21" i="27" s="1"/>
  <c r="AT194" i="27"/>
  <c r="AT196" i="27"/>
  <c r="AT18" i="27"/>
  <c r="AU18" i="27" s="1"/>
  <c r="BC18" i="27" s="1"/>
  <c r="AT26" i="27"/>
  <c r="AU26" i="27" s="1"/>
  <c r="AT103" i="27"/>
  <c r="AU103" i="27" s="1"/>
  <c r="AT127" i="27"/>
  <c r="AU127" i="27" s="1"/>
  <c r="AT104" i="27"/>
  <c r="AU104" i="27" s="1"/>
  <c r="AT128" i="27"/>
  <c r="AU128" i="27" s="1"/>
  <c r="AT105" i="27"/>
  <c r="AU105" i="27" s="1"/>
  <c r="AT129" i="27"/>
  <c r="AU129" i="27" s="1"/>
  <c r="BC129" i="27" s="1"/>
  <c r="AT165" i="27"/>
  <c r="AU165" i="27" s="1"/>
  <c r="AT101" i="27"/>
  <c r="AU101" i="27" s="1"/>
  <c r="AT100" i="27"/>
  <c r="AU100" i="27" s="1"/>
  <c r="AR75" i="27"/>
  <c r="AS75" i="27" s="1"/>
  <c r="BB75" i="27" s="1"/>
  <c r="AR131" i="27"/>
  <c r="AS131" i="27" s="1"/>
  <c r="AR76" i="27"/>
  <c r="AS76" i="27" s="1"/>
  <c r="AR132" i="27"/>
  <c r="AS132" i="27" s="1"/>
  <c r="AR77" i="27"/>
  <c r="AS77" i="27" s="1"/>
  <c r="AR133" i="27"/>
  <c r="AS133" i="27" s="1"/>
  <c r="AR79" i="27"/>
  <c r="AS79" i="27" s="1"/>
  <c r="AR153" i="27"/>
  <c r="AS153" i="27" s="1"/>
  <c r="AR80" i="27"/>
  <c r="AS80" i="27" s="1"/>
  <c r="AR134" i="27"/>
  <c r="AS134" i="27" s="1"/>
  <c r="AR151" i="27"/>
  <c r="AS151" i="27" s="1"/>
  <c r="AR78" i="27"/>
  <c r="AS78" i="27" s="1"/>
  <c r="AR152" i="27"/>
  <c r="AS152" i="27" s="1"/>
  <c r="AR66" i="27"/>
  <c r="AS66" i="27" s="1"/>
  <c r="AR138" i="27"/>
  <c r="AS138" i="27" s="1"/>
  <c r="AR67" i="27"/>
  <c r="AS67" i="27" s="1"/>
  <c r="AR60" i="27"/>
  <c r="AS60" i="27" s="1"/>
  <c r="AR125" i="27"/>
  <c r="AS125" i="27" s="1"/>
  <c r="AR63" i="27"/>
  <c r="AS63" i="27" s="1"/>
  <c r="AR65" i="27"/>
  <c r="AS65" i="27" s="1"/>
  <c r="AR137" i="27"/>
  <c r="AS137" i="27" s="1"/>
  <c r="AR94" i="27"/>
  <c r="AS94" i="27" s="1"/>
  <c r="AR126" i="27"/>
  <c r="AS126" i="27" s="1"/>
  <c r="AR62" i="27"/>
  <c r="AS62" i="27" s="1"/>
  <c r="AR175" i="27"/>
  <c r="AR64" i="27"/>
  <c r="AS64" i="27" s="1"/>
  <c r="AR135" i="27"/>
  <c r="AS135" i="27" s="1"/>
  <c r="AR136" i="27"/>
  <c r="AS136" i="27" s="1"/>
  <c r="AM209" i="27"/>
  <c r="AK209" i="27"/>
  <c r="AU205" i="27"/>
  <c r="AS205" i="27"/>
  <c r="AQ205" i="27"/>
  <c r="AO205" i="27"/>
  <c r="AM205" i="27"/>
  <c r="AK205" i="27"/>
  <c r="AU203" i="27"/>
  <c r="AM203" i="27"/>
  <c r="AK203" i="27"/>
  <c r="AM202" i="27"/>
  <c r="AK202" i="27"/>
  <c r="AU204" i="27"/>
  <c r="AS204" i="27"/>
  <c r="AQ204" i="27"/>
  <c r="AO204" i="27"/>
  <c r="AM204" i="27"/>
  <c r="AK204" i="27"/>
  <c r="AS3" i="27"/>
  <c r="AM3" i="27"/>
  <c r="AK3" i="27"/>
  <c r="AS7" i="27"/>
  <c r="AM7" i="27"/>
  <c r="AY7" i="27" s="1"/>
  <c r="AK7" i="27"/>
  <c r="AX7" i="27" s="1"/>
  <c r="AM23" i="27"/>
  <c r="AY23" i="27" s="1"/>
  <c r="AK23" i="27"/>
  <c r="AX23" i="27" s="1"/>
  <c r="AM27" i="27"/>
  <c r="AK27" i="27"/>
  <c r="AU31" i="27"/>
  <c r="AM31" i="27"/>
  <c r="AK31" i="27"/>
  <c r="AM55" i="27"/>
  <c r="AY55" i="27" s="1"/>
  <c r="AK55" i="27"/>
  <c r="AX55" i="27" s="1"/>
  <c r="AU59" i="27"/>
  <c r="AM59" i="27"/>
  <c r="AY59" i="27" s="1"/>
  <c r="AK59" i="27"/>
  <c r="AX59" i="27" s="1"/>
  <c r="AM71" i="27"/>
  <c r="AY71" i="27" s="1"/>
  <c r="AK71" i="27"/>
  <c r="AX71" i="27" s="1"/>
  <c r="AS99" i="27"/>
  <c r="BB99" i="27" s="1"/>
  <c r="AM99" i="27"/>
  <c r="AY99" i="27" s="1"/>
  <c r="AK99" i="27"/>
  <c r="AX99" i="27" s="1"/>
  <c r="AS115" i="27"/>
  <c r="AM115" i="27"/>
  <c r="AY115" i="27" s="1"/>
  <c r="AK115" i="27"/>
  <c r="AX115" i="27" s="1"/>
  <c r="AU123" i="27"/>
  <c r="AM123" i="27"/>
  <c r="AY123" i="27" s="1"/>
  <c r="AK123" i="27"/>
  <c r="AX123" i="27" s="1"/>
  <c r="AU131" i="27"/>
  <c r="AQ131" i="27"/>
  <c r="BA131" i="27" s="1"/>
  <c r="AO131" i="27"/>
  <c r="AZ131" i="27" s="1"/>
  <c r="AM131" i="27"/>
  <c r="AY131" i="27" s="1"/>
  <c r="AK131" i="27"/>
  <c r="AX131" i="27" s="1"/>
  <c r="AM135" i="27"/>
  <c r="AY135" i="27" s="1"/>
  <c r="AK135" i="27"/>
  <c r="AX135" i="27" s="1"/>
  <c r="AQ151" i="27"/>
  <c r="BA151" i="27" s="1"/>
  <c r="AO151" i="27"/>
  <c r="AZ151" i="27" s="1"/>
  <c r="AM151" i="27"/>
  <c r="AY151" i="27" s="1"/>
  <c r="AK151" i="27"/>
  <c r="AX151" i="27" s="1"/>
  <c r="AU155" i="27"/>
  <c r="AM155" i="27"/>
  <c r="AK155" i="27"/>
  <c r="AU171" i="27"/>
  <c r="AS171" i="27"/>
  <c r="AQ171" i="27"/>
  <c r="AO171" i="27"/>
  <c r="AM171" i="27"/>
  <c r="AK171" i="27"/>
  <c r="AU175" i="27"/>
  <c r="AS175" i="27"/>
  <c r="AQ175" i="27"/>
  <c r="AO175" i="27"/>
  <c r="AM175" i="27"/>
  <c r="AK175" i="27"/>
  <c r="AU195" i="27"/>
  <c r="BC195" i="27" s="1"/>
  <c r="AS195" i="27"/>
  <c r="BB195" i="27" s="1"/>
  <c r="AQ195" i="27"/>
  <c r="AO195" i="27"/>
  <c r="AZ195" i="27" s="1"/>
  <c r="AM195" i="27"/>
  <c r="AY195" i="27" s="1"/>
  <c r="AK195" i="27"/>
  <c r="AX195" i="27" s="1"/>
  <c r="AM8" i="27"/>
  <c r="AK8" i="27"/>
  <c r="AS16" i="27"/>
  <c r="AM16" i="27"/>
  <c r="AY16" i="27" s="1"/>
  <c r="AK16" i="27"/>
  <c r="AX16" i="27" s="1"/>
  <c r="AU28" i="27"/>
  <c r="AM28" i="27"/>
  <c r="AY28" i="27" s="1"/>
  <c r="AK28" i="27"/>
  <c r="AX28" i="27" s="1"/>
  <c r="AS32" i="27"/>
  <c r="AM32" i="27"/>
  <c r="AK32" i="27"/>
  <c r="AM60" i="27"/>
  <c r="AY60" i="27" s="1"/>
  <c r="AK60" i="27"/>
  <c r="AX60" i="27" s="1"/>
  <c r="AU68" i="27"/>
  <c r="AM68" i="27"/>
  <c r="AY68" i="27" s="1"/>
  <c r="AK68" i="27"/>
  <c r="AX68" i="27" s="1"/>
  <c r="AS104" i="27"/>
  <c r="AM104" i="27"/>
  <c r="AK104" i="27"/>
  <c r="AM108" i="27"/>
  <c r="AY108" i="27" s="1"/>
  <c r="AK108" i="27"/>
  <c r="AX108" i="27" s="1"/>
  <c r="AM120" i="27"/>
  <c r="AY120" i="27" s="1"/>
  <c r="AK120" i="27"/>
  <c r="AX120" i="27" s="1"/>
  <c r="AU124" i="27"/>
  <c r="AS124" i="27"/>
  <c r="AQ124" i="27"/>
  <c r="AO124" i="27"/>
  <c r="AM124" i="27"/>
  <c r="AK124" i="27"/>
  <c r="AM128" i="27"/>
  <c r="AY128" i="27" s="1"/>
  <c r="AK128" i="27"/>
  <c r="AX128" i="27" s="1"/>
  <c r="AM144" i="27"/>
  <c r="AY144" i="27" s="1"/>
  <c r="AK144" i="27"/>
  <c r="AX144" i="27" s="1"/>
  <c r="AQ152" i="27"/>
  <c r="BA152" i="27" s="1"/>
  <c r="AO152" i="27"/>
  <c r="AZ152" i="27" s="1"/>
  <c r="AM152" i="27"/>
  <c r="AY152" i="27" s="1"/>
  <c r="AK152" i="27"/>
  <c r="AX152" i="27" s="1"/>
  <c r="AU196" i="27"/>
  <c r="BC196" i="27" s="1"/>
  <c r="AS196" i="27"/>
  <c r="BB196" i="27" s="1"/>
  <c r="AQ196" i="27"/>
  <c r="BA196" i="27" s="1"/>
  <c r="AO196" i="27"/>
  <c r="AZ196" i="27" s="1"/>
  <c r="AM196" i="27"/>
  <c r="AY196" i="27" s="1"/>
  <c r="AK196" i="27"/>
  <c r="AX196" i="27" s="1"/>
  <c r="AM5" i="27"/>
  <c r="AY5" i="27" s="1"/>
  <c r="AK5" i="27"/>
  <c r="AX5" i="27" s="1"/>
  <c r="AS9" i="27"/>
  <c r="AM9" i="27"/>
  <c r="AK9" i="27"/>
  <c r="AM13" i="27"/>
  <c r="AY13" i="27" s="1"/>
  <c r="AK13" i="27"/>
  <c r="AX13" i="27" s="1"/>
  <c r="AS29" i="27"/>
  <c r="AM29" i="27"/>
  <c r="AK29" i="27"/>
  <c r="AM89" i="27"/>
  <c r="AY89" i="27" s="1"/>
  <c r="AK89" i="27"/>
  <c r="AX89" i="27" s="1"/>
  <c r="AU117" i="27"/>
  <c r="AS117" i="27"/>
  <c r="AM117" i="27"/>
  <c r="AY117" i="27" s="1"/>
  <c r="AK117" i="27"/>
  <c r="AX117" i="27" s="1"/>
  <c r="AM121" i="27"/>
  <c r="AY121" i="27" s="1"/>
  <c r="AK121" i="27"/>
  <c r="AX121" i="27" s="1"/>
  <c r="AQ133" i="27"/>
  <c r="BA133" i="27" s="1"/>
  <c r="AO133" i="27"/>
  <c r="AZ133" i="27" s="1"/>
  <c r="AM133" i="27"/>
  <c r="AY133" i="27" s="1"/>
  <c r="AK133" i="27"/>
  <c r="AX133" i="27" s="1"/>
  <c r="AM137" i="27"/>
  <c r="AY137" i="27" s="1"/>
  <c r="AK137" i="27"/>
  <c r="AX137" i="27" s="1"/>
  <c r="AM145" i="27"/>
  <c r="AY145" i="27" s="1"/>
  <c r="AK145" i="27"/>
  <c r="AX145" i="27" s="1"/>
  <c r="AU173" i="27"/>
  <c r="AM173" i="27"/>
  <c r="AK173" i="27"/>
  <c r="AU193" i="27"/>
  <c r="BC193" i="27" s="1"/>
  <c r="AS193" i="27"/>
  <c r="BB193" i="27" s="1"/>
  <c r="AQ193" i="27"/>
  <c r="BA193" i="27" s="1"/>
  <c r="AO193" i="27"/>
  <c r="AZ193" i="27" s="1"/>
  <c r="AM193" i="27"/>
  <c r="AY193" i="27" s="1"/>
  <c r="AK193" i="27"/>
  <c r="AX193" i="27" s="1"/>
  <c r="AU197" i="27"/>
  <c r="AS197" i="27"/>
  <c r="AQ197" i="27"/>
  <c r="AO197" i="27"/>
  <c r="AM197" i="27"/>
  <c r="AK197" i="27"/>
  <c r="AM14" i="27"/>
  <c r="AY14" i="27" s="1"/>
  <c r="AK14" i="27"/>
  <c r="AX14" i="27" s="1"/>
  <c r="AS18" i="27"/>
  <c r="AM18" i="27"/>
  <c r="AY18" i="27" s="1"/>
  <c r="AK18" i="27"/>
  <c r="AX18" i="27" s="1"/>
  <c r="AS30" i="27"/>
  <c r="AM30" i="27"/>
  <c r="AK30" i="27"/>
  <c r="AM54" i="27"/>
  <c r="AY54" i="27" s="1"/>
  <c r="AK54" i="27"/>
  <c r="AX54" i="27" s="1"/>
  <c r="AU58" i="27"/>
  <c r="AM58" i="27"/>
  <c r="AY58" i="27" s="1"/>
  <c r="AK58" i="27"/>
  <c r="AX58" i="27" s="1"/>
  <c r="AM90" i="27"/>
  <c r="AY90" i="27" s="1"/>
  <c r="AK90" i="27"/>
  <c r="AX90" i="27" s="1"/>
  <c r="AM94" i="27"/>
  <c r="AY94" i="27" s="1"/>
  <c r="AK94" i="27"/>
  <c r="AX94" i="27" s="1"/>
  <c r="AU98" i="27"/>
  <c r="AM98" i="27"/>
  <c r="AY98" i="27" s="1"/>
  <c r="AK98" i="27"/>
  <c r="AX98" i="27" s="1"/>
  <c r="AM118" i="27"/>
  <c r="AK118" i="27"/>
  <c r="AM122" i="27"/>
  <c r="AY122" i="27" s="1"/>
  <c r="AK122" i="27"/>
  <c r="AX122" i="27" s="1"/>
  <c r="AQ134" i="27"/>
  <c r="BA134" i="27" s="1"/>
  <c r="AO134" i="27"/>
  <c r="AZ134" i="27" s="1"/>
  <c r="AM134" i="27"/>
  <c r="AY134" i="27" s="1"/>
  <c r="AK134" i="27"/>
  <c r="AX134" i="27" s="1"/>
  <c r="AM150" i="27"/>
  <c r="AY150" i="27" s="1"/>
  <c r="AK150" i="27"/>
  <c r="AX150" i="27" s="1"/>
  <c r="AU154" i="27"/>
  <c r="AS154" i="27"/>
  <c r="AQ154" i="27"/>
  <c r="AO154" i="27"/>
  <c r="AM154" i="27"/>
  <c r="AK154" i="27"/>
  <c r="AU170" i="27"/>
  <c r="AS170" i="27"/>
  <c r="AQ170" i="27"/>
  <c r="AO170" i="27"/>
  <c r="AM170" i="27"/>
  <c r="AK170" i="27"/>
  <c r="AU174" i="27"/>
  <c r="AS174" i="27"/>
  <c r="AM174" i="27"/>
  <c r="AK174" i="27"/>
  <c r="AU194" i="27"/>
  <c r="BC194" i="27" s="1"/>
  <c r="AS194" i="27"/>
  <c r="BB194" i="27" s="1"/>
  <c r="AQ194" i="27"/>
  <c r="BA194" i="27" s="1"/>
  <c r="AO194" i="27"/>
  <c r="AZ194" i="27" s="1"/>
  <c r="AM194" i="27"/>
  <c r="AY194" i="27" s="1"/>
  <c r="AK194" i="27"/>
  <c r="AX194" i="27" s="1"/>
  <c r="AM190" i="27"/>
  <c r="AY190" i="27" s="1"/>
  <c r="AK190" i="27"/>
  <c r="AX190" i="27" s="1"/>
  <c r="AM182" i="27"/>
  <c r="AY182" i="27" s="1"/>
  <c r="AK182" i="27"/>
  <c r="AX182" i="27" s="1"/>
  <c r="AM113" i="27"/>
  <c r="AK113" i="27"/>
  <c r="AM95" i="27"/>
  <c r="AY95" i="27" s="1"/>
  <c r="AK95" i="27"/>
  <c r="AX95" i="27" s="1"/>
  <c r="AS84" i="27"/>
  <c r="AM84" i="27"/>
  <c r="AY84" i="27" s="1"/>
  <c r="AK84" i="27"/>
  <c r="AX84" i="27" s="1"/>
  <c r="AQ76" i="27"/>
  <c r="BA76" i="27" s="1"/>
  <c r="AO76" i="27"/>
  <c r="AZ76" i="27" s="1"/>
  <c r="AM76" i="27"/>
  <c r="AY76" i="27" s="1"/>
  <c r="AK76" i="27"/>
  <c r="AX76" i="27" s="1"/>
  <c r="AM64" i="27"/>
  <c r="AY64" i="27" s="1"/>
  <c r="AK64" i="27"/>
  <c r="AX64" i="27" s="1"/>
  <c r="AM51" i="27"/>
  <c r="AY51" i="27" s="1"/>
  <c r="AK51" i="27"/>
  <c r="AX51" i="27" s="1"/>
  <c r="AM43" i="27"/>
  <c r="AK43" i="27"/>
  <c r="AM35" i="27"/>
  <c r="AY35" i="27" s="1"/>
  <c r="AK35" i="27"/>
  <c r="AX35" i="27" s="1"/>
  <c r="AM17" i="27"/>
  <c r="AK17" i="27"/>
  <c r="AM185" i="27"/>
  <c r="AY185" i="27" s="1"/>
  <c r="AK185" i="27"/>
  <c r="AX185" i="27" s="1"/>
  <c r="AM177" i="27"/>
  <c r="AY177" i="27" s="1"/>
  <c r="AK177" i="27"/>
  <c r="AX177" i="27" s="1"/>
  <c r="AM167" i="27"/>
  <c r="AY167" i="27" s="1"/>
  <c r="AK167" i="27"/>
  <c r="AX167" i="27" s="1"/>
  <c r="AM162" i="27"/>
  <c r="AY162" i="27" s="1"/>
  <c r="AK162" i="27"/>
  <c r="AX162" i="27" s="1"/>
  <c r="AM126" i="27"/>
  <c r="AY126" i="27" s="1"/>
  <c r="AK126" i="27"/>
  <c r="AX126" i="27" s="1"/>
  <c r="AS102" i="27"/>
  <c r="AQ102" i="27"/>
  <c r="BA102" i="27" s="1"/>
  <c r="AO102" i="27"/>
  <c r="AZ102" i="27" s="1"/>
  <c r="AM102" i="27"/>
  <c r="AY102" i="27" s="1"/>
  <c r="AK102" i="27"/>
  <c r="AX102" i="27" s="1"/>
  <c r="AU87" i="27"/>
  <c r="BC87" i="27" s="1"/>
  <c r="AS87" i="27"/>
  <c r="BB87" i="27" s="1"/>
  <c r="AQ87" i="27"/>
  <c r="BA87" i="27" s="1"/>
  <c r="AO87" i="27"/>
  <c r="AZ87" i="27" s="1"/>
  <c r="AM87" i="27"/>
  <c r="AY87" i="27" s="1"/>
  <c r="AK87" i="27"/>
  <c r="AX87" i="27" s="1"/>
  <c r="AQ79" i="27"/>
  <c r="BA79" i="27" s="1"/>
  <c r="AO79" i="27"/>
  <c r="AZ79" i="27" s="1"/>
  <c r="AM79" i="27"/>
  <c r="AY79" i="27" s="1"/>
  <c r="AK79" i="27"/>
  <c r="AX79" i="27" s="1"/>
  <c r="AM67" i="27"/>
  <c r="AY67" i="27" s="1"/>
  <c r="AK67" i="27"/>
  <c r="AX67" i="27" s="1"/>
  <c r="AU46" i="27"/>
  <c r="AM46" i="27"/>
  <c r="AY46" i="27" s="1"/>
  <c r="AK46" i="27"/>
  <c r="AX46" i="27" s="1"/>
  <c r="AM38" i="27"/>
  <c r="AK38" i="27"/>
  <c r="AS11" i="27"/>
  <c r="AM11" i="27"/>
  <c r="AY11" i="27" s="1"/>
  <c r="AK11" i="27"/>
  <c r="AX11" i="27" s="1"/>
  <c r="AM188" i="27"/>
  <c r="AY188" i="27" s="1"/>
  <c r="AK188" i="27"/>
  <c r="AX188" i="27" s="1"/>
  <c r="AM180" i="27"/>
  <c r="AY180" i="27" s="1"/>
  <c r="AK180" i="27"/>
  <c r="AX180" i="27" s="1"/>
  <c r="AM157" i="27"/>
  <c r="AY157" i="27" s="1"/>
  <c r="AK157" i="27"/>
  <c r="AX157" i="27" s="1"/>
  <c r="AM82" i="27"/>
  <c r="AY82" i="27" s="1"/>
  <c r="AK82" i="27"/>
  <c r="AX82" i="27" s="1"/>
  <c r="AS74" i="27"/>
  <c r="AM74" i="27"/>
  <c r="AY74" i="27" s="1"/>
  <c r="AK74" i="27"/>
  <c r="AX74" i="27" s="1"/>
  <c r="AM62" i="27"/>
  <c r="AY62" i="27" s="1"/>
  <c r="AK62" i="27"/>
  <c r="AX62" i="27" s="1"/>
  <c r="AM49" i="27"/>
  <c r="AY49" i="27" s="1"/>
  <c r="AK49" i="27"/>
  <c r="AX49" i="27" s="1"/>
  <c r="AS41" i="27"/>
  <c r="AM41" i="27"/>
  <c r="AK41" i="27"/>
  <c r="AM33" i="27"/>
  <c r="AK33" i="27"/>
  <c r="AM186" i="27"/>
  <c r="AY186" i="27" s="1"/>
  <c r="AK186" i="27"/>
  <c r="AX186" i="27" s="1"/>
  <c r="AM178" i="27"/>
  <c r="AY178" i="27" s="1"/>
  <c r="AK178" i="27"/>
  <c r="AX178" i="27" s="1"/>
  <c r="AM168" i="27"/>
  <c r="AY168" i="27" s="1"/>
  <c r="AK168" i="27"/>
  <c r="AX168" i="27" s="1"/>
  <c r="AU163" i="27"/>
  <c r="AM163" i="27"/>
  <c r="AY163" i="27" s="1"/>
  <c r="AK163" i="27"/>
  <c r="AX163" i="27" s="1"/>
  <c r="AQ153" i="27"/>
  <c r="BA153" i="27" s="1"/>
  <c r="AO153" i="27"/>
  <c r="AZ153" i="27" s="1"/>
  <c r="AM153" i="27"/>
  <c r="AY153" i="27" s="1"/>
  <c r="AK153" i="27"/>
  <c r="AX153" i="27" s="1"/>
  <c r="AM189" i="27"/>
  <c r="AY189" i="27" s="1"/>
  <c r="AK189" i="27"/>
  <c r="AX189" i="27" s="1"/>
  <c r="AM181" i="27"/>
  <c r="AY181" i="27" s="1"/>
  <c r="AK181" i="27"/>
  <c r="AX181" i="27" s="1"/>
  <c r="AM83" i="27"/>
  <c r="AY83" i="27" s="1"/>
  <c r="AK83" i="27"/>
  <c r="AX83" i="27" s="1"/>
  <c r="AU75" i="27"/>
  <c r="AQ75" i="27"/>
  <c r="BA75" i="27" s="1"/>
  <c r="AO75" i="27"/>
  <c r="AZ75" i="27" s="1"/>
  <c r="AM75" i="27"/>
  <c r="AY75" i="27" s="1"/>
  <c r="AK75" i="27"/>
  <c r="AX75" i="27" s="1"/>
  <c r="AM63" i="27"/>
  <c r="AY63" i="27" s="1"/>
  <c r="AK63" i="27"/>
  <c r="AX63" i="27" s="1"/>
  <c r="AU50" i="27"/>
  <c r="AM50" i="27"/>
  <c r="AY50" i="27" s="1"/>
  <c r="AK50" i="27"/>
  <c r="AX50" i="27" s="1"/>
  <c r="AS42" i="27"/>
  <c r="AM42" i="27"/>
  <c r="AK42" i="27"/>
  <c r="AS34" i="27"/>
  <c r="AM34" i="27"/>
  <c r="AK34" i="27"/>
  <c r="AM184" i="27"/>
  <c r="AY184" i="27" s="1"/>
  <c r="AK184" i="27"/>
  <c r="AX184" i="27" s="1"/>
  <c r="AM176" i="27"/>
  <c r="AY176" i="27" s="1"/>
  <c r="AK176" i="27"/>
  <c r="AX176" i="27" s="1"/>
  <c r="AM166" i="27"/>
  <c r="AY166" i="27" s="1"/>
  <c r="AK166" i="27"/>
  <c r="AX166" i="27" s="1"/>
  <c r="AU161" i="27"/>
  <c r="AM161" i="27"/>
  <c r="AY161" i="27" s="1"/>
  <c r="AK161" i="27"/>
  <c r="AX161" i="27" s="1"/>
  <c r="AM125" i="27"/>
  <c r="AY125" i="27" s="1"/>
  <c r="AK125" i="27"/>
  <c r="AX125" i="27" s="1"/>
  <c r="AM106" i="27"/>
  <c r="AK106" i="27"/>
  <c r="AU97" i="27"/>
  <c r="AM97" i="27"/>
  <c r="AY97" i="27" s="1"/>
  <c r="AK97" i="27"/>
  <c r="AX97" i="27" s="1"/>
  <c r="AU86" i="27"/>
  <c r="BC86" i="27" s="1"/>
  <c r="AS86" i="27"/>
  <c r="BB86" i="27" s="1"/>
  <c r="AQ86" i="27"/>
  <c r="BA86" i="27" s="1"/>
  <c r="AO86" i="27"/>
  <c r="AZ86" i="27" s="1"/>
  <c r="AM86" i="27"/>
  <c r="AY86" i="27" s="1"/>
  <c r="AK86" i="27"/>
  <c r="AX86" i="27" s="1"/>
  <c r="AU78" i="27"/>
  <c r="BC78" i="27" s="1"/>
  <c r="AQ78" i="27"/>
  <c r="BA78" i="27" s="1"/>
  <c r="AO78" i="27"/>
  <c r="AZ78" i="27" s="1"/>
  <c r="AM78" i="27"/>
  <c r="AY78" i="27" s="1"/>
  <c r="AK78" i="27"/>
  <c r="AX78" i="27" s="1"/>
  <c r="AM66" i="27"/>
  <c r="AY66" i="27" s="1"/>
  <c r="AK66" i="27"/>
  <c r="AX66" i="27" s="1"/>
  <c r="AU45" i="27"/>
  <c r="AS45" i="27"/>
  <c r="AM45" i="27"/>
  <c r="AY45" i="27" s="1"/>
  <c r="AK45" i="27"/>
  <c r="AX45" i="27" s="1"/>
  <c r="AM37" i="27"/>
  <c r="AK37" i="27"/>
  <c r="AM10" i="27"/>
  <c r="AY10" i="27" s="1"/>
  <c r="AK10" i="27"/>
  <c r="AX10" i="27" s="1"/>
  <c r="AM159" i="27"/>
  <c r="AY159" i="27" s="1"/>
  <c r="AK159" i="27"/>
  <c r="AX159" i="27" s="1"/>
  <c r="AM191" i="27"/>
  <c r="AY191" i="27" s="1"/>
  <c r="AK191" i="27"/>
  <c r="AX191" i="27" s="1"/>
  <c r="AM183" i="27"/>
  <c r="AY183" i="27" s="1"/>
  <c r="AK183" i="27"/>
  <c r="AX183" i="27" s="1"/>
  <c r="AU160" i="27"/>
  <c r="BC160" i="27" s="1"/>
  <c r="AM160" i="27"/>
  <c r="AY160" i="27" s="1"/>
  <c r="AK160" i="27"/>
  <c r="AX160" i="27" s="1"/>
  <c r="AM96" i="27"/>
  <c r="AY96" i="27" s="1"/>
  <c r="AK96" i="27"/>
  <c r="AX96" i="27" s="1"/>
  <c r="AM85" i="27"/>
  <c r="AY85" i="27" s="1"/>
  <c r="AK85" i="27"/>
  <c r="AX85" i="27" s="1"/>
  <c r="AQ77" i="27"/>
  <c r="BA77" i="27" s="1"/>
  <c r="AO77" i="27"/>
  <c r="AZ77" i="27" s="1"/>
  <c r="AM77" i="27"/>
  <c r="AY77" i="27" s="1"/>
  <c r="AK77" i="27"/>
  <c r="AX77" i="27" s="1"/>
  <c r="AM65" i="27"/>
  <c r="AY65" i="27" s="1"/>
  <c r="AK65" i="27"/>
  <c r="AX65" i="27" s="1"/>
  <c r="AM52" i="27"/>
  <c r="AK52" i="27"/>
  <c r="AM44" i="27"/>
  <c r="AK44" i="27"/>
  <c r="AM36" i="27"/>
  <c r="AY36" i="27" s="1"/>
  <c r="AK36" i="27"/>
  <c r="AX36" i="27" s="1"/>
  <c r="AU192" i="27"/>
  <c r="BC192" i="27" s="1"/>
  <c r="AS192" i="27"/>
  <c r="BB192" i="27" s="1"/>
  <c r="AQ192" i="27"/>
  <c r="BA192" i="27" s="1"/>
  <c r="AO192" i="27"/>
  <c r="AZ192" i="27" s="1"/>
  <c r="AM192" i="27"/>
  <c r="AY192" i="27" s="1"/>
  <c r="AK192" i="27"/>
  <c r="AX192" i="27" s="1"/>
  <c r="AU187" i="27"/>
  <c r="AM187" i="27"/>
  <c r="AY187" i="27" s="1"/>
  <c r="AK187" i="27"/>
  <c r="AX187" i="27" s="1"/>
  <c r="AM179" i="27"/>
  <c r="AY179" i="27" s="1"/>
  <c r="AK179" i="27"/>
  <c r="AX179" i="27" s="1"/>
  <c r="AM169" i="27"/>
  <c r="AY169" i="27" s="1"/>
  <c r="AK169" i="27"/>
  <c r="AX169" i="27" s="1"/>
  <c r="AM164" i="27"/>
  <c r="AY164" i="27" s="1"/>
  <c r="AK164" i="27"/>
  <c r="AX164" i="27" s="1"/>
  <c r="AM156" i="27"/>
  <c r="AY156" i="27" s="1"/>
  <c r="AK156" i="27"/>
  <c r="AX156" i="27" s="1"/>
  <c r="AM47" i="27"/>
  <c r="AY47" i="27" s="1"/>
  <c r="AK47" i="27"/>
  <c r="AX47" i="27" s="1"/>
  <c r="AS39" i="27"/>
  <c r="AM39" i="27"/>
  <c r="AK39" i="27"/>
  <c r="AM12" i="27"/>
  <c r="AY12" i="27" s="1"/>
  <c r="AK12" i="27"/>
  <c r="AX12" i="27" s="1"/>
  <c r="AM48" i="27"/>
  <c r="AY48" i="27" s="1"/>
  <c r="AK48" i="27"/>
  <c r="AX48" i="27" s="1"/>
  <c r="AM40" i="27"/>
  <c r="AK40" i="27"/>
  <c r="AU73" i="27"/>
  <c r="AM73" i="27"/>
  <c r="AY73" i="27" s="1"/>
  <c r="AK73" i="27"/>
  <c r="AX73" i="27" s="1"/>
  <c r="AS15" i="27"/>
  <c r="AM15" i="27"/>
  <c r="AY15" i="27" s="1"/>
  <c r="AK15" i="27"/>
  <c r="AX15" i="27" s="1"/>
  <c r="AM19" i="27"/>
  <c r="AK19" i="27"/>
  <c r="AS4" i="27"/>
  <c r="AM4" i="27"/>
  <c r="AY4" i="27" s="1"/>
  <c r="AK4" i="27"/>
  <c r="AX4" i="27" s="1"/>
  <c r="AU88" i="27"/>
  <c r="AS88" i="27"/>
  <c r="AM88" i="27"/>
  <c r="AY88" i="27" s="1"/>
  <c r="AK88" i="27"/>
  <c r="AX88" i="27" s="1"/>
  <c r="AQ80" i="27"/>
  <c r="BA80" i="27" s="1"/>
  <c r="AO80" i="27"/>
  <c r="AZ80" i="27" s="1"/>
  <c r="AM80" i="27"/>
  <c r="AY80" i="27" s="1"/>
  <c r="AK80" i="27"/>
  <c r="AX80" i="27" s="1"/>
  <c r="AS72" i="27"/>
  <c r="AM72" i="27"/>
  <c r="AY72" i="27" s="1"/>
  <c r="AK72" i="27"/>
  <c r="AX72" i="27" s="1"/>
  <c r="AO200" i="27"/>
  <c r="AZ200" i="27" s="1"/>
  <c r="AM200" i="27"/>
  <c r="AY200" i="27" s="1"/>
  <c r="AK200" i="27"/>
  <c r="AX200" i="27" s="1"/>
  <c r="AM198" i="27"/>
  <c r="AY198" i="27" s="1"/>
  <c r="AK198" i="27"/>
  <c r="AX198" i="27" s="1"/>
  <c r="C199" i="27"/>
  <c r="AM158" i="27"/>
  <c r="AY158" i="27" s="1"/>
  <c r="AK158" i="27"/>
  <c r="AX158" i="27" s="1"/>
  <c r="AM81" i="27"/>
  <c r="AY81" i="27" s="1"/>
  <c r="AK81" i="27"/>
  <c r="AX81" i="27" s="1"/>
  <c r="AU199" i="27"/>
  <c r="BC199" i="27" s="1"/>
  <c r="AM199" i="27"/>
  <c r="AY199" i="27" s="1"/>
  <c r="AK199" i="27"/>
  <c r="AK208" i="27"/>
  <c r="AX208" i="27" s="1"/>
  <c r="AM208" i="27"/>
  <c r="AY208" i="27" s="1"/>
  <c r="AS208" i="27"/>
  <c r="BB208" i="27" s="1"/>
  <c r="AY130" i="27"/>
  <c r="AX130" i="27"/>
  <c r="AX91" i="27"/>
  <c r="AY91" i="27"/>
  <c r="AY141" i="27"/>
  <c r="AX141" i="27"/>
  <c r="AY129" i="27"/>
  <c r="AX129" i="27"/>
  <c r="AX116" i="27"/>
  <c r="AY116" i="27"/>
  <c r="BC93" i="27"/>
  <c r="BB93" i="27"/>
  <c r="AX93" i="27"/>
  <c r="AY93" i="27"/>
  <c r="AY114" i="27"/>
  <c r="AX114" i="27"/>
  <c r="AX101" i="27"/>
  <c r="AY101" i="27"/>
  <c r="AX149" i="27"/>
  <c r="AY149" i="27"/>
  <c r="BA195" i="27"/>
  <c r="AY57" i="27"/>
  <c r="AX57" i="27"/>
  <c r="AY119" i="27"/>
  <c r="AX119" i="27"/>
  <c r="BC75" i="7"/>
  <c r="BC131" i="7"/>
  <c r="BC77" i="7"/>
  <c r="BC133" i="7"/>
  <c r="BC134" i="7"/>
  <c r="BC152" i="7"/>
  <c r="BC76" i="7"/>
  <c r="BC153" i="7"/>
  <c r="BC78" i="7"/>
  <c r="BC151" i="7"/>
  <c r="BC79" i="7"/>
  <c r="BC80" i="7"/>
  <c r="BC132" i="7"/>
  <c r="BA83" i="7"/>
  <c r="BA99" i="7"/>
  <c r="BA84" i="7"/>
  <c r="BA85" i="7"/>
  <c r="BA82" i="7"/>
  <c r="BC28" i="7"/>
  <c r="BA28" i="7"/>
  <c r="BA102" i="7"/>
  <c r="BC120" i="7"/>
  <c r="BC121" i="7"/>
  <c r="BD121" i="7" s="1"/>
  <c r="BK121" i="7" s="1"/>
  <c r="BA33" i="7"/>
  <c r="BA41" i="7"/>
  <c r="BA34" i="7"/>
  <c r="BA43" i="7"/>
  <c r="BA38" i="7"/>
  <c r="BA40" i="7"/>
  <c r="BA35" i="7"/>
  <c r="BA44" i="7"/>
  <c r="BA39" i="7"/>
  <c r="BA36" i="7"/>
  <c r="BA37" i="7"/>
  <c r="BA29" i="7"/>
  <c r="BA30" i="7"/>
  <c r="BA32" i="7"/>
  <c r="BA42" i="7"/>
  <c r="BA31" i="7"/>
  <c r="BA49" i="7"/>
  <c r="BA52" i="7"/>
  <c r="BA48" i="7"/>
  <c r="BA45" i="7"/>
  <c r="BA173" i="7"/>
  <c r="BA50" i="7"/>
  <c r="BA51" i="7"/>
  <c r="BA174" i="7"/>
  <c r="BA46" i="7"/>
  <c r="BA47" i="7"/>
  <c r="BC107" i="7"/>
  <c r="BC123" i="7"/>
  <c r="BC139" i="7"/>
  <c r="BC163" i="7"/>
  <c r="BC141" i="7"/>
  <c r="BC106" i="7"/>
  <c r="BC122" i="7"/>
  <c r="BC130" i="7"/>
  <c r="BC162" i="7"/>
  <c r="BC170" i="7"/>
  <c r="BC95" i="7"/>
  <c r="BC108" i="7"/>
  <c r="BC140" i="7"/>
  <c r="BC96" i="7"/>
  <c r="BC124" i="7"/>
  <c r="BC164" i="7"/>
  <c r="BC142" i="7"/>
  <c r="BA57" i="7"/>
  <c r="BA59" i="7"/>
  <c r="BA58" i="7"/>
  <c r="BA95" i="7"/>
  <c r="BA162" i="7"/>
  <c r="BA107" i="7"/>
  <c r="BA123" i="7"/>
  <c r="BA139" i="7"/>
  <c r="BA164" i="7"/>
  <c r="BA96" i="7"/>
  <c r="BA106" i="7"/>
  <c r="BA122" i="7"/>
  <c r="BA130" i="7"/>
  <c r="BA163" i="7"/>
  <c r="BA108" i="7"/>
  <c r="BA124" i="7"/>
  <c r="BA140" i="7"/>
  <c r="BA141" i="7"/>
  <c r="BA142" i="7"/>
  <c r="BA170" i="7"/>
  <c r="BC67" i="7"/>
  <c r="BC125" i="7"/>
  <c r="BC66" i="7"/>
  <c r="BC138" i="7"/>
  <c r="BC60" i="7"/>
  <c r="BC135" i="7"/>
  <c r="BC62" i="7"/>
  <c r="BC136" i="7"/>
  <c r="BC175" i="7"/>
  <c r="BC126" i="7"/>
  <c r="BC137" i="7"/>
  <c r="BC64" i="7"/>
  <c r="BC63" i="7"/>
  <c r="BC65" i="7"/>
  <c r="BC94" i="7"/>
  <c r="BC3" i="7"/>
  <c r="BC11" i="7"/>
  <c r="BC4" i="7"/>
  <c r="BC12" i="7"/>
  <c r="BC5" i="7"/>
  <c r="BC13" i="7"/>
  <c r="BC189" i="7"/>
  <c r="BC10" i="7"/>
  <c r="BC14" i="7"/>
  <c r="BC2" i="7"/>
  <c r="BC191" i="7"/>
  <c r="BC190" i="7"/>
  <c r="BC188" i="7"/>
  <c r="BC6" i="7"/>
  <c r="BC7" i="7"/>
  <c r="BC8" i="7"/>
  <c r="BC9" i="7"/>
  <c r="BC19" i="7"/>
  <c r="BC27" i="7"/>
  <c r="BC195" i="7"/>
  <c r="BC20" i="7"/>
  <c r="BC21" i="7"/>
  <c r="BC18" i="7"/>
  <c r="BC26" i="7"/>
  <c r="BC194" i="7"/>
  <c r="BC15" i="7"/>
  <c r="BC16" i="7"/>
  <c r="BC22" i="7"/>
  <c r="BC17" i="7"/>
  <c r="BC192" i="7"/>
  <c r="BC23" i="7"/>
  <c r="BC24" i="7"/>
  <c r="BC193" i="7"/>
  <c r="BC25" i="7"/>
  <c r="BC196" i="7"/>
  <c r="BC165" i="7"/>
  <c r="BC127" i="7"/>
  <c r="BC103" i="7"/>
  <c r="BC128" i="7"/>
  <c r="BC104" i="7"/>
  <c r="BC129" i="7"/>
  <c r="BC105" i="7"/>
  <c r="BC101" i="7"/>
  <c r="BC100" i="7"/>
  <c r="BA79" i="7"/>
  <c r="BA151" i="7"/>
  <c r="BA75" i="7"/>
  <c r="BA80" i="7"/>
  <c r="BA152" i="7"/>
  <c r="BA132" i="7"/>
  <c r="BA153" i="7"/>
  <c r="BA76" i="7"/>
  <c r="BA77" i="7"/>
  <c r="BA133" i="7"/>
  <c r="BA78" i="7"/>
  <c r="BA134" i="7"/>
  <c r="BA131" i="7"/>
  <c r="BA65" i="7"/>
  <c r="BA135" i="7"/>
  <c r="BA175" i="7"/>
  <c r="BA64" i="7"/>
  <c r="BA138" i="7"/>
  <c r="BA66" i="7"/>
  <c r="BA67" i="7"/>
  <c r="BA62" i="7"/>
  <c r="BA136" i="7"/>
  <c r="BA125" i="7"/>
  <c r="BA63" i="7"/>
  <c r="BA137" i="7"/>
  <c r="BA60" i="7"/>
  <c r="BA94" i="7"/>
  <c r="BA126" i="7"/>
  <c r="BA53" i="7"/>
  <c r="BA54" i="7"/>
  <c r="BA56" i="7"/>
  <c r="BA55" i="7"/>
  <c r="BC115" i="7"/>
  <c r="BC117" i="7"/>
  <c r="BC114" i="7"/>
  <c r="BC116" i="7"/>
  <c r="BC160" i="7"/>
  <c r="BC161" i="7"/>
  <c r="BC118" i="7"/>
  <c r="BC119" i="7"/>
  <c r="C7" i="27"/>
  <c r="BA103" i="7"/>
  <c r="BA127" i="7"/>
  <c r="BA104" i="7"/>
  <c r="BA128" i="7"/>
  <c r="BA105" i="7"/>
  <c r="BA129" i="7"/>
  <c r="BA165" i="7"/>
  <c r="BA15" i="7"/>
  <c r="BA17" i="7"/>
  <c r="BA25" i="7"/>
  <c r="BA24" i="7"/>
  <c r="BA20" i="7"/>
  <c r="BA21" i="7"/>
  <c r="BA16" i="7"/>
  <c r="BA26" i="7"/>
  <c r="BA192" i="7"/>
  <c r="BA19" i="7"/>
  <c r="BA194" i="7"/>
  <c r="BA18" i="7"/>
  <c r="BA27" i="7"/>
  <c r="BA193" i="7"/>
  <c r="BA195" i="7"/>
  <c r="BA196" i="7"/>
  <c r="BA22" i="7"/>
  <c r="BA23" i="7"/>
  <c r="BC157" i="7"/>
  <c r="BC156" i="7"/>
  <c r="BC98" i="7"/>
  <c r="BC97" i="7"/>
  <c r="BC53" i="7"/>
  <c r="BC54" i="7"/>
  <c r="BC55" i="7"/>
  <c r="BC56" i="7"/>
  <c r="BA100" i="7"/>
  <c r="BA101" i="7"/>
  <c r="BC91" i="7"/>
  <c r="BC147" i="7"/>
  <c r="BC109" i="7"/>
  <c r="BC149" i="7"/>
  <c r="BC90" i="7"/>
  <c r="BC112" i="7"/>
  <c r="BC110" i="7"/>
  <c r="BC148" i="7"/>
  <c r="BC111" i="7"/>
  <c r="BC150" i="7"/>
  <c r="BC89" i="7"/>
  <c r="BC113" i="7"/>
  <c r="BA111" i="7"/>
  <c r="BA90" i="7"/>
  <c r="BA91" i="7"/>
  <c r="BA112" i="7"/>
  <c r="BA89" i="7"/>
  <c r="BA113" i="7"/>
  <c r="BA149" i="7"/>
  <c r="BA148" i="7"/>
  <c r="BA109" i="7"/>
  <c r="BA110" i="7"/>
  <c r="BA150" i="7"/>
  <c r="BA147" i="7"/>
  <c r="BC167" i="7"/>
  <c r="BC166" i="7"/>
  <c r="BC179" i="7"/>
  <c r="BC187" i="7"/>
  <c r="BC181" i="7"/>
  <c r="BC178" i="7"/>
  <c r="BC186" i="7"/>
  <c r="BC184" i="7"/>
  <c r="BC180" i="7"/>
  <c r="BC185" i="7"/>
  <c r="BC177" i="7"/>
  <c r="BC176" i="7"/>
  <c r="BC182" i="7"/>
  <c r="BC183" i="7"/>
  <c r="BA167" i="7"/>
  <c r="BA166" i="7"/>
  <c r="BA73" i="7"/>
  <c r="BA70" i="7"/>
  <c r="BA71" i="7"/>
  <c r="BA74" i="7"/>
  <c r="BA172" i="7"/>
  <c r="BA72" i="7"/>
  <c r="BA81" i="7"/>
  <c r="BA171" i="7"/>
  <c r="BA68" i="7"/>
  <c r="BA69" i="7"/>
  <c r="BA156" i="7"/>
  <c r="BA157" i="7"/>
  <c r="BA168" i="7"/>
  <c r="BA169" i="7"/>
  <c r="BC83" i="7"/>
  <c r="BC99" i="7"/>
  <c r="BC85" i="7"/>
  <c r="BC82" i="7"/>
  <c r="BC84" i="7"/>
  <c r="BC159" i="7"/>
  <c r="BC158" i="7"/>
  <c r="BC61" i="7"/>
  <c r="BC59" i="7"/>
  <c r="BC58" i="7"/>
  <c r="BC57" i="7"/>
  <c r="BA61" i="7"/>
  <c r="BC171" i="7"/>
  <c r="BC69" i="7"/>
  <c r="BC74" i="7"/>
  <c r="BC71" i="7"/>
  <c r="BC172" i="7"/>
  <c r="BC72" i="7"/>
  <c r="BC73" i="7"/>
  <c r="BC68" i="7"/>
  <c r="BC70" i="7"/>
  <c r="BC81" i="7"/>
  <c r="BA159" i="7"/>
  <c r="BA158" i="7"/>
  <c r="BA119" i="7"/>
  <c r="BA116" i="7"/>
  <c r="BA117" i="7"/>
  <c r="BA160" i="7"/>
  <c r="BA161" i="7"/>
  <c r="BA115" i="7"/>
  <c r="BA118" i="7"/>
  <c r="BA114" i="7"/>
  <c r="BC102" i="7"/>
  <c r="BA7" i="7"/>
  <c r="BA9" i="7"/>
  <c r="BA6" i="7"/>
  <c r="BA14" i="7"/>
  <c r="BA13" i="7"/>
  <c r="BA191" i="7"/>
  <c r="BA10" i="7"/>
  <c r="BA3" i="7"/>
  <c r="BA4" i="7"/>
  <c r="BA8" i="7"/>
  <c r="BA188" i="7"/>
  <c r="BA11" i="7"/>
  <c r="BA189" i="7"/>
  <c r="BA12" i="7"/>
  <c r="BA190" i="7"/>
  <c r="BA2" i="7"/>
  <c r="BA5" i="7"/>
  <c r="BA143" i="7"/>
  <c r="BA155" i="7"/>
  <c r="BA144" i="7"/>
  <c r="BA146" i="7"/>
  <c r="BA145" i="7"/>
  <c r="BA154" i="7"/>
  <c r="BA197" i="7"/>
  <c r="BA97" i="7"/>
  <c r="BA98" i="7"/>
  <c r="BC168" i="7"/>
  <c r="BC169" i="7"/>
  <c r="BC51" i="7"/>
  <c r="BC45" i="7"/>
  <c r="BC173" i="7"/>
  <c r="BC50" i="7"/>
  <c r="BC46" i="7"/>
  <c r="BC52" i="7"/>
  <c r="BC47" i="7"/>
  <c r="BC174" i="7"/>
  <c r="BC48" i="7"/>
  <c r="BC49" i="7"/>
  <c r="BA183" i="7"/>
  <c r="BA178" i="7"/>
  <c r="BA187" i="7"/>
  <c r="BA180" i="7"/>
  <c r="BA181" i="7"/>
  <c r="BA176" i="7"/>
  <c r="BA184" i="7"/>
  <c r="BA177" i="7"/>
  <c r="BA185" i="7"/>
  <c r="BA186" i="7"/>
  <c r="BA182" i="7"/>
  <c r="BA179" i="7"/>
  <c r="BC35" i="7"/>
  <c r="BC43" i="7"/>
  <c r="BC36" i="7"/>
  <c r="BC44" i="7"/>
  <c r="BC29" i="7"/>
  <c r="BC37" i="7"/>
  <c r="BC34" i="7"/>
  <c r="BC42" i="7"/>
  <c r="BC30" i="7"/>
  <c r="BC31" i="7"/>
  <c r="BC32" i="7"/>
  <c r="BC33" i="7"/>
  <c r="BC39" i="7"/>
  <c r="BC40" i="7"/>
  <c r="BC41" i="7"/>
  <c r="BC38" i="7"/>
  <c r="BA120" i="7"/>
  <c r="BA121" i="7"/>
  <c r="BB121" i="7" s="1"/>
  <c r="BL121" i="7" s="1"/>
  <c r="BC88" i="7"/>
  <c r="BA88" i="7"/>
  <c r="BC155" i="7"/>
  <c r="BC197" i="7"/>
  <c r="BC146" i="7"/>
  <c r="BC154" i="7"/>
  <c r="BC145" i="7"/>
  <c r="BC143" i="7"/>
  <c r="BC144" i="7"/>
  <c r="BM155" i="7"/>
  <c r="BD171" i="7"/>
  <c r="BB171" i="7"/>
  <c r="BD172" i="7"/>
  <c r="BB172" i="7"/>
  <c r="P34" i="14"/>
  <c r="B11" i="7"/>
  <c r="B12" i="7" s="1"/>
  <c r="B104" i="7"/>
  <c r="B105" i="7" s="1"/>
  <c r="B14" i="7"/>
  <c r="P32" i="14"/>
  <c r="AV172" i="7"/>
  <c r="AT172" i="7"/>
  <c r="AZ172" i="7"/>
  <c r="AX172" i="7"/>
  <c r="AZ171" i="7"/>
  <c r="AX171" i="7"/>
  <c r="AT171" i="7"/>
  <c r="AV171" i="7"/>
  <c r="AQ121" i="7"/>
  <c r="AP121" i="7"/>
  <c r="AP11" i="7"/>
  <c r="AR155" i="7"/>
  <c r="AQ11" i="7"/>
  <c r="AR11" i="7"/>
  <c r="AP197" i="7"/>
  <c r="AR197" i="7"/>
  <c r="AQ197" i="7"/>
  <c r="AQ155" i="7"/>
  <c r="BI3" i="7"/>
  <c r="BJ3" i="7"/>
  <c r="BI8" i="7"/>
  <c r="BJ8" i="7"/>
  <c r="BI9" i="7"/>
  <c r="BJ9" i="7"/>
  <c r="BI20" i="7"/>
  <c r="BJ20" i="7"/>
  <c r="BI21" i="7"/>
  <c r="BJ21" i="7"/>
  <c r="BI24" i="7"/>
  <c r="BJ24" i="7"/>
  <c r="BI25" i="7"/>
  <c r="BJ25" i="7"/>
  <c r="BI26" i="7"/>
  <c r="BJ26" i="7"/>
  <c r="BI27" i="7"/>
  <c r="BJ27" i="7"/>
  <c r="BI29" i="7"/>
  <c r="BJ29" i="7"/>
  <c r="BI30" i="7"/>
  <c r="BJ30" i="7"/>
  <c r="BI31" i="7"/>
  <c r="BJ31" i="7"/>
  <c r="BI32" i="7"/>
  <c r="BJ32" i="7"/>
  <c r="BI33" i="7"/>
  <c r="BJ33" i="7"/>
  <c r="BI34" i="7"/>
  <c r="BJ34" i="7"/>
  <c r="BI37" i="7"/>
  <c r="BJ37" i="7"/>
  <c r="BI38" i="7"/>
  <c r="BJ38" i="7"/>
  <c r="BI39" i="7"/>
  <c r="BJ39" i="7"/>
  <c r="BI40" i="7"/>
  <c r="BJ40" i="7"/>
  <c r="BI41" i="7"/>
  <c r="BJ41" i="7"/>
  <c r="BI42" i="7"/>
  <c r="BJ42" i="7"/>
  <c r="BI43" i="7"/>
  <c r="BJ43" i="7"/>
  <c r="BI44" i="7"/>
  <c r="BJ44" i="7"/>
  <c r="BI53" i="7"/>
  <c r="BJ53" i="7"/>
  <c r="BI103" i="7"/>
  <c r="BJ103" i="7"/>
  <c r="BI104" i="7"/>
  <c r="BJ104" i="7"/>
  <c r="BI105" i="7"/>
  <c r="BJ105" i="7"/>
  <c r="BI112" i="7"/>
  <c r="BJ112" i="7"/>
  <c r="BI118" i="7"/>
  <c r="BJ118" i="7"/>
  <c r="BI154" i="7"/>
  <c r="BJ154" i="7"/>
  <c r="BI170" i="7"/>
  <c r="BJ170" i="7"/>
  <c r="BI173" i="7"/>
  <c r="BJ173" i="7"/>
  <c r="BI174" i="7"/>
  <c r="BJ174" i="7"/>
  <c r="BI175" i="7"/>
  <c r="BJ175" i="7"/>
  <c r="BI197" i="7"/>
  <c r="BJ197" i="7"/>
  <c r="BJ2" i="7"/>
  <c r="BI2" i="7"/>
  <c r="BH2" i="7"/>
  <c r="BH3" i="7"/>
  <c r="BH8" i="7"/>
  <c r="BH9" i="7"/>
  <c r="BH20" i="7"/>
  <c r="BH21" i="7"/>
  <c r="BH24" i="7"/>
  <c r="BH25" i="7"/>
  <c r="BH26" i="7"/>
  <c r="BH27" i="7"/>
  <c r="BH29" i="7"/>
  <c r="BH30" i="7"/>
  <c r="BH31" i="7"/>
  <c r="BH32" i="7"/>
  <c r="BH33" i="7"/>
  <c r="BH34" i="7"/>
  <c r="BH37" i="7"/>
  <c r="BH38" i="7"/>
  <c r="BH39" i="7"/>
  <c r="BH40" i="7"/>
  <c r="BH41" i="7"/>
  <c r="BH42" i="7"/>
  <c r="BH43" i="7"/>
  <c r="BH44" i="7"/>
  <c r="BH53" i="7"/>
  <c r="BH103" i="7"/>
  <c r="BH104" i="7"/>
  <c r="BH105" i="7"/>
  <c r="BH112" i="7"/>
  <c r="BH118" i="7"/>
  <c r="BH154" i="7"/>
  <c r="BH170" i="7"/>
  <c r="BH173" i="7"/>
  <c r="BH174" i="7"/>
  <c r="BH175" i="7"/>
  <c r="BH197" i="7"/>
  <c r="BG2" i="7"/>
  <c r="BG3" i="7"/>
  <c r="BG8" i="7"/>
  <c r="BG9" i="7"/>
  <c r="BG20" i="7"/>
  <c r="BG21" i="7"/>
  <c r="BG24" i="7"/>
  <c r="BG25" i="7"/>
  <c r="BG26" i="7"/>
  <c r="BG27" i="7"/>
  <c r="BG29" i="7"/>
  <c r="BG30" i="7"/>
  <c r="BG31" i="7"/>
  <c r="BG32" i="7"/>
  <c r="BG33" i="7"/>
  <c r="BG34" i="7"/>
  <c r="BG37" i="7"/>
  <c r="BG38" i="7"/>
  <c r="BG39" i="7"/>
  <c r="BG40" i="7"/>
  <c r="BG41" i="7"/>
  <c r="BG42" i="7"/>
  <c r="BG43" i="7"/>
  <c r="BG44" i="7"/>
  <c r="BG53" i="7"/>
  <c r="BG103" i="7"/>
  <c r="BG104" i="7"/>
  <c r="BG105" i="7"/>
  <c r="BG112" i="7"/>
  <c r="BG118" i="7"/>
  <c r="BG154" i="7"/>
  <c r="BG170" i="7"/>
  <c r="BG173" i="7"/>
  <c r="BG174" i="7"/>
  <c r="BG175" i="7"/>
  <c r="BG197" i="7"/>
  <c r="AO196" i="7"/>
  <c r="AM196" i="7"/>
  <c r="AN196" i="7" s="1"/>
  <c r="AM195" i="7"/>
  <c r="AN195" i="7" s="1"/>
  <c r="AM194" i="7"/>
  <c r="AN194" i="7" s="1"/>
  <c r="AM192" i="7"/>
  <c r="AN192" i="7" s="1"/>
  <c r="H197" i="7"/>
  <c r="AO194" i="7"/>
  <c r="AO195" i="7"/>
  <c r="AM193" i="7"/>
  <c r="AN193" i="7" s="1"/>
  <c r="AO193" i="7"/>
  <c r="AO192" i="7"/>
  <c r="AM174" i="7"/>
  <c r="AN174" i="7" s="1"/>
  <c r="H195" i="7"/>
  <c r="H196" i="7"/>
  <c r="H193" i="7"/>
  <c r="H194" i="7"/>
  <c r="H192" i="7"/>
  <c r="AQ200" i="27" l="1"/>
  <c r="BA200" i="27" s="1"/>
  <c r="AS200" i="27"/>
  <c r="BB200" i="27" s="1"/>
  <c r="BD200" i="27" s="1"/>
  <c r="AU107" i="27"/>
  <c r="AS107" i="27"/>
  <c r="AK107" i="27"/>
  <c r="AX107" i="27" s="1"/>
  <c r="C201" i="27"/>
  <c r="A202" i="27"/>
  <c r="BM118" i="7"/>
  <c r="BM42" i="7"/>
  <c r="BM32" i="7"/>
  <c r="BM21" i="7"/>
  <c r="BM112" i="7"/>
  <c r="BM41" i="7"/>
  <c r="BM31" i="7"/>
  <c r="BM20" i="7"/>
  <c r="AX199" i="27"/>
  <c r="BD192" i="27"/>
  <c r="BD87" i="27"/>
  <c r="BD194" i="27"/>
  <c r="BD86" i="27"/>
  <c r="BD193" i="27"/>
  <c r="BD196" i="27"/>
  <c r="BD195" i="27"/>
  <c r="BB88" i="27"/>
  <c r="BB182" i="27"/>
  <c r="BC47" i="27"/>
  <c r="BB14" i="27"/>
  <c r="BB190" i="27"/>
  <c r="BB160" i="27"/>
  <c r="BC57" i="27"/>
  <c r="BC85" i="27"/>
  <c r="BB156" i="27"/>
  <c r="BB81" i="27"/>
  <c r="BC183" i="27"/>
  <c r="BC186" i="27"/>
  <c r="BC89" i="27"/>
  <c r="BC157" i="27"/>
  <c r="BB18" i="27"/>
  <c r="BB128" i="27"/>
  <c r="BB63" i="27"/>
  <c r="BB137" i="27"/>
  <c r="BB80" i="27"/>
  <c r="BC5" i="27"/>
  <c r="BC13" i="27"/>
  <c r="BC63" i="27"/>
  <c r="BC125" i="27"/>
  <c r="BB108" i="27"/>
  <c r="BB96" i="27"/>
  <c r="BC139" i="27"/>
  <c r="BB177" i="27"/>
  <c r="BB97" i="27"/>
  <c r="BB6" i="27"/>
  <c r="BB191" i="27"/>
  <c r="BB115" i="27"/>
  <c r="BC74" i="27"/>
  <c r="BC84" i="27"/>
  <c r="BB70" i="27"/>
  <c r="BC187" i="27"/>
  <c r="BC176" i="27"/>
  <c r="BB150" i="27"/>
  <c r="BC109" i="27"/>
  <c r="BC54" i="27"/>
  <c r="BC98" i="27"/>
  <c r="BC156" i="27"/>
  <c r="BB127" i="27"/>
  <c r="BB56" i="27"/>
  <c r="BB64" i="27"/>
  <c r="BB135" i="27"/>
  <c r="BB132" i="27"/>
  <c r="BC100" i="27"/>
  <c r="BC15" i="27"/>
  <c r="BC7" i="27"/>
  <c r="BC64" i="27"/>
  <c r="BC126" i="27"/>
  <c r="BB107" i="27"/>
  <c r="BB176" i="27"/>
  <c r="BB98" i="27"/>
  <c r="BB146" i="27"/>
  <c r="BB13" i="27"/>
  <c r="BB10" i="27"/>
  <c r="BB188" i="27"/>
  <c r="BB114" i="27"/>
  <c r="BC81" i="27"/>
  <c r="BB61" i="27"/>
  <c r="BC61" i="27"/>
  <c r="BB72" i="27"/>
  <c r="BB166" i="27"/>
  <c r="BC180" i="27"/>
  <c r="BC181" i="27"/>
  <c r="BC110" i="27"/>
  <c r="BB100" i="27"/>
  <c r="BC55" i="27"/>
  <c r="BB129" i="27"/>
  <c r="BC161" i="27"/>
  <c r="BB54" i="27"/>
  <c r="BB65" i="27"/>
  <c r="BB136" i="27"/>
  <c r="BB131" i="27"/>
  <c r="BC101" i="27"/>
  <c r="BC14" i="27"/>
  <c r="BC65" i="27"/>
  <c r="BC136" i="27"/>
  <c r="BB122" i="27"/>
  <c r="BB139" i="27"/>
  <c r="BB58" i="27"/>
  <c r="BC96" i="27"/>
  <c r="BC123" i="27"/>
  <c r="BB102" i="27"/>
  <c r="BC79" i="27"/>
  <c r="BC132" i="27"/>
  <c r="BC36" i="27"/>
  <c r="BB181" i="27"/>
  <c r="BB145" i="27"/>
  <c r="BB11" i="27"/>
  <c r="BB116" i="27"/>
  <c r="BB158" i="27"/>
  <c r="BC69" i="27"/>
  <c r="BC82" i="27"/>
  <c r="BB168" i="27"/>
  <c r="BB68" i="27"/>
  <c r="BB167" i="27"/>
  <c r="BC184" i="27"/>
  <c r="BC185" i="27"/>
  <c r="BB149" i="27"/>
  <c r="BC111" i="27"/>
  <c r="BB101" i="27"/>
  <c r="BB16" i="27"/>
  <c r="BC116" i="27"/>
  <c r="BB66" i="27"/>
  <c r="BB138" i="27"/>
  <c r="BB77" i="27"/>
  <c r="BB134" i="27"/>
  <c r="BC16" i="27"/>
  <c r="BC23" i="27"/>
  <c r="BC188" i="27"/>
  <c r="BC66" i="27"/>
  <c r="BC138" i="27"/>
  <c r="BB142" i="27"/>
  <c r="BB164" i="27"/>
  <c r="BC141" i="27"/>
  <c r="BC95" i="27"/>
  <c r="BB50" i="27"/>
  <c r="BC77" i="27"/>
  <c r="BC75" i="27"/>
  <c r="BD75" i="27" s="1"/>
  <c r="BC119" i="27"/>
  <c r="BB185" i="27"/>
  <c r="BB117" i="27"/>
  <c r="BB159" i="27"/>
  <c r="BC68" i="27"/>
  <c r="BC99" i="27"/>
  <c r="BB169" i="27"/>
  <c r="BB69" i="27"/>
  <c r="BB71" i="27"/>
  <c r="BC177" i="27"/>
  <c r="BB91" i="27"/>
  <c r="BC149" i="27"/>
  <c r="BC56" i="27"/>
  <c r="BB15" i="27"/>
  <c r="BC117" i="27"/>
  <c r="BB67" i="27"/>
  <c r="BB78" i="27"/>
  <c r="BB133" i="27"/>
  <c r="BC4" i="27"/>
  <c r="BC189" i="27"/>
  <c r="BC67" i="27"/>
  <c r="BC137" i="27"/>
  <c r="BB163" i="27"/>
  <c r="BB140" i="27"/>
  <c r="BB59" i="27"/>
  <c r="BC163" i="27"/>
  <c r="BC130" i="27"/>
  <c r="BB28" i="27"/>
  <c r="BB82" i="27"/>
  <c r="BC80" i="27"/>
  <c r="BC145" i="27"/>
  <c r="BB187" i="27"/>
  <c r="BB179" i="27"/>
  <c r="BC46" i="27"/>
  <c r="BC169" i="27"/>
  <c r="BB143" i="27"/>
  <c r="BB5" i="27"/>
  <c r="BB119" i="27"/>
  <c r="BC70" i="27"/>
  <c r="BC73" i="27"/>
  <c r="BC58" i="27"/>
  <c r="BC159" i="27"/>
  <c r="BB73" i="27"/>
  <c r="BC178" i="27"/>
  <c r="BB110" i="27"/>
  <c r="BB90" i="27"/>
  <c r="BC90" i="27"/>
  <c r="BC150" i="27"/>
  <c r="BB22" i="27"/>
  <c r="BC114" i="27"/>
  <c r="BB60" i="27"/>
  <c r="BB79" i="27"/>
  <c r="BC127" i="27"/>
  <c r="BC6" i="27"/>
  <c r="BC10" i="27"/>
  <c r="BC190" i="27"/>
  <c r="BB123" i="27"/>
  <c r="BB162" i="27"/>
  <c r="BC122" i="27"/>
  <c r="BC142" i="27"/>
  <c r="BB48" i="27"/>
  <c r="BC28" i="27"/>
  <c r="BB84" i="27"/>
  <c r="BC143" i="27"/>
  <c r="BC88" i="27"/>
  <c r="BC146" i="27"/>
  <c r="BB121" i="27"/>
  <c r="BC35" i="27"/>
  <c r="BB184" i="27"/>
  <c r="BC45" i="27"/>
  <c r="BC49" i="27"/>
  <c r="BC168" i="27"/>
  <c r="BB144" i="27"/>
  <c r="BC72" i="27"/>
  <c r="BC71" i="27"/>
  <c r="BC59" i="27"/>
  <c r="BC158" i="27"/>
  <c r="BC179" i="27"/>
  <c r="BC166" i="27"/>
  <c r="BB109" i="27"/>
  <c r="BB147" i="27"/>
  <c r="BC91" i="27"/>
  <c r="BC147" i="27"/>
  <c r="BB23" i="27"/>
  <c r="BC115" i="27"/>
  <c r="BB94" i="27"/>
  <c r="BB125" i="27"/>
  <c r="BB76" i="27"/>
  <c r="BC128" i="27"/>
  <c r="BC191" i="27"/>
  <c r="BC144" i="27"/>
  <c r="BC51" i="27"/>
  <c r="BB183" i="27"/>
  <c r="BB12" i="27"/>
  <c r="BB120" i="27"/>
  <c r="BB180" i="27"/>
  <c r="BB186" i="27"/>
  <c r="BB178" i="27"/>
  <c r="BC50" i="27"/>
  <c r="BC48" i="27"/>
  <c r="BB4" i="27"/>
  <c r="BB7" i="27"/>
  <c r="BB189" i="27"/>
  <c r="BC102" i="27"/>
  <c r="BB161" i="27"/>
  <c r="BC83" i="27"/>
  <c r="BB157" i="27"/>
  <c r="BB74" i="27"/>
  <c r="BC182" i="27"/>
  <c r="BC167" i="27"/>
  <c r="BB111" i="27"/>
  <c r="BB148" i="27"/>
  <c r="BC148" i="27"/>
  <c r="BC97" i="27"/>
  <c r="BB55" i="27"/>
  <c r="BB62" i="27"/>
  <c r="BB126" i="27"/>
  <c r="BB57" i="27"/>
  <c r="BC94" i="27"/>
  <c r="BB141" i="27"/>
  <c r="BC131" i="27"/>
  <c r="BC22" i="27"/>
  <c r="BC140" i="27"/>
  <c r="BC107" i="27"/>
  <c r="BB45" i="27"/>
  <c r="BC76" i="27"/>
  <c r="BC108" i="27"/>
  <c r="BC164" i="27"/>
  <c r="BB35" i="27"/>
  <c r="BM105" i="7"/>
  <c r="BM9" i="7"/>
  <c r="BM175" i="7"/>
  <c r="BM29" i="7"/>
  <c r="BM197" i="7"/>
  <c r="BM40" i="7"/>
  <c r="BM104" i="7"/>
  <c r="BM39" i="7"/>
  <c r="BM8" i="7"/>
  <c r="C8" i="27"/>
  <c r="BM30" i="7"/>
  <c r="BM154" i="7"/>
  <c r="BM43" i="7"/>
  <c r="BM33" i="7"/>
  <c r="BM24" i="7"/>
  <c r="BM174" i="7"/>
  <c r="BM26" i="7"/>
  <c r="BM103" i="7"/>
  <c r="BM38" i="7"/>
  <c r="BM27" i="7"/>
  <c r="BM3" i="7"/>
  <c r="BM173" i="7"/>
  <c r="BM53" i="7"/>
  <c r="BM37" i="7"/>
  <c r="BM2" i="7"/>
  <c r="BM170" i="7"/>
  <c r="BM44" i="7"/>
  <c r="BM34" i="7"/>
  <c r="BM25" i="7"/>
  <c r="BD155" i="7"/>
  <c r="BB155" i="7"/>
  <c r="BB197" i="7"/>
  <c r="BD197" i="7"/>
  <c r="BD11" i="7"/>
  <c r="BK11" i="7" s="1"/>
  <c r="BB11" i="7"/>
  <c r="BL11" i="7" s="1"/>
  <c r="P33" i="14"/>
  <c r="P31" i="14"/>
  <c r="AX197" i="7"/>
  <c r="AV197" i="7"/>
  <c r="AT197" i="7"/>
  <c r="AZ197" i="7"/>
  <c r="AP192" i="7"/>
  <c r="AR192" i="7"/>
  <c r="AQ192" i="7"/>
  <c r="AP194" i="7"/>
  <c r="AQ194" i="7"/>
  <c r="AR194" i="7"/>
  <c r="AP193" i="7"/>
  <c r="AQ193" i="7"/>
  <c r="AR193" i="7"/>
  <c r="AP195" i="7"/>
  <c r="AQ195" i="7"/>
  <c r="AR195" i="7"/>
  <c r="AP174" i="7"/>
  <c r="AQ174" i="7"/>
  <c r="AP196" i="7"/>
  <c r="AR196" i="7"/>
  <c r="AQ196" i="7"/>
  <c r="AN97" i="7"/>
  <c r="H79" i="7"/>
  <c r="H165" i="7"/>
  <c r="C202" i="27" l="1"/>
  <c r="A203" i="27"/>
  <c r="BB151" i="27"/>
  <c r="BD151" i="27" s="1"/>
  <c r="BB153" i="27"/>
  <c r="BD153" i="27" s="1"/>
  <c r="BB152" i="27"/>
  <c r="BD152" i="27" s="1"/>
  <c r="BD79" i="27"/>
  <c r="BD134" i="27"/>
  <c r="BD77" i="27"/>
  <c r="BD76" i="27"/>
  <c r="BD78" i="27"/>
  <c r="BD133" i="27"/>
  <c r="BD102" i="27"/>
  <c r="BD131" i="27"/>
  <c r="BD80" i="27"/>
  <c r="BD132" i="27"/>
  <c r="C9" i="27"/>
  <c r="BD196" i="7"/>
  <c r="BK196" i="7" s="1"/>
  <c r="BB196" i="7"/>
  <c r="BL196" i="7" s="1"/>
  <c r="BD194" i="7"/>
  <c r="BK194" i="7" s="1"/>
  <c r="BB194" i="7"/>
  <c r="BL194" i="7" s="1"/>
  <c r="BB192" i="7"/>
  <c r="BL192" i="7" s="1"/>
  <c r="BD192" i="7"/>
  <c r="BK192" i="7" s="1"/>
  <c r="BD195" i="7"/>
  <c r="BK195" i="7" s="1"/>
  <c r="BB195" i="7"/>
  <c r="BL195" i="7" s="1"/>
  <c r="BD193" i="7"/>
  <c r="BK193" i="7" s="1"/>
  <c r="BB193" i="7"/>
  <c r="BL193" i="7" s="1"/>
  <c r="AZ192" i="7"/>
  <c r="BI192" i="7" s="1"/>
  <c r="AV192" i="7"/>
  <c r="BG192" i="7" s="1"/>
  <c r="AX192" i="7"/>
  <c r="BJ192" i="7" s="1"/>
  <c r="AT192" i="7"/>
  <c r="BH192" i="7" s="1"/>
  <c r="AZ193" i="7"/>
  <c r="BI193" i="7" s="1"/>
  <c r="AX193" i="7"/>
  <c r="BJ193" i="7" s="1"/>
  <c r="AT193" i="7"/>
  <c r="BH193" i="7" s="1"/>
  <c r="AV193" i="7"/>
  <c r="BG193" i="7" s="1"/>
  <c r="AZ195" i="7"/>
  <c r="BI195" i="7" s="1"/>
  <c r="AX195" i="7"/>
  <c r="BJ195" i="7" s="1"/>
  <c r="AV195" i="7"/>
  <c r="BG195" i="7" s="1"/>
  <c r="AT195" i="7"/>
  <c r="BH195" i="7" s="1"/>
  <c r="AZ194" i="7"/>
  <c r="BI194" i="7" s="1"/>
  <c r="AV194" i="7"/>
  <c r="BG194" i="7" s="1"/>
  <c r="AX194" i="7"/>
  <c r="BJ194" i="7" s="1"/>
  <c r="AT194" i="7"/>
  <c r="BH194" i="7" s="1"/>
  <c r="AV196" i="7"/>
  <c r="BG196" i="7" s="1"/>
  <c r="AT196" i="7"/>
  <c r="BH196" i="7" s="1"/>
  <c r="AZ196" i="7"/>
  <c r="BI196" i="7" s="1"/>
  <c r="AX196" i="7"/>
  <c r="BJ196" i="7" s="1"/>
  <c r="V102" i="7"/>
  <c r="V96" i="7"/>
  <c r="V95" i="7"/>
  <c r="AN15" i="7"/>
  <c r="C203" i="27" l="1"/>
  <c r="A204" i="27"/>
  <c r="BM194" i="7"/>
  <c r="C10" i="27"/>
  <c r="BM192" i="7"/>
  <c r="BM195" i="7"/>
  <c r="BM196" i="7"/>
  <c r="BM193" i="7"/>
  <c r="AN75" i="7"/>
  <c r="AN76" i="7"/>
  <c r="AN77" i="7"/>
  <c r="AN78" i="7"/>
  <c r="AN79" i="7"/>
  <c r="AO79" i="7"/>
  <c r="AN73" i="7"/>
  <c r="AN74" i="7"/>
  <c r="AN72" i="7"/>
  <c r="C204" i="27" l="1"/>
  <c r="A205" i="27"/>
  <c r="C11" i="27"/>
  <c r="AQ79" i="7"/>
  <c r="AR79" i="7"/>
  <c r="AP79"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6" i="7"/>
  <c r="H157" i="7"/>
  <c r="H158" i="7"/>
  <c r="H159" i="7"/>
  <c r="H160" i="7"/>
  <c r="H161" i="7"/>
  <c r="H162" i="7"/>
  <c r="H163" i="7"/>
  <c r="H164" i="7"/>
  <c r="H166" i="7"/>
  <c r="H167" i="7"/>
  <c r="H168" i="7"/>
  <c r="H169" i="7"/>
  <c r="H170" i="7"/>
  <c r="H173" i="7"/>
  <c r="H174" i="7"/>
  <c r="H175" i="7"/>
  <c r="H176" i="7"/>
  <c r="H177" i="7"/>
  <c r="H178" i="7"/>
  <c r="H179" i="7"/>
  <c r="H180" i="7"/>
  <c r="H181" i="7"/>
  <c r="H182" i="7"/>
  <c r="H183" i="7"/>
  <c r="H184" i="7"/>
  <c r="H185" i="7"/>
  <c r="H186" i="7"/>
  <c r="H187" i="7"/>
  <c r="H188" i="7"/>
  <c r="H189" i="7"/>
  <c r="H190" i="7"/>
  <c r="H191" i="7"/>
  <c r="B174" i="20"/>
  <c r="B175" i="20"/>
  <c r="B176" i="20"/>
  <c r="B177" i="20"/>
  <c r="B178" i="20"/>
  <c r="B179" i="20" s="1"/>
  <c r="B180" i="20" s="1"/>
  <c r="B181" i="20" s="1"/>
  <c r="B182" i="20" s="1"/>
  <c r="B183" i="20" s="1"/>
  <c r="B184" i="20" s="1"/>
  <c r="B185" i="20" s="1"/>
  <c r="B186" i="20" s="1"/>
  <c r="B187" i="20"/>
  <c r="B188" i="20"/>
  <c r="B189" i="20"/>
  <c r="B190" i="20" s="1"/>
  <c r="A174" i="20"/>
  <c r="A175" i="20" s="1"/>
  <c r="A176" i="20" s="1"/>
  <c r="A177" i="20" s="1"/>
  <c r="A178" i="20" s="1"/>
  <c r="A179" i="20" s="1"/>
  <c r="A180" i="20" s="1"/>
  <c r="A181" i="20" s="1"/>
  <c r="A182" i="20" s="1"/>
  <c r="A183" i="20" s="1"/>
  <c r="A184" i="20" s="1"/>
  <c r="A185" i="20" s="1"/>
  <c r="A186" i="20" s="1"/>
  <c r="A187" i="20" s="1"/>
  <c r="A188" i="20" s="1"/>
  <c r="A189" i="20" s="1"/>
  <c r="A190" i="20" s="1"/>
  <c r="AO174" i="7"/>
  <c r="AR174" i="7" s="1"/>
  <c r="H195" i="20"/>
  <c r="H196" i="20"/>
  <c r="H197" i="20"/>
  <c r="H198" i="20"/>
  <c r="H199" i="20"/>
  <c r="H200" i="20"/>
  <c r="H201" i="20"/>
  <c r="H202" i="20"/>
  <c r="H203" i="20"/>
  <c r="H204" i="20"/>
  <c r="H205" i="20"/>
  <c r="H206" i="20"/>
  <c r="H207" i="20"/>
  <c r="H208" i="20"/>
  <c r="H209" i="20"/>
  <c r="H210" i="20"/>
  <c r="H194" i="20"/>
  <c r="B149" i="20"/>
  <c r="B150" i="20" s="1"/>
  <c r="B151" i="20" s="1"/>
  <c r="C205" i="27" l="1"/>
  <c r="A206" i="27"/>
  <c r="C12" i="27"/>
  <c r="BB174" i="7"/>
  <c r="BD174" i="7"/>
  <c r="BB79" i="7"/>
  <c r="BL79" i="7" s="1"/>
  <c r="BD79" i="7"/>
  <c r="BK79" i="7" s="1"/>
  <c r="AX79" i="7"/>
  <c r="BJ79" i="7" s="1"/>
  <c r="AZ79" i="7"/>
  <c r="BI79" i="7" s="1"/>
  <c r="J4" i="18"/>
  <c r="J5" i="18"/>
  <c r="J6" i="18"/>
  <c r="J7" i="18"/>
  <c r="J8" i="18"/>
  <c r="B172" i="20"/>
  <c r="B173" i="20" s="1"/>
  <c r="B170" i="20"/>
  <c r="B171" i="20" s="1"/>
  <c r="B169" i="20"/>
  <c r="B165" i="20"/>
  <c r="B166" i="20" s="1"/>
  <c r="B167" i="20" s="1"/>
  <c r="B168" i="20" s="1"/>
  <c r="B164" i="20"/>
  <c r="B161" i="20"/>
  <c r="B162" i="20" s="1"/>
  <c r="B163" i="20" s="1"/>
  <c r="B155" i="20"/>
  <c r="B156" i="20" s="1"/>
  <c r="B157" i="20" s="1"/>
  <c r="B158" i="20" s="1"/>
  <c r="B159" i="20" s="1"/>
  <c r="B160" i="20" s="1"/>
  <c r="B154" i="20"/>
  <c r="B152" i="20"/>
  <c r="B153" i="20" s="1"/>
  <c r="B129" i="20"/>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28" i="20"/>
  <c r="B125" i="20"/>
  <c r="B126" i="20" s="1"/>
  <c r="B127" i="20" s="1"/>
  <c r="B123" i="20"/>
  <c r="B124" i="20" s="1"/>
  <c r="B120" i="20"/>
  <c r="B121" i="20" s="1"/>
  <c r="B122" i="20" s="1"/>
  <c r="J3" i="18"/>
  <c r="E32" i="21"/>
  <c r="L30" i="21"/>
  <c r="L27" i="21"/>
  <c r="L28" i="21"/>
  <c r="L29" i="21"/>
  <c r="AF83" i="22"/>
  <c r="AF82" i="22"/>
  <c r="AF81" i="22"/>
  <c r="M7" i="21"/>
  <c r="L7" i="21"/>
  <c r="K7" i="21"/>
  <c r="M6" i="21"/>
  <c r="L6" i="21"/>
  <c r="K6" i="21"/>
  <c r="M5" i="21"/>
  <c r="L5" i="21"/>
  <c r="K5" i="21"/>
  <c r="E18" i="21" s="1"/>
  <c r="M4" i="21"/>
  <c r="L4" i="21"/>
  <c r="K4" i="21"/>
  <c r="E17" i="21" s="1"/>
  <c r="D7" i="21"/>
  <c r="D31" i="21" s="1"/>
  <c r="D6" i="21"/>
  <c r="D30" i="21" s="1"/>
  <c r="D5" i="21"/>
  <c r="D29" i="21" s="1"/>
  <c r="D4" i="21"/>
  <c r="B60" i="22"/>
  <c r="B61" i="22"/>
  <c r="B62" i="22" s="1"/>
  <c r="B63" i="22" s="1"/>
  <c r="B64" i="22" s="1"/>
  <c r="B65" i="22" s="1"/>
  <c r="B66" i="22" s="1"/>
  <c r="B67" i="22" s="1"/>
  <c r="B68" i="22" s="1"/>
  <c r="B69" i="22" s="1"/>
  <c r="B70" i="22" s="1"/>
  <c r="B71" i="22" s="1"/>
  <c r="B72" i="22" s="1"/>
  <c r="B73" i="22"/>
  <c r="B74" i="22"/>
  <c r="B75" i="22" s="1"/>
  <c r="B76" i="22" s="1"/>
  <c r="T76" i="22"/>
  <c r="S76" i="22"/>
  <c r="T75" i="22"/>
  <c r="S75" i="22"/>
  <c r="T74" i="22"/>
  <c r="S74" i="22"/>
  <c r="T73" i="22"/>
  <c r="S73" i="22"/>
  <c r="T72" i="22"/>
  <c r="S72" i="22"/>
  <c r="T71" i="22"/>
  <c r="S71" i="22"/>
  <c r="T70" i="22"/>
  <c r="S70" i="22"/>
  <c r="T69" i="22"/>
  <c r="V69" i="22" s="1"/>
  <c r="S69" i="22"/>
  <c r="T68" i="22"/>
  <c r="S68" i="22"/>
  <c r="T67" i="22"/>
  <c r="V67" i="22" s="1"/>
  <c r="S67" i="22"/>
  <c r="T66" i="22"/>
  <c r="S66" i="22"/>
  <c r="T65" i="22"/>
  <c r="S65" i="22"/>
  <c r="T64" i="22"/>
  <c r="S64" i="22"/>
  <c r="T63" i="22"/>
  <c r="V63" i="22" s="1"/>
  <c r="S63" i="22"/>
  <c r="T62" i="22"/>
  <c r="V62" i="22" s="1"/>
  <c r="S62" i="22"/>
  <c r="T61" i="22"/>
  <c r="V61" i="22" s="1"/>
  <c r="S61" i="22"/>
  <c r="T60" i="22"/>
  <c r="R60" i="22"/>
  <c r="S60" i="22" s="1"/>
  <c r="Z59" i="22"/>
  <c r="X59" i="22"/>
  <c r="T59" i="22"/>
  <c r="U59" i="22" s="1"/>
  <c r="Z58" i="22"/>
  <c r="X58" i="22"/>
  <c r="T58" i="22"/>
  <c r="W58" i="22" s="1"/>
  <c r="Z57" i="22"/>
  <c r="X57" i="22"/>
  <c r="T57" i="22"/>
  <c r="W57" i="22" s="1"/>
  <c r="B57" i="22"/>
  <c r="B58" i="22" s="1"/>
  <c r="B59" i="22" s="1"/>
  <c r="T56" i="22"/>
  <c r="T55" i="22"/>
  <c r="V55" i="22" s="1"/>
  <c r="T54" i="22"/>
  <c r="W54" i="22" s="1"/>
  <c r="T53" i="22"/>
  <c r="B53" i="22"/>
  <c r="B54" i="22" s="1"/>
  <c r="B55" i="22" s="1"/>
  <c r="B56" i="22" s="1"/>
  <c r="T52" i="22"/>
  <c r="S52" i="22"/>
  <c r="T51" i="22"/>
  <c r="S51" i="22"/>
  <c r="B51" i="22"/>
  <c r="B52" i="22" s="1"/>
  <c r="T50" i="22"/>
  <c r="S50" i="22"/>
  <c r="T49" i="22"/>
  <c r="S49" i="22"/>
  <c r="T48" i="22"/>
  <c r="S48" i="22"/>
  <c r="T47" i="22"/>
  <c r="S47" i="22"/>
  <c r="T46" i="22"/>
  <c r="S46" i="22"/>
  <c r="T45" i="22"/>
  <c r="S45" i="22"/>
  <c r="B45" i="22"/>
  <c r="B46" i="22" s="1"/>
  <c r="B47" i="22" s="1"/>
  <c r="B48" i="22" s="1"/>
  <c r="B49" i="22" s="1"/>
  <c r="B50" i="22" s="1"/>
  <c r="T44" i="22"/>
  <c r="S44" i="22"/>
  <c r="T43" i="22"/>
  <c r="S43" i="22"/>
  <c r="T42" i="22"/>
  <c r="S42" i="22"/>
  <c r="T41" i="22"/>
  <c r="S41" i="22"/>
  <c r="T40" i="22"/>
  <c r="S40" i="22"/>
  <c r="T39" i="22"/>
  <c r="S39" i="22"/>
  <c r="T38" i="22"/>
  <c r="S38" i="22"/>
  <c r="T37" i="22"/>
  <c r="S37" i="22"/>
  <c r="B37" i="22"/>
  <c r="B38" i="22" s="1"/>
  <c r="B39" i="22" s="1"/>
  <c r="B40" i="22" s="1"/>
  <c r="B41" i="22" s="1"/>
  <c r="B42" i="22" s="1"/>
  <c r="B43" i="22" s="1"/>
  <c r="B44" i="22" s="1"/>
  <c r="T36" i="22"/>
  <c r="S36" i="22"/>
  <c r="T35" i="22"/>
  <c r="S35" i="22"/>
  <c r="T34" i="22"/>
  <c r="S34" i="22"/>
  <c r="T33" i="22"/>
  <c r="S33" i="22"/>
  <c r="T32" i="22"/>
  <c r="S32" i="22"/>
  <c r="T31" i="22"/>
  <c r="S31" i="22"/>
  <c r="T30" i="22"/>
  <c r="S30" i="22"/>
  <c r="T29" i="22"/>
  <c r="S29" i="22"/>
  <c r="B29" i="22"/>
  <c r="B30" i="22" s="1"/>
  <c r="B31" i="22" s="1"/>
  <c r="B32" i="22" s="1"/>
  <c r="B33" i="22" s="1"/>
  <c r="B34" i="22" s="1"/>
  <c r="B35" i="22" s="1"/>
  <c r="B36" i="22" s="1"/>
  <c r="T28" i="22"/>
  <c r="W28" i="22" s="1"/>
  <c r="B28" i="22"/>
  <c r="T27" i="22"/>
  <c r="V27" i="22" s="1"/>
  <c r="T26" i="22"/>
  <c r="V26" i="22" s="1"/>
  <c r="T25" i="22"/>
  <c r="V25" i="22" s="1"/>
  <c r="T24" i="22"/>
  <c r="V24" i="22" s="1"/>
  <c r="T23" i="22"/>
  <c r="V23" i="22" s="1"/>
  <c r="T22" i="22"/>
  <c r="U22" i="22" s="1"/>
  <c r="T21" i="22"/>
  <c r="U21" i="22" s="1"/>
  <c r="T20" i="22"/>
  <c r="W20" i="22" s="1"/>
  <c r="B20" i="22"/>
  <c r="B21" i="22" s="1"/>
  <c r="B22" i="22" s="1"/>
  <c r="B23" i="22" s="1"/>
  <c r="B24" i="22" s="1"/>
  <c r="B25" i="22" s="1"/>
  <c r="B26" i="22" s="1"/>
  <c r="B27" i="22" s="1"/>
  <c r="T19" i="22"/>
  <c r="S19" i="22"/>
  <c r="T18" i="22"/>
  <c r="V18" i="22" s="1"/>
  <c r="B18" i="22"/>
  <c r="B19" i="22" s="1"/>
  <c r="T17" i="22"/>
  <c r="S17" i="22"/>
  <c r="T16" i="22"/>
  <c r="B16" i="22"/>
  <c r="B17" i="22" s="1"/>
  <c r="T15" i="22"/>
  <c r="V15" i="22" s="1"/>
  <c r="B15" i="22"/>
  <c r="T14" i="22"/>
  <c r="V14" i="22" s="1"/>
  <c r="T13" i="22"/>
  <c r="V13" i="22" s="1"/>
  <c r="B13" i="22"/>
  <c r="B14" i="22" s="1"/>
  <c r="T12" i="22"/>
  <c r="S12" i="22"/>
  <c r="T11" i="22"/>
  <c r="S11" i="22"/>
  <c r="T10" i="22"/>
  <c r="S10" i="22"/>
  <c r="B10" i="22"/>
  <c r="B11" i="22" s="1"/>
  <c r="B12" i="22" s="1"/>
  <c r="T9" i="22"/>
  <c r="U9" i="22" s="1"/>
  <c r="T8" i="22"/>
  <c r="W8" i="22" s="1"/>
  <c r="B8" i="22"/>
  <c r="B9" i="22" s="1"/>
  <c r="T7" i="22"/>
  <c r="V7" i="22" s="1"/>
  <c r="T6" i="22"/>
  <c r="W6" i="22" s="1"/>
  <c r="T5" i="22"/>
  <c r="W5" i="22" s="1"/>
  <c r="B5" i="22"/>
  <c r="B6" i="22" s="1"/>
  <c r="B7" i="22" s="1"/>
  <c r="T4" i="22"/>
  <c r="W4" i="22" s="1"/>
  <c r="B4" i="22"/>
  <c r="T3" i="22"/>
  <c r="W3" i="22" s="1"/>
  <c r="B3" i="22"/>
  <c r="A3" i="22"/>
  <c r="A4" i="22" s="1"/>
  <c r="A5" i="22" s="1"/>
  <c r="T2" i="22"/>
  <c r="V2" i="22" s="1"/>
  <c r="C2" i="22"/>
  <c r="C7" i="21"/>
  <c r="C6" i="21"/>
  <c r="C5" i="21"/>
  <c r="C4" i="21"/>
  <c r="D34" i="14"/>
  <c r="T173" i="20"/>
  <c r="R173" i="20"/>
  <c r="S173" i="20" s="1"/>
  <c r="T190" i="20"/>
  <c r="V190" i="20" s="1"/>
  <c r="S190" i="20"/>
  <c r="T189" i="20"/>
  <c r="S189" i="20"/>
  <c r="T188" i="20"/>
  <c r="S188" i="20"/>
  <c r="T187" i="20"/>
  <c r="S187" i="20"/>
  <c r="T186" i="20"/>
  <c r="S186" i="20"/>
  <c r="T185" i="20"/>
  <c r="S185" i="20"/>
  <c r="T184" i="20"/>
  <c r="S184" i="20"/>
  <c r="T183" i="20"/>
  <c r="S183" i="20"/>
  <c r="T182" i="20"/>
  <c r="S182" i="20"/>
  <c r="T181" i="20"/>
  <c r="S181" i="20"/>
  <c r="T180" i="20"/>
  <c r="S180" i="20"/>
  <c r="T179" i="20"/>
  <c r="S179" i="20"/>
  <c r="T178" i="20"/>
  <c r="S178" i="20"/>
  <c r="T177" i="20"/>
  <c r="S177" i="20"/>
  <c r="T176" i="20"/>
  <c r="S176" i="20"/>
  <c r="T175" i="20"/>
  <c r="S175" i="20"/>
  <c r="T174" i="20"/>
  <c r="R174" i="20"/>
  <c r="S174" i="20" s="1"/>
  <c r="T172" i="20"/>
  <c r="R172" i="20"/>
  <c r="S172" i="20" s="1"/>
  <c r="T171" i="20"/>
  <c r="W171" i="20" s="1"/>
  <c r="T170" i="20"/>
  <c r="V170" i="20" s="1"/>
  <c r="T169" i="20"/>
  <c r="R169" i="20"/>
  <c r="S169" i="20" s="1"/>
  <c r="T168" i="20"/>
  <c r="S168" i="20"/>
  <c r="T167" i="20"/>
  <c r="S167" i="20"/>
  <c r="T166" i="20"/>
  <c r="S166" i="20"/>
  <c r="T165" i="20"/>
  <c r="S165" i="20"/>
  <c r="T164" i="20"/>
  <c r="R164" i="20"/>
  <c r="S164" i="20" s="1"/>
  <c r="T163" i="20"/>
  <c r="S163" i="20"/>
  <c r="T162" i="20"/>
  <c r="S162" i="20"/>
  <c r="T161" i="20"/>
  <c r="S161" i="20"/>
  <c r="T160" i="20"/>
  <c r="S160" i="20"/>
  <c r="T159" i="20"/>
  <c r="S159" i="20"/>
  <c r="T158" i="20"/>
  <c r="S158" i="20"/>
  <c r="T157" i="20"/>
  <c r="S157" i="20"/>
  <c r="T156" i="20"/>
  <c r="S156" i="20"/>
  <c r="T155" i="20"/>
  <c r="S155" i="20"/>
  <c r="T154" i="20"/>
  <c r="R154" i="20"/>
  <c r="S154" i="20" s="1"/>
  <c r="AD153" i="20"/>
  <c r="AB153" i="20"/>
  <c r="T153" i="20"/>
  <c r="U153" i="20" s="1"/>
  <c r="S153" i="20"/>
  <c r="AD152" i="20"/>
  <c r="AB152" i="20"/>
  <c r="T152" i="20"/>
  <c r="S152" i="20"/>
  <c r="AD151" i="20"/>
  <c r="AB151" i="20"/>
  <c r="T151" i="20"/>
  <c r="S151" i="20"/>
  <c r="AD150" i="20"/>
  <c r="AB150" i="20"/>
  <c r="T150" i="20"/>
  <c r="V150" i="20" s="1"/>
  <c r="AD149" i="20"/>
  <c r="AB149" i="20"/>
  <c r="T149" i="20"/>
  <c r="W149" i="20" s="1"/>
  <c r="T148" i="20"/>
  <c r="V148" i="20" s="1"/>
  <c r="T147" i="20"/>
  <c r="T146" i="20"/>
  <c r="V146" i="20" s="1"/>
  <c r="T145" i="20"/>
  <c r="U145" i="20" s="1"/>
  <c r="T144" i="20"/>
  <c r="W144" i="20" s="1"/>
  <c r="T143" i="20"/>
  <c r="U143" i="20" s="1"/>
  <c r="T142" i="20"/>
  <c r="V142" i="20" s="1"/>
  <c r="T141" i="20"/>
  <c r="W141" i="20" s="1"/>
  <c r="T140" i="20"/>
  <c r="W140" i="20" s="1"/>
  <c r="T139" i="20"/>
  <c r="V139" i="20" s="1"/>
  <c r="T138" i="20"/>
  <c r="W138" i="20" s="1"/>
  <c r="T137" i="20"/>
  <c r="W137" i="20" s="1"/>
  <c r="T136" i="20"/>
  <c r="V136" i="20" s="1"/>
  <c r="T135" i="20"/>
  <c r="U135" i="20" s="1"/>
  <c r="T134" i="20"/>
  <c r="V134" i="20" s="1"/>
  <c r="T133" i="20"/>
  <c r="W133" i="20" s="1"/>
  <c r="AD132" i="20"/>
  <c r="AB132" i="20"/>
  <c r="T132" i="20"/>
  <c r="W132" i="20" s="1"/>
  <c r="AD131" i="20"/>
  <c r="AB131" i="20"/>
  <c r="T131" i="20"/>
  <c r="W131" i="20" s="1"/>
  <c r="AD130" i="20"/>
  <c r="AB130" i="20"/>
  <c r="T130" i="20"/>
  <c r="W130" i="20" s="1"/>
  <c r="AD129" i="20"/>
  <c r="AB129" i="20"/>
  <c r="T129" i="20"/>
  <c r="W129" i="20" s="1"/>
  <c r="T128" i="20"/>
  <c r="V128" i="20" s="1"/>
  <c r="T127" i="20"/>
  <c r="U127" i="20" s="1"/>
  <c r="T126" i="20"/>
  <c r="W126" i="20" s="1"/>
  <c r="T125" i="20"/>
  <c r="W125" i="20" s="1"/>
  <c r="T124" i="20"/>
  <c r="S124" i="20"/>
  <c r="T123" i="20"/>
  <c r="S123" i="20"/>
  <c r="T122" i="20"/>
  <c r="S122" i="20"/>
  <c r="T121" i="20"/>
  <c r="T120" i="20"/>
  <c r="V120" i="20" s="1"/>
  <c r="T119" i="20"/>
  <c r="V119" i="20" s="1"/>
  <c r="B119" i="20"/>
  <c r="T118" i="20"/>
  <c r="U118" i="20" s="1"/>
  <c r="T117" i="20"/>
  <c r="W117" i="20" s="1"/>
  <c r="T116" i="20"/>
  <c r="T115" i="20"/>
  <c r="T114" i="20"/>
  <c r="W114" i="20" s="1"/>
  <c r="T113" i="20"/>
  <c r="W113" i="20" s="1"/>
  <c r="B113" i="20"/>
  <c r="B114" i="20" s="1"/>
  <c r="B115" i="20" s="1"/>
  <c r="B116" i="20" s="1"/>
  <c r="B117" i="20" s="1"/>
  <c r="B118" i="20" s="1"/>
  <c r="T112" i="20"/>
  <c r="R112" i="20"/>
  <c r="S112" i="20" s="1"/>
  <c r="T111" i="20"/>
  <c r="W111" i="20" s="1"/>
  <c r="T110" i="20"/>
  <c r="W110" i="20" s="1"/>
  <c r="T109" i="20"/>
  <c r="V109" i="20" s="1"/>
  <c r="T108" i="20"/>
  <c r="U108" i="20" s="1"/>
  <c r="B108" i="20"/>
  <c r="B109" i="20" s="1"/>
  <c r="B110" i="20" s="1"/>
  <c r="B111" i="20" s="1"/>
  <c r="B112" i="20" s="1"/>
  <c r="T107" i="20"/>
  <c r="W107" i="20" s="1"/>
  <c r="T106" i="20"/>
  <c r="R106" i="20"/>
  <c r="S106" i="20" s="1"/>
  <c r="T105" i="20"/>
  <c r="R105" i="20"/>
  <c r="S105" i="20" s="1"/>
  <c r="B105" i="20"/>
  <c r="B106" i="20" s="1"/>
  <c r="B107" i="20" s="1"/>
  <c r="T104" i="20"/>
  <c r="W104" i="20" s="1"/>
  <c r="T103" i="20"/>
  <c r="S103" i="20"/>
  <c r="T102" i="20"/>
  <c r="V102" i="20" s="1"/>
  <c r="B102" i="20"/>
  <c r="B103" i="20" s="1"/>
  <c r="B104" i="20" s="1"/>
  <c r="AD101" i="20"/>
  <c r="AB101" i="20"/>
  <c r="Z101" i="20"/>
  <c r="X101" i="20"/>
  <c r="T101" i="20"/>
  <c r="S101" i="20"/>
  <c r="B101" i="20"/>
  <c r="Z100" i="20"/>
  <c r="X100" i="20"/>
  <c r="T100" i="20"/>
  <c r="U100" i="20" s="1"/>
  <c r="Z99" i="20"/>
  <c r="X99" i="20"/>
  <c r="T99" i="20"/>
  <c r="W99" i="20" s="1"/>
  <c r="B99" i="20"/>
  <c r="B100" i="20" s="1"/>
  <c r="T98" i="20"/>
  <c r="W98" i="20" s="1"/>
  <c r="B98" i="20"/>
  <c r="T97" i="20"/>
  <c r="W97" i="20" s="1"/>
  <c r="T96" i="20"/>
  <c r="U96" i="20" s="1"/>
  <c r="B96" i="20"/>
  <c r="B97" i="20" s="1"/>
  <c r="T95" i="20"/>
  <c r="S95" i="20"/>
  <c r="T94" i="20"/>
  <c r="S94" i="20"/>
  <c r="B94" i="20"/>
  <c r="B95" i="20" s="1"/>
  <c r="T93" i="20"/>
  <c r="W93" i="20" s="1"/>
  <c r="B93" i="20"/>
  <c r="Z92" i="20"/>
  <c r="X92" i="20"/>
  <c r="T92" i="20"/>
  <c r="W92" i="20" s="1"/>
  <c r="Z91" i="20"/>
  <c r="X91" i="20"/>
  <c r="T91" i="20"/>
  <c r="V91" i="20" s="1"/>
  <c r="B91" i="20"/>
  <c r="B92" i="20" s="1"/>
  <c r="T90" i="20"/>
  <c r="U90" i="20" s="1"/>
  <c r="T89" i="20"/>
  <c r="W89" i="20" s="1"/>
  <c r="T88" i="20"/>
  <c r="W88" i="20" s="1"/>
  <c r="B88" i="20"/>
  <c r="B89" i="20" s="1"/>
  <c r="B90" i="20" s="1"/>
  <c r="T87" i="20"/>
  <c r="W87" i="20" s="1"/>
  <c r="B87" i="20"/>
  <c r="AD86" i="20"/>
  <c r="AB86" i="20"/>
  <c r="Z86" i="20"/>
  <c r="X86" i="20"/>
  <c r="T86" i="20"/>
  <c r="U86" i="20" s="1"/>
  <c r="AD85" i="20"/>
  <c r="AB85" i="20"/>
  <c r="Z85" i="20"/>
  <c r="X85" i="20"/>
  <c r="T85" i="20"/>
  <c r="W85" i="20" s="1"/>
  <c r="B85" i="20"/>
  <c r="B86" i="20" s="1"/>
  <c r="T84" i="20"/>
  <c r="W84" i="20" s="1"/>
  <c r="T83" i="20"/>
  <c r="V83" i="20" s="1"/>
  <c r="T82" i="20"/>
  <c r="U82" i="20" s="1"/>
  <c r="T81" i="20"/>
  <c r="W81" i="20" s="1"/>
  <c r="B81" i="20"/>
  <c r="B82" i="20" s="1"/>
  <c r="B83" i="20" s="1"/>
  <c r="B84" i="20" s="1"/>
  <c r="T80" i="20"/>
  <c r="W80" i="20" s="1"/>
  <c r="B80" i="20"/>
  <c r="AD79" i="20"/>
  <c r="AB79" i="20"/>
  <c r="T79" i="20"/>
  <c r="W79" i="20" s="1"/>
  <c r="AD78" i="20"/>
  <c r="AB78" i="20"/>
  <c r="T78" i="20"/>
  <c r="U78" i="20" s="1"/>
  <c r="AD77" i="20"/>
  <c r="AB77" i="20"/>
  <c r="T77" i="20"/>
  <c r="W77" i="20" s="1"/>
  <c r="AD76" i="20"/>
  <c r="AB76" i="20"/>
  <c r="T76" i="20"/>
  <c r="W76" i="20" s="1"/>
  <c r="AD75" i="20"/>
  <c r="AB75" i="20"/>
  <c r="T75" i="20"/>
  <c r="V75" i="20" s="1"/>
  <c r="B75" i="20"/>
  <c r="B76" i="20" s="1"/>
  <c r="B77" i="20" s="1"/>
  <c r="B78" i="20" s="1"/>
  <c r="B79" i="20" s="1"/>
  <c r="T74" i="20"/>
  <c r="U74" i="20" s="1"/>
  <c r="T73" i="20"/>
  <c r="W73" i="20" s="1"/>
  <c r="T72" i="20"/>
  <c r="W72" i="20" s="1"/>
  <c r="T71" i="20"/>
  <c r="V71" i="20" s="1"/>
  <c r="T70" i="20"/>
  <c r="U70" i="20" s="1"/>
  <c r="T69" i="20"/>
  <c r="W69" i="20" s="1"/>
  <c r="T68" i="20"/>
  <c r="W68" i="20" s="1"/>
  <c r="B68" i="20"/>
  <c r="B69" i="20" s="1"/>
  <c r="B70" i="20" s="1"/>
  <c r="B71" i="20" s="1"/>
  <c r="B72" i="20" s="1"/>
  <c r="B73" i="20" s="1"/>
  <c r="B74" i="20" s="1"/>
  <c r="T67" i="20"/>
  <c r="S67" i="20"/>
  <c r="T66" i="20"/>
  <c r="S66" i="20"/>
  <c r="T65" i="20"/>
  <c r="S65" i="20"/>
  <c r="T64" i="20"/>
  <c r="S64" i="20"/>
  <c r="T63" i="20"/>
  <c r="S63" i="20"/>
  <c r="T62" i="20"/>
  <c r="S62" i="20"/>
  <c r="B62" i="20"/>
  <c r="B63" i="20" s="1"/>
  <c r="B64" i="20" s="1"/>
  <c r="B65" i="20" s="1"/>
  <c r="B66" i="20" s="1"/>
  <c r="B67" i="20" s="1"/>
  <c r="Z61" i="20"/>
  <c r="X61" i="20"/>
  <c r="T61" i="20"/>
  <c r="T60" i="20"/>
  <c r="U60" i="20" s="1"/>
  <c r="B60" i="20"/>
  <c r="B61" i="20" s="1"/>
  <c r="Z59" i="20"/>
  <c r="X59" i="20"/>
  <c r="T59" i="20"/>
  <c r="W59" i="20" s="1"/>
  <c r="Z58" i="20"/>
  <c r="X58" i="20"/>
  <c r="T58" i="20"/>
  <c r="W58" i="20" s="1"/>
  <c r="Z57" i="20"/>
  <c r="X57" i="20"/>
  <c r="T57" i="20"/>
  <c r="W57" i="20" s="1"/>
  <c r="B57" i="20"/>
  <c r="B58" i="20" s="1"/>
  <c r="B59" i="20" s="1"/>
  <c r="T56" i="20"/>
  <c r="U56" i="20" s="1"/>
  <c r="T55" i="20"/>
  <c r="W55" i="20" s="1"/>
  <c r="T54" i="20"/>
  <c r="W54" i="20" s="1"/>
  <c r="T53" i="20"/>
  <c r="V53" i="20" s="1"/>
  <c r="B53" i="20"/>
  <c r="B54" i="20" s="1"/>
  <c r="B55" i="20" s="1"/>
  <c r="B56" i="20" s="1"/>
  <c r="T52" i="20"/>
  <c r="S52" i="20"/>
  <c r="T51" i="20"/>
  <c r="S51" i="20"/>
  <c r="B51" i="20"/>
  <c r="B52" i="20" s="1"/>
  <c r="T50" i="20"/>
  <c r="S50" i="20"/>
  <c r="T49" i="20"/>
  <c r="S49" i="20"/>
  <c r="T48" i="20"/>
  <c r="S48" i="20"/>
  <c r="T47" i="20"/>
  <c r="S47" i="20"/>
  <c r="T46" i="20"/>
  <c r="S46" i="20"/>
  <c r="T45" i="20"/>
  <c r="S45" i="20"/>
  <c r="B45" i="20"/>
  <c r="B46" i="20" s="1"/>
  <c r="B47" i="20" s="1"/>
  <c r="B48" i="20" s="1"/>
  <c r="B49" i="20" s="1"/>
  <c r="B50" i="20" s="1"/>
  <c r="T44" i="20"/>
  <c r="S44" i="20"/>
  <c r="T43" i="20"/>
  <c r="S43" i="20"/>
  <c r="T42" i="20"/>
  <c r="S42" i="20"/>
  <c r="T41" i="20"/>
  <c r="S41" i="20"/>
  <c r="T40" i="20"/>
  <c r="S40" i="20"/>
  <c r="T39" i="20"/>
  <c r="S39" i="20"/>
  <c r="T38" i="20"/>
  <c r="S38" i="20"/>
  <c r="T37" i="20"/>
  <c r="S37" i="20"/>
  <c r="B37" i="20"/>
  <c r="B38" i="20" s="1"/>
  <c r="B39" i="20" s="1"/>
  <c r="B40" i="20" s="1"/>
  <c r="B41" i="20" s="1"/>
  <c r="B42" i="20" s="1"/>
  <c r="B43" i="20" s="1"/>
  <c r="B44" i="20" s="1"/>
  <c r="T36" i="20"/>
  <c r="S36" i="20"/>
  <c r="T35" i="20"/>
  <c r="S35" i="20"/>
  <c r="T34" i="20"/>
  <c r="S34" i="20"/>
  <c r="T33" i="20"/>
  <c r="S33" i="20"/>
  <c r="T32" i="20"/>
  <c r="S32" i="20"/>
  <c r="T31" i="20"/>
  <c r="S31" i="20"/>
  <c r="T30" i="20"/>
  <c r="S30" i="20"/>
  <c r="T29" i="20"/>
  <c r="W29" i="20" s="1"/>
  <c r="S29" i="20"/>
  <c r="B29" i="20"/>
  <c r="B30" i="20" s="1"/>
  <c r="B31" i="20" s="1"/>
  <c r="B32" i="20" s="1"/>
  <c r="B33" i="20" s="1"/>
  <c r="B34" i="20" s="1"/>
  <c r="B35" i="20" s="1"/>
  <c r="B36" i="20" s="1"/>
  <c r="T28" i="20"/>
  <c r="B28" i="20"/>
  <c r="T27" i="20"/>
  <c r="W27" i="20" s="1"/>
  <c r="T26" i="20"/>
  <c r="T25" i="20"/>
  <c r="V25" i="20" s="1"/>
  <c r="T24" i="20"/>
  <c r="V24" i="20" s="1"/>
  <c r="T23" i="20"/>
  <c r="V23" i="20" s="1"/>
  <c r="T22" i="20"/>
  <c r="T21" i="20"/>
  <c r="V21" i="20" s="1"/>
  <c r="T20" i="20"/>
  <c r="B20" i="20"/>
  <c r="B21" i="20" s="1"/>
  <c r="B22" i="20" s="1"/>
  <c r="B23" i="20" s="1"/>
  <c r="B24" i="20" s="1"/>
  <c r="B25" i="20" s="1"/>
  <c r="B26" i="20" s="1"/>
  <c r="B27" i="20" s="1"/>
  <c r="T19" i="20"/>
  <c r="W19" i="20" s="1"/>
  <c r="S19" i="20"/>
  <c r="T18" i="20"/>
  <c r="V18" i="20" s="1"/>
  <c r="B18" i="20"/>
  <c r="B19" i="20" s="1"/>
  <c r="T17" i="20"/>
  <c r="S17" i="20"/>
  <c r="T16" i="20"/>
  <c r="W16" i="20" s="1"/>
  <c r="B16" i="20"/>
  <c r="B17" i="20" s="1"/>
  <c r="T15" i="20"/>
  <c r="V15" i="20" s="1"/>
  <c r="B15" i="20"/>
  <c r="T14" i="20"/>
  <c r="T13" i="20"/>
  <c r="V13" i="20" s="1"/>
  <c r="B13" i="20"/>
  <c r="B14" i="20" s="1"/>
  <c r="T12" i="20"/>
  <c r="S12" i="20"/>
  <c r="T11" i="20"/>
  <c r="S11" i="20"/>
  <c r="T10" i="20"/>
  <c r="S10" i="20"/>
  <c r="B10" i="20"/>
  <c r="B11" i="20" s="1"/>
  <c r="B12" i="20" s="1"/>
  <c r="T9" i="20"/>
  <c r="T8" i="20"/>
  <c r="W8" i="20" s="1"/>
  <c r="B8" i="20"/>
  <c r="B9" i="20" s="1"/>
  <c r="T7" i="20"/>
  <c r="U7" i="20" s="1"/>
  <c r="T6" i="20"/>
  <c r="W6" i="20" s="1"/>
  <c r="T5" i="20"/>
  <c r="W5" i="20" s="1"/>
  <c r="B5" i="20"/>
  <c r="B6" i="20" s="1"/>
  <c r="B7" i="20" s="1"/>
  <c r="T4" i="20"/>
  <c r="W4" i="20" s="1"/>
  <c r="B4" i="20"/>
  <c r="T3" i="20"/>
  <c r="W3" i="20" s="1"/>
  <c r="B3" i="20"/>
  <c r="A3" i="20"/>
  <c r="T2" i="20"/>
  <c r="V2" i="20" s="1"/>
  <c r="C2" i="20"/>
  <c r="D33" i="14"/>
  <c r="D35" i="14"/>
  <c r="C5" i="14"/>
  <c r="C9" i="14"/>
  <c r="C6" i="14"/>
  <c r="C8" i="14"/>
  <c r="C7" i="14"/>
  <c r="C10" i="14"/>
  <c r="C4" i="14"/>
  <c r="AN124" i="7"/>
  <c r="AN19" i="7"/>
  <c r="AN17" i="7"/>
  <c r="AM173" i="7"/>
  <c r="AN173" i="7" s="1"/>
  <c r="AM175" i="7"/>
  <c r="AN175" i="7" s="1"/>
  <c r="AM170" i="7"/>
  <c r="AN170" i="7" s="1"/>
  <c r="AN167" i="7"/>
  <c r="AN168" i="7"/>
  <c r="AN169" i="7"/>
  <c r="AN166" i="7"/>
  <c r="AN177" i="7"/>
  <c r="AN178" i="7"/>
  <c r="AN179" i="7"/>
  <c r="AN180" i="7"/>
  <c r="AN181" i="7"/>
  <c r="AN182" i="7"/>
  <c r="AN183" i="7"/>
  <c r="AN184" i="7"/>
  <c r="AN185" i="7"/>
  <c r="AN186" i="7"/>
  <c r="AN187" i="7"/>
  <c r="AN188" i="7"/>
  <c r="AN189" i="7"/>
  <c r="AN190" i="7"/>
  <c r="AN191" i="7"/>
  <c r="AN176" i="7"/>
  <c r="AO156" i="7"/>
  <c r="AO157" i="7"/>
  <c r="AO158" i="7"/>
  <c r="AO159" i="7"/>
  <c r="AO160" i="7"/>
  <c r="AO161" i="7"/>
  <c r="AO162" i="7"/>
  <c r="AO163" i="7"/>
  <c r="AO164" i="7"/>
  <c r="AO165" i="7"/>
  <c r="AO166" i="7"/>
  <c r="AO167" i="7"/>
  <c r="AO168" i="7"/>
  <c r="AO169" i="7"/>
  <c r="AO170" i="7"/>
  <c r="AO173" i="7"/>
  <c r="AO175" i="7"/>
  <c r="AO176" i="7"/>
  <c r="AO177" i="7"/>
  <c r="AO178" i="7"/>
  <c r="AO179" i="7"/>
  <c r="AO180" i="7"/>
  <c r="AO181" i="7"/>
  <c r="AO182" i="7"/>
  <c r="AO183" i="7"/>
  <c r="AO184" i="7"/>
  <c r="AO185" i="7"/>
  <c r="AO186" i="7"/>
  <c r="AO187" i="7"/>
  <c r="AO188" i="7"/>
  <c r="AO189" i="7"/>
  <c r="AO190" i="7"/>
  <c r="AO191" i="7"/>
  <c r="AO151" i="7"/>
  <c r="AO152" i="7"/>
  <c r="AO153" i="7"/>
  <c r="AO154" i="7"/>
  <c r="AN162" i="7"/>
  <c r="AN163" i="7"/>
  <c r="AN164" i="7"/>
  <c r="AM154" i="7"/>
  <c r="AN154" i="7" s="1"/>
  <c r="AN153" i="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C47" i="17" a="1"/>
  <c r="C47" i="17" s="1"/>
  <c r="B2" i="17"/>
  <c r="C206" i="27" l="1"/>
  <c r="A207" i="27"/>
  <c r="V156" i="20"/>
  <c r="C13" i="27"/>
  <c r="AQ163" i="7"/>
  <c r="AR163" i="7"/>
  <c r="AQ162" i="7"/>
  <c r="AR162" i="7"/>
  <c r="AR153" i="7"/>
  <c r="AQ153" i="7"/>
  <c r="AR151" i="7"/>
  <c r="AQ151" i="7"/>
  <c r="AP190" i="7"/>
  <c r="AR190" i="7"/>
  <c r="AQ190" i="7"/>
  <c r="AP182" i="7"/>
  <c r="AQ182" i="7"/>
  <c r="AR182" i="7"/>
  <c r="AP168" i="7"/>
  <c r="AR168" i="7"/>
  <c r="AQ168" i="7"/>
  <c r="AP159" i="7"/>
  <c r="AR159" i="7"/>
  <c r="AQ159" i="7"/>
  <c r="AR187" i="7"/>
  <c r="AQ187" i="7"/>
  <c r="AR179" i="7"/>
  <c r="AQ179" i="7"/>
  <c r="AP175" i="7"/>
  <c r="AR175" i="7"/>
  <c r="AQ175" i="7"/>
  <c r="AQ186" i="7"/>
  <c r="AR186" i="7"/>
  <c r="AR178" i="7"/>
  <c r="AQ178" i="7"/>
  <c r="AP173" i="7"/>
  <c r="AQ173" i="7"/>
  <c r="AR173" i="7"/>
  <c r="AR152" i="7"/>
  <c r="AQ152" i="7"/>
  <c r="AP191" i="7"/>
  <c r="AR191" i="7"/>
  <c r="AQ191" i="7"/>
  <c r="AP183" i="7"/>
  <c r="AR183" i="7"/>
  <c r="AQ183" i="7"/>
  <c r="AP169" i="7"/>
  <c r="AR169" i="7"/>
  <c r="AQ169" i="7"/>
  <c r="AP158" i="7"/>
  <c r="AR158" i="7"/>
  <c r="AQ158" i="7"/>
  <c r="AP165" i="7"/>
  <c r="AQ165" i="7"/>
  <c r="AR165" i="7"/>
  <c r="AR189" i="7"/>
  <c r="AQ189" i="7"/>
  <c r="AQ181" i="7"/>
  <c r="AR181" i="7"/>
  <c r="AP167" i="7"/>
  <c r="AR167" i="7"/>
  <c r="AQ167" i="7"/>
  <c r="AR160" i="7"/>
  <c r="AQ160" i="7"/>
  <c r="AP185" i="7"/>
  <c r="AR185" i="7"/>
  <c r="AQ185" i="7"/>
  <c r="AP177" i="7"/>
  <c r="AR177" i="7"/>
  <c r="AQ177" i="7"/>
  <c r="AR156" i="7"/>
  <c r="AQ156" i="7"/>
  <c r="AP176" i="7"/>
  <c r="AR176" i="7"/>
  <c r="AQ176" i="7"/>
  <c r="AP184" i="7"/>
  <c r="AR184" i="7"/>
  <c r="AQ184" i="7"/>
  <c r="AP166" i="7"/>
  <c r="AR166" i="7"/>
  <c r="AQ166" i="7"/>
  <c r="AP157" i="7"/>
  <c r="AQ157" i="7"/>
  <c r="AR157" i="7"/>
  <c r="AP154" i="7"/>
  <c r="AQ154" i="7"/>
  <c r="AR154" i="7"/>
  <c r="AQ164" i="7"/>
  <c r="AR164" i="7"/>
  <c r="AR188" i="7"/>
  <c r="AQ188" i="7"/>
  <c r="AR180" i="7"/>
  <c r="AQ180" i="7"/>
  <c r="AP170" i="7"/>
  <c r="AQ170" i="7"/>
  <c r="AR170" i="7"/>
  <c r="AR161" i="7"/>
  <c r="AQ161" i="7"/>
  <c r="AP152" i="7"/>
  <c r="AP151" i="7"/>
  <c r="AP189" i="7"/>
  <c r="AP160" i="7"/>
  <c r="AP164" i="7"/>
  <c r="AP188" i="7"/>
  <c r="AP180" i="7"/>
  <c r="AP161" i="7"/>
  <c r="AP153" i="7"/>
  <c r="AP181" i="7"/>
  <c r="AP163" i="7"/>
  <c r="AP187" i="7"/>
  <c r="AP179" i="7"/>
  <c r="AP156" i="7"/>
  <c r="AP162" i="7"/>
  <c r="AP186" i="7"/>
  <c r="AP178" i="7"/>
  <c r="D11" i="14"/>
  <c r="D32" i="14"/>
  <c r="D24" i="14"/>
  <c r="E23" i="14"/>
  <c r="D23" i="14"/>
  <c r="E22" i="14"/>
  <c r="D22" i="14"/>
  <c r="D20" i="14"/>
  <c r="D21" i="14"/>
  <c r="E20" i="14"/>
  <c r="W162" i="20"/>
  <c r="C3" i="20"/>
  <c r="V38" i="20"/>
  <c r="W40" i="20"/>
  <c r="W42" i="20"/>
  <c r="V158" i="20"/>
  <c r="V160" i="20"/>
  <c r="V11" i="20"/>
  <c r="U144" i="20"/>
  <c r="W37" i="20"/>
  <c r="V81" i="20"/>
  <c r="V176" i="20"/>
  <c r="V178" i="20"/>
  <c r="V180" i="20"/>
  <c r="W60" i="20"/>
  <c r="U166" i="20"/>
  <c r="U18" i="20"/>
  <c r="W30" i="20"/>
  <c r="W36" i="20"/>
  <c r="V155" i="20"/>
  <c r="V159" i="20"/>
  <c r="U46" i="20"/>
  <c r="U50" i="20"/>
  <c r="W52" i="20"/>
  <c r="W95" i="20"/>
  <c r="W165" i="20"/>
  <c r="D20" i="21"/>
  <c r="W10" i="22"/>
  <c r="V64" i="22"/>
  <c r="V66" i="22"/>
  <c r="V68" i="22"/>
  <c r="L31" i="21"/>
  <c r="M27" i="21" s="1"/>
  <c r="L8" i="21"/>
  <c r="W37" i="22"/>
  <c r="W31" i="22"/>
  <c r="W33" i="22"/>
  <c r="V30" i="22"/>
  <c r="U30" i="22"/>
  <c r="V59" i="22"/>
  <c r="V36" i="22"/>
  <c r="V54" i="22"/>
  <c r="U4" i="22"/>
  <c r="V10" i="22"/>
  <c r="W59" i="22"/>
  <c r="AA59" i="22" s="1"/>
  <c r="V4" i="22"/>
  <c r="V3" i="22"/>
  <c r="U23" i="22"/>
  <c r="U25" i="22"/>
  <c r="U58" i="22"/>
  <c r="W23" i="22"/>
  <c r="W25" i="22"/>
  <c r="U33" i="22"/>
  <c r="W30" i="22"/>
  <c r="V47" i="22"/>
  <c r="U2" i="22"/>
  <c r="U12" i="22"/>
  <c r="W35" i="22"/>
  <c r="V58" i="22"/>
  <c r="W2" i="22"/>
  <c r="U45" i="22"/>
  <c r="V8" i="22"/>
  <c r="V51" i="22"/>
  <c r="W55" i="22"/>
  <c r="U60" i="22"/>
  <c r="C3" i="22"/>
  <c r="W11" i="22"/>
  <c r="U42" i="22"/>
  <c r="U8" i="22"/>
  <c r="U13" i="22"/>
  <c r="W15" i="22"/>
  <c r="V17" i="22"/>
  <c r="W19" i="22"/>
  <c r="AA57" i="22"/>
  <c r="Y57" i="22"/>
  <c r="W7" i="22"/>
  <c r="V11" i="22"/>
  <c r="V21" i="22"/>
  <c r="U3" i="22"/>
  <c r="W21" i="22"/>
  <c r="U28" i="22"/>
  <c r="U31" i="22"/>
  <c r="U40" i="22"/>
  <c r="W47" i="22"/>
  <c r="W52" i="22"/>
  <c r="U57" i="22"/>
  <c r="V65" i="22"/>
  <c r="W74" i="22"/>
  <c r="V31" i="22"/>
  <c r="V57" i="22"/>
  <c r="W67" i="22"/>
  <c r="W69" i="22"/>
  <c r="W71" i="22"/>
  <c r="W13" i="22"/>
  <c r="U15" i="22"/>
  <c r="W46" i="22"/>
  <c r="W51" i="22"/>
  <c r="W66" i="22"/>
  <c r="W73" i="22"/>
  <c r="W76" i="22"/>
  <c r="U7" i="22"/>
  <c r="W12" i="22"/>
  <c r="V22" i="22"/>
  <c r="W29" i="22"/>
  <c r="W32" i="22"/>
  <c r="W48" i="22"/>
  <c r="W50" i="22"/>
  <c r="W68" i="22"/>
  <c r="W70" i="22"/>
  <c r="U10" i="22"/>
  <c r="W22" i="22"/>
  <c r="W34" i="22"/>
  <c r="W36" i="22"/>
  <c r="U55" i="22"/>
  <c r="W72" i="22"/>
  <c r="W75" i="22"/>
  <c r="A6" i="22"/>
  <c r="C5" i="22"/>
  <c r="C4" i="22"/>
  <c r="U6" i="22"/>
  <c r="V12" i="22"/>
  <c r="U20" i="22"/>
  <c r="U29" i="22"/>
  <c r="V34" i="22"/>
  <c r="W39" i="22"/>
  <c r="V39" i="22"/>
  <c r="AA58" i="22"/>
  <c r="Y58" i="22"/>
  <c r="W14" i="22"/>
  <c r="U14" i="22"/>
  <c r="W26" i="22"/>
  <c r="U26" i="22"/>
  <c r="V59" i="20"/>
  <c r="V67" i="20"/>
  <c r="V86" i="20"/>
  <c r="W186" i="20"/>
  <c r="U5" i="22"/>
  <c r="V6" i="22"/>
  <c r="V9" i="22"/>
  <c r="U11" i="22"/>
  <c r="U18" i="22"/>
  <c r="V20" i="22"/>
  <c r="U27" i="22"/>
  <c r="V29" i="22"/>
  <c r="U32" i="22"/>
  <c r="U37" i="22"/>
  <c r="W38" i="22"/>
  <c r="V38" i="22"/>
  <c r="U39" i="22"/>
  <c r="V53" i="22"/>
  <c r="W53" i="22"/>
  <c r="U53" i="22"/>
  <c r="W41" i="22"/>
  <c r="V41" i="22"/>
  <c r="W40" i="22"/>
  <c r="V40" i="22"/>
  <c r="V43" i="20"/>
  <c r="Y57" i="20"/>
  <c r="V5" i="22"/>
  <c r="W9" i="22"/>
  <c r="W18" i="22"/>
  <c r="W24" i="22"/>
  <c r="U24" i="22"/>
  <c r="W27" i="22"/>
  <c r="V32" i="22"/>
  <c r="U35" i="22"/>
  <c r="V37" i="22"/>
  <c r="U38" i="22"/>
  <c r="W166" i="20"/>
  <c r="V19" i="22"/>
  <c r="V35" i="22"/>
  <c r="W44" i="22"/>
  <c r="V44" i="22"/>
  <c r="W45" i="22"/>
  <c r="V45" i="22"/>
  <c r="V46" i="22"/>
  <c r="U23" i="20"/>
  <c r="W16" i="22"/>
  <c r="U16" i="22"/>
  <c r="W43" i="22"/>
  <c r="V43" i="22"/>
  <c r="U44" i="22"/>
  <c r="W56" i="22"/>
  <c r="V56" i="22"/>
  <c r="U56" i="22"/>
  <c r="U34" i="22"/>
  <c r="U41" i="22"/>
  <c r="W78" i="20"/>
  <c r="AE78" i="20" s="1"/>
  <c r="U81" i="20"/>
  <c r="V99" i="20"/>
  <c r="W153" i="20"/>
  <c r="W181" i="20"/>
  <c r="W183" i="20"/>
  <c r="W185" i="20"/>
  <c r="V16" i="22"/>
  <c r="W17" i="22"/>
  <c r="U17" i="22"/>
  <c r="U19" i="22"/>
  <c r="V28" i="22"/>
  <c r="V33" i="22"/>
  <c r="U36" i="22"/>
  <c r="W42" i="22"/>
  <c r="V42" i="22"/>
  <c r="U43" i="22"/>
  <c r="U49" i="22"/>
  <c r="W49" i="22"/>
  <c r="V49" i="22"/>
  <c r="V50" i="22"/>
  <c r="U48" i="22"/>
  <c r="U52" i="22"/>
  <c r="U47" i="22"/>
  <c r="V48" i="22"/>
  <c r="U51" i="22"/>
  <c r="V52" i="22"/>
  <c r="U46" i="22"/>
  <c r="U50" i="22"/>
  <c r="U54" i="22"/>
  <c r="W60" i="22"/>
  <c r="V60" i="22"/>
  <c r="W61" i="22"/>
  <c r="W62" i="22"/>
  <c r="W63" i="22"/>
  <c r="W64" i="22"/>
  <c r="W65" i="22"/>
  <c r="U61" i="22"/>
  <c r="U62" i="22"/>
  <c r="U63" i="22"/>
  <c r="U64" i="22"/>
  <c r="U65" i="22"/>
  <c r="U66" i="22"/>
  <c r="U67" i="22"/>
  <c r="U68" i="22"/>
  <c r="U69" i="22"/>
  <c r="U70" i="22"/>
  <c r="U71" i="22"/>
  <c r="U72" i="22"/>
  <c r="U73" i="22"/>
  <c r="U74" i="22"/>
  <c r="U75" i="22"/>
  <c r="U76" i="22"/>
  <c r="V70" i="22"/>
  <c r="V71" i="22"/>
  <c r="V72" i="22"/>
  <c r="V73" i="22"/>
  <c r="V74" i="22"/>
  <c r="V75" i="22"/>
  <c r="V76" i="22"/>
  <c r="M8" i="21"/>
  <c r="N6" i="21"/>
  <c r="P27" i="21"/>
  <c r="D8" i="21"/>
  <c r="K8" i="21"/>
  <c r="W18" i="20"/>
  <c r="V94" i="20"/>
  <c r="U107" i="20"/>
  <c r="V167" i="20"/>
  <c r="N5" i="21"/>
  <c r="N7" i="21"/>
  <c r="D17" i="21"/>
  <c r="E20" i="21"/>
  <c r="F20" i="21" s="1"/>
  <c r="E31" i="21" s="1"/>
  <c r="D28" i="21"/>
  <c r="D32" i="21" s="1"/>
  <c r="W143" i="20"/>
  <c r="W151" i="20"/>
  <c r="V164" i="20"/>
  <c r="D19" i="21"/>
  <c r="E19" i="21"/>
  <c r="V3" i="20"/>
  <c r="W21" i="20"/>
  <c r="U38" i="20"/>
  <c r="Y99" i="20"/>
  <c r="N4" i="21"/>
  <c r="W12" i="20"/>
  <c r="D18" i="21"/>
  <c r="F18" i="21" s="1"/>
  <c r="E29" i="21" s="1"/>
  <c r="V175" i="20"/>
  <c r="V177" i="20"/>
  <c r="V179" i="20"/>
  <c r="V181" i="20"/>
  <c r="U8" i="20"/>
  <c r="U13" i="20"/>
  <c r="V30" i="20"/>
  <c r="U34" i="20"/>
  <c r="W45" i="20"/>
  <c r="W47" i="20"/>
  <c r="W49" i="20"/>
  <c r="U51" i="20"/>
  <c r="U93" i="20"/>
  <c r="V95" i="20"/>
  <c r="W109" i="20"/>
  <c r="V135" i="20"/>
  <c r="U142" i="20"/>
  <c r="V171" i="20"/>
  <c r="V187" i="20"/>
  <c r="V8" i="20"/>
  <c r="W13" i="20"/>
  <c r="U84" i="20"/>
  <c r="W142" i="20"/>
  <c r="W150" i="20"/>
  <c r="AC150" i="20" s="1"/>
  <c r="W157" i="20"/>
  <c r="W41" i="20"/>
  <c r="V7" i="20"/>
  <c r="V69" i="20"/>
  <c r="U99" i="20"/>
  <c r="U101" i="20"/>
  <c r="W112" i="20"/>
  <c r="W161" i="20"/>
  <c r="W168" i="20"/>
  <c r="W7" i="20"/>
  <c r="V12" i="20"/>
  <c r="W127" i="20"/>
  <c r="V138" i="20"/>
  <c r="V182" i="20"/>
  <c r="V184" i="20"/>
  <c r="W39" i="20"/>
  <c r="A4" i="20"/>
  <c r="A5" i="20" s="1"/>
  <c r="A6" i="20" s="1"/>
  <c r="A7" i="20" s="1"/>
  <c r="A8" i="20" s="1"/>
  <c r="W23" i="20"/>
  <c r="U25" i="20"/>
  <c r="U33" i="20"/>
  <c r="U35" i="20"/>
  <c r="W48" i="20"/>
  <c r="W56" i="20"/>
  <c r="W86" i="20"/>
  <c r="AE86" i="20" s="1"/>
  <c r="U129" i="20"/>
  <c r="W134" i="20"/>
  <c r="W136" i="20"/>
  <c r="U161" i="20"/>
  <c r="V163" i="20"/>
  <c r="W25" i="20"/>
  <c r="Y58" i="20"/>
  <c r="V62" i="20"/>
  <c r="V66" i="20"/>
  <c r="W94" i="20"/>
  <c r="U98" i="20"/>
  <c r="V143" i="20"/>
  <c r="AE85" i="20"/>
  <c r="Y85" i="20"/>
  <c r="W173" i="20"/>
  <c r="V173" i="20"/>
  <c r="U173" i="20"/>
  <c r="AE77" i="20"/>
  <c r="AC153" i="20"/>
  <c r="V172" i="20"/>
  <c r="W172" i="20"/>
  <c r="U172" i="20"/>
  <c r="W43" i="20"/>
  <c r="V48" i="20"/>
  <c r="U58" i="20"/>
  <c r="U117" i="20"/>
  <c r="W135" i="20"/>
  <c r="U137" i="20"/>
  <c r="W139" i="20"/>
  <c r="U141" i="20"/>
  <c r="V144" i="20"/>
  <c r="U146" i="20"/>
  <c r="U163" i="20"/>
  <c r="C4" i="20"/>
  <c r="W11" i="20"/>
  <c r="V16" i="20"/>
  <c r="V19" i="20"/>
  <c r="U27" i="20"/>
  <c r="W32" i="20"/>
  <c r="W34" i="20"/>
  <c r="U45" i="20"/>
  <c r="U47" i="20"/>
  <c r="V51" i="20"/>
  <c r="V70" i="20"/>
  <c r="U85" i="20"/>
  <c r="U89" i="20"/>
  <c r="AA99" i="20"/>
  <c r="W101" i="20"/>
  <c r="AC101" i="20" s="1"/>
  <c r="V117" i="20"/>
  <c r="U125" i="20"/>
  <c r="W128" i="20"/>
  <c r="U134" i="20"/>
  <c r="W146" i="20"/>
  <c r="V151" i="20"/>
  <c r="V153" i="20"/>
  <c r="U157" i="20"/>
  <c r="V166" i="20"/>
  <c r="U168" i="20"/>
  <c r="V27" i="20"/>
  <c r="V50" i="20"/>
  <c r="W51" i="20"/>
  <c r="W70" i="20"/>
  <c r="V85" i="20"/>
  <c r="V89" i="20"/>
  <c r="W154" i="20"/>
  <c r="V157" i="20"/>
  <c r="U162" i="20"/>
  <c r="U167" i="20"/>
  <c r="W178" i="20"/>
  <c r="W180" i="20"/>
  <c r="W182" i="20"/>
  <c r="W184" i="20"/>
  <c r="V5" i="20"/>
  <c r="U4" i="20"/>
  <c r="U21" i="20"/>
  <c r="W38" i="20"/>
  <c r="U40" i="20"/>
  <c r="V47" i="20"/>
  <c r="U49" i="20"/>
  <c r="W50" i="20"/>
  <c r="V56" i="20"/>
  <c r="U69" i="20"/>
  <c r="W100" i="20"/>
  <c r="Y100" i="20" s="1"/>
  <c r="V103" i="20"/>
  <c r="W119" i="20"/>
  <c r="W120" i="20"/>
  <c r="W124" i="20"/>
  <c r="V127" i="20"/>
  <c r="AC149" i="20"/>
  <c r="V162" i="20"/>
  <c r="V165" i="20"/>
  <c r="W167" i="20"/>
  <c r="V186" i="20"/>
  <c r="W188" i="20"/>
  <c r="W190" i="20"/>
  <c r="W31" i="20"/>
  <c r="W33" i="20"/>
  <c r="W35" i="20"/>
  <c r="V49" i="20"/>
  <c r="U53" i="20"/>
  <c r="U55" i="20"/>
  <c r="U73" i="20"/>
  <c r="U77" i="20"/>
  <c r="V93" i="20"/>
  <c r="U94" i="20"/>
  <c r="U95" i="20"/>
  <c r="V96" i="20"/>
  <c r="V107" i="20"/>
  <c r="V118" i="20"/>
  <c r="U126" i="20"/>
  <c r="V130" i="20"/>
  <c r="U133" i="20"/>
  <c r="W158" i="20"/>
  <c r="V161" i="20"/>
  <c r="U165" i="20"/>
  <c r="U170" i="20"/>
  <c r="U6" i="20"/>
  <c r="V6" i="20"/>
  <c r="V10" i="20"/>
  <c r="V35" i="20"/>
  <c r="W46" i="20"/>
  <c r="U48" i="20"/>
  <c r="V52" i="20"/>
  <c r="V55" i="20"/>
  <c r="U59" i="20"/>
  <c r="U68" i="20"/>
  <c r="W71" i="20"/>
  <c r="V73" i="20"/>
  <c r="U76" i="20"/>
  <c r="V77" i="20"/>
  <c r="V78" i="20"/>
  <c r="W90" i="20"/>
  <c r="W96" i="20"/>
  <c r="V112" i="20"/>
  <c r="W118" i="20"/>
  <c r="V126" i="20"/>
  <c r="W163" i="20"/>
  <c r="W170" i="20"/>
  <c r="U30" i="20"/>
  <c r="U41" i="20"/>
  <c r="W123" i="20"/>
  <c r="W152" i="20"/>
  <c r="W155" i="20"/>
  <c r="W164" i="20"/>
  <c r="V168" i="20"/>
  <c r="V183" i="20"/>
  <c r="V185" i="20"/>
  <c r="W187" i="20"/>
  <c r="W189" i="20"/>
  <c r="V189" i="20"/>
  <c r="V188" i="20"/>
  <c r="C8" i="20"/>
  <c r="A9" i="20"/>
  <c r="U20" i="20"/>
  <c r="W20" i="20"/>
  <c r="W14" i="20"/>
  <c r="U14" i="20"/>
  <c r="W17" i="20"/>
  <c r="U17" i="20"/>
  <c r="V20" i="20"/>
  <c r="U28" i="20"/>
  <c r="W28" i="20"/>
  <c r="V42" i="20"/>
  <c r="U2" i="20"/>
  <c r="V14" i="20"/>
  <c r="V17" i="20"/>
  <c r="W22" i="20"/>
  <c r="U22" i="20"/>
  <c r="V28" i="20"/>
  <c r="U29" i="20"/>
  <c r="U39" i="20"/>
  <c r="V41" i="20"/>
  <c r="W2" i="20"/>
  <c r="W9" i="20"/>
  <c r="U9" i="20"/>
  <c r="V22" i="20"/>
  <c r="V40" i="20"/>
  <c r="V4" i="20"/>
  <c r="V9" i="20"/>
  <c r="U15" i="20"/>
  <c r="W24" i="20"/>
  <c r="U24" i="20"/>
  <c r="V29" i="20"/>
  <c r="U31" i="20"/>
  <c r="U36" i="20"/>
  <c r="U37" i="20"/>
  <c r="V39" i="20"/>
  <c r="U44" i="20"/>
  <c r="W10" i="20"/>
  <c r="W15" i="20"/>
  <c r="U32" i="20"/>
  <c r="W44" i="20"/>
  <c r="V44" i="20"/>
  <c r="W26" i="20"/>
  <c r="U26" i="20"/>
  <c r="V31" i="20"/>
  <c r="V36" i="20"/>
  <c r="V37" i="20"/>
  <c r="U43" i="20"/>
  <c r="U3" i="20"/>
  <c r="C5" i="20"/>
  <c r="U5" i="20"/>
  <c r="C6" i="20"/>
  <c r="U16" i="20"/>
  <c r="U19" i="20"/>
  <c r="V26" i="20"/>
  <c r="V32" i="20"/>
  <c r="V33" i="20"/>
  <c r="V34" i="20"/>
  <c r="U42" i="20"/>
  <c r="V45" i="20"/>
  <c r="V46" i="20"/>
  <c r="AA92" i="20"/>
  <c r="Y92" i="20"/>
  <c r="V64" i="20"/>
  <c r="V61" i="20"/>
  <c r="U61" i="20"/>
  <c r="W61" i="20"/>
  <c r="W53" i="20"/>
  <c r="W105" i="20"/>
  <c r="V105" i="20"/>
  <c r="U105" i="20"/>
  <c r="U10" i="20"/>
  <c r="U11" i="20"/>
  <c r="U12" i="20"/>
  <c r="U54" i="20"/>
  <c r="V57" i="20"/>
  <c r="U57" i="20"/>
  <c r="AA59" i="20"/>
  <c r="Y59" i="20"/>
  <c r="V63" i="20"/>
  <c r="AE79" i="20"/>
  <c r="AC79" i="20"/>
  <c r="U52" i="20"/>
  <c r="V54" i="20"/>
  <c r="AA57" i="20"/>
  <c r="AA58" i="20"/>
  <c r="AE76" i="20"/>
  <c r="AC76" i="20"/>
  <c r="V65" i="20"/>
  <c r="V60" i="20"/>
  <c r="W62" i="20"/>
  <c r="W63" i="20"/>
  <c r="W64" i="20"/>
  <c r="W65" i="20"/>
  <c r="W66" i="20"/>
  <c r="W67" i="20"/>
  <c r="V74" i="20"/>
  <c r="W75" i="20"/>
  <c r="V82" i="20"/>
  <c r="W83" i="20"/>
  <c r="V90" i="20"/>
  <c r="W91" i="20"/>
  <c r="V100" i="20"/>
  <c r="V101" i="20"/>
  <c r="W102" i="20"/>
  <c r="W103" i="20"/>
  <c r="V106" i="20"/>
  <c r="AE132" i="20"/>
  <c r="AC132" i="20"/>
  <c r="U72" i="20"/>
  <c r="W74" i="20"/>
  <c r="U80" i="20"/>
  <c r="W82" i="20"/>
  <c r="U88" i="20"/>
  <c r="AE151" i="20"/>
  <c r="AC151" i="20"/>
  <c r="V58" i="20"/>
  <c r="U71" i="20"/>
  <c r="V72" i="20"/>
  <c r="U79" i="20"/>
  <c r="V80" i="20"/>
  <c r="AA85" i="20"/>
  <c r="U87" i="20"/>
  <c r="V88" i="20"/>
  <c r="U97" i="20"/>
  <c r="V98" i="20"/>
  <c r="U106" i="20"/>
  <c r="V108" i="20"/>
  <c r="W116" i="20"/>
  <c r="V116" i="20"/>
  <c r="W122" i="20"/>
  <c r="AC78" i="20"/>
  <c r="V79" i="20"/>
  <c r="V87" i="20"/>
  <c r="V97" i="20"/>
  <c r="W106" i="20"/>
  <c r="W108" i="20"/>
  <c r="U116" i="20"/>
  <c r="AE131" i="20"/>
  <c r="AC131" i="20"/>
  <c r="AC77" i="20"/>
  <c r="AC85" i="20"/>
  <c r="U92" i="20"/>
  <c r="U104" i="20"/>
  <c r="W115" i="20"/>
  <c r="V115" i="20"/>
  <c r="U115" i="20"/>
  <c r="AE130" i="20"/>
  <c r="AC130" i="20"/>
  <c r="U62" i="20"/>
  <c r="U63" i="20"/>
  <c r="U64" i="20"/>
  <c r="U65" i="20"/>
  <c r="U66" i="20"/>
  <c r="U67" i="20"/>
  <c r="V68" i="20"/>
  <c r="U75" i="20"/>
  <c r="V76" i="20"/>
  <c r="U83" i="20"/>
  <c r="V84" i="20"/>
  <c r="U91" i="20"/>
  <c r="V92" i="20"/>
  <c r="U102" i="20"/>
  <c r="U103" i="20"/>
  <c r="V104" i="20"/>
  <c r="W121" i="20"/>
  <c r="V121" i="20"/>
  <c r="U121" i="20"/>
  <c r="AE129" i="20"/>
  <c r="AC129" i="20"/>
  <c r="AE149" i="20"/>
  <c r="U160" i="20"/>
  <c r="U122" i="20"/>
  <c r="U123" i="20"/>
  <c r="U124" i="20"/>
  <c r="V125" i="20"/>
  <c r="U132" i="20"/>
  <c r="V133" i="20"/>
  <c r="U140" i="20"/>
  <c r="V141" i="20"/>
  <c r="W147" i="20"/>
  <c r="U147" i="20"/>
  <c r="U149" i="20"/>
  <c r="U152" i="20"/>
  <c r="AE153" i="20"/>
  <c r="U155" i="20"/>
  <c r="U164" i="20"/>
  <c r="W175" i="20"/>
  <c r="U114" i="20"/>
  <c r="U120" i="20"/>
  <c r="V122" i="20"/>
  <c r="V123" i="20"/>
  <c r="V124" i="20"/>
  <c r="U131" i="20"/>
  <c r="V132" i="20"/>
  <c r="U139" i="20"/>
  <c r="V140" i="20"/>
  <c r="V145" i="20"/>
  <c r="V147" i="20"/>
  <c r="V149" i="20"/>
  <c r="V152" i="20"/>
  <c r="W156" i="20"/>
  <c r="U158" i="20"/>
  <c r="U111" i="20"/>
  <c r="U113" i="20"/>
  <c r="V114" i="20"/>
  <c r="U130" i="20"/>
  <c r="V131" i="20"/>
  <c r="U138" i="20"/>
  <c r="W145" i="20"/>
  <c r="U151" i="20"/>
  <c r="W159" i="20"/>
  <c r="W169" i="20"/>
  <c r="V169" i="20"/>
  <c r="U169" i="20"/>
  <c r="W174" i="20"/>
  <c r="V174" i="20"/>
  <c r="U174" i="20"/>
  <c r="W177" i="20"/>
  <c r="U110" i="20"/>
  <c r="V111" i="20"/>
  <c r="U112" i="20"/>
  <c r="V113" i="20"/>
  <c r="U156" i="20"/>
  <c r="U109" i="20"/>
  <c r="V110" i="20"/>
  <c r="U119" i="20"/>
  <c r="U128" i="20"/>
  <c r="V129" i="20"/>
  <c r="U136" i="20"/>
  <c r="V137" i="20"/>
  <c r="U148" i="20"/>
  <c r="U150" i="20"/>
  <c r="U154" i="20"/>
  <c r="U159" i="20"/>
  <c r="W179" i="20"/>
  <c r="W148" i="20"/>
  <c r="V154" i="20"/>
  <c r="W160" i="20"/>
  <c r="W176" i="20"/>
  <c r="U171" i="20"/>
  <c r="U175" i="20"/>
  <c r="U176" i="20"/>
  <c r="U177" i="20"/>
  <c r="U178" i="20"/>
  <c r="U179" i="20"/>
  <c r="U180" i="20"/>
  <c r="U181" i="20"/>
  <c r="U182" i="20"/>
  <c r="U183" i="20"/>
  <c r="U184" i="20"/>
  <c r="U185" i="20"/>
  <c r="U186" i="20"/>
  <c r="U187" i="20"/>
  <c r="U188" i="20"/>
  <c r="U189" i="20"/>
  <c r="U190" i="20"/>
  <c r="L35" i="14"/>
  <c r="D36" i="14"/>
  <c r="E24" i="14"/>
  <c r="E21" i="14"/>
  <c r="M11" i="14"/>
  <c r="K11" i="14"/>
  <c r="L11" i="14"/>
  <c r="C39" i="17" a="1"/>
  <c r="C39" i="17" s="1"/>
  <c r="C31" i="17" a="1"/>
  <c r="C31" i="17" s="1"/>
  <c r="C23" i="17" a="1"/>
  <c r="C23" i="17" s="1"/>
  <c r="C15" i="17" a="1"/>
  <c r="C15" i="17" s="1"/>
  <c r="C7" i="17" a="1"/>
  <c r="C7" i="17" s="1"/>
  <c r="C45" i="17" a="1"/>
  <c r="C45" i="17" s="1"/>
  <c r="C37" i="17" a="1"/>
  <c r="C37" i="17" s="1"/>
  <c r="C29" i="17" a="1"/>
  <c r="C29" i="17" s="1"/>
  <c r="C21" i="17" a="1"/>
  <c r="C21" i="17" s="1"/>
  <c r="C13" i="17" a="1"/>
  <c r="C13" i="17" s="1"/>
  <c r="C5" i="17" a="1"/>
  <c r="C5" i="17" s="1"/>
  <c r="C43" i="17" a="1"/>
  <c r="C43" i="17" s="1"/>
  <c r="C42" i="17" a="1"/>
  <c r="C42" i="17" s="1"/>
  <c r="C34" i="17" a="1"/>
  <c r="C34" i="17" s="1"/>
  <c r="C41" i="17" a="1"/>
  <c r="C41" i="17" s="1"/>
  <c r="C33" i="17" a="1"/>
  <c r="C33" i="17" s="1"/>
  <c r="C25" i="17" a="1"/>
  <c r="C25" i="17" s="1"/>
  <c r="C17" i="17" a="1"/>
  <c r="C17" i="17" s="1"/>
  <c r="C9" i="17" a="1"/>
  <c r="C9" i="17" s="1"/>
  <c r="C2" i="17" a="1"/>
  <c r="C2" i="17" s="1"/>
  <c r="C6" i="17" a="1"/>
  <c r="C6" i="17" s="1"/>
  <c r="C10" i="17" a="1"/>
  <c r="C10" i="17" s="1"/>
  <c r="C14" i="17" a="1"/>
  <c r="C14" i="17" s="1"/>
  <c r="C18" i="17" a="1"/>
  <c r="C18" i="17" s="1"/>
  <c r="C22" i="17" a="1"/>
  <c r="C22" i="17" s="1"/>
  <c r="C26" i="17" a="1"/>
  <c r="C26" i="17" s="1"/>
  <c r="C30" i="17" a="1"/>
  <c r="C30" i="17" s="1"/>
  <c r="C38" i="17" a="1"/>
  <c r="C38" i="17" s="1"/>
  <c r="C46" i="17" a="1"/>
  <c r="C46" i="17" s="1"/>
  <c r="C3" i="17" a="1"/>
  <c r="C3" i="17" s="1"/>
  <c r="C11" i="17" a="1"/>
  <c r="C11" i="17" s="1"/>
  <c r="C19" i="17" a="1"/>
  <c r="C19" i="17" s="1"/>
  <c r="C27" i="17" a="1"/>
  <c r="C27" i="17" s="1"/>
  <c r="C35" i="17" a="1"/>
  <c r="C35" i="17" s="1"/>
  <c r="C4" i="17" a="1"/>
  <c r="C4" i="17" s="1"/>
  <c r="C8" i="17" a="1"/>
  <c r="C8" i="17" s="1"/>
  <c r="C12" i="17" a="1"/>
  <c r="C12" i="17" s="1"/>
  <c r="C16" i="17" a="1"/>
  <c r="C16" i="17" s="1"/>
  <c r="C20" i="17" a="1"/>
  <c r="C20" i="17" s="1"/>
  <c r="C24" i="17" a="1"/>
  <c r="C24" i="17" s="1"/>
  <c r="C28" i="17" a="1"/>
  <c r="C28" i="17" s="1"/>
  <c r="C32" i="17" a="1"/>
  <c r="C32" i="17" s="1"/>
  <c r="C36" i="17" a="1"/>
  <c r="C36" i="17" s="1"/>
  <c r="C40" i="17" a="1"/>
  <c r="C40" i="17" s="1"/>
  <c r="C44" i="17" a="1"/>
  <c r="C44" i="17" s="1"/>
  <c r="A208" i="27" l="1"/>
  <c r="C207" i="27"/>
  <c r="AA100" i="20"/>
  <c r="C14" i="27"/>
  <c r="N11" i="14"/>
  <c r="BB154" i="7"/>
  <c r="BD154" i="7"/>
  <c r="BB181" i="7"/>
  <c r="BL181" i="7" s="1"/>
  <c r="BD181" i="7"/>
  <c r="BK181" i="7" s="1"/>
  <c r="BD158" i="7"/>
  <c r="BK158" i="7" s="1"/>
  <c r="BB158" i="7"/>
  <c r="BL158" i="7" s="1"/>
  <c r="BD179" i="7"/>
  <c r="BK179" i="7" s="1"/>
  <c r="BB179" i="7"/>
  <c r="BL179" i="7" s="1"/>
  <c r="BB151" i="7"/>
  <c r="BL151" i="7" s="1"/>
  <c r="BD151" i="7"/>
  <c r="BK151" i="7" s="1"/>
  <c r="BB191" i="7"/>
  <c r="BL191" i="7" s="1"/>
  <c r="BD191" i="7"/>
  <c r="BK191" i="7" s="1"/>
  <c r="BD178" i="7"/>
  <c r="BK178" i="7" s="1"/>
  <c r="BB178" i="7"/>
  <c r="BL178" i="7" s="1"/>
  <c r="BB182" i="7"/>
  <c r="BL182" i="7" s="1"/>
  <c r="BD182" i="7"/>
  <c r="BK182" i="7" s="1"/>
  <c r="BB184" i="7"/>
  <c r="BL184" i="7" s="1"/>
  <c r="BD184" i="7"/>
  <c r="BK184" i="7" s="1"/>
  <c r="BD156" i="7"/>
  <c r="BK156" i="7" s="1"/>
  <c r="BB156" i="7"/>
  <c r="BL156" i="7" s="1"/>
  <c r="BD186" i="7"/>
  <c r="BK186" i="7" s="1"/>
  <c r="BB186" i="7"/>
  <c r="BL186" i="7" s="1"/>
  <c r="BD187" i="7"/>
  <c r="BK187" i="7" s="1"/>
  <c r="BB187" i="7"/>
  <c r="BL187" i="7" s="1"/>
  <c r="BB153" i="7"/>
  <c r="BL153" i="7" s="1"/>
  <c r="BD153" i="7"/>
  <c r="BK153" i="7" s="1"/>
  <c r="BB170" i="7"/>
  <c r="BD170" i="7"/>
  <c r="BD166" i="7"/>
  <c r="BK166" i="7" s="1"/>
  <c r="BB166" i="7"/>
  <c r="BL166" i="7" s="1"/>
  <c r="BD180" i="7"/>
  <c r="BK180" i="7" s="1"/>
  <c r="BB180" i="7"/>
  <c r="BL180" i="7" s="1"/>
  <c r="BD157" i="7"/>
  <c r="BK157" i="7" s="1"/>
  <c r="BB157" i="7"/>
  <c r="BL157" i="7" s="1"/>
  <c r="BB189" i="7"/>
  <c r="BL189" i="7" s="1"/>
  <c r="BD189" i="7"/>
  <c r="BK189" i="7" s="1"/>
  <c r="BB169" i="7"/>
  <c r="BL169" i="7" s="1"/>
  <c r="BD169" i="7"/>
  <c r="BK169" i="7" s="1"/>
  <c r="BB162" i="7"/>
  <c r="BL162" i="7" s="1"/>
  <c r="BD162" i="7"/>
  <c r="BK162" i="7" s="1"/>
  <c r="BB168" i="7"/>
  <c r="BL168" i="7" s="1"/>
  <c r="BD168" i="7"/>
  <c r="BK168" i="7" s="1"/>
  <c r="BD177" i="7"/>
  <c r="BK177" i="7" s="1"/>
  <c r="BB177" i="7"/>
  <c r="BL177" i="7" s="1"/>
  <c r="BB160" i="7"/>
  <c r="BL160" i="7" s="1"/>
  <c r="BD160" i="7"/>
  <c r="BK160" i="7" s="1"/>
  <c r="BD165" i="7"/>
  <c r="BB165" i="7"/>
  <c r="BB152" i="7"/>
  <c r="BL152" i="7" s="1"/>
  <c r="BD152" i="7"/>
  <c r="BK152" i="7" s="1"/>
  <c r="BB159" i="7"/>
  <c r="BL159" i="7" s="1"/>
  <c r="BD159" i="7"/>
  <c r="BK159" i="7" s="1"/>
  <c r="BD185" i="7"/>
  <c r="BK185" i="7" s="1"/>
  <c r="BB185" i="7"/>
  <c r="BL185" i="7" s="1"/>
  <c r="BD188" i="7"/>
  <c r="BK188" i="7" s="1"/>
  <c r="BB188" i="7"/>
  <c r="BL188" i="7" s="1"/>
  <c r="BB176" i="7"/>
  <c r="BL176" i="7" s="1"/>
  <c r="BD176" i="7"/>
  <c r="BK176" i="7" s="1"/>
  <c r="BB173" i="7"/>
  <c r="BD173" i="7"/>
  <c r="BB175" i="7"/>
  <c r="BD175" i="7"/>
  <c r="BB190" i="7"/>
  <c r="BL190" i="7" s="1"/>
  <c r="BD190" i="7"/>
  <c r="BK190" i="7" s="1"/>
  <c r="BD163" i="7"/>
  <c r="BK163" i="7" s="1"/>
  <c r="BB163" i="7"/>
  <c r="BL163" i="7" s="1"/>
  <c r="BB161" i="7"/>
  <c r="BL161" i="7" s="1"/>
  <c r="BD161" i="7"/>
  <c r="BK161" i="7" s="1"/>
  <c r="BD164" i="7"/>
  <c r="BK164" i="7" s="1"/>
  <c r="BB164" i="7"/>
  <c r="BL164" i="7" s="1"/>
  <c r="BB167" i="7"/>
  <c r="BL167" i="7" s="1"/>
  <c r="BD167" i="7"/>
  <c r="BK167" i="7" s="1"/>
  <c r="BB183" i="7"/>
  <c r="BL183" i="7" s="1"/>
  <c r="BD183" i="7"/>
  <c r="BK183" i="7" s="1"/>
  <c r="I9" i="14"/>
  <c r="H9" i="14"/>
  <c r="J9" i="14" s="1"/>
  <c r="F9" i="14"/>
  <c r="E9" i="14"/>
  <c r="G9" i="14" s="1"/>
  <c r="M33" i="14"/>
  <c r="M31" i="14"/>
  <c r="M34" i="14"/>
  <c r="M32" i="14"/>
  <c r="AZ170" i="7"/>
  <c r="AV170" i="7"/>
  <c r="AX170" i="7"/>
  <c r="AT170" i="7"/>
  <c r="AZ154" i="7"/>
  <c r="AV154" i="7"/>
  <c r="AX154" i="7"/>
  <c r="AT154" i="7"/>
  <c r="AX151" i="7"/>
  <c r="BJ151" i="7" s="1"/>
  <c r="AZ151" i="7"/>
  <c r="BI151" i="7" s="1"/>
  <c r="AZ153" i="7"/>
  <c r="BI153" i="7" s="1"/>
  <c r="AX153" i="7"/>
  <c r="BJ153" i="7" s="1"/>
  <c r="AZ152" i="7"/>
  <c r="BI152" i="7" s="1"/>
  <c r="AX152" i="7"/>
  <c r="BJ152" i="7" s="1"/>
  <c r="AX175" i="7"/>
  <c r="AV175" i="7"/>
  <c r="AZ175" i="7"/>
  <c r="AT175" i="7"/>
  <c r="BG165" i="7"/>
  <c r="BH165" i="7"/>
  <c r="D37" i="14"/>
  <c r="D25" i="14"/>
  <c r="E25" i="14"/>
  <c r="AA101" i="20"/>
  <c r="AC152" i="20"/>
  <c r="AE152" i="20"/>
  <c r="M28" i="21"/>
  <c r="I4" i="21"/>
  <c r="H6" i="21"/>
  <c r="I6" i="21"/>
  <c r="I7" i="21"/>
  <c r="H7" i="21"/>
  <c r="F4" i="21"/>
  <c r="E4" i="21"/>
  <c r="F6" i="21"/>
  <c r="E6" i="21"/>
  <c r="F7" i="21"/>
  <c r="E7" i="21"/>
  <c r="I5" i="21"/>
  <c r="H5" i="21"/>
  <c r="E5" i="21"/>
  <c r="F5" i="21"/>
  <c r="H4" i="21"/>
  <c r="M30" i="21"/>
  <c r="M29" i="21"/>
  <c r="N8" i="21"/>
  <c r="Y59" i="22"/>
  <c r="AC86" i="20"/>
  <c r="AE150" i="20"/>
  <c r="A7" i="22"/>
  <c r="C6" i="22"/>
  <c r="F19" i="21"/>
  <c r="E30" i="21" s="1"/>
  <c r="D21" i="21"/>
  <c r="Y101" i="20"/>
  <c r="E21" i="21"/>
  <c r="F17" i="21"/>
  <c r="E28" i="21" s="1"/>
  <c r="AE101" i="20"/>
  <c r="AA86" i="20"/>
  <c r="C7" i="20"/>
  <c r="Y86" i="20"/>
  <c r="AA91" i="20"/>
  <c r="Y91" i="20"/>
  <c r="AC75" i="20"/>
  <c r="AE75" i="20"/>
  <c r="AA61" i="20"/>
  <c r="Y61" i="20"/>
  <c r="C9" i="20"/>
  <c r="A10" i="20"/>
  <c r="F22" i="14"/>
  <c r="E34" i="14" s="1"/>
  <c r="F23" i="14"/>
  <c r="E35" i="14" s="1"/>
  <c r="F20" i="14"/>
  <c r="E32" i="14" s="1"/>
  <c r="F21" i="14"/>
  <c r="E33" i="14" s="1"/>
  <c r="F24" i="14"/>
  <c r="E36" i="14" s="1"/>
  <c r="AO102" i="7"/>
  <c r="T3" i="10"/>
  <c r="S3" i="10"/>
  <c r="C2" i="7"/>
  <c r="AO113" i="7"/>
  <c r="AM107" i="7"/>
  <c r="AN107" i="7" s="1"/>
  <c r="AN106" i="7"/>
  <c r="AN95" i="7"/>
  <c r="AN96" i="7"/>
  <c r="C208" i="27" l="1"/>
  <c r="A209" i="27"/>
  <c r="C15" i="27"/>
  <c r="AP113" i="7"/>
  <c r="AR113" i="7"/>
  <c r="AQ113" i="7"/>
  <c r="E26" i="14"/>
  <c r="F25" i="14"/>
  <c r="E37" i="14" s="1"/>
  <c r="F21" i="21"/>
  <c r="C7" i="22"/>
  <c r="A8" i="22"/>
  <c r="A11" i="20"/>
  <c r="C10" i="20"/>
  <c r="W62" i="13"/>
  <c r="S62" i="13"/>
  <c r="V62" i="13" s="1"/>
  <c r="W61" i="13"/>
  <c r="S61" i="13"/>
  <c r="T61" i="13" s="1"/>
  <c r="W60" i="13"/>
  <c r="S60" i="13"/>
  <c r="V60" i="13" s="1"/>
  <c r="W59" i="13"/>
  <c r="S59" i="13"/>
  <c r="V59" i="13" s="1"/>
  <c r="AO131" i="7"/>
  <c r="AO132" i="7"/>
  <c r="AO133" i="7"/>
  <c r="AO134" i="7"/>
  <c r="AO135" i="7"/>
  <c r="AO136" i="7"/>
  <c r="AO137" i="7"/>
  <c r="AO138" i="7"/>
  <c r="AO139" i="7"/>
  <c r="AO140" i="7"/>
  <c r="AO141" i="7"/>
  <c r="AO142" i="7"/>
  <c r="AO143" i="7"/>
  <c r="AO144" i="7"/>
  <c r="AO145" i="7"/>
  <c r="AO146" i="7"/>
  <c r="AO147" i="7"/>
  <c r="AO148" i="7"/>
  <c r="AO149" i="7"/>
  <c r="AO150" i="7"/>
  <c r="AO130" i="7"/>
  <c r="AO119" i="7"/>
  <c r="AO118" i="7"/>
  <c r="X58" i="13"/>
  <c r="T58" i="13"/>
  <c r="W58" i="13" s="1"/>
  <c r="R58" i="13"/>
  <c r="X57" i="13"/>
  <c r="T57" i="13"/>
  <c r="V57" i="13" s="1"/>
  <c r="R57" i="13"/>
  <c r="X56" i="13"/>
  <c r="T56" i="13"/>
  <c r="W56" i="13" s="1"/>
  <c r="R56" i="13"/>
  <c r="X55" i="13"/>
  <c r="T55" i="13"/>
  <c r="U55" i="13" s="1"/>
  <c r="R55" i="13"/>
  <c r="X54" i="13"/>
  <c r="T54" i="13"/>
  <c r="W54" i="13" s="1"/>
  <c r="R54" i="13"/>
  <c r="X53" i="13"/>
  <c r="T53" i="13"/>
  <c r="W53" i="13" s="1"/>
  <c r="R53" i="13"/>
  <c r="B53" i="13"/>
  <c r="B54" i="13" s="1"/>
  <c r="B55" i="13" s="1"/>
  <c r="B56" i="13" s="1"/>
  <c r="B57" i="13" s="1"/>
  <c r="B58" i="13" s="1"/>
  <c r="X52" i="13"/>
  <c r="T52" i="13"/>
  <c r="W52" i="13" s="1"/>
  <c r="R52" i="13"/>
  <c r="X51" i="13"/>
  <c r="T51" i="13"/>
  <c r="S51" i="13"/>
  <c r="X50" i="13"/>
  <c r="T50" i="13"/>
  <c r="S50" i="13"/>
  <c r="B50" i="13"/>
  <c r="B51" i="13" s="1"/>
  <c r="AO74" i="7"/>
  <c r="AO73" i="7"/>
  <c r="AO72" i="7"/>
  <c r="AO87" i="7"/>
  <c r="AO60" i="7"/>
  <c r="AO61" i="7"/>
  <c r="AO62" i="7"/>
  <c r="AO63" i="7"/>
  <c r="AO64" i="7"/>
  <c r="AO65" i="7"/>
  <c r="AO66" i="7"/>
  <c r="AO67" i="7"/>
  <c r="AO68" i="7"/>
  <c r="AO69" i="7"/>
  <c r="AO70" i="7"/>
  <c r="AO71" i="7"/>
  <c r="AO75" i="7"/>
  <c r="AO76" i="7"/>
  <c r="AO77" i="7"/>
  <c r="AO78" i="7"/>
  <c r="AO80" i="7"/>
  <c r="AO81" i="7"/>
  <c r="AO82" i="7"/>
  <c r="AO83" i="7"/>
  <c r="AO84" i="7"/>
  <c r="AO85" i="7"/>
  <c r="AO86" i="7"/>
  <c r="AO88" i="7"/>
  <c r="AO89" i="7"/>
  <c r="AO90" i="7"/>
  <c r="AO92" i="7"/>
  <c r="AO93" i="7"/>
  <c r="AO94" i="7"/>
  <c r="AO95" i="7"/>
  <c r="AP95" i="7" s="1"/>
  <c r="AO96" i="7"/>
  <c r="AQ96" i="7" s="1"/>
  <c r="AO97" i="7"/>
  <c r="AO98" i="7"/>
  <c r="AO99" i="7"/>
  <c r="AO100" i="7"/>
  <c r="AO101" i="7"/>
  <c r="AO103" i="7"/>
  <c r="AR103" i="7" s="1"/>
  <c r="AO104" i="7"/>
  <c r="AO105" i="7"/>
  <c r="AR105" i="7" s="1"/>
  <c r="AO106" i="7"/>
  <c r="AP106" i="7" s="1"/>
  <c r="AO107" i="7"/>
  <c r="AR107" i="7" s="1"/>
  <c r="AO108" i="7"/>
  <c r="AO109" i="7"/>
  <c r="AO110" i="7"/>
  <c r="AO111" i="7"/>
  <c r="AO112" i="7"/>
  <c r="AR112" i="7" s="1"/>
  <c r="AO114" i="7"/>
  <c r="AO115" i="7"/>
  <c r="AO116" i="7"/>
  <c r="AO117" i="7"/>
  <c r="AO120" i="7"/>
  <c r="AO91" i="7"/>
  <c r="AO122" i="7"/>
  <c r="AO123" i="7"/>
  <c r="AO124" i="7"/>
  <c r="AO125" i="7"/>
  <c r="AO126" i="7"/>
  <c r="AO127" i="7"/>
  <c r="AO128" i="7"/>
  <c r="AO129" i="7"/>
  <c r="AO57" i="7"/>
  <c r="AO58" i="7"/>
  <c r="AO59" i="7"/>
  <c r="AO53" i="7"/>
  <c r="AR53" i="7" s="1"/>
  <c r="AO54" i="7"/>
  <c r="AO55" i="7"/>
  <c r="AO56" i="7"/>
  <c r="AO51" i="7"/>
  <c r="AO52" i="7"/>
  <c r="AO46" i="7"/>
  <c r="AO47" i="7"/>
  <c r="AO48" i="7"/>
  <c r="AO49" i="7"/>
  <c r="AO50" i="7"/>
  <c r="AO45" i="7"/>
  <c r="AO37" i="7"/>
  <c r="AO38" i="7"/>
  <c r="AO39" i="7"/>
  <c r="AO40" i="7"/>
  <c r="AO41" i="7"/>
  <c r="AO42" i="7"/>
  <c r="AO43" i="7"/>
  <c r="AO44" i="7"/>
  <c r="AO29" i="7"/>
  <c r="AO30" i="7"/>
  <c r="AO31" i="7"/>
  <c r="AO32" i="7"/>
  <c r="AO33" i="7"/>
  <c r="AP33" i="7" s="1"/>
  <c r="AO34" i="7"/>
  <c r="AO35" i="7"/>
  <c r="AO36" i="7"/>
  <c r="AO28" i="7"/>
  <c r="AO18" i="7"/>
  <c r="AO19" i="7"/>
  <c r="AO20" i="7"/>
  <c r="AO21" i="7"/>
  <c r="AO22" i="7"/>
  <c r="AO23" i="7"/>
  <c r="AO24" i="7"/>
  <c r="AR24" i="7" s="1"/>
  <c r="AO25" i="7"/>
  <c r="AR25" i="7" s="1"/>
  <c r="AO26" i="7"/>
  <c r="AO27" i="7"/>
  <c r="AO16" i="7"/>
  <c r="AO17" i="7"/>
  <c r="AO14" i="7"/>
  <c r="AO15" i="7"/>
  <c r="AO9" i="7"/>
  <c r="AO10" i="7"/>
  <c r="AO12" i="7"/>
  <c r="AO13" i="7"/>
  <c r="AO8" i="7"/>
  <c r="AO6" i="7"/>
  <c r="AO7" i="7"/>
  <c r="AO3" i="7"/>
  <c r="AO4" i="7"/>
  <c r="AO5" i="7"/>
  <c r="AO2" i="7"/>
  <c r="AN102" i="7"/>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4" i="10"/>
  <c r="Y5" i="10"/>
  <c r="Y6" i="10"/>
  <c r="Y7" i="10"/>
  <c r="Y8" i="10"/>
  <c r="Y9" i="10"/>
  <c r="Y10" i="10"/>
  <c r="Y11" i="10"/>
  <c r="Y12" i="10"/>
  <c r="Y13" i="10"/>
  <c r="Y14" i="10"/>
  <c r="Y15" i="10"/>
  <c r="Y16" i="10"/>
  <c r="Y3" i="10"/>
  <c r="A3" i="7"/>
  <c r="B3" i="7"/>
  <c r="P35" i="14" s="1"/>
  <c r="Q40" i="13"/>
  <c r="R40" i="13" s="1"/>
  <c r="Q41" i="13"/>
  <c r="R41" i="13" s="1"/>
  <c r="P29" i="13"/>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S4" i="10"/>
  <c r="S5" i="10"/>
  <c r="S6" i="10"/>
  <c r="S7" i="10"/>
  <c r="S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7" i="10"/>
  <c r="S98" i="10"/>
  <c r="S99" i="10"/>
  <c r="A4" i="10"/>
  <c r="A5" i="10"/>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3" i="10"/>
  <c r="A2" i="10"/>
  <c r="C209" i="27" l="1"/>
  <c r="A210" i="27"/>
  <c r="C16" i="27"/>
  <c r="BB25" i="7"/>
  <c r="BD25" i="7"/>
  <c r="BB24" i="7"/>
  <c r="BD24" i="7"/>
  <c r="BD107" i="7"/>
  <c r="BK107" i="7" s="1"/>
  <c r="BB107" i="7"/>
  <c r="BL107" i="7" s="1"/>
  <c r="BD53" i="7"/>
  <c r="BB53" i="7"/>
  <c r="BB105" i="7"/>
  <c r="BD105" i="7"/>
  <c r="BB112" i="7"/>
  <c r="BD112" i="7"/>
  <c r="BB113" i="7"/>
  <c r="BD113" i="7"/>
  <c r="BB103" i="7"/>
  <c r="BD103" i="7"/>
  <c r="H8" i="14"/>
  <c r="J8" i="14" s="1"/>
  <c r="I8" i="14"/>
  <c r="F8" i="14"/>
  <c r="E8" i="14"/>
  <c r="G8" i="14" s="1"/>
  <c r="AA102" i="10"/>
  <c r="Z102" i="10"/>
  <c r="AA94" i="10"/>
  <c r="Z94" i="10"/>
  <c r="Z86" i="10"/>
  <c r="AA86" i="10"/>
  <c r="AA78" i="10"/>
  <c r="Z78" i="10"/>
  <c r="AA70" i="10"/>
  <c r="Z70" i="10"/>
  <c r="AA62" i="10"/>
  <c r="E37" i="10" s="1"/>
  <c r="Z62" i="10"/>
  <c r="D37" i="10" s="1"/>
  <c r="Z54" i="10"/>
  <c r="AA54" i="10"/>
  <c r="Z46" i="10"/>
  <c r="AA46" i="10"/>
  <c r="Z38" i="10"/>
  <c r="AA38" i="10"/>
  <c r="Z30" i="10"/>
  <c r="AA30" i="10"/>
  <c r="Z22" i="10"/>
  <c r="AA22" i="10"/>
  <c r="AA142" i="10"/>
  <c r="E78" i="10" s="1"/>
  <c r="Z142" i="10"/>
  <c r="D78" i="10" s="1"/>
  <c r="AA149" i="10"/>
  <c r="Z149" i="10"/>
  <c r="AA117" i="10"/>
  <c r="E66" i="10" s="1"/>
  <c r="Z117" i="10"/>
  <c r="D66" i="10" s="1"/>
  <c r="AA109" i="10"/>
  <c r="Z109" i="10"/>
  <c r="AA101" i="10"/>
  <c r="E55" i="10" s="1"/>
  <c r="Z101" i="10"/>
  <c r="D55" i="10" s="1"/>
  <c r="AA93" i="10"/>
  <c r="E52" i="10" s="1"/>
  <c r="Z93" i="10"/>
  <c r="D52" i="10" s="1"/>
  <c r="AA85" i="10"/>
  <c r="Z85" i="10"/>
  <c r="AA77" i="10"/>
  <c r="Z77" i="10"/>
  <c r="AA69" i="10"/>
  <c r="E42" i="10" s="1"/>
  <c r="Z69" i="10"/>
  <c r="D42" i="10" s="1"/>
  <c r="AA61" i="10"/>
  <c r="Z61" i="10"/>
  <c r="AA53" i="10"/>
  <c r="Z53" i="10"/>
  <c r="AA45" i="10"/>
  <c r="Z45" i="10"/>
  <c r="AA37" i="10"/>
  <c r="Z37" i="10"/>
  <c r="AA29" i="10"/>
  <c r="E19" i="10" s="1"/>
  <c r="Z29" i="10"/>
  <c r="D19" i="10" s="1"/>
  <c r="AA21" i="10"/>
  <c r="E13" i="10" s="1"/>
  <c r="Z21" i="10"/>
  <c r="D13" i="10" s="1"/>
  <c r="AA166" i="10"/>
  <c r="E88" i="10" s="1"/>
  <c r="Z166" i="10"/>
  <c r="D88" i="10" s="1"/>
  <c r="AA165" i="10"/>
  <c r="Z165" i="10"/>
  <c r="AA7" i="10"/>
  <c r="Z7" i="10"/>
  <c r="AA68" i="10"/>
  <c r="E41" i="10" s="1"/>
  <c r="Z68" i="10"/>
  <c r="D41" i="10" s="1"/>
  <c r="AA60" i="10"/>
  <c r="Z60" i="10"/>
  <c r="Z52" i="10"/>
  <c r="D33" i="10" s="1"/>
  <c r="AA52" i="10"/>
  <c r="E33" i="10" s="1"/>
  <c r="Z44" i="10"/>
  <c r="AA44" i="10"/>
  <c r="Z36" i="10"/>
  <c r="D24" i="10" s="1"/>
  <c r="AA36" i="10"/>
  <c r="E24" i="10" s="1"/>
  <c r="Z28" i="10"/>
  <c r="D18" i="10" s="1"/>
  <c r="AA28" i="10"/>
  <c r="E18" i="10" s="1"/>
  <c r="Z20" i="10"/>
  <c r="AA20" i="10"/>
  <c r="AA158" i="10"/>
  <c r="Z158" i="10"/>
  <c r="AA110" i="10"/>
  <c r="Z110" i="10"/>
  <c r="AA173" i="10"/>
  <c r="E92" i="10" s="1"/>
  <c r="Z173" i="10"/>
  <c r="D92" i="10" s="1"/>
  <c r="AA133" i="10"/>
  <c r="Z133" i="10"/>
  <c r="AA172" i="10"/>
  <c r="Z172" i="10"/>
  <c r="AA156" i="10"/>
  <c r="Z156" i="10"/>
  <c r="AA140" i="10"/>
  <c r="Z140" i="10"/>
  <c r="AA116" i="10"/>
  <c r="E65" i="10" s="1"/>
  <c r="Z116" i="10"/>
  <c r="D65" i="10" s="1"/>
  <c r="AA108" i="10"/>
  <c r="E59" i="10" s="1"/>
  <c r="Z108" i="10"/>
  <c r="D59" i="10" s="1"/>
  <c r="AA100" i="10"/>
  <c r="E54" i="10" s="1"/>
  <c r="Z100" i="10"/>
  <c r="D54" i="10" s="1"/>
  <c r="AA92" i="10"/>
  <c r="E51" i="10" s="1"/>
  <c r="Z92" i="10"/>
  <c r="D51" i="10" s="1"/>
  <c r="Z84" i="10"/>
  <c r="D48" i="10" s="1"/>
  <c r="AA84" i="10"/>
  <c r="E48" i="10" s="1"/>
  <c r="AA76" i="10"/>
  <c r="Z76" i="10"/>
  <c r="Z14" i="10"/>
  <c r="D9" i="10" s="1"/>
  <c r="AA14" i="10"/>
  <c r="E9" i="10" s="1"/>
  <c r="Z6" i="10"/>
  <c r="AA6" i="10"/>
  <c r="AA179" i="10"/>
  <c r="Z179" i="10"/>
  <c r="AA171" i="10"/>
  <c r="E91" i="10" s="1"/>
  <c r="Z171" i="10"/>
  <c r="D91" i="10" s="1"/>
  <c r="AA163" i="10"/>
  <c r="E85" i="10" s="1"/>
  <c r="Z163" i="10"/>
  <c r="D85" i="10" s="1"/>
  <c r="AA155" i="10"/>
  <c r="Z155" i="10"/>
  <c r="AA147" i="10"/>
  <c r="Z147" i="10"/>
  <c r="AA139" i="10"/>
  <c r="Z139" i="10"/>
  <c r="AA131" i="10"/>
  <c r="Z131" i="10"/>
  <c r="AA123" i="10"/>
  <c r="Z123" i="10"/>
  <c r="AA115" i="10"/>
  <c r="E64" i="10" s="1"/>
  <c r="Z115" i="10"/>
  <c r="D64" i="10" s="1"/>
  <c r="AA107" i="10"/>
  <c r="E58" i="10" s="1"/>
  <c r="Z107" i="10"/>
  <c r="D58" i="10" s="1"/>
  <c r="AA99" i="10"/>
  <c r="Z99" i="10"/>
  <c r="Z91" i="10"/>
  <c r="AA91" i="10"/>
  <c r="AA83" i="10"/>
  <c r="E47" i="10" s="1"/>
  <c r="Z83" i="10"/>
  <c r="D47" i="10" s="1"/>
  <c r="AA75" i="10"/>
  <c r="Z75" i="10"/>
  <c r="AA67" i="10"/>
  <c r="E40" i="10" s="1"/>
  <c r="Z67" i="10"/>
  <c r="D40" i="10" s="1"/>
  <c r="AA59" i="10"/>
  <c r="Z59" i="10"/>
  <c r="AA51" i="10"/>
  <c r="Z51" i="10"/>
  <c r="AA43" i="10"/>
  <c r="Z43" i="10"/>
  <c r="AA35" i="10"/>
  <c r="Z35" i="10"/>
  <c r="AA27" i="10"/>
  <c r="Z27" i="10"/>
  <c r="AA19" i="10"/>
  <c r="E12" i="10" s="1"/>
  <c r="Z19" i="10"/>
  <c r="D12" i="10" s="1"/>
  <c r="AA3" i="10"/>
  <c r="Z3" i="10"/>
  <c r="AA9" i="10"/>
  <c r="Z9" i="10"/>
  <c r="AA126" i="10"/>
  <c r="Z126" i="10"/>
  <c r="AA181" i="10"/>
  <c r="E96" i="10" s="1"/>
  <c r="Z181" i="10"/>
  <c r="D96" i="10" s="1"/>
  <c r="AA125" i="10"/>
  <c r="E70" i="10" s="1"/>
  <c r="Z125" i="10"/>
  <c r="D70" i="10" s="1"/>
  <c r="AA15" i="10"/>
  <c r="Z15" i="10"/>
  <c r="AA164" i="10"/>
  <c r="Z164" i="10"/>
  <c r="AA132" i="10"/>
  <c r="Z132" i="10"/>
  <c r="AA178" i="10"/>
  <c r="E94" i="10" s="1"/>
  <c r="Z178" i="10"/>
  <c r="D94" i="10" s="1"/>
  <c r="AA162" i="10"/>
  <c r="E84" i="10" s="1"/>
  <c r="Z162" i="10"/>
  <c r="D84" i="10" s="1"/>
  <c r="AA146" i="10"/>
  <c r="Z146" i="10"/>
  <c r="AA122" i="10"/>
  <c r="E69" i="10" s="1"/>
  <c r="Z122" i="10"/>
  <c r="D69" i="10" s="1"/>
  <c r="AA106" i="10"/>
  <c r="Z106" i="10"/>
  <c r="AA90" i="10"/>
  <c r="Z90" i="10"/>
  <c r="AA74" i="10"/>
  <c r="Z74" i="10"/>
  <c r="AA66" i="10"/>
  <c r="E39" i="10" s="1"/>
  <c r="Z66" i="10"/>
  <c r="D39" i="10" s="1"/>
  <c r="Z50" i="10"/>
  <c r="D32" i="10" s="1"/>
  <c r="AA50" i="10"/>
  <c r="E32" i="10" s="1"/>
  <c r="Z42" i="10"/>
  <c r="AA42" i="10"/>
  <c r="Z34" i="10"/>
  <c r="AA34" i="10"/>
  <c r="Z26" i="10"/>
  <c r="D17" i="10" s="1"/>
  <c r="AA26" i="10"/>
  <c r="E17" i="10" s="1"/>
  <c r="Z18" i="10"/>
  <c r="AA18" i="10"/>
  <c r="AA174" i="10"/>
  <c r="E93" i="10" s="1"/>
  <c r="Z174" i="10"/>
  <c r="D93" i="10" s="1"/>
  <c r="AA134" i="10"/>
  <c r="Z134" i="10"/>
  <c r="Z16" i="10"/>
  <c r="D10" i="10" s="1"/>
  <c r="AA16" i="10"/>
  <c r="E10" i="10" s="1"/>
  <c r="Z8" i="10"/>
  <c r="D6" i="10" s="1"/>
  <c r="AA8" i="10"/>
  <c r="E6" i="10" s="1"/>
  <c r="AA157" i="10"/>
  <c r="E82" i="10" s="1"/>
  <c r="Z157" i="10"/>
  <c r="D82" i="10" s="1"/>
  <c r="AA141" i="10"/>
  <c r="Z141" i="10"/>
  <c r="AA180" i="10"/>
  <c r="Z180" i="10"/>
  <c r="AA148" i="10"/>
  <c r="Z148" i="10"/>
  <c r="AA124" i="10"/>
  <c r="Z124" i="10"/>
  <c r="AA13" i="10"/>
  <c r="E8" i="10" s="1"/>
  <c r="Z13" i="10"/>
  <c r="D8" i="10" s="1"/>
  <c r="AA5" i="10"/>
  <c r="Z5" i="10"/>
  <c r="AA170" i="10"/>
  <c r="Z170" i="10"/>
  <c r="AA154" i="10"/>
  <c r="Z154" i="10"/>
  <c r="AA138" i="10"/>
  <c r="E77" i="10" s="1"/>
  <c r="Z138" i="10"/>
  <c r="D77" i="10" s="1"/>
  <c r="AA130" i="10"/>
  <c r="Z130" i="10"/>
  <c r="AA114" i="10"/>
  <c r="E63" i="10" s="1"/>
  <c r="Z114" i="10"/>
  <c r="D63" i="10" s="1"/>
  <c r="AA98" i="10"/>
  <c r="Z98" i="10"/>
  <c r="AA82" i="10"/>
  <c r="Z82" i="10"/>
  <c r="AA58" i="10"/>
  <c r="E35" i="10" s="1"/>
  <c r="Z58" i="10"/>
  <c r="D35" i="10" s="1"/>
  <c r="Z12" i="10"/>
  <c r="AA12" i="10"/>
  <c r="Z4" i="10"/>
  <c r="D3" i="10" s="1"/>
  <c r="AA4" i="10"/>
  <c r="E3" i="10" s="1"/>
  <c r="AA177" i="10"/>
  <c r="Z177" i="10"/>
  <c r="AA169" i="10"/>
  <c r="Z169" i="10"/>
  <c r="AA161" i="10"/>
  <c r="Z161" i="10"/>
  <c r="AA153" i="10"/>
  <c r="E81" i="10" s="1"/>
  <c r="Z153" i="10"/>
  <c r="D81" i="10" s="1"/>
  <c r="AA145" i="10"/>
  <c r="E79" i="10" s="1"/>
  <c r="Z145" i="10"/>
  <c r="D79" i="10" s="1"/>
  <c r="AA137" i="10"/>
  <c r="Z137" i="10"/>
  <c r="AA129" i="10"/>
  <c r="Z129" i="10"/>
  <c r="AA121" i="10"/>
  <c r="E68" i="10" s="1"/>
  <c r="Z121" i="10"/>
  <c r="D68" i="10" s="1"/>
  <c r="AA113" i="10"/>
  <c r="Z113" i="10"/>
  <c r="AA105" i="10"/>
  <c r="Z105" i="10"/>
  <c r="AA97" i="10"/>
  <c r="Z97" i="10"/>
  <c r="AA89" i="10"/>
  <c r="Z89" i="10"/>
  <c r="AA81" i="10"/>
  <c r="E46" i="10" s="1"/>
  <c r="Z81" i="10"/>
  <c r="D46" i="10" s="1"/>
  <c r="AA73" i="10"/>
  <c r="Z73" i="10"/>
  <c r="AA65" i="10"/>
  <c r="E38" i="10" s="1"/>
  <c r="Z65" i="10"/>
  <c r="D38" i="10" s="1"/>
  <c r="AA57" i="10"/>
  <c r="Z57" i="10"/>
  <c r="AA49" i="10"/>
  <c r="Z49" i="10"/>
  <c r="AA41" i="10"/>
  <c r="Z41" i="10"/>
  <c r="AA33" i="10"/>
  <c r="Z33" i="10"/>
  <c r="AA25" i="10"/>
  <c r="E16" i="10" s="1"/>
  <c r="Z25" i="10"/>
  <c r="D16" i="10" s="1"/>
  <c r="AA17" i="10"/>
  <c r="E11" i="10" s="1"/>
  <c r="Z17" i="10"/>
  <c r="D11" i="10" s="1"/>
  <c r="AA150" i="10"/>
  <c r="Z150" i="10"/>
  <c r="AA176" i="10"/>
  <c r="Z176" i="10"/>
  <c r="AA144" i="10"/>
  <c r="Z144" i="10"/>
  <c r="AA120" i="10"/>
  <c r="E67" i="10" s="1"/>
  <c r="Z120" i="10"/>
  <c r="D67" i="10" s="1"/>
  <c r="AA96" i="10"/>
  <c r="Z96" i="10"/>
  <c r="Z32" i="10"/>
  <c r="D21" i="10" s="1"/>
  <c r="AA32" i="10"/>
  <c r="E21" i="10" s="1"/>
  <c r="Z24" i="10"/>
  <c r="D15" i="10" s="1"/>
  <c r="AA24" i="10"/>
  <c r="E15" i="10" s="1"/>
  <c r="AA182" i="10"/>
  <c r="Z182" i="10"/>
  <c r="AA118" i="10"/>
  <c r="Z118" i="10"/>
  <c r="AA11" i="10"/>
  <c r="E7" i="10" s="1"/>
  <c r="Z11" i="10"/>
  <c r="D7" i="10" s="1"/>
  <c r="AA184" i="10"/>
  <c r="E99" i="10" s="1"/>
  <c r="Z184" i="10"/>
  <c r="D99" i="10" s="1"/>
  <c r="AA168" i="10"/>
  <c r="Z168" i="10"/>
  <c r="AA160" i="10"/>
  <c r="Z160" i="10"/>
  <c r="AA152" i="10"/>
  <c r="Z152" i="10"/>
  <c r="AA136" i="10"/>
  <c r="E75" i="10" s="1"/>
  <c r="Z136" i="10"/>
  <c r="D75" i="10" s="1"/>
  <c r="AA128" i="10"/>
  <c r="Z128" i="10"/>
  <c r="AA112" i="10"/>
  <c r="Z112" i="10"/>
  <c r="AA104" i="10"/>
  <c r="E57" i="10" s="1"/>
  <c r="Z104" i="10"/>
  <c r="D57" i="10" s="1"/>
  <c r="AA88" i="10"/>
  <c r="Z88" i="10"/>
  <c r="AA80" i="10"/>
  <c r="Z80" i="10"/>
  <c r="AA72" i="10"/>
  <c r="Z72" i="10"/>
  <c r="AA64" i="10"/>
  <c r="Z64" i="10"/>
  <c r="AA56" i="10"/>
  <c r="Z56" i="10"/>
  <c r="Z48" i="10"/>
  <c r="AA48" i="10"/>
  <c r="Z40" i="10"/>
  <c r="D27" i="10" s="1"/>
  <c r="AA40" i="10"/>
  <c r="E27" i="10" s="1"/>
  <c r="Z10" i="10"/>
  <c r="AA10" i="10"/>
  <c r="Z183" i="10"/>
  <c r="D98" i="10" s="1"/>
  <c r="AA183" i="10"/>
  <c r="E98" i="10" s="1"/>
  <c r="AA175" i="10"/>
  <c r="Z175" i="10"/>
  <c r="AA167" i="10"/>
  <c r="Z167" i="10"/>
  <c r="AA159" i="10"/>
  <c r="E83" i="10" s="1"/>
  <c r="Z159" i="10"/>
  <c r="D83" i="10" s="1"/>
  <c r="AA151" i="10"/>
  <c r="Z151" i="10"/>
  <c r="AA143" i="10"/>
  <c r="Z143" i="10"/>
  <c r="AA135" i="10"/>
  <c r="Z135" i="10"/>
  <c r="AA127" i="10"/>
  <c r="E71" i="10" s="1"/>
  <c r="Z127" i="10"/>
  <c r="D71" i="10" s="1"/>
  <c r="AA119" i="10"/>
  <c r="Z119" i="10"/>
  <c r="AA111" i="10"/>
  <c r="E61" i="10" s="1"/>
  <c r="Z111" i="10"/>
  <c r="D61" i="10" s="1"/>
  <c r="AA103" i="10"/>
  <c r="Z103" i="10"/>
  <c r="AA95" i="10"/>
  <c r="Z95" i="10"/>
  <c r="AA87" i="10"/>
  <c r="Z87" i="10"/>
  <c r="Z79" i="10"/>
  <c r="AA79" i="10"/>
  <c r="AA71" i="10"/>
  <c r="Z71" i="10"/>
  <c r="AA63" i="10"/>
  <c r="Z63" i="10"/>
  <c r="AA55" i="10"/>
  <c r="Z55" i="10"/>
  <c r="AA47" i="10"/>
  <c r="E29" i="10" s="1"/>
  <c r="Z47" i="10"/>
  <c r="D29" i="10" s="1"/>
  <c r="AA39" i="10"/>
  <c r="E26" i="10" s="1"/>
  <c r="Z39" i="10"/>
  <c r="D26" i="10" s="1"/>
  <c r="AA31" i="10"/>
  <c r="Z31" i="10"/>
  <c r="AA23" i="10"/>
  <c r="Z23" i="10"/>
  <c r="AU15" i="7"/>
  <c r="AU23" i="7"/>
  <c r="AU16" i="7"/>
  <c r="AU24" i="7"/>
  <c r="AU192" i="7"/>
  <c r="AU17" i="7"/>
  <c r="AU25" i="7"/>
  <c r="AU193" i="7"/>
  <c r="AU21" i="7"/>
  <c r="AU26" i="7"/>
  <c r="AU27" i="7"/>
  <c r="AU194" i="7"/>
  <c r="AU18" i="7"/>
  <c r="AU195" i="7"/>
  <c r="AU196" i="7"/>
  <c r="AU19" i="7"/>
  <c r="AU20" i="7"/>
  <c r="AU22" i="7"/>
  <c r="Z27" i="22"/>
  <c r="AA27" i="22" s="1"/>
  <c r="Z22" i="20"/>
  <c r="AA22" i="20" s="1"/>
  <c r="Z23" i="22"/>
  <c r="AA23" i="22" s="1"/>
  <c r="Z24" i="22"/>
  <c r="AA24" i="22" s="1"/>
  <c r="Z19" i="22"/>
  <c r="AA19" i="22" s="1"/>
  <c r="Z17" i="22"/>
  <c r="AA17" i="22" s="1"/>
  <c r="Z15" i="22"/>
  <c r="AA15" i="22" s="1"/>
  <c r="Z27" i="20"/>
  <c r="AA27" i="20" s="1"/>
  <c r="Z21" i="22"/>
  <c r="AA21" i="22" s="1"/>
  <c r="Z24" i="20"/>
  <c r="AA24" i="20" s="1"/>
  <c r="Z19" i="20"/>
  <c r="AA19" i="20" s="1"/>
  <c r="Z17" i="20"/>
  <c r="AA17" i="20" s="1"/>
  <c r="Z15" i="20"/>
  <c r="AA15" i="20" s="1"/>
  <c r="Z21" i="20"/>
  <c r="AA21" i="20" s="1"/>
  <c r="Z26" i="22"/>
  <c r="AA26" i="22" s="1"/>
  <c r="Z20" i="22"/>
  <c r="AA20" i="22" s="1"/>
  <c r="Z18" i="22"/>
  <c r="AA18" i="22" s="1"/>
  <c r="Z16" i="22"/>
  <c r="AA16" i="22" s="1"/>
  <c r="Z22" i="22"/>
  <c r="AA22" i="22" s="1"/>
  <c r="Z25" i="20"/>
  <c r="AA25" i="20" s="1"/>
  <c r="Z26" i="20"/>
  <c r="AA26" i="20" s="1"/>
  <c r="Z23" i="20"/>
  <c r="AA23" i="20" s="1"/>
  <c r="Z16" i="20"/>
  <c r="AA16" i="20" s="1"/>
  <c r="Z18" i="20"/>
  <c r="AA18" i="20" s="1"/>
  <c r="Z25" i="22"/>
  <c r="AA25" i="22" s="1"/>
  <c r="Z20" i="20"/>
  <c r="AA20" i="20" s="1"/>
  <c r="AS115" i="7"/>
  <c r="AS116" i="7"/>
  <c r="AS117" i="7"/>
  <c r="AS161" i="7"/>
  <c r="AT161" i="7" s="1"/>
  <c r="BH161" i="7" s="1"/>
  <c r="AS118" i="7"/>
  <c r="AS160" i="7"/>
  <c r="AT160" i="7" s="1"/>
  <c r="BH160" i="7" s="1"/>
  <c r="AS114" i="7"/>
  <c r="AS119" i="7"/>
  <c r="X113" i="20"/>
  <c r="Y113" i="20" s="1"/>
  <c r="X118" i="20"/>
  <c r="Y118" i="20" s="1"/>
  <c r="X160" i="20"/>
  <c r="Y160" i="20" s="1"/>
  <c r="X115" i="20"/>
  <c r="Y115" i="20" s="1"/>
  <c r="X159" i="20"/>
  <c r="Y159" i="20" s="1"/>
  <c r="X116" i="20"/>
  <c r="Y116" i="20" s="1"/>
  <c r="X117" i="20"/>
  <c r="Y117" i="20" s="1"/>
  <c r="X114" i="20"/>
  <c r="Y114" i="20" s="1"/>
  <c r="AS19" i="7"/>
  <c r="AS27" i="7"/>
  <c r="AS195" i="7"/>
  <c r="AS20" i="7"/>
  <c r="AS196" i="7"/>
  <c r="AS21" i="7"/>
  <c r="AS22" i="7"/>
  <c r="AS17" i="7"/>
  <c r="AS25" i="7"/>
  <c r="AS193" i="7"/>
  <c r="AS194" i="7"/>
  <c r="AS16" i="7"/>
  <c r="AS15" i="7"/>
  <c r="AS192" i="7"/>
  <c r="AS18" i="7"/>
  <c r="AS23" i="7"/>
  <c r="AS24" i="7"/>
  <c r="AS26" i="7"/>
  <c r="X22" i="22"/>
  <c r="Y22" i="22" s="1"/>
  <c r="X25" i="20"/>
  <c r="Y25" i="20" s="1"/>
  <c r="X17" i="20"/>
  <c r="Y17" i="20" s="1"/>
  <c r="X27" i="22"/>
  <c r="Y27" i="22" s="1"/>
  <c r="X22" i="20"/>
  <c r="Y22" i="20" s="1"/>
  <c r="X19" i="20"/>
  <c r="Y19" i="20" s="1"/>
  <c r="X24" i="22"/>
  <c r="Y24" i="22" s="1"/>
  <c r="X19" i="22"/>
  <c r="Y19" i="22" s="1"/>
  <c r="X17" i="22"/>
  <c r="Y17" i="22" s="1"/>
  <c r="X15" i="22"/>
  <c r="Y15" i="22" s="1"/>
  <c r="X27" i="20"/>
  <c r="Y27" i="20" s="1"/>
  <c r="X21" i="22"/>
  <c r="Y21" i="22" s="1"/>
  <c r="X15" i="20"/>
  <c r="Y15" i="20" s="1"/>
  <c r="X26" i="22"/>
  <c r="Y26" i="22" s="1"/>
  <c r="X23" i="22"/>
  <c r="Y23" i="22" s="1"/>
  <c r="X25" i="22"/>
  <c r="Y25" i="22" s="1"/>
  <c r="X20" i="20"/>
  <c r="Y20" i="20" s="1"/>
  <c r="X18" i="20"/>
  <c r="Y18" i="20" s="1"/>
  <c r="X16" i="20"/>
  <c r="Y16" i="20" s="1"/>
  <c r="X24" i="20"/>
  <c r="Y24" i="20" s="1"/>
  <c r="X23" i="20"/>
  <c r="Y23" i="20" s="1"/>
  <c r="X20" i="22"/>
  <c r="Y20" i="22" s="1"/>
  <c r="X21" i="20"/>
  <c r="Y21" i="20" s="1"/>
  <c r="X18" i="22"/>
  <c r="Y18" i="22" s="1"/>
  <c r="X26" i="20"/>
  <c r="Y26" i="20" s="1"/>
  <c r="X16" i="22"/>
  <c r="Y16" i="22" s="1"/>
  <c r="AU71" i="7"/>
  <c r="AU171" i="7"/>
  <c r="AU72" i="7"/>
  <c r="AU73" i="7"/>
  <c r="AU81" i="7"/>
  <c r="AU172" i="7"/>
  <c r="AU69" i="7"/>
  <c r="AU68" i="7"/>
  <c r="AU70" i="7"/>
  <c r="AU74" i="7"/>
  <c r="Z171" i="20"/>
  <c r="AA171" i="20" s="1"/>
  <c r="Z70" i="20"/>
  <c r="AA70" i="20" s="1"/>
  <c r="Z69" i="20"/>
  <c r="AA69" i="20" s="1"/>
  <c r="Z72" i="20"/>
  <c r="AA72" i="20" s="1"/>
  <c r="Z73" i="20"/>
  <c r="AA73" i="20" s="1"/>
  <c r="Z170" i="20"/>
  <c r="AA170" i="20" s="1"/>
  <c r="Z71" i="20"/>
  <c r="AA71" i="20" s="1"/>
  <c r="Z74" i="20"/>
  <c r="AA74" i="20" s="1"/>
  <c r="Z80" i="20"/>
  <c r="AA80" i="20" s="1"/>
  <c r="Z68" i="20"/>
  <c r="AA68" i="20" s="1"/>
  <c r="AU95" i="7"/>
  <c r="AU96" i="7"/>
  <c r="AU141" i="7"/>
  <c r="AU142" i="7"/>
  <c r="AU130" i="7"/>
  <c r="AU162" i="7"/>
  <c r="AV162" i="7" s="1"/>
  <c r="BG162" i="7" s="1"/>
  <c r="AU164" i="7"/>
  <c r="AV164" i="7" s="1"/>
  <c r="BG164" i="7" s="1"/>
  <c r="AU106" i="7"/>
  <c r="AU163" i="7"/>
  <c r="AV163" i="7" s="1"/>
  <c r="BG163" i="7" s="1"/>
  <c r="AU122" i="7"/>
  <c r="AU107" i="7"/>
  <c r="AV107" i="7" s="1"/>
  <c r="AU123" i="7"/>
  <c r="AU139" i="7"/>
  <c r="AU108" i="7"/>
  <c r="AU124" i="7"/>
  <c r="AU140" i="7"/>
  <c r="AU170" i="7"/>
  <c r="Z138" i="20"/>
  <c r="AA138" i="20" s="1"/>
  <c r="Z94" i="20"/>
  <c r="AA94" i="20" s="1"/>
  <c r="Z137" i="20"/>
  <c r="AA137" i="20" s="1"/>
  <c r="Z120" i="20"/>
  <c r="AA120" i="20" s="1"/>
  <c r="Z162" i="20"/>
  <c r="AA162" i="20" s="1"/>
  <c r="Z140" i="20"/>
  <c r="AA140" i="20" s="1"/>
  <c r="Z122" i="20"/>
  <c r="AA122" i="20" s="1"/>
  <c r="Z106" i="20"/>
  <c r="AA106" i="20" s="1"/>
  <c r="Z105" i="20"/>
  <c r="AA105" i="20" s="1"/>
  <c r="Z169" i="20"/>
  <c r="AA169" i="20" s="1"/>
  <c r="Z121" i="20"/>
  <c r="AA121" i="20" s="1"/>
  <c r="Z95" i="20"/>
  <c r="AA95" i="20" s="1"/>
  <c r="Z139" i="20"/>
  <c r="AA139" i="20" s="1"/>
  <c r="Z161" i="20"/>
  <c r="AA161" i="20" s="1"/>
  <c r="Z107" i="20"/>
  <c r="AA107" i="20" s="1"/>
  <c r="Z128" i="20"/>
  <c r="AA128" i="20" s="1"/>
  <c r="Z163" i="20"/>
  <c r="AA163" i="20" s="1"/>
  <c r="AU157" i="7"/>
  <c r="AV157" i="7" s="1"/>
  <c r="BG157" i="7" s="1"/>
  <c r="AU156" i="7"/>
  <c r="AV156" i="7" s="1"/>
  <c r="BG156" i="7" s="1"/>
  <c r="Z156" i="20"/>
  <c r="AA156" i="20" s="1"/>
  <c r="Z155" i="20"/>
  <c r="AA155" i="20" s="1"/>
  <c r="AU63" i="7"/>
  <c r="AU135" i="7"/>
  <c r="AU175" i="7"/>
  <c r="AU64" i="7"/>
  <c r="AU136" i="7"/>
  <c r="AU65" i="7"/>
  <c r="AU137" i="7"/>
  <c r="AU125" i="7"/>
  <c r="AU126" i="7"/>
  <c r="AU60" i="7"/>
  <c r="AU62" i="7"/>
  <c r="AU138" i="7"/>
  <c r="AU66" i="7"/>
  <c r="AU67" i="7"/>
  <c r="AU94" i="7"/>
  <c r="Z174" i="20"/>
  <c r="AA174" i="20" s="1"/>
  <c r="Z135" i="20"/>
  <c r="AA135" i="20" s="1"/>
  <c r="Z124" i="20"/>
  <c r="AA124" i="20" s="1"/>
  <c r="Z67" i="20"/>
  <c r="AA67" i="20" s="1"/>
  <c r="Z65" i="20"/>
  <c r="AA65" i="20" s="1"/>
  <c r="Z63" i="20"/>
  <c r="AA63" i="20" s="1"/>
  <c r="Z133" i="20"/>
  <c r="AA133" i="20" s="1"/>
  <c r="Z134" i="20"/>
  <c r="AA134" i="20" s="1"/>
  <c r="Z64" i="20"/>
  <c r="AA64" i="20" s="1"/>
  <c r="Z62" i="20"/>
  <c r="AA62" i="20" s="1"/>
  <c r="Z123" i="20"/>
  <c r="AA123" i="20" s="1"/>
  <c r="Z66" i="20"/>
  <c r="AA66" i="20" s="1"/>
  <c r="Z60" i="20"/>
  <c r="AA60" i="20" s="1"/>
  <c r="Z136" i="20"/>
  <c r="AA136" i="20" s="1"/>
  <c r="Z93" i="20"/>
  <c r="AA93" i="20" s="1"/>
  <c r="AS35" i="7"/>
  <c r="AS43" i="7"/>
  <c r="AS36" i="7"/>
  <c r="AS44" i="7"/>
  <c r="AS29" i="7"/>
  <c r="AS37" i="7"/>
  <c r="AS30" i="7"/>
  <c r="AS38" i="7"/>
  <c r="AS33" i="7"/>
  <c r="AS41" i="7"/>
  <c r="AS31" i="7"/>
  <c r="AS32" i="7"/>
  <c r="AS34" i="7"/>
  <c r="AS39" i="7"/>
  <c r="AS40" i="7"/>
  <c r="AS42" i="7"/>
  <c r="X35" i="22"/>
  <c r="Y35" i="22" s="1"/>
  <c r="X33" i="22"/>
  <c r="Y33" i="22" s="1"/>
  <c r="X31" i="22"/>
  <c r="Y31" i="22" s="1"/>
  <c r="X29" i="22"/>
  <c r="Y29" i="22" s="1"/>
  <c r="X43" i="20"/>
  <c r="Y43" i="20" s="1"/>
  <c r="X41" i="20"/>
  <c r="Y41" i="20" s="1"/>
  <c r="X39" i="20"/>
  <c r="Y39" i="20" s="1"/>
  <c r="X37" i="20"/>
  <c r="Y37" i="20" s="1"/>
  <c r="X32" i="22"/>
  <c r="Y32" i="22" s="1"/>
  <c r="X35" i="20"/>
  <c r="Y35" i="20" s="1"/>
  <c r="X33" i="20"/>
  <c r="Y33" i="20" s="1"/>
  <c r="X31" i="20"/>
  <c r="Y31" i="20" s="1"/>
  <c r="X29" i="20"/>
  <c r="Y29" i="20" s="1"/>
  <c r="X34" i="22"/>
  <c r="Y34" i="22" s="1"/>
  <c r="X44" i="22"/>
  <c r="Y44" i="22" s="1"/>
  <c r="X42" i="22"/>
  <c r="Y42" i="22" s="1"/>
  <c r="X40" i="22"/>
  <c r="Y40" i="22" s="1"/>
  <c r="X38" i="22"/>
  <c r="Y38" i="22" s="1"/>
  <c r="X36" i="22"/>
  <c r="Y36" i="22" s="1"/>
  <c r="X43" i="22"/>
  <c r="Y43" i="22" s="1"/>
  <c r="X41" i="22"/>
  <c r="Y41" i="22" s="1"/>
  <c r="X39" i="22"/>
  <c r="Y39" i="22" s="1"/>
  <c r="X37" i="22"/>
  <c r="Y37" i="22" s="1"/>
  <c r="X30" i="22"/>
  <c r="Y30" i="22" s="1"/>
  <c r="X38" i="20"/>
  <c r="Y38" i="20" s="1"/>
  <c r="X40" i="20"/>
  <c r="Y40" i="20" s="1"/>
  <c r="X34" i="20"/>
  <c r="Y34" i="20" s="1"/>
  <c r="X44" i="20"/>
  <c r="Y44" i="20" s="1"/>
  <c r="X30" i="20"/>
  <c r="Y30" i="20" s="1"/>
  <c r="X32" i="20"/>
  <c r="Y32" i="20" s="1"/>
  <c r="X42" i="20"/>
  <c r="Y42" i="20" s="1"/>
  <c r="X36" i="20"/>
  <c r="Y36" i="20" s="1"/>
  <c r="AS53" i="7"/>
  <c r="AS54" i="7"/>
  <c r="AS55" i="7"/>
  <c r="AS56" i="7"/>
  <c r="X55" i="20"/>
  <c r="Y55" i="20" s="1"/>
  <c r="X54" i="20"/>
  <c r="Y54" i="20" s="1"/>
  <c r="X54" i="22"/>
  <c r="Y54" i="22" s="1"/>
  <c r="X56" i="22"/>
  <c r="Y56" i="22" s="1"/>
  <c r="X53" i="22"/>
  <c r="Y53" i="22" s="1"/>
  <c r="X55" i="22"/>
  <c r="Y55" i="22" s="1"/>
  <c r="X56" i="20"/>
  <c r="Y56" i="20" s="1"/>
  <c r="X53" i="20"/>
  <c r="Y53" i="20" s="1"/>
  <c r="AS156" i="7"/>
  <c r="AT156" i="7" s="1"/>
  <c r="BH156" i="7" s="1"/>
  <c r="AS157" i="7"/>
  <c r="AT157" i="7" s="1"/>
  <c r="BH157" i="7" s="1"/>
  <c r="X156" i="20"/>
  <c r="Y156" i="20" s="1"/>
  <c r="X155" i="20"/>
  <c r="Y155" i="20" s="1"/>
  <c r="AS67" i="7"/>
  <c r="AS60" i="7"/>
  <c r="AS125" i="7"/>
  <c r="AS62" i="7"/>
  <c r="AS65" i="7"/>
  <c r="AS137" i="7"/>
  <c r="AS64" i="7"/>
  <c r="AS126" i="7"/>
  <c r="AS66" i="7"/>
  <c r="AS175" i="7"/>
  <c r="AS135" i="7"/>
  <c r="AS94" i="7"/>
  <c r="AS136" i="7"/>
  <c r="AS63" i="7"/>
  <c r="AS138" i="7"/>
  <c r="X133" i="20"/>
  <c r="Y133" i="20" s="1"/>
  <c r="X67" i="20"/>
  <c r="Y67" i="20" s="1"/>
  <c r="X174" i="20"/>
  <c r="Y174" i="20" s="1"/>
  <c r="X65" i="20"/>
  <c r="Y65" i="20" s="1"/>
  <c r="X135" i="20"/>
  <c r="Y135" i="20" s="1"/>
  <c r="X136" i="20"/>
  <c r="Y136" i="20" s="1"/>
  <c r="X123" i="20"/>
  <c r="Y123" i="20" s="1"/>
  <c r="X66" i="20"/>
  <c r="Y66" i="20" s="1"/>
  <c r="X64" i="20"/>
  <c r="Y64" i="20" s="1"/>
  <c r="X62" i="20"/>
  <c r="Y62" i="20" s="1"/>
  <c r="X60" i="20"/>
  <c r="Y60" i="20" s="1"/>
  <c r="X124" i="20"/>
  <c r="Y124" i="20" s="1"/>
  <c r="X63" i="20"/>
  <c r="Y63" i="20" s="1"/>
  <c r="X93" i="20"/>
  <c r="Y93" i="20" s="1"/>
  <c r="X134" i="20"/>
  <c r="Y134" i="20" s="1"/>
  <c r="AU183" i="7"/>
  <c r="AV183" i="7" s="1"/>
  <c r="BG183" i="7" s="1"/>
  <c r="AU176" i="7"/>
  <c r="AV176" i="7" s="1"/>
  <c r="BG176" i="7" s="1"/>
  <c r="AU184" i="7"/>
  <c r="AV184" i="7" s="1"/>
  <c r="BG184" i="7" s="1"/>
  <c r="AU177" i="7"/>
  <c r="AV177" i="7" s="1"/>
  <c r="BG177" i="7" s="1"/>
  <c r="AU185" i="7"/>
  <c r="AV185" i="7" s="1"/>
  <c r="BG185" i="7" s="1"/>
  <c r="AU181" i="7"/>
  <c r="AV181" i="7" s="1"/>
  <c r="BG181" i="7" s="1"/>
  <c r="AU180" i="7"/>
  <c r="AV180" i="7" s="1"/>
  <c r="BG180" i="7" s="1"/>
  <c r="AU182" i="7"/>
  <c r="AV182" i="7" s="1"/>
  <c r="BG182" i="7" s="1"/>
  <c r="AU178" i="7"/>
  <c r="AV178" i="7" s="1"/>
  <c r="BG178" i="7" s="1"/>
  <c r="AU186" i="7"/>
  <c r="AV186" i="7" s="1"/>
  <c r="BG186" i="7" s="1"/>
  <c r="AU179" i="7"/>
  <c r="AV179" i="7" s="1"/>
  <c r="BG179" i="7" s="1"/>
  <c r="AU187" i="7"/>
  <c r="AV187" i="7" s="1"/>
  <c r="BG187" i="7" s="1"/>
  <c r="Z186" i="20"/>
  <c r="AA186" i="20" s="1"/>
  <c r="Z184" i="20"/>
  <c r="AA184" i="20" s="1"/>
  <c r="Z182" i="20"/>
  <c r="AA182" i="20" s="1"/>
  <c r="Z180" i="20"/>
  <c r="AA180" i="20" s="1"/>
  <c r="Z178" i="20"/>
  <c r="AA178" i="20" s="1"/>
  <c r="Z176" i="20"/>
  <c r="AA176" i="20" s="1"/>
  <c r="Z177" i="20"/>
  <c r="AA177" i="20" s="1"/>
  <c r="Z71" i="22"/>
  <c r="AA71" i="22" s="1"/>
  <c r="Z69" i="22"/>
  <c r="AA69" i="22" s="1"/>
  <c r="Z67" i="22"/>
  <c r="AA67" i="22" s="1"/>
  <c r="Z65" i="22"/>
  <c r="AA65" i="22" s="1"/>
  <c r="Z63" i="22"/>
  <c r="AA63" i="22" s="1"/>
  <c r="Z61" i="22"/>
  <c r="AA61" i="22" s="1"/>
  <c r="Z183" i="20"/>
  <c r="AA183" i="20" s="1"/>
  <c r="Z175" i="20"/>
  <c r="AA175" i="20" s="1"/>
  <c r="Z181" i="20"/>
  <c r="AA181" i="20" s="1"/>
  <c r="Z72" i="22"/>
  <c r="AA72" i="22" s="1"/>
  <c r="Z70" i="22"/>
  <c r="AA70" i="22" s="1"/>
  <c r="Z68" i="22"/>
  <c r="AA68" i="22" s="1"/>
  <c r="Z66" i="22"/>
  <c r="AA66" i="22" s="1"/>
  <c r="Z64" i="22"/>
  <c r="AA64" i="22" s="1"/>
  <c r="Z62" i="22"/>
  <c r="AA62" i="22" s="1"/>
  <c r="Z185" i="20"/>
  <c r="AA185" i="20" s="1"/>
  <c r="Z179" i="20"/>
  <c r="AA179" i="20" s="1"/>
  <c r="AU79" i="7"/>
  <c r="AV79" i="7" s="1"/>
  <c r="BG79" i="7" s="1"/>
  <c r="AU151" i="7"/>
  <c r="AV151" i="7" s="1"/>
  <c r="BG151" i="7" s="1"/>
  <c r="AU80" i="7"/>
  <c r="AU152" i="7"/>
  <c r="AV152" i="7" s="1"/>
  <c r="BG152" i="7" s="1"/>
  <c r="AU153" i="7"/>
  <c r="AV153" i="7" s="1"/>
  <c r="BG153" i="7" s="1"/>
  <c r="AU77" i="7"/>
  <c r="AU133" i="7"/>
  <c r="AU78" i="7"/>
  <c r="AU132" i="7"/>
  <c r="AU131" i="7"/>
  <c r="AU75" i="7"/>
  <c r="AU76" i="7"/>
  <c r="AU134" i="7"/>
  <c r="Z153" i="20"/>
  <c r="AA153" i="20" s="1"/>
  <c r="Z75" i="20"/>
  <c r="AA75" i="20" s="1"/>
  <c r="Z132" i="20"/>
  <c r="AA132" i="20" s="1"/>
  <c r="Z131" i="20"/>
  <c r="AA131" i="20" s="1"/>
  <c r="Z78" i="20"/>
  <c r="AA78" i="20" s="1"/>
  <c r="Z129" i="20"/>
  <c r="AA129" i="20" s="1"/>
  <c r="Z76" i="20"/>
  <c r="AA76" i="20" s="1"/>
  <c r="Z151" i="20"/>
  <c r="AA151" i="20" s="1"/>
  <c r="Z150" i="20"/>
  <c r="AA150" i="20" s="1"/>
  <c r="Z149" i="20"/>
  <c r="AA149" i="20" s="1"/>
  <c r="Z130" i="20"/>
  <c r="AA130" i="20" s="1"/>
  <c r="Z79" i="20"/>
  <c r="AA79" i="20" s="1"/>
  <c r="Z77" i="20"/>
  <c r="AA77" i="20" s="1"/>
  <c r="Z152" i="20"/>
  <c r="AA152" i="20" s="1"/>
  <c r="AS179" i="7"/>
  <c r="AT179" i="7" s="1"/>
  <c r="BH179" i="7" s="1"/>
  <c r="AS187" i="7"/>
  <c r="AT187" i="7" s="1"/>
  <c r="BH187" i="7" s="1"/>
  <c r="AS180" i="7"/>
  <c r="AT180" i="7" s="1"/>
  <c r="BH180" i="7" s="1"/>
  <c r="AS181" i="7"/>
  <c r="AT181" i="7" s="1"/>
  <c r="BH181" i="7" s="1"/>
  <c r="AS177" i="7"/>
  <c r="AT177" i="7" s="1"/>
  <c r="BH177" i="7" s="1"/>
  <c r="AS185" i="7"/>
  <c r="AT185" i="7" s="1"/>
  <c r="BH185" i="7" s="1"/>
  <c r="AS178" i="7"/>
  <c r="AT178" i="7" s="1"/>
  <c r="BH178" i="7" s="1"/>
  <c r="AS176" i="7"/>
  <c r="AT176" i="7" s="1"/>
  <c r="BH176" i="7" s="1"/>
  <c r="AS182" i="7"/>
  <c r="AT182" i="7" s="1"/>
  <c r="BH182" i="7" s="1"/>
  <c r="AS183" i="7"/>
  <c r="AT183" i="7" s="1"/>
  <c r="BH183" i="7" s="1"/>
  <c r="AS184" i="7"/>
  <c r="AT184" i="7" s="1"/>
  <c r="BH184" i="7" s="1"/>
  <c r="AS186" i="7"/>
  <c r="AT186" i="7" s="1"/>
  <c r="BH186" i="7" s="1"/>
  <c r="X186" i="20"/>
  <c r="Y186" i="20" s="1"/>
  <c r="X184" i="20"/>
  <c r="Y184" i="20" s="1"/>
  <c r="X182" i="20"/>
  <c r="Y182" i="20" s="1"/>
  <c r="X180" i="20"/>
  <c r="Y180" i="20" s="1"/>
  <c r="X178" i="20"/>
  <c r="Y178" i="20" s="1"/>
  <c r="X176" i="20"/>
  <c r="Y176" i="20" s="1"/>
  <c r="X71" i="22"/>
  <c r="Y71" i="22" s="1"/>
  <c r="X69" i="22"/>
  <c r="Y69" i="22" s="1"/>
  <c r="X67" i="22"/>
  <c r="Y67" i="22" s="1"/>
  <c r="X65" i="22"/>
  <c r="Y65" i="22" s="1"/>
  <c r="X63" i="22"/>
  <c r="Y63" i="22" s="1"/>
  <c r="X61" i="22"/>
  <c r="Y61" i="22" s="1"/>
  <c r="X72" i="22"/>
  <c r="Y72" i="22" s="1"/>
  <c r="X70" i="22"/>
  <c r="Y70" i="22" s="1"/>
  <c r="X68" i="22"/>
  <c r="Y68" i="22" s="1"/>
  <c r="X66" i="22"/>
  <c r="Y66" i="22" s="1"/>
  <c r="X64" i="22"/>
  <c r="Y64" i="22" s="1"/>
  <c r="X62" i="22"/>
  <c r="Y62" i="22" s="1"/>
  <c r="X177" i="20"/>
  <c r="Y177" i="20" s="1"/>
  <c r="X183" i="20"/>
  <c r="Y183" i="20" s="1"/>
  <c r="X179" i="20"/>
  <c r="Y179" i="20" s="1"/>
  <c r="X185" i="20"/>
  <c r="Y185" i="20" s="1"/>
  <c r="X175" i="20"/>
  <c r="Y175" i="20" s="1"/>
  <c r="X181" i="20"/>
  <c r="Y181" i="20" s="1"/>
  <c r="AS75" i="7"/>
  <c r="AS131" i="7"/>
  <c r="AS76" i="7"/>
  <c r="AS132" i="7"/>
  <c r="AS77" i="7"/>
  <c r="AS133" i="7"/>
  <c r="AS78" i="7"/>
  <c r="AS153" i="7"/>
  <c r="AT153" i="7" s="1"/>
  <c r="BH153" i="7" s="1"/>
  <c r="AS134" i="7"/>
  <c r="AS79" i="7"/>
  <c r="AT79" i="7" s="1"/>
  <c r="BH79" i="7" s="1"/>
  <c r="AS151" i="7"/>
  <c r="AT151" i="7" s="1"/>
  <c r="BH151" i="7" s="1"/>
  <c r="AS80" i="7"/>
  <c r="AS152" i="7"/>
  <c r="AT152" i="7" s="1"/>
  <c r="BH152" i="7" s="1"/>
  <c r="X149" i="20"/>
  <c r="Y149" i="20" s="1"/>
  <c r="X129" i="20"/>
  <c r="Y129" i="20" s="1"/>
  <c r="X153" i="20"/>
  <c r="Y153" i="20" s="1"/>
  <c r="X75" i="20"/>
  <c r="Y75" i="20" s="1"/>
  <c r="X131" i="20"/>
  <c r="Y131" i="20" s="1"/>
  <c r="X78" i="20"/>
  <c r="Y78" i="20" s="1"/>
  <c r="X152" i="20"/>
  <c r="Y152" i="20" s="1"/>
  <c r="X130" i="20"/>
  <c r="Y130" i="20" s="1"/>
  <c r="X77" i="20"/>
  <c r="Y77" i="20" s="1"/>
  <c r="X150" i="20"/>
  <c r="Y150" i="20" s="1"/>
  <c r="X76" i="20"/>
  <c r="Y76" i="20" s="1"/>
  <c r="X151" i="20"/>
  <c r="Y151" i="20" s="1"/>
  <c r="X79" i="20"/>
  <c r="Y79" i="20" s="1"/>
  <c r="X132" i="20"/>
  <c r="Y132" i="20" s="1"/>
  <c r="AU167" i="7"/>
  <c r="AV167" i="7" s="1"/>
  <c r="BG167" i="7" s="1"/>
  <c r="AU166" i="7"/>
  <c r="AV166" i="7" s="1"/>
  <c r="BG166" i="7" s="1"/>
  <c r="Z166" i="20"/>
  <c r="AA166" i="20" s="1"/>
  <c r="Z165" i="20"/>
  <c r="AA165" i="20" s="1"/>
  <c r="AS91" i="7"/>
  <c r="AS147" i="7"/>
  <c r="AS148" i="7"/>
  <c r="AS109" i="7"/>
  <c r="AS149" i="7"/>
  <c r="AS89" i="7"/>
  <c r="AS113" i="7"/>
  <c r="AT113" i="7" s="1"/>
  <c r="AS110" i="7"/>
  <c r="AS111" i="7"/>
  <c r="AS150" i="7"/>
  <c r="AS112" i="7"/>
  <c r="AS90" i="7"/>
  <c r="X111" i="20"/>
  <c r="Y111" i="20" s="1"/>
  <c r="X148" i="20"/>
  <c r="Y148" i="20" s="1"/>
  <c r="X110" i="20"/>
  <c r="Y110" i="20" s="1"/>
  <c r="X146" i="20"/>
  <c r="Y146" i="20" s="1"/>
  <c r="X108" i="20"/>
  <c r="Y108" i="20" s="1"/>
  <c r="X90" i="20"/>
  <c r="Y90" i="20" s="1"/>
  <c r="X88" i="20"/>
  <c r="Y88" i="20" s="1"/>
  <c r="X145" i="20"/>
  <c r="Y145" i="20" s="1"/>
  <c r="X109" i="20"/>
  <c r="Y109" i="20" s="1"/>
  <c r="X89" i="20"/>
  <c r="Y89" i="20" s="1"/>
  <c r="X112" i="20"/>
  <c r="Y112" i="20" s="1"/>
  <c r="X147" i="20"/>
  <c r="Y147" i="20" s="1"/>
  <c r="AS83" i="7"/>
  <c r="AS99" i="7"/>
  <c r="AS84" i="7"/>
  <c r="AS85" i="7"/>
  <c r="AS82" i="7"/>
  <c r="X82" i="20"/>
  <c r="Y82" i="20" s="1"/>
  <c r="X81" i="20"/>
  <c r="Y81" i="20" s="1"/>
  <c r="X98" i="20"/>
  <c r="Y98" i="20" s="1"/>
  <c r="X84" i="20"/>
  <c r="Y84" i="20" s="1"/>
  <c r="X83" i="20"/>
  <c r="Y83" i="20" s="1"/>
  <c r="AU119" i="7"/>
  <c r="AU160" i="7"/>
  <c r="AV160" i="7" s="1"/>
  <c r="BG160" i="7" s="1"/>
  <c r="AU161" i="7"/>
  <c r="AV161" i="7" s="1"/>
  <c r="BG161" i="7" s="1"/>
  <c r="AU117" i="7"/>
  <c r="AU118" i="7"/>
  <c r="AU114" i="7"/>
  <c r="AU115" i="7"/>
  <c r="AU116" i="7"/>
  <c r="Z118" i="20"/>
  <c r="AA118" i="20" s="1"/>
  <c r="Z115" i="20"/>
  <c r="AA115" i="20" s="1"/>
  <c r="Z160" i="20"/>
  <c r="AA160" i="20" s="1"/>
  <c r="Z113" i="20"/>
  <c r="AA113" i="20" s="1"/>
  <c r="Z117" i="20"/>
  <c r="AA117" i="20" s="1"/>
  <c r="Z114" i="20"/>
  <c r="AA114" i="20" s="1"/>
  <c r="Z159" i="20"/>
  <c r="AA159" i="20" s="1"/>
  <c r="Z116" i="20"/>
  <c r="AA116" i="20" s="1"/>
  <c r="AS121" i="7"/>
  <c r="AT121" i="7" s="1"/>
  <c r="BH121" i="7" s="1"/>
  <c r="AS120" i="7"/>
  <c r="X119" i="20"/>
  <c r="Y119" i="20" s="1"/>
  <c r="AU111" i="7"/>
  <c r="AU112" i="7"/>
  <c r="AU89" i="7"/>
  <c r="AU113" i="7"/>
  <c r="AV113" i="7" s="1"/>
  <c r="AU109" i="7"/>
  <c r="AU149" i="7"/>
  <c r="AU110" i="7"/>
  <c r="AU90" i="7"/>
  <c r="AU91" i="7"/>
  <c r="AU150" i="7"/>
  <c r="AU147" i="7"/>
  <c r="AU148" i="7"/>
  <c r="Z146" i="20"/>
  <c r="AA146" i="20" s="1"/>
  <c r="Z108" i="20"/>
  <c r="AA108" i="20" s="1"/>
  <c r="Z90" i="20"/>
  <c r="AA90" i="20" s="1"/>
  <c r="Z112" i="20"/>
  <c r="AA112" i="20" s="1"/>
  <c r="Z148" i="20"/>
  <c r="AA148" i="20" s="1"/>
  <c r="Z110" i="20"/>
  <c r="AA110" i="20" s="1"/>
  <c r="Z89" i="20"/>
  <c r="AA89" i="20" s="1"/>
  <c r="Z111" i="20"/>
  <c r="AA111" i="20" s="1"/>
  <c r="Z145" i="20"/>
  <c r="AA145" i="20" s="1"/>
  <c r="Z147" i="20"/>
  <c r="AA147" i="20" s="1"/>
  <c r="Z88" i="20"/>
  <c r="AA88" i="20" s="1"/>
  <c r="Z109" i="20"/>
  <c r="AA109" i="20" s="1"/>
  <c r="AU85" i="7"/>
  <c r="AU84" i="7"/>
  <c r="AU99" i="7"/>
  <c r="AU82" i="7"/>
  <c r="AU83" i="7"/>
  <c r="Z98" i="20"/>
  <c r="AA98" i="20" s="1"/>
  <c r="Z84" i="20"/>
  <c r="AA84" i="20" s="1"/>
  <c r="Z81" i="20"/>
  <c r="AA81" i="20" s="1"/>
  <c r="Z82" i="20"/>
  <c r="AA82" i="20" s="1"/>
  <c r="Z83" i="20"/>
  <c r="AA83" i="20" s="1"/>
  <c r="AU88" i="7"/>
  <c r="Z87" i="20"/>
  <c r="AA87" i="20" s="1"/>
  <c r="AS68" i="7"/>
  <c r="AS171" i="7"/>
  <c r="AS69" i="7"/>
  <c r="AS70" i="7"/>
  <c r="AS172" i="7"/>
  <c r="AS73" i="7"/>
  <c r="AS81" i="7"/>
  <c r="AS72" i="7"/>
  <c r="AS71" i="7"/>
  <c r="AS74" i="7"/>
  <c r="X73" i="20"/>
  <c r="Y73" i="20" s="1"/>
  <c r="X72" i="20"/>
  <c r="Y72" i="20" s="1"/>
  <c r="X170" i="20"/>
  <c r="Y170" i="20" s="1"/>
  <c r="X171" i="20"/>
  <c r="Y171" i="20" s="1"/>
  <c r="X70" i="20"/>
  <c r="Y70" i="20" s="1"/>
  <c r="X80" i="20"/>
  <c r="Y80" i="20" s="1"/>
  <c r="X68" i="20"/>
  <c r="Y68" i="20" s="1"/>
  <c r="X71" i="20"/>
  <c r="Y71" i="20" s="1"/>
  <c r="X74" i="20"/>
  <c r="Y74" i="20" s="1"/>
  <c r="X69" i="20"/>
  <c r="Y69" i="20" s="1"/>
  <c r="AS88" i="7"/>
  <c r="X87" i="20"/>
  <c r="Y87" i="20" s="1"/>
  <c r="AS107" i="7"/>
  <c r="AT107" i="7" s="1"/>
  <c r="AS123" i="7"/>
  <c r="AS139" i="7"/>
  <c r="AS163" i="7"/>
  <c r="AT163" i="7" s="1"/>
  <c r="BH163" i="7" s="1"/>
  <c r="AS108" i="7"/>
  <c r="AS124" i="7"/>
  <c r="AS140" i="7"/>
  <c r="AS164" i="7"/>
  <c r="AT164" i="7" s="1"/>
  <c r="BH164" i="7" s="1"/>
  <c r="AS141" i="7"/>
  <c r="AS96" i="7"/>
  <c r="AS142" i="7"/>
  <c r="AS130" i="7"/>
  <c r="AS162" i="7"/>
  <c r="AT162" i="7" s="1"/>
  <c r="BH162" i="7" s="1"/>
  <c r="AS95" i="7"/>
  <c r="AS106" i="7"/>
  <c r="AS122" i="7"/>
  <c r="AS170" i="7"/>
  <c r="X106" i="20"/>
  <c r="Y106" i="20" s="1"/>
  <c r="X122" i="20"/>
  <c r="Y122" i="20" s="1"/>
  <c r="X137" i="20"/>
  <c r="Y137" i="20" s="1"/>
  <c r="X138" i="20"/>
  <c r="Y138" i="20" s="1"/>
  <c r="X94" i="20"/>
  <c r="Y94" i="20" s="1"/>
  <c r="X162" i="20"/>
  <c r="Y162" i="20" s="1"/>
  <c r="X120" i="20"/>
  <c r="Y120" i="20" s="1"/>
  <c r="X140" i="20"/>
  <c r="Y140" i="20" s="1"/>
  <c r="X169" i="20"/>
  <c r="Y169" i="20" s="1"/>
  <c r="X163" i="20"/>
  <c r="Y163" i="20" s="1"/>
  <c r="X161" i="20"/>
  <c r="Y161" i="20" s="1"/>
  <c r="X128" i="20"/>
  <c r="Y128" i="20" s="1"/>
  <c r="X121" i="20"/>
  <c r="Y121" i="20" s="1"/>
  <c r="X105" i="20"/>
  <c r="Y105" i="20" s="1"/>
  <c r="X95" i="20"/>
  <c r="Y95" i="20" s="1"/>
  <c r="X139" i="20"/>
  <c r="Y139" i="20" s="1"/>
  <c r="X107" i="20"/>
  <c r="Y107" i="20" s="1"/>
  <c r="AU55" i="7"/>
  <c r="AU56" i="7"/>
  <c r="AU53" i="7"/>
  <c r="AU54" i="7"/>
  <c r="Z54" i="22"/>
  <c r="AA54" i="22" s="1"/>
  <c r="Z54" i="20"/>
  <c r="AA54" i="20" s="1"/>
  <c r="Z56" i="22"/>
  <c r="AA56" i="22" s="1"/>
  <c r="Z53" i="22"/>
  <c r="AA53" i="22" s="1"/>
  <c r="Z55" i="20"/>
  <c r="AA55" i="20" s="1"/>
  <c r="Z56" i="20"/>
  <c r="AA56" i="20" s="1"/>
  <c r="Z55" i="22"/>
  <c r="AA55" i="22" s="1"/>
  <c r="Z53" i="20"/>
  <c r="AA53" i="20" s="1"/>
  <c r="AU120" i="7"/>
  <c r="AU121" i="7"/>
  <c r="AV121" i="7" s="1"/>
  <c r="BG121" i="7" s="1"/>
  <c r="Z119" i="20"/>
  <c r="AA119" i="20" s="1"/>
  <c r="AS28" i="7"/>
  <c r="X28" i="22"/>
  <c r="Y28" i="22" s="1"/>
  <c r="X28" i="20"/>
  <c r="Y28" i="20" s="1"/>
  <c r="AS169" i="7"/>
  <c r="AT169" i="7" s="1"/>
  <c r="BH169" i="7" s="1"/>
  <c r="AS168" i="7"/>
  <c r="AT168" i="7" s="1"/>
  <c r="BH168" i="7" s="1"/>
  <c r="X168" i="20"/>
  <c r="Y168" i="20" s="1"/>
  <c r="X167" i="20"/>
  <c r="Y167" i="20" s="1"/>
  <c r="AU159" i="7"/>
  <c r="AV159" i="7" s="1"/>
  <c r="BG159" i="7" s="1"/>
  <c r="AU158" i="7"/>
  <c r="AV158" i="7" s="1"/>
  <c r="BG158" i="7" s="1"/>
  <c r="Z158" i="20"/>
  <c r="AA158" i="20" s="1"/>
  <c r="Z157" i="20"/>
  <c r="AA157" i="20" s="1"/>
  <c r="AS158" i="7"/>
  <c r="AT158" i="7" s="1"/>
  <c r="BH158" i="7" s="1"/>
  <c r="AS159" i="7"/>
  <c r="AT159" i="7" s="1"/>
  <c r="BH159" i="7" s="1"/>
  <c r="X157" i="20"/>
  <c r="Y157" i="20" s="1"/>
  <c r="X158" i="20"/>
  <c r="Y158" i="20" s="1"/>
  <c r="AS166" i="7"/>
  <c r="AT166" i="7" s="1"/>
  <c r="BH166" i="7" s="1"/>
  <c r="AS167" i="7"/>
  <c r="AT167" i="7" s="1"/>
  <c r="BH167" i="7" s="1"/>
  <c r="X166" i="20"/>
  <c r="Y166" i="20" s="1"/>
  <c r="X165" i="20"/>
  <c r="Y165" i="20" s="1"/>
  <c r="AU31" i="7"/>
  <c r="AU39" i="7"/>
  <c r="AU32" i="7"/>
  <c r="AU40" i="7"/>
  <c r="AU33" i="7"/>
  <c r="AU41" i="7"/>
  <c r="AU29" i="7"/>
  <c r="AU37" i="7"/>
  <c r="AU42" i="7"/>
  <c r="AU43" i="7"/>
  <c r="AU44" i="7"/>
  <c r="AU35" i="7"/>
  <c r="AU36" i="7"/>
  <c r="AU38" i="7"/>
  <c r="AU30" i="7"/>
  <c r="AU34" i="7"/>
  <c r="Z35" i="20"/>
  <c r="AA35" i="20" s="1"/>
  <c r="Z33" i="20"/>
  <c r="AA33" i="20" s="1"/>
  <c r="Z31" i="20"/>
  <c r="AA31" i="20" s="1"/>
  <c r="Z29" i="20"/>
  <c r="AA29" i="20" s="1"/>
  <c r="Z32" i="22"/>
  <c r="AA32" i="22" s="1"/>
  <c r="Z38" i="20"/>
  <c r="AA38" i="20" s="1"/>
  <c r="Z34" i="22"/>
  <c r="AA34" i="22" s="1"/>
  <c r="Z40" i="20"/>
  <c r="AA40" i="20" s="1"/>
  <c r="Z44" i="22"/>
  <c r="AA44" i="22" s="1"/>
  <c r="Z42" i="22"/>
  <c r="AA42" i="22" s="1"/>
  <c r="Z40" i="22"/>
  <c r="AA40" i="22" s="1"/>
  <c r="Z38" i="22"/>
  <c r="AA38" i="22" s="1"/>
  <c r="Z36" i="22"/>
  <c r="AA36" i="22" s="1"/>
  <c r="Z42" i="20"/>
  <c r="AA42" i="20" s="1"/>
  <c r="Z30" i="22"/>
  <c r="AA30" i="22" s="1"/>
  <c r="Z35" i="22"/>
  <c r="AA35" i="22" s="1"/>
  <c r="Z33" i="22"/>
  <c r="AA33" i="22" s="1"/>
  <c r="Z31" i="22"/>
  <c r="AA31" i="22" s="1"/>
  <c r="Z29" i="22"/>
  <c r="AA29" i="22" s="1"/>
  <c r="Z43" i="20"/>
  <c r="AA43" i="20" s="1"/>
  <c r="Z41" i="20"/>
  <c r="AA41" i="20" s="1"/>
  <c r="Z39" i="20"/>
  <c r="AA39" i="20" s="1"/>
  <c r="Z37" i="20"/>
  <c r="AA37" i="20" s="1"/>
  <c r="Z44" i="20"/>
  <c r="AA44" i="20" s="1"/>
  <c r="Z30" i="20"/>
  <c r="AA30" i="20" s="1"/>
  <c r="Z39" i="22"/>
  <c r="AA39" i="22" s="1"/>
  <c r="Z41" i="22"/>
  <c r="AA41" i="22" s="1"/>
  <c r="Z34" i="20"/>
  <c r="AA34" i="20" s="1"/>
  <c r="Z32" i="20"/>
  <c r="AA32" i="20" s="1"/>
  <c r="Z37" i="22"/>
  <c r="AA37" i="22" s="1"/>
  <c r="Z36" i="20"/>
  <c r="AA36" i="20" s="1"/>
  <c r="Z43" i="22"/>
  <c r="AA43" i="22" s="1"/>
  <c r="AU7" i="7"/>
  <c r="AU191" i="7"/>
  <c r="AV191" i="7" s="1"/>
  <c r="BG191" i="7" s="1"/>
  <c r="AU8" i="7"/>
  <c r="AU9" i="7"/>
  <c r="AU5" i="7"/>
  <c r="AU13" i="7"/>
  <c r="AU189" i="7"/>
  <c r="AV189" i="7" s="1"/>
  <c r="BG189" i="7" s="1"/>
  <c r="AU10" i="7"/>
  <c r="AU190" i="7"/>
  <c r="AV190" i="7" s="1"/>
  <c r="BG190" i="7" s="1"/>
  <c r="AU11" i="7"/>
  <c r="AV11" i="7" s="1"/>
  <c r="BG11" i="7" s="1"/>
  <c r="AU12" i="7"/>
  <c r="AU14" i="7"/>
  <c r="AU2" i="7"/>
  <c r="AU3" i="7"/>
  <c r="AU4" i="7"/>
  <c r="AU6" i="7"/>
  <c r="AU188" i="7"/>
  <c r="AV188" i="7" s="1"/>
  <c r="BG188" i="7" s="1"/>
  <c r="Z13" i="22"/>
  <c r="AA13" i="22" s="1"/>
  <c r="Z11" i="22"/>
  <c r="AA11" i="22" s="1"/>
  <c r="Z7" i="22"/>
  <c r="AA7" i="22" s="1"/>
  <c r="Z190" i="20"/>
  <c r="AA190" i="20" s="1"/>
  <c r="Z188" i="20"/>
  <c r="AA188" i="20" s="1"/>
  <c r="Z10" i="22"/>
  <c r="AA10" i="22" s="1"/>
  <c r="Z75" i="22"/>
  <c r="AA75" i="22" s="1"/>
  <c r="Z73" i="22"/>
  <c r="AA73" i="22" s="1"/>
  <c r="Z9" i="22"/>
  <c r="AA9" i="22" s="1"/>
  <c r="Z13" i="20"/>
  <c r="AA13" i="20" s="1"/>
  <c r="Z11" i="20"/>
  <c r="AA11" i="20" s="1"/>
  <c r="Z7" i="20"/>
  <c r="AA7" i="20" s="1"/>
  <c r="Z4" i="20"/>
  <c r="AA4" i="20" s="1"/>
  <c r="Z12" i="22"/>
  <c r="AA12" i="22" s="1"/>
  <c r="Z8" i="22"/>
  <c r="AA8" i="22" s="1"/>
  <c r="Z189" i="20"/>
  <c r="AA189" i="20" s="1"/>
  <c r="Z4" i="22"/>
  <c r="AA4" i="22" s="1"/>
  <c r="Z9" i="20"/>
  <c r="AA9" i="20" s="1"/>
  <c r="Z6" i="22"/>
  <c r="AA6" i="22" s="1"/>
  <c r="Z2" i="22"/>
  <c r="AA2" i="22" s="1"/>
  <c r="Z76" i="22"/>
  <c r="AA76" i="22" s="1"/>
  <c r="Z74" i="22"/>
  <c r="AA74" i="22" s="1"/>
  <c r="Z14" i="22"/>
  <c r="AA14" i="22" s="1"/>
  <c r="Z5" i="20"/>
  <c r="AA5" i="20" s="1"/>
  <c r="Z3" i="20"/>
  <c r="AA3" i="20" s="1"/>
  <c r="Z187" i="20"/>
  <c r="AA187" i="20" s="1"/>
  <c r="Z10" i="20"/>
  <c r="AA10" i="20" s="1"/>
  <c r="Z6" i="20"/>
  <c r="AA6" i="20" s="1"/>
  <c r="Z12" i="20"/>
  <c r="AA12" i="20" s="1"/>
  <c r="Z3" i="22"/>
  <c r="AA3" i="22" s="1"/>
  <c r="Z5" i="22"/>
  <c r="AA5" i="22" s="1"/>
  <c r="Z14" i="20"/>
  <c r="AA14" i="20" s="1"/>
  <c r="Z8" i="20"/>
  <c r="AA8" i="20" s="1"/>
  <c r="Z2" i="20"/>
  <c r="AA2" i="20" s="1"/>
  <c r="AS3" i="7"/>
  <c r="AS11" i="7"/>
  <c r="AT11" i="7" s="1"/>
  <c r="BH11" i="7" s="1"/>
  <c r="AS4" i="7"/>
  <c r="AS12" i="7"/>
  <c r="AS188" i="7"/>
  <c r="AT188" i="7" s="1"/>
  <c r="BH188" i="7" s="1"/>
  <c r="AS5" i="7"/>
  <c r="AS13" i="7"/>
  <c r="AS189" i="7"/>
  <c r="AT189" i="7" s="1"/>
  <c r="BH189" i="7" s="1"/>
  <c r="AS6" i="7"/>
  <c r="AS14" i="7"/>
  <c r="AS8" i="7"/>
  <c r="AS9" i="7"/>
  <c r="AS7" i="7"/>
  <c r="AS190" i="7"/>
  <c r="AT190" i="7" s="1"/>
  <c r="BH190" i="7" s="1"/>
  <c r="AS2" i="7"/>
  <c r="AS10" i="7"/>
  <c r="AS191" i="7"/>
  <c r="AT191" i="7" s="1"/>
  <c r="BH191" i="7" s="1"/>
  <c r="X5" i="20"/>
  <c r="Y5" i="20" s="1"/>
  <c r="X3" i="20"/>
  <c r="Y3" i="20" s="1"/>
  <c r="X11" i="20"/>
  <c r="Y11" i="20" s="1"/>
  <c r="X6" i="22"/>
  <c r="Y6" i="22" s="1"/>
  <c r="X13" i="22"/>
  <c r="Y13" i="22" s="1"/>
  <c r="X11" i="22"/>
  <c r="Y11" i="22" s="1"/>
  <c r="X7" i="22"/>
  <c r="Y7" i="22" s="1"/>
  <c r="X190" i="20"/>
  <c r="Y190" i="20" s="1"/>
  <c r="X188" i="20"/>
  <c r="Y188" i="20" s="1"/>
  <c r="X2" i="22"/>
  <c r="Y2" i="22" s="1"/>
  <c r="X75" i="22"/>
  <c r="Y75" i="22" s="1"/>
  <c r="X73" i="22"/>
  <c r="Y73" i="22" s="1"/>
  <c r="X9" i="22"/>
  <c r="Y9" i="22" s="1"/>
  <c r="X13" i="20"/>
  <c r="Y13" i="20" s="1"/>
  <c r="X7" i="20"/>
  <c r="Y7" i="20" s="1"/>
  <c r="X12" i="22"/>
  <c r="Y12" i="22" s="1"/>
  <c r="X76" i="22"/>
  <c r="Y76" i="22" s="1"/>
  <c r="X74" i="22"/>
  <c r="Y74" i="22" s="1"/>
  <c r="X5" i="22"/>
  <c r="Y5" i="22" s="1"/>
  <c r="X3" i="22"/>
  <c r="Y3" i="22" s="1"/>
  <c r="X14" i="20"/>
  <c r="Y14" i="20" s="1"/>
  <c r="X4" i="22"/>
  <c r="Y4" i="22" s="1"/>
  <c r="X9" i="20"/>
  <c r="Y9" i="20" s="1"/>
  <c r="X187" i="20"/>
  <c r="Y187" i="20" s="1"/>
  <c r="X4" i="20"/>
  <c r="Y4" i="20" s="1"/>
  <c r="X14" i="22"/>
  <c r="Y14" i="22" s="1"/>
  <c r="X6" i="20"/>
  <c r="Y6" i="20" s="1"/>
  <c r="X2" i="20"/>
  <c r="Y2" i="20" s="1"/>
  <c r="X8" i="22"/>
  <c r="Y8" i="22" s="1"/>
  <c r="X10" i="20"/>
  <c r="Y10" i="20" s="1"/>
  <c r="X12" i="20"/>
  <c r="Y12" i="20" s="1"/>
  <c r="X10" i="22"/>
  <c r="Y10" i="22" s="1"/>
  <c r="X189" i="20"/>
  <c r="Y189" i="20" s="1"/>
  <c r="X8" i="20"/>
  <c r="Y8" i="20" s="1"/>
  <c r="AU143" i="7"/>
  <c r="AU144" i="7"/>
  <c r="AU145" i="7"/>
  <c r="AU197" i="7"/>
  <c r="AU146" i="7"/>
  <c r="AU154" i="7"/>
  <c r="AU155" i="7"/>
  <c r="AV155" i="7" s="1"/>
  <c r="Z143" i="20"/>
  <c r="AA143" i="20" s="1"/>
  <c r="Z142" i="20"/>
  <c r="AA142" i="20" s="1"/>
  <c r="Z154" i="20"/>
  <c r="AA154" i="20" s="1"/>
  <c r="Z141" i="20"/>
  <c r="AA141" i="20" s="1"/>
  <c r="Z144" i="20"/>
  <c r="AA144" i="20" s="1"/>
  <c r="AU28" i="7"/>
  <c r="Z28" i="22"/>
  <c r="AA28" i="22" s="1"/>
  <c r="Z28" i="20"/>
  <c r="AA28" i="20" s="1"/>
  <c r="AU168" i="7"/>
  <c r="AV168" i="7" s="1"/>
  <c r="BG168" i="7" s="1"/>
  <c r="AU169" i="7"/>
  <c r="AV169" i="7" s="1"/>
  <c r="BG169" i="7" s="1"/>
  <c r="Z168" i="20"/>
  <c r="AA168" i="20" s="1"/>
  <c r="Z167" i="20"/>
  <c r="AA167" i="20" s="1"/>
  <c r="AS155" i="7"/>
  <c r="AT155" i="7" s="1"/>
  <c r="AS197" i="7"/>
  <c r="AS145" i="7"/>
  <c r="AS143" i="7"/>
  <c r="AS144" i="7"/>
  <c r="AS154" i="7"/>
  <c r="AS146" i="7"/>
  <c r="X141" i="20"/>
  <c r="Y141" i="20" s="1"/>
  <c r="X143" i="20"/>
  <c r="Y143" i="20" s="1"/>
  <c r="X144" i="20"/>
  <c r="Y144" i="20" s="1"/>
  <c r="X154" i="20"/>
  <c r="Y154" i="20" s="1"/>
  <c r="X142" i="20"/>
  <c r="Y142" i="20" s="1"/>
  <c r="AU103" i="7"/>
  <c r="AU127" i="7"/>
  <c r="AU104" i="7"/>
  <c r="AU128" i="7"/>
  <c r="AU105" i="7"/>
  <c r="AU129" i="7"/>
  <c r="AU165" i="7"/>
  <c r="AV165" i="7" s="1"/>
  <c r="Z104" i="20"/>
  <c r="AA104" i="20" s="1"/>
  <c r="Z127" i="20"/>
  <c r="AA127" i="20" s="1"/>
  <c r="Z103" i="20"/>
  <c r="AA103" i="20" s="1"/>
  <c r="Z164" i="20"/>
  <c r="AA164" i="20" s="1"/>
  <c r="Z125" i="20"/>
  <c r="AA125" i="20" s="1"/>
  <c r="Z102" i="20"/>
  <c r="AA102" i="20" s="1"/>
  <c r="Z126" i="20"/>
  <c r="AA126" i="20" s="1"/>
  <c r="AU47" i="7"/>
  <c r="AU48" i="7"/>
  <c r="AU49" i="7"/>
  <c r="AU45" i="7"/>
  <c r="AU173" i="7"/>
  <c r="AV173" i="7" s="1"/>
  <c r="AU174" i="7"/>
  <c r="AV174" i="7" s="1"/>
  <c r="AU50" i="7"/>
  <c r="AU46" i="7"/>
  <c r="AU51" i="7"/>
  <c r="AU52" i="7"/>
  <c r="Z52" i="22"/>
  <c r="AA52" i="22" s="1"/>
  <c r="Z173" i="20"/>
  <c r="AA173" i="20" s="1"/>
  <c r="Z50" i="22"/>
  <c r="AA50" i="22" s="1"/>
  <c r="Z48" i="22"/>
  <c r="AA48" i="22" s="1"/>
  <c r="Z46" i="22"/>
  <c r="AA46" i="22" s="1"/>
  <c r="Z52" i="20"/>
  <c r="AA52" i="20" s="1"/>
  <c r="Z50" i="20"/>
  <c r="AA50" i="20" s="1"/>
  <c r="Z48" i="20"/>
  <c r="AA48" i="20" s="1"/>
  <c r="Z46" i="20"/>
  <c r="AA46" i="20" s="1"/>
  <c r="Z51" i="22"/>
  <c r="AA51" i="22" s="1"/>
  <c r="Z60" i="22"/>
  <c r="AA60" i="22" s="1"/>
  <c r="Z49" i="22"/>
  <c r="AA49" i="22" s="1"/>
  <c r="Z47" i="22"/>
  <c r="AA47" i="22" s="1"/>
  <c r="Z45" i="22"/>
  <c r="AA45" i="22" s="1"/>
  <c r="Z172" i="20"/>
  <c r="AA172" i="20" s="1"/>
  <c r="Z47" i="20"/>
  <c r="AA47" i="20" s="1"/>
  <c r="Z49" i="20"/>
  <c r="AA49" i="20" s="1"/>
  <c r="Z45" i="20"/>
  <c r="AA45" i="20" s="1"/>
  <c r="Z51" i="20"/>
  <c r="AA51" i="20" s="1"/>
  <c r="AU97" i="7"/>
  <c r="AU98" i="7"/>
  <c r="Z96" i="20"/>
  <c r="AA96" i="20" s="1"/>
  <c r="Z97" i="20"/>
  <c r="AA97" i="20" s="1"/>
  <c r="AS165" i="7"/>
  <c r="AT165" i="7" s="1"/>
  <c r="AS105" i="7"/>
  <c r="AS129" i="7"/>
  <c r="AS127" i="7"/>
  <c r="AS128" i="7"/>
  <c r="AS103" i="7"/>
  <c r="AS104" i="7"/>
  <c r="X125" i="20"/>
  <c r="Y125" i="20" s="1"/>
  <c r="X102" i="20"/>
  <c r="Y102" i="20" s="1"/>
  <c r="X104" i="20"/>
  <c r="Y104" i="20" s="1"/>
  <c r="X164" i="20"/>
  <c r="Y164" i="20" s="1"/>
  <c r="X127" i="20"/>
  <c r="Y127" i="20" s="1"/>
  <c r="X126" i="20"/>
  <c r="Y126" i="20" s="1"/>
  <c r="X103" i="20"/>
  <c r="Y103" i="20" s="1"/>
  <c r="AS51" i="7"/>
  <c r="AS52" i="7"/>
  <c r="AS45" i="7"/>
  <c r="AS173" i="7"/>
  <c r="AT173" i="7" s="1"/>
  <c r="AS46" i="7"/>
  <c r="AS49" i="7"/>
  <c r="AS50" i="7"/>
  <c r="AS174" i="7"/>
  <c r="AT174" i="7" s="1"/>
  <c r="AS47" i="7"/>
  <c r="AS48" i="7"/>
  <c r="X46" i="20"/>
  <c r="Y46" i="20" s="1"/>
  <c r="X52" i="22"/>
  <c r="Y52" i="22" s="1"/>
  <c r="X48" i="20"/>
  <c r="Y48" i="20" s="1"/>
  <c r="X50" i="22"/>
  <c r="Y50" i="22" s="1"/>
  <c r="X48" i="22"/>
  <c r="Y48" i="22" s="1"/>
  <c r="X46" i="22"/>
  <c r="Y46" i="22" s="1"/>
  <c r="X52" i="20"/>
  <c r="Y52" i="20" s="1"/>
  <c r="X51" i="22"/>
  <c r="Y51" i="22" s="1"/>
  <c r="X60" i="22"/>
  <c r="Y60" i="22" s="1"/>
  <c r="X49" i="20"/>
  <c r="Y49" i="20" s="1"/>
  <c r="X47" i="20"/>
  <c r="Y47" i="20" s="1"/>
  <c r="X45" i="20"/>
  <c r="Y45" i="20" s="1"/>
  <c r="X50" i="20"/>
  <c r="Y50" i="20" s="1"/>
  <c r="X45" i="22"/>
  <c r="Y45" i="22" s="1"/>
  <c r="X172" i="20"/>
  <c r="Y172" i="20" s="1"/>
  <c r="X47" i="22"/>
  <c r="Y47" i="22" s="1"/>
  <c r="X51" i="20"/>
  <c r="Y51" i="20" s="1"/>
  <c r="X173" i="20"/>
  <c r="Y173" i="20" s="1"/>
  <c r="X49" i="22"/>
  <c r="Y49" i="22" s="1"/>
  <c r="AS97" i="7"/>
  <c r="AS98" i="7"/>
  <c r="X96" i="20"/>
  <c r="Y96" i="20" s="1"/>
  <c r="X97" i="20"/>
  <c r="Y97" i="20" s="1"/>
  <c r="AV25" i="7"/>
  <c r="AZ25" i="7"/>
  <c r="AT25" i="7"/>
  <c r="AX25" i="7"/>
  <c r="AX53" i="7"/>
  <c r="AT53" i="7"/>
  <c r="AV53" i="7"/>
  <c r="AZ53" i="7"/>
  <c r="AV105" i="7"/>
  <c r="AT105" i="7"/>
  <c r="AZ24" i="7"/>
  <c r="AV24" i="7"/>
  <c r="AT24" i="7"/>
  <c r="AX24" i="7"/>
  <c r="AZ112" i="7"/>
  <c r="AV112" i="7"/>
  <c r="AT112" i="7"/>
  <c r="AX112" i="7"/>
  <c r="AV103" i="7"/>
  <c r="AT103" i="7"/>
  <c r="C3" i="7"/>
  <c r="AR106" i="7"/>
  <c r="AQ33" i="7"/>
  <c r="AR33" i="7"/>
  <c r="AQ107" i="7"/>
  <c r="AQ106" i="7"/>
  <c r="AR96" i="7"/>
  <c r="AP67" i="7"/>
  <c r="AR67" i="7"/>
  <c r="AQ67" i="7"/>
  <c r="AP19" i="7"/>
  <c r="AR19" i="7"/>
  <c r="AQ19" i="7"/>
  <c r="AP58" i="7"/>
  <c r="AR58" i="7"/>
  <c r="AQ58" i="7"/>
  <c r="AP123" i="7"/>
  <c r="AQ123" i="7"/>
  <c r="AR123" i="7"/>
  <c r="AP85" i="7"/>
  <c r="AR85" i="7"/>
  <c r="AQ85" i="7"/>
  <c r="AQ143" i="7"/>
  <c r="AR143" i="7"/>
  <c r="AP66" i="7"/>
  <c r="AR66" i="7"/>
  <c r="AQ66" i="7"/>
  <c r="AP12" i="7"/>
  <c r="AR12" i="7"/>
  <c r="AQ12" i="7"/>
  <c r="AP37" i="7"/>
  <c r="AQ37" i="7"/>
  <c r="AR37" i="7"/>
  <c r="AP45" i="7"/>
  <c r="AQ45" i="7"/>
  <c r="AR45" i="7"/>
  <c r="AR2" i="7"/>
  <c r="AP2" i="7"/>
  <c r="AQ2" i="7"/>
  <c r="AQ111" i="7"/>
  <c r="AR111" i="7"/>
  <c r="AP5" i="7"/>
  <c r="AR5" i="7"/>
  <c r="AQ5" i="7"/>
  <c r="AP91" i="7"/>
  <c r="AQ91" i="7"/>
  <c r="AR91" i="7"/>
  <c r="AP101" i="7"/>
  <c r="AR101" i="7"/>
  <c r="AQ101" i="7"/>
  <c r="AP71" i="7"/>
  <c r="AQ71" i="7"/>
  <c r="AR71" i="7"/>
  <c r="AP149" i="7"/>
  <c r="AQ149" i="7"/>
  <c r="AR149" i="7"/>
  <c r="AP133" i="7"/>
  <c r="AQ133" i="7"/>
  <c r="AR133" i="7"/>
  <c r="AR4" i="7"/>
  <c r="AQ4" i="7"/>
  <c r="AP4" i="7"/>
  <c r="AP56" i="7"/>
  <c r="AR56" i="7"/>
  <c r="AQ56" i="7"/>
  <c r="AR120" i="7"/>
  <c r="AQ120" i="7"/>
  <c r="AP82" i="7"/>
  <c r="AQ82" i="7"/>
  <c r="AR82" i="7"/>
  <c r="AP35" i="7"/>
  <c r="AR35" i="7"/>
  <c r="AQ35" i="7"/>
  <c r="AP42" i="7"/>
  <c r="AR42" i="7"/>
  <c r="AQ42" i="7"/>
  <c r="AP48" i="7"/>
  <c r="AR48" i="7"/>
  <c r="AQ48" i="7"/>
  <c r="AP23" i="7"/>
  <c r="AQ23" i="7"/>
  <c r="AR23" i="7"/>
  <c r="AR127" i="7"/>
  <c r="AQ127" i="7"/>
  <c r="AP99" i="7"/>
  <c r="AQ99" i="7"/>
  <c r="AR99" i="7"/>
  <c r="AP81" i="7"/>
  <c r="AQ81" i="7"/>
  <c r="AR81" i="7"/>
  <c r="AP74" i="7"/>
  <c r="AR74" i="7"/>
  <c r="AQ74" i="7"/>
  <c r="AR139" i="7"/>
  <c r="AQ139" i="7"/>
  <c r="AP131" i="7"/>
  <c r="AQ131" i="7"/>
  <c r="AR131" i="7"/>
  <c r="AP102" i="7"/>
  <c r="AR102" i="7"/>
  <c r="AQ102" i="7"/>
  <c r="AP34" i="7"/>
  <c r="AR34" i="7"/>
  <c r="AQ34" i="7"/>
  <c r="AP41" i="7"/>
  <c r="AR41" i="7"/>
  <c r="AQ41" i="7"/>
  <c r="AP47" i="7"/>
  <c r="AR47" i="7"/>
  <c r="AQ47" i="7"/>
  <c r="AQ7" i="7"/>
  <c r="AP7" i="7"/>
  <c r="AR7" i="7"/>
  <c r="AP14" i="7"/>
  <c r="AQ14" i="7"/>
  <c r="AR14" i="7"/>
  <c r="AP22" i="7"/>
  <c r="AQ22" i="7"/>
  <c r="AR22" i="7"/>
  <c r="AP54" i="7"/>
  <c r="AQ54" i="7"/>
  <c r="AR54" i="7"/>
  <c r="AP116" i="7"/>
  <c r="AR116" i="7"/>
  <c r="AQ116" i="7"/>
  <c r="AP98" i="7"/>
  <c r="AQ98" i="7"/>
  <c r="AR98" i="7"/>
  <c r="AP89" i="7"/>
  <c r="AR89" i="7"/>
  <c r="AQ89" i="7"/>
  <c r="AP80" i="7"/>
  <c r="AQ80" i="7"/>
  <c r="AR80" i="7"/>
  <c r="AP68" i="7"/>
  <c r="AQ68" i="7"/>
  <c r="AR68" i="7"/>
  <c r="AP60" i="7"/>
  <c r="AQ60" i="7"/>
  <c r="AR60" i="7"/>
  <c r="AR119" i="7"/>
  <c r="AQ119" i="7"/>
  <c r="AP146" i="7"/>
  <c r="AR146" i="7"/>
  <c r="AQ146" i="7"/>
  <c r="AP138" i="7"/>
  <c r="AQ138" i="7"/>
  <c r="AR138" i="7"/>
  <c r="AQ95" i="7"/>
  <c r="AP30" i="7"/>
  <c r="AR30" i="7"/>
  <c r="AQ30" i="7"/>
  <c r="AQ52" i="7"/>
  <c r="AR52" i="7"/>
  <c r="AP13" i="7"/>
  <c r="AR13" i="7"/>
  <c r="AQ13" i="7"/>
  <c r="AP104" i="7"/>
  <c r="AR104" i="7"/>
  <c r="AQ104" i="7"/>
  <c r="AP76" i="7"/>
  <c r="AQ76" i="7"/>
  <c r="AR76" i="7"/>
  <c r="AP72" i="7"/>
  <c r="AR72" i="7"/>
  <c r="AQ72" i="7"/>
  <c r="AR135" i="7"/>
  <c r="AQ135" i="7"/>
  <c r="AP26" i="7"/>
  <c r="AQ26" i="7"/>
  <c r="AR26" i="7"/>
  <c r="AP57" i="7"/>
  <c r="AR57" i="7"/>
  <c r="AQ57" i="7"/>
  <c r="AQ122" i="7"/>
  <c r="AR122" i="7"/>
  <c r="AP84" i="7"/>
  <c r="AR84" i="7"/>
  <c r="AQ84" i="7"/>
  <c r="AR150" i="7"/>
  <c r="AQ150" i="7"/>
  <c r="AP28" i="7"/>
  <c r="AR28" i="7"/>
  <c r="AQ28" i="7"/>
  <c r="AR129" i="7"/>
  <c r="AQ129" i="7"/>
  <c r="AP93" i="7"/>
  <c r="AR93" i="7"/>
  <c r="AQ93" i="7"/>
  <c r="AR64" i="7"/>
  <c r="AQ64" i="7"/>
  <c r="AP49" i="7"/>
  <c r="AR49" i="7"/>
  <c r="AQ49" i="7"/>
  <c r="AP128" i="7"/>
  <c r="AR128" i="7"/>
  <c r="AQ128" i="7"/>
  <c r="AP92" i="7"/>
  <c r="AR92" i="7"/>
  <c r="AQ92" i="7"/>
  <c r="AP148" i="7"/>
  <c r="AR148" i="7"/>
  <c r="AQ148" i="7"/>
  <c r="AP15" i="7"/>
  <c r="AQ15" i="7"/>
  <c r="AR15" i="7"/>
  <c r="AP55" i="7"/>
  <c r="AR55" i="7"/>
  <c r="AQ55" i="7"/>
  <c r="AP90" i="7"/>
  <c r="AQ90" i="7"/>
  <c r="AR90" i="7"/>
  <c r="AP69" i="7"/>
  <c r="AQ69" i="7"/>
  <c r="AR69" i="7"/>
  <c r="AR147" i="7"/>
  <c r="AQ147" i="7"/>
  <c r="AP125" i="7"/>
  <c r="AR125" i="7"/>
  <c r="AQ125" i="7"/>
  <c r="AP32" i="7"/>
  <c r="AR32" i="7"/>
  <c r="AQ32" i="7"/>
  <c r="AP40" i="7"/>
  <c r="AR40" i="7"/>
  <c r="AQ40" i="7"/>
  <c r="AP46" i="7"/>
  <c r="AQ46" i="7"/>
  <c r="AR46" i="7"/>
  <c r="AQ6" i="7"/>
  <c r="AP6" i="7"/>
  <c r="AR6" i="7"/>
  <c r="AR17" i="7"/>
  <c r="AP17" i="7"/>
  <c r="AQ17" i="7"/>
  <c r="AP21" i="7"/>
  <c r="AQ21" i="7"/>
  <c r="AR21" i="7"/>
  <c r="AP115" i="7"/>
  <c r="AR115" i="7"/>
  <c r="AQ115" i="7"/>
  <c r="AP97" i="7"/>
  <c r="AQ97" i="7"/>
  <c r="AR97" i="7"/>
  <c r="AP88" i="7"/>
  <c r="AQ88" i="7"/>
  <c r="AR88" i="7"/>
  <c r="AP78" i="7"/>
  <c r="AQ78" i="7"/>
  <c r="AR78" i="7"/>
  <c r="AP145" i="7"/>
  <c r="AR145" i="7"/>
  <c r="AQ145" i="7"/>
  <c r="AP137" i="7"/>
  <c r="AR137" i="7"/>
  <c r="AQ137" i="7"/>
  <c r="AR95" i="7"/>
  <c r="BH113" i="7"/>
  <c r="BG113" i="7"/>
  <c r="AR10" i="7"/>
  <c r="AQ10" i="7"/>
  <c r="AP10" i="7"/>
  <c r="AQ38" i="7"/>
  <c r="AR38" i="7"/>
  <c r="AP27" i="7"/>
  <c r="AR27" i="7"/>
  <c r="AQ27" i="7"/>
  <c r="AR18" i="7"/>
  <c r="AQ18" i="7"/>
  <c r="AP18" i="7"/>
  <c r="AP94" i="7"/>
  <c r="AR94" i="7"/>
  <c r="AQ94" i="7"/>
  <c r="AP75" i="7"/>
  <c r="AQ75" i="7"/>
  <c r="AR75" i="7"/>
  <c r="AP142" i="7"/>
  <c r="AQ142" i="7"/>
  <c r="AR142" i="7"/>
  <c r="AP134" i="7"/>
  <c r="AR134" i="7"/>
  <c r="AQ134" i="7"/>
  <c r="AP65" i="7"/>
  <c r="AR65" i="7"/>
  <c r="AQ65" i="7"/>
  <c r="AP29" i="7"/>
  <c r="AQ29" i="7"/>
  <c r="AR29" i="7"/>
  <c r="AP44" i="7"/>
  <c r="AQ44" i="7"/>
  <c r="AR44" i="7"/>
  <c r="AP50" i="7"/>
  <c r="AR50" i="7"/>
  <c r="AQ50" i="7"/>
  <c r="AQ110" i="7"/>
  <c r="AR110" i="7"/>
  <c r="AP83" i="7"/>
  <c r="AQ83" i="7"/>
  <c r="AR83" i="7"/>
  <c r="AP73" i="7"/>
  <c r="AR73" i="7"/>
  <c r="AQ73" i="7"/>
  <c r="AP141" i="7"/>
  <c r="AQ141" i="7"/>
  <c r="AR141" i="7"/>
  <c r="AP36" i="7"/>
  <c r="AQ36" i="7"/>
  <c r="AR36" i="7"/>
  <c r="AP43" i="7"/>
  <c r="AQ43" i="7"/>
  <c r="AR43" i="7"/>
  <c r="AR9" i="7"/>
  <c r="AQ9" i="7"/>
  <c r="AP9" i="7"/>
  <c r="AR109" i="7"/>
  <c r="AQ109" i="7"/>
  <c r="AP100" i="7"/>
  <c r="AQ100" i="7"/>
  <c r="AR100" i="7"/>
  <c r="AP70" i="7"/>
  <c r="AQ70" i="7"/>
  <c r="AR70" i="7"/>
  <c r="AR118" i="7"/>
  <c r="AQ118" i="7"/>
  <c r="AR140" i="7"/>
  <c r="AQ140" i="7"/>
  <c r="AQ132" i="7"/>
  <c r="AR132" i="7"/>
  <c r="AQ63" i="7"/>
  <c r="AR63" i="7"/>
  <c r="AR3" i="7"/>
  <c r="AP3" i="7"/>
  <c r="AQ3" i="7"/>
  <c r="AR117" i="7"/>
  <c r="AQ117" i="7"/>
  <c r="AR108" i="7"/>
  <c r="AQ108" i="7"/>
  <c r="AP61" i="7"/>
  <c r="AQ61" i="7"/>
  <c r="AR61" i="7"/>
  <c r="AQ62" i="7"/>
  <c r="AR62" i="7"/>
  <c r="AR126" i="7"/>
  <c r="AQ126" i="7"/>
  <c r="AP31" i="7"/>
  <c r="AQ31" i="7"/>
  <c r="AR31" i="7"/>
  <c r="AP39" i="7"/>
  <c r="AQ39" i="7"/>
  <c r="AR39" i="7"/>
  <c r="AQ51" i="7"/>
  <c r="AR51" i="7"/>
  <c r="AR8" i="7"/>
  <c r="AQ8" i="7"/>
  <c r="AP8" i="7"/>
  <c r="AR16" i="7"/>
  <c r="AQ16" i="7"/>
  <c r="AP16" i="7"/>
  <c r="AP20" i="7"/>
  <c r="AR20" i="7"/>
  <c r="AQ20" i="7"/>
  <c r="AP59" i="7"/>
  <c r="AR59" i="7"/>
  <c r="AQ59" i="7"/>
  <c r="AR124" i="7"/>
  <c r="AQ124" i="7"/>
  <c r="AP114" i="7"/>
  <c r="AR114" i="7"/>
  <c r="AQ114" i="7"/>
  <c r="AP86" i="7"/>
  <c r="AR86" i="7"/>
  <c r="AQ86" i="7"/>
  <c r="AP77" i="7"/>
  <c r="AR77" i="7"/>
  <c r="AQ77" i="7"/>
  <c r="AP87" i="7"/>
  <c r="AR87" i="7"/>
  <c r="AQ87" i="7"/>
  <c r="AP130" i="7"/>
  <c r="AQ130" i="7"/>
  <c r="AR130" i="7"/>
  <c r="AP144" i="7"/>
  <c r="AR144" i="7"/>
  <c r="AQ144" i="7"/>
  <c r="AP136" i="7"/>
  <c r="AR136" i="7"/>
  <c r="AQ136" i="7"/>
  <c r="AP122" i="7"/>
  <c r="AP109" i="7"/>
  <c r="AP118" i="7"/>
  <c r="AP140" i="7"/>
  <c r="AP132" i="7"/>
  <c r="AP127" i="7"/>
  <c r="AP139" i="7"/>
  <c r="AP129" i="7"/>
  <c r="AP110" i="7"/>
  <c r="AP64" i="7"/>
  <c r="AP120" i="7"/>
  <c r="AP117" i="7"/>
  <c r="AP108" i="7"/>
  <c r="AP119" i="7"/>
  <c r="AP62" i="7"/>
  <c r="AP126" i="7"/>
  <c r="AP51" i="7"/>
  <c r="AP124" i="7"/>
  <c r="AP96" i="7"/>
  <c r="AP111" i="7"/>
  <c r="AP150" i="7"/>
  <c r="AP63" i="7"/>
  <c r="AP147" i="7"/>
  <c r="AP107" i="7"/>
  <c r="AP38" i="7"/>
  <c r="AP52" i="7"/>
  <c r="AP143" i="7"/>
  <c r="AP135" i="7"/>
  <c r="A9" i="22"/>
  <c r="C8" i="22"/>
  <c r="P30" i="21"/>
  <c r="C11" i="20"/>
  <c r="A12" i="20"/>
  <c r="U59" i="13"/>
  <c r="U61" i="13"/>
  <c r="B59" i="13"/>
  <c r="B60" i="13" s="1"/>
  <c r="B61" i="13" s="1"/>
  <c r="B62" i="13" s="1"/>
  <c r="X59" i="13"/>
  <c r="X62" i="13"/>
  <c r="X60" i="13"/>
  <c r="V61" i="13"/>
  <c r="T62" i="13"/>
  <c r="U62" i="13"/>
  <c r="T59" i="13"/>
  <c r="B52" i="13"/>
  <c r="T60" i="13"/>
  <c r="U60" i="13"/>
  <c r="U53" i="13"/>
  <c r="V55" i="13"/>
  <c r="W55" i="13"/>
  <c r="Y55" i="13" s="1"/>
  <c r="V58" i="13"/>
  <c r="W57" i="13"/>
  <c r="V50" i="13"/>
  <c r="Y53" i="13"/>
  <c r="Y56" i="13"/>
  <c r="Y58" i="13"/>
  <c r="Y54" i="13"/>
  <c r="U58" i="13"/>
  <c r="V53" i="13"/>
  <c r="U56" i="13"/>
  <c r="V51" i="13"/>
  <c r="V56" i="13"/>
  <c r="U54" i="13"/>
  <c r="W51" i="13"/>
  <c r="V54" i="13"/>
  <c r="U57" i="13"/>
  <c r="Y52" i="13"/>
  <c r="U52" i="13"/>
  <c r="V52" i="13"/>
  <c r="U51" i="13"/>
  <c r="W50" i="13"/>
  <c r="U50" i="13"/>
  <c r="S41" i="13"/>
  <c r="T41" i="13"/>
  <c r="U41" i="13"/>
  <c r="U40" i="13"/>
  <c r="T40" i="13"/>
  <c r="S40" i="13"/>
  <c r="G20" i="10"/>
  <c r="G5" i="10"/>
  <c r="F25" i="10"/>
  <c r="G28" i="10"/>
  <c r="G50" i="10"/>
  <c r="F53" i="10"/>
  <c r="G76" i="10"/>
  <c r="F95" i="10"/>
  <c r="G97" i="10"/>
  <c r="AW28" i="7"/>
  <c r="G83" i="10"/>
  <c r="AY61" i="7"/>
  <c r="A211" i="27" l="1"/>
  <c r="C210" i="27"/>
  <c r="AP88" i="27"/>
  <c r="AQ88" i="27" s="1"/>
  <c r="AP212" i="27"/>
  <c r="AQ212" i="27" s="1"/>
  <c r="BA212" i="27" s="1"/>
  <c r="AP211" i="27"/>
  <c r="AQ211" i="27" s="1"/>
  <c r="BA211" i="27" s="1"/>
  <c r="AP210" i="27"/>
  <c r="AQ210" i="27" s="1"/>
  <c r="BA210" i="27" s="1"/>
  <c r="AN88" i="27"/>
  <c r="AO88" i="27" s="1"/>
  <c r="AN212" i="27"/>
  <c r="AO212" i="27" s="1"/>
  <c r="AZ212" i="27" s="1"/>
  <c r="AN211" i="27"/>
  <c r="AO211" i="27" s="1"/>
  <c r="AZ211" i="27" s="1"/>
  <c r="AN210" i="27"/>
  <c r="AO210" i="27" s="1"/>
  <c r="AZ210" i="27" s="1"/>
  <c r="AP61" i="27"/>
  <c r="AQ61" i="27" s="1"/>
  <c r="AN61" i="27"/>
  <c r="AO61" i="27" s="1"/>
  <c r="AZ61" i="27" s="1"/>
  <c r="AP28" i="27"/>
  <c r="AQ28" i="27" s="1"/>
  <c r="AN28" i="27"/>
  <c r="AO28" i="27" s="1"/>
  <c r="AW88" i="7"/>
  <c r="BM153" i="7"/>
  <c r="AN93" i="27"/>
  <c r="AO93" i="27" s="1"/>
  <c r="AN92" i="27"/>
  <c r="AO92" i="27" s="1"/>
  <c r="AN209" i="27"/>
  <c r="AO209" i="27" s="1"/>
  <c r="AN141" i="27"/>
  <c r="AO141" i="27" s="1"/>
  <c r="AN142" i="27"/>
  <c r="AO142" i="27" s="1"/>
  <c r="AN95" i="27"/>
  <c r="AO95" i="27" s="1"/>
  <c r="AN96" i="27"/>
  <c r="AO96" i="27" s="1"/>
  <c r="AN106" i="27"/>
  <c r="AO106" i="27" s="1"/>
  <c r="AN122" i="27"/>
  <c r="AO122" i="27" s="1"/>
  <c r="AN130" i="27"/>
  <c r="AO130" i="27" s="1"/>
  <c r="AN162" i="27"/>
  <c r="AO162" i="27" s="1"/>
  <c r="AN170" i="27"/>
  <c r="AN107" i="27"/>
  <c r="AO107" i="27" s="1"/>
  <c r="AN123" i="27"/>
  <c r="AO123" i="27" s="1"/>
  <c r="AN139" i="27"/>
  <c r="AO139" i="27" s="1"/>
  <c r="AN163" i="27"/>
  <c r="AO163" i="27" s="1"/>
  <c r="AN108" i="27"/>
  <c r="AO108" i="27" s="1"/>
  <c r="AN124" i="27"/>
  <c r="AN140" i="27"/>
  <c r="AO140" i="27" s="1"/>
  <c r="AN164" i="27"/>
  <c r="AO164" i="27" s="1"/>
  <c r="AN45" i="27"/>
  <c r="AO45" i="27" s="1"/>
  <c r="AN173" i="27"/>
  <c r="AO173" i="27" s="1"/>
  <c r="AN46" i="27"/>
  <c r="AO46" i="27" s="1"/>
  <c r="AN174" i="27"/>
  <c r="AO174" i="27" s="1"/>
  <c r="AN47" i="27"/>
  <c r="AO47" i="27" s="1"/>
  <c r="AN48" i="27"/>
  <c r="AO48" i="27" s="1"/>
  <c r="AN49" i="27"/>
  <c r="AO49" i="27" s="1"/>
  <c r="AN50" i="27"/>
  <c r="AO50" i="27" s="1"/>
  <c r="AN51" i="27"/>
  <c r="AO51" i="27" s="1"/>
  <c r="AN52" i="27"/>
  <c r="AO52" i="27" s="1"/>
  <c r="AN85" i="27"/>
  <c r="AO85" i="27" s="1"/>
  <c r="AN82" i="27"/>
  <c r="AO82" i="27" s="1"/>
  <c r="AN83" i="27"/>
  <c r="AO83" i="27" s="1"/>
  <c r="AN99" i="27"/>
  <c r="AO99" i="27" s="1"/>
  <c r="AN84" i="27"/>
  <c r="AO84" i="27" s="1"/>
  <c r="AP118" i="27"/>
  <c r="AQ118" i="27" s="1"/>
  <c r="AP119" i="27"/>
  <c r="AQ119" i="27" s="1"/>
  <c r="AP160" i="27"/>
  <c r="AQ160" i="27" s="1"/>
  <c r="AP161" i="27"/>
  <c r="AQ161" i="27" s="1"/>
  <c r="AP114" i="27"/>
  <c r="AQ114" i="27" s="1"/>
  <c r="AP115" i="27"/>
  <c r="AQ115" i="27" s="1"/>
  <c r="AP116" i="27"/>
  <c r="AQ116" i="27" s="1"/>
  <c r="AP117" i="27"/>
  <c r="AQ117" i="27" s="1"/>
  <c r="AP103" i="27"/>
  <c r="AQ103" i="27" s="1"/>
  <c r="AP127" i="27"/>
  <c r="AQ127" i="27" s="1"/>
  <c r="AP104" i="27"/>
  <c r="AQ104" i="27" s="1"/>
  <c r="AP128" i="27"/>
  <c r="AQ128" i="27" s="1"/>
  <c r="AP105" i="27"/>
  <c r="AQ105" i="27" s="1"/>
  <c r="AP129" i="27"/>
  <c r="AQ129" i="27" s="1"/>
  <c r="AP165" i="27"/>
  <c r="AQ165" i="27" s="1"/>
  <c r="AN57" i="27"/>
  <c r="AO57" i="27" s="1"/>
  <c r="AN58" i="27"/>
  <c r="AO58" i="27" s="1"/>
  <c r="AN59" i="27"/>
  <c r="AO59" i="27" s="1"/>
  <c r="AP182" i="27"/>
  <c r="AQ182" i="27" s="1"/>
  <c r="AP183" i="27"/>
  <c r="AQ183" i="27" s="1"/>
  <c r="AP176" i="27"/>
  <c r="AQ176" i="27" s="1"/>
  <c r="AP184" i="27"/>
  <c r="AQ184" i="27" s="1"/>
  <c r="AP177" i="27"/>
  <c r="AQ177" i="27" s="1"/>
  <c r="AP185" i="27"/>
  <c r="AQ185" i="27" s="1"/>
  <c r="AP179" i="27"/>
  <c r="AQ179" i="27" s="1"/>
  <c r="AP180" i="27"/>
  <c r="AQ180" i="27" s="1"/>
  <c r="AP181" i="27"/>
  <c r="AQ181" i="27" s="1"/>
  <c r="AP186" i="27"/>
  <c r="AQ186" i="27" s="1"/>
  <c r="AP187" i="27"/>
  <c r="AQ187" i="27" s="1"/>
  <c r="AP178" i="27"/>
  <c r="AQ178" i="27" s="1"/>
  <c r="AP100" i="27"/>
  <c r="AQ100" i="27" s="1"/>
  <c r="AP101" i="27"/>
  <c r="AQ101" i="27" s="1"/>
  <c r="AP158" i="27"/>
  <c r="AQ158" i="27" s="1"/>
  <c r="AP159" i="27"/>
  <c r="AQ159" i="27" s="1"/>
  <c r="AP22" i="27"/>
  <c r="AQ22" i="27" s="1"/>
  <c r="AP15" i="27"/>
  <c r="AQ15" i="27" s="1"/>
  <c r="AP23" i="27"/>
  <c r="AQ23" i="27" s="1"/>
  <c r="AP16" i="27"/>
  <c r="AQ16" i="27" s="1"/>
  <c r="AP24" i="27"/>
  <c r="AP192" i="27"/>
  <c r="AP17" i="27"/>
  <c r="AQ17" i="27" s="1"/>
  <c r="AP25" i="27"/>
  <c r="AP193" i="27"/>
  <c r="AP21" i="27"/>
  <c r="AQ21" i="27" s="1"/>
  <c r="AP195" i="27"/>
  <c r="AP26" i="27"/>
  <c r="AQ26" i="27" s="1"/>
  <c r="AP196" i="27"/>
  <c r="AP27" i="27"/>
  <c r="AQ27" i="27" s="1"/>
  <c r="AP18" i="27"/>
  <c r="AQ18" i="27" s="1"/>
  <c r="AP19" i="27"/>
  <c r="AQ19" i="27" s="1"/>
  <c r="AP20" i="27"/>
  <c r="AQ20" i="27" s="1"/>
  <c r="AP194" i="27"/>
  <c r="AN117" i="27"/>
  <c r="AO117" i="27" s="1"/>
  <c r="AN118" i="27"/>
  <c r="AO118" i="27" s="1"/>
  <c r="AN160" i="27"/>
  <c r="AO160" i="27" s="1"/>
  <c r="AN119" i="27"/>
  <c r="AO119" i="27" s="1"/>
  <c r="AN161" i="27"/>
  <c r="AO161" i="27" s="1"/>
  <c r="AN114" i="27"/>
  <c r="AO114" i="27" s="1"/>
  <c r="AN115" i="27"/>
  <c r="AO115" i="27" s="1"/>
  <c r="AN116" i="27"/>
  <c r="AO116" i="27" s="1"/>
  <c r="AN165" i="27"/>
  <c r="AO165" i="27" s="1"/>
  <c r="AN103" i="27"/>
  <c r="AO103" i="27" s="1"/>
  <c r="AN127" i="27"/>
  <c r="AO127" i="27" s="1"/>
  <c r="AN104" i="27"/>
  <c r="AO104" i="27" s="1"/>
  <c r="AN128" i="27"/>
  <c r="AO128" i="27" s="1"/>
  <c r="AN105" i="27"/>
  <c r="AO105" i="27" s="1"/>
  <c r="AN129" i="27"/>
  <c r="AO129" i="27" s="1"/>
  <c r="AP57" i="27"/>
  <c r="AQ57" i="27" s="1"/>
  <c r="AP58" i="27"/>
  <c r="AQ58" i="27" s="1"/>
  <c r="AP59" i="27"/>
  <c r="AQ59" i="27" s="1"/>
  <c r="AN181" i="27"/>
  <c r="AO181" i="27" s="1"/>
  <c r="AN176" i="27"/>
  <c r="AO176" i="27" s="1"/>
  <c r="AN182" i="27"/>
  <c r="AO182" i="27" s="1"/>
  <c r="AN183" i="27"/>
  <c r="AO183" i="27" s="1"/>
  <c r="AN184" i="27"/>
  <c r="AO184" i="27" s="1"/>
  <c r="AN177" i="27"/>
  <c r="AO177" i="27" s="1"/>
  <c r="AN185" i="27"/>
  <c r="AO185" i="27" s="1"/>
  <c r="AN178" i="27"/>
  <c r="AO178" i="27" s="1"/>
  <c r="AN186" i="27"/>
  <c r="AO186" i="27" s="1"/>
  <c r="AN179" i="27"/>
  <c r="AO179" i="27" s="1"/>
  <c r="AN187" i="27"/>
  <c r="AO187" i="27" s="1"/>
  <c r="AN180" i="27"/>
  <c r="AO180" i="27" s="1"/>
  <c r="AN101" i="27"/>
  <c r="AO101" i="27" s="1"/>
  <c r="AN100" i="27"/>
  <c r="AO100" i="27" s="1"/>
  <c r="AN158" i="27"/>
  <c r="AO158" i="27" s="1"/>
  <c r="AN159" i="27"/>
  <c r="AO159" i="27" s="1"/>
  <c r="AN18" i="27"/>
  <c r="AO18" i="27" s="1"/>
  <c r="AN26" i="27"/>
  <c r="AO26" i="27" s="1"/>
  <c r="AN19" i="27"/>
  <c r="AO19" i="27" s="1"/>
  <c r="AN27" i="27"/>
  <c r="AO27" i="27" s="1"/>
  <c r="AN20" i="27"/>
  <c r="AO20" i="27" s="1"/>
  <c r="AN21" i="27"/>
  <c r="AO21" i="27" s="1"/>
  <c r="AN15" i="27"/>
  <c r="AO15" i="27" s="1"/>
  <c r="AN16" i="27"/>
  <c r="AO16" i="27" s="1"/>
  <c r="AN17" i="27"/>
  <c r="AO17" i="27" s="1"/>
  <c r="AN192" i="27"/>
  <c r="AN22" i="27"/>
  <c r="AO22" i="27" s="1"/>
  <c r="AN23" i="27"/>
  <c r="AO23" i="27" s="1"/>
  <c r="AN193" i="27"/>
  <c r="AN24" i="27"/>
  <c r="AN194" i="27"/>
  <c r="AN25" i="27"/>
  <c r="AN195" i="27"/>
  <c r="AN196" i="27"/>
  <c r="AP54" i="27"/>
  <c r="AQ54" i="27" s="1"/>
  <c r="AP55" i="27"/>
  <c r="AQ55" i="27" s="1"/>
  <c r="AP56" i="27"/>
  <c r="AQ56" i="27" s="1"/>
  <c r="AP53" i="27"/>
  <c r="D80" i="10"/>
  <c r="AP207" i="27"/>
  <c r="AQ207" i="27" s="1"/>
  <c r="AP206" i="27"/>
  <c r="AQ206" i="27" s="1"/>
  <c r="BA206" i="27" s="1"/>
  <c r="AP200" i="27"/>
  <c r="AP166" i="27"/>
  <c r="AQ166" i="27" s="1"/>
  <c r="AP167" i="27"/>
  <c r="AQ167" i="27" s="1"/>
  <c r="AP198" i="27"/>
  <c r="AQ198" i="27" s="1"/>
  <c r="BA198" i="27" s="1"/>
  <c r="AP199" i="27"/>
  <c r="AQ199" i="27" s="1"/>
  <c r="BA199" i="27" s="1"/>
  <c r="AP110" i="27"/>
  <c r="AQ110" i="27" s="1"/>
  <c r="AP150" i="27"/>
  <c r="AQ150" i="27" s="1"/>
  <c r="AP111" i="27"/>
  <c r="AQ111" i="27" s="1"/>
  <c r="AP112" i="27"/>
  <c r="AP89" i="27"/>
  <c r="AQ89" i="27" s="1"/>
  <c r="AP113" i="27"/>
  <c r="AQ113" i="27" s="1"/>
  <c r="AP109" i="27"/>
  <c r="AQ109" i="27" s="1"/>
  <c r="AP147" i="27"/>
  <c r="AQ147" i="27" s="1"/>
  <c r="AP90" i="27"/>
  <c r="AQ90" i="27" s="1"/>
  <c r="AP148" i="27"/>
  <c r="AQ148" i="27" s="1"/>
  <c r="AP91" i="27"/>
  <c r="AQ91" i="27" s="1"/>
  <c r="AP149" i="27"/>
  <c r="AQ149" i="27" s="1"/>
  <c r="AP168" i="27"/>
  <c r="AQ168" i="27" s="1"/>
  <c r="AP169" i="27"/>
  <c r="AQ169" i="27" s="1"/>
  <c r="AN53" i="27"/>
  <c r="AN54" i="27"/>
  <c r="AO54" i="27" s="1"/>
  <c r="AN55" i="27"/>
  <c r="AO55" i="27" s="1"/>
  <c r="AN56" i="27"/>
  <c r="AO56" i="27" s="1"/>
  <c r="E80" i="10"/>
  <c r="F80" i="10" s="1"/>
  <c r="AN206" i="27"/>
  <c r="AO206" i="27" s="1"/>
  <c r="AZ206" i="27" s="1"/>
  <c r="AN207" i="27"/>
  <c r="AO207" i="27" s="1"/>
  <c r="AN198" i="27"/>
  <c r="AO198" i="27" s="1"/>
  <c r="AZ198" i="27" s="1"/>
  <c r="AN199" i="27"/>
  <c r="AO199" i="27" s="1"/>
  <c r="AZ199" i="27" s="1"/>
  <c r="AN200" i="27"/>
  <c r="AN166" i="27"/>
  <c r="AO166" i="27" s="1"/>
  <c r="AN167" i="27"/>
  <c r="AO167" i="27" s="1"/>
  <c r="AN109" i="27"/>
  <c r="AO109" i="27" s="1"/>
  <c r="AN149" i="27"/>
  <c r="AO149" i="27" s="1"/>
  <c r="AN110" i="27"/>
  <c r="AO110" i="27" s="1"/>
  <c r="AN150" i="27"/>
  <c r="AO150" i="27" s="1"/>
  <c r="AN111" i="27"/>
  <c r="AO111" i="27" s="1"/>
  <c r="AN112" i="27"/>
  <c r="AN89" i="27"/>
  <c r="AO89" i="27" s="1"/>
  <c r="AN113" i="27"/>
  <c r="AO113" i="27" s="1"/>
  <c r="AN90" i="27"/>
  <c r="AO90" i="27" s="1"/>
  <c r="AN91" i="27"/>
  <c r="AO91" i="27" s="1"/>
  <c r="AN147" i="27"/>
  <c r="AO147" i="27" s="1"/>
  <c r="AN148" i="27"/>
  <c r="AO148" i="27" s="1"/>
  <c r="AN168" i="27"/>
  <c r="AO168" i="27" s="1"/>
  <c r="AN169" i="27"/>
  <c r="AO169" i="27" s="1"/>
  <c r="AN157" i="27"/>
  <c r="AO157" i="27" s="1"/>
  <c r="AN156" i="27"/>
  <c r="AO156" i="27" s="1"/>
  <c r="AN10" i="27"/>
  <c r="AO10" i="27" s="1"/>
  <c r="AN3" i="27"/>
  <c r="AO3" i="27" s="1"/>
  <c r="AN11" i="27"/>
  <c r="AO11" i="27" s="1"/>
  <c r="AN4" i="27"/>
  <c r="AO4" i="27" s="1"/>
  <c r="AN12" i="27"/>
  <c r="AO12" i="27" s="1"/>
  <c r="AN208" i="27"/>
  <c r="AO208" i="27" s="1"/>
  <c r="AZ208" i="27" s="1"/>
  <c r="AN5" i="27"/>
  <c r="AO5" i="27" s="1"/>
  <c r="AN13" i="27"/>
  <c r="AO13" i="27" s="1"/>
  <c r="AN189" i="27"/>
  <c r="AO189" i="27" s="1"/>
  <c r="AN190" i="27"/>
  <c r="AO190" i="27" s="1"/>
  <c r="AN2" i="27"/>
  <c r="AO2" i="27" s="1"/>
  <c r="AN191" i="27"/>
  <c r="AO191" i="27" s="1"/>
  <c r="AN6" i="27"/>
  <c r="AO6" i="27" s="1"/>
  <c r="AN7" i="27"/>
  <c r="AO7" i="27" s="1"/>
  <c r="AN8" i="27"/>
  <c r="AO8" i="27" s="1"/>
  <c r="AN9" i="27"/>
  <c r="AO9" i="27" s="1"/>
  <c r="AN14" i="27"/>
  <c r="AO14" i="27" s="1"/>
  <c r="AN188" i="27"/>
  <c r="AO188" i="27" s="1"/>
  <c r="AP201" i="27"/>
  <c r="AP30" i="27"/>
  <c r="AQ30" i="27" s="1"/>
  <c r="AP38" i="27"/>
  <c r="AQ38" i="27" s="1"/>
  <c r="AP202" i="27"/>
  <c r="AQ202" i="27" s="1"/>
  <c r="AP31" i="27"/>
  <c r="AQ31" i="27" s="1"/>
  <c r="AP39" i="27"/>
  <c r="AQ39" i="27" s="1"/>
  <c r="AP203" i="27"/>
  <c r="AQ203" i="27" s="1"/>
  <c r="AP32" i="27"/>
  <c r="AQ32" i="27" s="1"/>
  <c r="AP40" i="27"/>
  <c r="AQ40" i="27" s="1"/>
  <c r="AP204" i="27"/>
  <c r="AP33" i="27"/>
  <c r="AQ33" i="27" s="1"/>
  <c r="AP41" i="27"/>
  <c r="AQ41" i="27" s="1"/>
  <c r="AP205" i="27"/>
  <c r="AP37" i="27"/>
  <c r="AQ37" i="27" s="1"/>
  <c r="AP42" i="27"/>
  <c r="AQ42" i="27" s="1"/>
  <c r="AP43" i="27"/>
  <c r="AQ43" i="27" s="1"/>
  <c r="AP44" i="27"/>
  <c r="AQ44" i="27" s="1"/>
  <c r="AP29" i="27"/>
  <c r="AQ29" i="27" s="1"/>
  <c r="AP34" i="27"/>
  <c r="AQ34" i="27" s="1"/>
  <c r="AP35" i="27"/>
  <c r="AQ35" i="27" s="1"/>
  <c r="AP36" i="27"/>
  <c r="AQ36" i="27" s="1"/>
  <c r="AP70" i="27"/>
  <c r="AQ70" i="27" s="1"/>
  <c r="AP71" i="27"/>
  <c r="AQ71" i="27" s="1"/>
  <c r="AP72" i="27"/>
  <c r="AQ72" i="27" s="1"/>
  <c r="AP73" i="27"/>
  <c r="AQ73" i="27" s="1"/>
  <c r="AP81" i="27"/>
  <c r="AQ81" i="27" s="1"/>
  <c r="AP69" i="27"/>
  <c r="AQ69" i="27" s="1"/>
  <c r="AP74" i="27"/>
  <c r="AQ74" i="27" s="1"/>
  <c r="AP171" i="27"/>
  <c r="AP172" i="27"/>
  <c r="AP68" i="27"/>
  <c r="AQ68" i="27" s="1"/>
  <c r="AP120" i="27"/>
  <c r="AQ120" i="27" s="1"/>
  <c r="AP121" i="27"/>
  <c r="AQ121" i="27" s="1"/>
  <c r="AP143" i="27"/>
  <c r="AQ143" i="27" s="1"/>
  <c r="AP144" i="27"/>
  <c r="AQ144" i="27" s="1"/>
  <c r="AP145" i="27"/>
  <c r="AQ145" i="27" s="1"/>
  <c r="AP197" i="27"/>
  <c r="AP154" i="27"/>
  <c r="AP146" i="27"/>
  <c r="AQ146" i="27" s="1"/>
  <c r="AP155" i="27"/>
  <c r="AQ155" i="27" s="1"/>
  <c r="AN125" i="27"/>
  <c r="AO125" i="27" s="1"/>
  <c r="AN62" i="27"/>
  <c r="AO62" i="27" s="1"/>
  <c r="AN94" i="27"/>
  <c r="AO94" i="27" s="1"/>
  <c r="AN126" i="27"/>
  <c r="AO126" i="27" s="1"/>
  <c r="AN63" i="27"/>
  <c r="AO63" i="27" s="1"/>
  <c r="AN135" i="27"/>
  <c r="AO135" i="27" s="1"/>
  <c r="AN175" i="27"/>
  <c r="AN64" i="27"/>
  <c r="AO64" i="27" s="1"/>
  <c r="AN136" i="27"/>
  <c r="AO136" i="27" s="1"/>
  <c r="AN65" i="27"/>
  <c r="AO65" i="27" s="1"/>
  <c r="AN137" i="27"/>
  <c r="AO137" i="27" s="1"/>
  <c r="AN66" i="27"/>
  <c r="AO66" i="27" s="1"/>
  <c r="AN138" i="27"/>
  <c r="AO138" i="27" s="1"/>
  <c r="AN67" i="27"/>
  <c r="AO67" i="27" s="1"/>
  <c r="AN60" i="27"/>
  <c r="AO60" i="27" s="1"/>
  <c r="AN97" i="27"/>
  <c r="AO97" i="27" s="1"/>
  <c r="AN98" i="27"/>
  <c r="AO98" i="27" s="1"/>
  <c r="AP156" i="27"/>
  <c r="AQ156" i="27" s="1"/>
  <c r="AP157" i="27"/>
  <c r="AQ157" i="27" s="1"/>
  <c r="AP6" i="27"/>
  <c r="AQ6" i="27" s="1"/>
  <c r="AP14" i="27"/>
  <c r="AQ14" i="27" s="1"/>
  <c r="AP190" i="27"/>
  <c r="AQ190" i="27" s="1"/>
  <c r="AP2" i="27"/>
  <c r="AQ2" i="27" s="1"/>
  <c r="AP7" i="27"/>
  <c r="AQ7" i="27" s="1"/>
  <c r="AP191" i="27"/>
  <c r="AQ191" i="27" s="1"/>
  <c r="AP8" i="27"/>
  <c r="AQ8" i="27" s="1"/>
  <c r="AP9" i="27"/>
  <c r="AQ9" i="27" s="1"/>
  <c r="AP208" i="27"/>
  <c r="AQ208" i="27" s="1"/>
  <c r="BA208" i="27" s="1"/>
  <c r="AP5" i="27"/>
  <c r="AQ5" i="27" s="1"/>
  <c r="AP10" i="27"/>
  <c r="AQ10" i="27" s="1"/>
  <c r="AP11" i="27"/>
  <c r="AQ11" i="27" s="1"/>
  <c r="AP12" i="27"/>
  <c r="AQ12" i="27" s="1"/>
  <c r="AP13" i="27"/>
  <c r="AQ13" i="27" s="1"/>
  <c r="AP188" i="27"/>
  <c r="AQ188" i="27" s="1"/>
  <c r="AP3" i="27"/>
  <c r="AQ3" i="27" s="1"/>
  <c r="AP189" i="27"/>
  <c r="AQ189" i="27" s="1"/>
  <c r="AP4" i="27"/>
  <c r="AQ4" i="27" s="1"/>
  <c r="AN203" i="27"/>
  <c r="AO203" i="27" s="1"/>
  <c r="AN204" i="27"/>
  <c r="AN205" i="27"/>
  <c r="AN201" i="27"/>
  <c r="AN202" i="27"/>
  <c r="AO202" i="27" s="1"/>
  <c r="AN29" i="27"/>
  <c r="AO29" i="27" s="1"/>
  <c r="AN37" i="27"/>
  <c r="AO37" i="27" s="1"/>
  <c r="AN30" i="27"/>
  <c r="AO30" i="27" s="1"/>
  <c r="AN38" i="27"/>
  <c r="AO38" i="27" s="1"/>
  <c r="AN31" i="27"/>
  <c r="AO31" i="27" s="1"/>
  <c r="AN39" i="27"/>
  <c r="AO39" i="27" s="1"/>
  <c r="AN32" i="27"/>
  <c r="AO32" i="27" s="1"/>
  <c r="AN40" i="27"/>
  <c r="AO40" i="27" s="1"/>
  <c r="AN33" i="27"/>
  <c r="AO33" i="27" s="1"/>
  <c r="AN41" i="27"/>
  <c r="AO41" i="27" s="1"/>
  <c r="AN34" i="27"/>
  <c r="AO34" i="27" s="1"/>
  <c r="AN42" i="27"/>
  <c r="AO42" i="27" s="1"/>
  <c r="AN35" i="27"/>
  <c r="AO35" i="27" s="1"/>
  <c r="AN43" i="27"/>
  <c r="AO43" i="27" s="1"/>
  <c r="AN36" i="27"/>
  <c r="AO36" i="27" s="1"/>
  <c r="AN44" i="27"/>
  <c r="AO44" i="27" s="1"/>
  <c r="AN69" i="27"/>
  <c r="AO69" i="27" s="1"/>
  <c r="AN70" i="27"/>
  <c r="AO70" i="27" s="1"/>
  <c r="AN71" i="27"/>
  <c r="AO71" i="27" s="1"/>
  <c r="AN72" i="27"/>
  <c r="AO72" i="27" s="1"/>
  <c r="AN73" i="27"/>
  <c r="AO73" i="27" s="1"/>
  <c r="AN81" i="27"/>
  <c r="AO81" i="27" s="1"/>
  <c r="AN74" i="27"/>
  <c r="AO74" i="27" s="1"/>
  <c r="AN171" i="27"/>
  <c r="AN68" i="27"/>
  <c r="AO68" i="27" s="1"/>
  <c r="AN172" i="27"/>
  <c r="AN120" i="27"/>
  <c r="AO120" i="27" s="1"/>
  <c r="AN121" i="27"/>
  <c r="AO121" i="27" s="1"/>
  <c r="AN197" i="27"/>
  <c r="AN143" i="27"/>
  <c r="AO143" i="27" s="1"/>
  <c r="AN144" i="27"/>
  <c r="AO144" i="27" s="1"/>
  <c r="AN145" i="27"/>
  <c r="AO145" i="27" s="1"/>
  <c r="AN146" i="27"/>
  <c r="AO146" i="27" s="1"/>
  <c r="AN154" i="27"/>
  <c r="AN155" i="27"/>
  <c r="AO155" i="27" s="1"/>
  <c r="AP62" i="27"/>
  <c r="AQ62" i="27" s="1"/>
  <c r="AP94" i="27"/>
  <c r="AQ94" i="27" s="1"/>
  <c r="AP126" i="27"/>
  <c r="AQ126" i="27" s="1"/>
  <c r="AP63" i="27"/>
  <c r="AQ63" i="27" s="1"/>
  <c r="AP135" i="27"/>
  <c r="AQ135" i="27" s="1"/>
  <c r="AP175" i="27"/>
  <c r="AP64" i="27"/>
  <c r="AQ64" i="27" s="1"/>
  <c r="AP136" i="27"/>
  <c r="AQ136" i="27" s="1"/>
  <c r="AP65" i="27"/>
  <c r="AQ65" i="27" s="1"/>
  <c r="AP137" i="27"/>
  <c r="AQ137" i="27" s="1"/>
  <c r="AP138" i="27"/>
  <c r="AQ138" i="27" s="1"/>
  <c r="AP125" i="27"/>
  <c r="AQ125" i="27" s="1"/>
  <c r="AP60" i="27"/>
  <c r="AQ60" i="27" s="1"/>
  <c r="AP66" i="27"/>
  <c r="AQ66" i="27" s="1"/>
  <c r="AP67" i="27"/>
  <c r="AQ67" i="27" s="1"/>
  <c r="AP97" i="27"/>
  <c r="AQ97" i="27" s="1"/>
  <c r="AP98" i="27"/>
  <c r="AQ98" i="27" s="1"/>
  <c r="AP92" i="27"/>
  <c r="AQ92" i="27" s="1"/>
  <c r="AP93" i="27"/>
  <c r="AQ93" i="27" s="1"/>
  <c r="AP142" i="27"/>
  <c r="AQ142" i="27" s="1"/>
  <c r="AP95" i="27"/>
  <c r="AQ95" i="27" s="1"/>
  <c r="AP96" i="27"/>
  <c r="AQ96" i="27" s="1"/>
  <c r="AP107" i="27"/>
  <c r="AQ107" i="27" s="1"/>
  <c r="AP123" i="27"/>
  <c r="AQ123" i="27" s="1"/>
  <c r="AP163" i="27"/>
  <c r="AQ163" i="27" s="1"/>
  <c r="AP108" i="27"/>
  <c r="AQ108" i="27" s="1"/>
  <c r="AP124" i="27"/>
  <c r="AP139" i="27"/>
  <c r="AQ139" i="27" s="1"/>
  <c r="AP164" i="27"/>
  <c r="AQ164" i="27" s="1"/>
  <c r="AP140" i="27"/>
  <c r="AQ140" i="27" s="1"/>
  <c r="AP209" i="27"/>
  <c r="AQ209" i="27" s="1"/>
  <c r="AP130" i="27"/>
  <c r="AQ130" i="27" s="1"/>
  <c r="AP141" i="27"/>
  <c r="AQ141" i="27" s="1"/>
  <c r="AP170" i="27"/>
  <c r="AP106" i="27"/>
  <c r="AQ106" i="27" s="1"/>
  <c r="AP122" i="27"/>
  <c r="AQ122" i="27" s="1"/>
  <c r="AP162" i="27"/>
  <c r="AQ162" i="27" s="1"/>
  <c r="AP46" i="27"/>
  <c r="AQ46" i="27" s="1"/>
  <c r="AP174" i="27"/>
  <c r="AQ174" i="27" s="1"/>
  <c r="AP47" i="27"/>
  <c r="AQ47" i="27" s="1"/>
  <c r="AP48" i="27"/>
  <c r="AQ48" i="27" s="1"/>
  <c r="AP49" i="27"/>
  <c r="AQ49" i="27" s="1"/>
  <c r="AP45" i="27"/>
  <c r="AQ45" i="27" s="1"/>
  <c r="AP50" i="27"/>
  <c r="AQ50" i="27" s="1"/>
  <c r="AP51" i="27"/>
  <c r="AQ51" i="27" s="1"/>
  <c r="AP173" i="27"/>
  <c r="AQ173" i="27" s="1"/>
  <c r="AP52" i="27"/>
  <c r="AQ52" i="27" s="1"/>
  <c r="AP82" i="27"/>
  <c r="AQ82" i="27" s="1"/>
  <c r="AP83" i="27"/>
  <c r="AQ83" i="27" s="1"/>
  <c r="AP84" i="27"/>
  <c r="AQ84" i="27" s="1"/>
  <c r="AP85" i="27"/>
  <c r="AQ85" i="27" s="1"/>
  <c r="AP99" i="27"/>
  <c r="AQ99" i="27" s="1"/>
  <c r="BA61" i="27"/>
  <c r="D72" i="10"/>
  <c r="D90" i="10"/>
  <c r="D45" i="10"/>
  <c r="D43" i="10"/>
  <c r="D56" i="10"/>
  <c r="E72" i="10"/>
  <c r="E90" i="10"/>
  <c r="E45" i="10"/>
  <c r="E43" i="10"/>
  <c r="E56" i="10"/>
  <c r="D62" i="10"/>
  <c r="D89" i="10"/>
  <c r="D73" i="10"/>
  <c r="D4" i="10"/>
  <c r="E62" i="10"/>
  <c r="E89" i="10"/>
  <c r="E73" i="10"/>
  <c r="E4" i="10"/>
  <c r="E30" i="10"/>
  <c r="D31" i="10"/>
  <c r="E22" i="10"/>
  <c r="W40" i="13" s="1"/>
  <c r="X40" i="13" s="1"/>
  <c r="D44" i="10"/>
  <c r="D86" i="10"/>
  <c r="D87" i="10"/>
  <c r="D36" i="10"/>
  <c r="D60" i="10"/>
  <c r="E14" i="10"/>
  <c r="E34" i="10"/>
  <c r="D30" i="10"/>
  <c r="E31" i="10"/>
  <c r="D22" i="10"/>
  <c r="E44" i="10"/>
  <c r="E86" i="10"/>
  <c r="E87" i="10"/>
  <c r="E36" i="10"/>
  <c r="E60" i="10"/>
  <c r="D14" i="10"/>
  <c r="D34" i="10"/>
  <c r="D23" i="10"/>
  <c r="D74" i="10"/>
  <c r="D49" i="10"/>
  <c r="E23" i="10"/>
  <c r="E74" i="10"/>
  <c r="E49" i="10"/>
  <c r="C17" i="27"/>
  <c r="BM152" i="7"/>
  <c r="BM151" i="7"/>
  <c r="BM79" i="7"/>
  <c r="BB144" i="7"/>
  <c r="BL144" i="7" s="1"/>
  <c r="BD144" i="7"/>
  <c r="BK144" i="7" s="1"/>
  <c r="BB34" i="7"/>
  <c r="BD34" i="7"/>
  <c r="BB58" i="7"/>
  <c r="BL58" i="7" s="1"/>
  <c r="BD58" i="7"/>
  <c r="BK58" i="7" s="1"/>
  <c r="BD62" i="7"/>
  <c r="BK62" i="7" s="1"/>
  <c r="BB62" i="7"/>
  <c r="BL62" i="7" s="1"/>
  <c r="BB32" i="7"/>
  <c r="BD32" i="7"/>
  <c r="BB15" i="7"/>
  <c r="BL15" i="7" s="1"/>
  <c r="BD15" i="7"/>
  <c r="BK15" i="7" s="1"/>
  <c r="BB80" i="7"/>
  <c r="BL80" i="7" s="1"/>
  <c r="BD80" i="7"/>
  <c r="BK80" i="7" s="1"/>
  <c r="BB48" i="7"/>
  <c r="BL48" i="7" s="1"/>
  <c r="BD48" i="7"/>
  <c r="BK48" i="7" s="1"/>
  <c r="BB82" i="7"/>
  <c r="BL82" i="7" s="1"/>
  <c r="BD82" i="7"/>
  <c r="BK82" i="7" s="1"/>
  <c r="BB73" i="7"/>
  <c r="BL73" i="7" s="1"/>
  <c r="BD73" i="7"/>
  <c r="BK73" i="7" s="1"/>
  <c r="BB57" i="7"/>
  <c r="BL57" i="7" s="1"/>
  <c r="BD57" i="7"/>
  <c r="BK57" i="7" s="1"/>
  <c r="BB72" i="7"/>
  <c r="BL72" i="7" s="1"/>
  <c r="BD72" i="7"/>
  <c r="BK72" i="7" s="1"/>
  <c r="BB47" i="7"/>
  <c r="BL47" i="7" s="1"/>
  <c r="BD47" i="7"/>
  <c r="BK47" i="7" s="1"/>
  <c r="BB71" i="7"/>
  <c r="BL71" i="7" s="1"/>
  <c r="BD71" i="7"/>
  <c r="BK71" i="7" s="1"/>
  <c r="BB2" i="7"/>
  <c r="BD2" i="7"/>
  <c r="BD12" i="7"/>
  <c r="BK12" i="7" s="1"/>
  <c r="BB12" i="7"/>
  <c r="BL12" i="7" s="1"/>
  <c r="BD85" i="7"/>
  <c r="BK85" i="7" s="1"/>
  <c r="BB85" i="7"/>
  <c r="BL85" i="7" s="1"/>
  <c r="BD43" i="7"/>
  <c r="BB43" i="7"/>
  <c r="BD142" i="7"/>
  <c r="BK142" i="7" s="1"/>
  <c r="BB142" i="7"/>
  <c r="BL142" i="7" s="1"/>
  <c r="BB104" i="7"/>
  <c r="BD104" i="7"/>
  <c r="BD77" i="7"/>
  <c r="BK77" i="7" s="1"/>
  <c r="BB77" i="7"/>
  <c r="BL77" i="7" s="1"/>
  <c r="BB39" i="7"/>
  <c r="BD39" i="7"/>
  <c r="BD117" i="7"/>
  <c r="BK117" i="7" s="1"/>
  <c r="BB117" i="7"/>
  <c r="BL117" i="7" s="1"/>
  <c r="BD21" i="7"/>
  <c r="BB21" i="7"/>
  <c r="BB64" i="7"/>
  <c r="BL64" i="7" s="1"/>
  <c r="BD64" i="7"/>
  <c r="BK64" i="7" s="1"/>
  <c r="BD139" i="7"/>
  <c r="BK139" i="7" s="1"/>
  <c r="BB139" i="7"/>
  <c r="BL139" i="7" s="1"/>
  <c r="BB130" i="7"/>
  <c r="BL130" i="7" s="1"/>
  <c r="BD130" i="7"/>
  <c r="BK130" i="7" s="1"/>
  <c r="BD124" i="7"/>
  <c r="BB124" i="7"/>
  <c r="BD140" i="7"/>
  <c r="BK140" i="7" s="1"/>
  <c r="BB140" i="7"/>
  <c r="BL140" i="7" s="1"/>
  <c r="BB50" i="7"/>
  <c r="BL50" i="7" s="1"/>
  <c r="BD50" i="7"/>
  <c r="BK50" i="7" s="1"/>
  <c r="BD46" i="7"/>
  <c r="BK46" i="7" s="1"/>
  <c r="BB46" i="7"/>
  <c r="BL46" i="7" s="1"/>
  <c r="BB119" i="7"/>
  <c r="BL119" i="7" s="1"/>
  <c r="BD119" i="7"/>
  <c r="BK119" i="7" s="1"/>
  <c r="BB16" i="7"/>
  <c r="BL16" i="7" s="1"/>
  <c r="BD16" i="7"/>
  <c r="BK16" i="7" s="1"/>
  <c r="BD61" i="7"/>
  <c r="BK61" i="7" s="1"/>
  <c r="BB61" i="7"/>
  <c r="BL61" i="7" s="1"/>
  <c r="BD36" i="7"/>
  <c r="BK36" i="7" s="1"/>
  <c r="BB36" i="7"/>
  <c r="BL36" i="7" s="1"/>
  <c r="BB65" i="7"/>
  <c r="BL65" i="7" s="1"/>
  <c r="BD65" i="7"/>
  <c r="BK65" i="7" s="1"/>
  <c r="BD75" i="7"/>
  <c r="BK75" i="7" s="1"/>
  <c r="BB75" i="7"/>
  <c r="BL75" i="7" s="1"/>
  <c r="BB18" i="7"/>
  <c r="BL18" i="7" s="1"/>
  <c r="BD18" i="7"/>
  <c r="BK18" i="7" s="1"/>
  <c r="BB10" i="7"/>
  <c r="BL10" i="7" s="1"/>
  <c r="BD10" i="7"/>
  <c r="BK10" i="7" s="1"/>
  <c r="BB145" i="7"/>
  <c r="BL145" i="7" s="1"/>
  <c r="BD145" i="7"/>
  <c r="BK145" i="7" s="1"/>
  <c r="BB97" i="7"/>
  <c r="BL97" i="7" s="1"/>
  <c r="BD97" i="7"/>
  <c r="BK97" i="7" s="1"/>
  <c r="BB90" i="7"/>
  <c r="BL90" i="7" s="1"/>
  <c r="BD90" i="7"/>
  <c r="BK90" i="7" s="1"/>
  <c r="BB128" i="7"/>
  <c r="BL128" i="7" s="1"/>
  <c r="BD128" i="7"/>
  <c r="BK128" i="7" s="1"/>
  <c r="BD93" i="7"/>
  <c r="BK93" i="7" s="1"/>
  <c r="BB93" i="7"/>
  <c r="BL93" i="7" s="1"/>
  <c r="BD150" i="7"/>
  <c r="BK150" i="7" s="1"/>
  <c r="BB150" i="7"/>
  <c r="BL150" i="7" s="1"/>
  <c r="BD13" i="7"/>
  <c r="BK13" i="7" s="1"/>
  <c r="BB13" i="7"/>
  <c r="BL13" i="7" s="1"/>
  <c r="BB138" i="7"/>
  <c r="BL138" i="7" s="1"/>
  <c r="BD138" i="7"/>
  <c r="BK138" i="7" s="1"/>
  <c r="BD60" i="7"/>
  <c r="BK60" i="7" s="1"/>
  <c r="BB60" i="7"/>
  <c r="BL60" i="7" s="1"/>
  <c r="BD116" i="7"/>
  <c r="BK116" i="7" s="1"/>
  <c r="BB116" i="7"/>
  <c r="BL116" i="7" s="1"/>
  <c r="BD14" i="7"/>
  <c r="BK14" i="7" s="1"/>
  <c r="BB14" i="7"/>
  <c r="BL14" i="7" s="1"/>
  <c r="BD102" i="7"/>
  <c r="BK102" i="7" s="1"/>
  <c r="BB102" i="7"/>
  <c r="BL102" i="7" s="1"/>
  <c r="BB74" i="7"/>
  <c r="BL74" i="7" s="1"/>
  <c r="BD74" i="7"/>
  <c r="BK74" i="7" s="1"/>
  <c r="BD4" i="7"/>
  <c r="BK4" i="7" s="1"/>
  <c r="BB4" i="7"/>
  <c r="BL4" i="7" s="1"/>
  <c r="BD45" i="7"/>
  <c r="BK45" i="7" s="1"/>
  <c r="BB45" i="7"/>
  <c r="BL45" i="7" s="1"/>
  <c r="BD19" i="7"/>
  <c r="BB19" i="7"/>
  <c r="BB33" i="7"/>
  <c r="BD33" i="7"/>
  <c r="BD100" i="7"/>
  <c r="BK100" i="7" s="1"/>
  <c r="BB100" i="7"/>
  <c r="BL100" i="7" s="1"/>
  <c r="BD28" i="7"/>
  <c r="BK28" i="7" s="1"/>
  <c r="BB28" i="7"/>
  <c r="BL28" i="7" s="1"/>
  <c r="BD86" i="7"/>
  <c r="BK86" i="7" s="1"/>
  <c r="BB86" i="7"/>
  <c r="BL86" i="7" s="1"/>
  <c r="BD125" i="7"/>
  <c r="BK125" i="7" s="1"/>
  <c r="BB125" i="7"/>
  <c r="BL125" i="7" s="1"/>
  <c r="BD133" i="7"/>
  <c r="BK133" i="7" s="1"/>
  <c r="BB133" i="7"/>
  <c r="BL133" i="7" s="1"/>
  <c r="BD123" i="7"/>
  <c r="BK123" i="7" s="1"/>
  <c r="BB123" i="7"/>
  <c r="BL123" i="7" s="1"/>
  <c r="BB137" i="7"/>
  <c r="BL137" i="7" s="1"/>
  <c r="BD137" i="7"/>
  <c r="BK137" i="7" s="1"/>
  <c r="BD126" i="7"/>
  <c r="BK126" i="7" s="1"/>
  <c r="BB126" i="7"/>
  <c r="BL126" i="7" s="1"/>
  <c r="BB88" i="7"/>
  <c r="BL88" i="7" s="1"/>
  <c r="BD88" i="7"/>
  <c r="BK88" i="7" s="1"/>
  <c r="BD30" i="7"/>
  <c r="BB30" i="7"/>
  <c r="BD22" i="7"/>
  <c r="BK22" i="7" s="1"/>
  <c r="BB22" i="7"/>
  <c r="BL22" i="7" s="1"/>
  <c r="BD91" i="7"/>
  <c r="BK91" i="7" s="1"/>
  <c r="BB91" i="7"/>
  <c r="BL91" i="7" s="1"/>
  <c r="BD59" i="7"/>
  <c r="BK59" i="7" s="1"/>
  <c r="BB59" i="7"/>
  <c r="BL59" i="7" s="1"/>
  <c r="BB31" i="7"/>
  <c r="BD31" i="7"/>
  <c r="BD3" i="7"/>
  <c r="BB3" i="7"/>
  <c r="BD44" i="7"/>
  <c r="BB44" i="7"/>
  <c r="BB26" i="7"/>
  <c r="BD26" i="7"/>
  <c r="BD76" i="7"/>
  <c r="BK76" i="7" s="1"/>
  <c r="BB76" i="7"/>
  <c r="BL76" i="7" s="1"/>
  <c r="BD5" i="7"/>
  <c r="BK5" i="7" s="1"/>
  <c r="BB5" i="7"/>
  <c r="BL5" i="7" s="1"/>
  <c r="BB136" i="7"/>
  <c r="BL136" i="7" s="1"/>
  <c r="BD136" i="7"/>
  <c r="BK136" i="7" s="1"/>
  <c r="BB63" i="7"/>
  <c r="BL63" i="7" s="1"/>
  <c r="BD63" i="7"/>
  <c r="BK63" i="7" s="1"/>
  <c r="BD70" i="7"/>
  <c r="BK70" i="7" s="1"/>
  <c r="BB70" i="7"/>
  <c r="BL70" i="7" s="1"/>
  <c r="BD148" i="7"/>
  <c r="BK148" i="7" s="1"/>
  <c r="BB148" i="7"/>
  <c r="BL148" i="7" s="1"/>
  <c r="BD84" i="7"/>
  <c r="BK84" i="7" s="1"/>
  <c r="BB84" i="7"/>
  <c r="BL84" i="7" s="1"/>
  <c r="BD52" i="7"/>
  <c r="BB52" i="7"/>
  <c r="BB89" i="7"/>
  <c r="BL89" i="7" s="1"/>
  <c r="BD89" i="7"/>
  <c r="BK89" i="7" s="1"/>
  <c r="BD54" i="7"/>
  <c r="BK54" i="7" s="1"/>
  <c r="BB54" i="7"/>
  <c r="BL54" i="7" s="1"/>
  <c r="BB66" i="7"/>
  <c r="BL66" i="7" s="1"/>
  <c r="BD66" i="7"/>
  <c r="BK66" i="7" s="1"/>
  <c r="BB106" i="7"/>
  <c r="BD106" i="7"/>
  <c r="BD134" i="7"/>
  <c r="BK134" i="7" s="1"/>
  <c r="BB134" i="7"/>
  <c r="BL134" i="7" s="1"/>
  <c r="BB95" i="7"/>
  <c r="BL95" i="7" s="1"/>
  <c r="BD95" i="7"/>
  <c r="BK95" i="7" s="1"/>
  <c r="BB17" i="7"/>
  <c r="BD17" i="7"/>
  <c r="BB40" i="7"/>
  <c r="BD40" i="7"/>
  <c r="BB49" i="7"/>
  <c r="BL49" i="7" s="1"/>
  <c r="BD49" i="7"/>
  <c r="BK49" i="7" s="1"/>
  <c r="BB129" i="7"/>
  <c r="BL129" i="7" s="1"/>
  <c r="BD129" i="7"/>
  <c r="BK129" i="7" s="1"/>
  <c r="BD68" i="7"/>
  <c r="BK68" i="7" s="1"/>
  <c r="BB68" i="7"/>
  <c r="BL68" i="7" s="1"/>
  <c r="BB7" i="7"/>
  <c r="BL7" i="7" s="1"/>
  <c r="BD7" i="7"/>
  <c r="BK7" i="7" s="1"/>
  <c r="BD101" i="7"/>
  <c r="BK101" i="7" s="1"/>
  <c r="BB101" i="7"/>
  <c r="BL101" i="7" s="1"/>
  <c r="BB111" i="7"/>
  <c r="BL111" i="7" s="1"/>
  <c r="BD111" i="7"/>
  <c r="BK111" i="7" s="1"/>
  <c r="BD37" i="7"/>
  <c r="BB37" i="7"/>
  <c r="BD67" i="7"/>
  <c r="BK67" i="7" s="1"/>
  <c r="BB67" i="7"/>
  <c r="BL67" i="7" s="1"/>
  <c r="BD69" i="7"/>
  <c r="BK69" i="7" s="1"/>
  <c r="BB69" i="7"/>
  <c r="BL69" i="7" s="1"/>
  <c r="BD92" i="7"/>
  <c r="BK92" i="7" s="1"/>
  <c r="BB92" i="7"/>
  <c r="BL92" i="7" s="1"/>
  <c r="BB135" i="7"/>
  <c r="BL135" i="7" s="1"/>
  <c r="BD135" i="7"/>
  <c r="BK135" i="7" s="1"/>
  <c r="BD99" i="7"/>
  <c r="BK99" i="7" s="1"/>
  <c r="BB99" i="7"/>
  <c r="BL99" i="7" s="1"/>
  <c r="BB96" i="7"/>
  <c r="BL96" i="7" s="1"/>
  <c r="BD96" i="7"/>
  <c r="BK96" i="7" s="1"/>
  <c r="BD118" i="7"/>
  <c r="BB118" i="7"/>
  <c r="BD109" i="7"/>
  <c r="BK109" i="7" s="1"/>
  <c r="BB109" i="7"/>
  <c r="BL109" i="7" s="1"/>
  <c r="BD83" i="7"/>
  <c r="BK83" i="7" s="1"/>
  <c r="BB83" i="7"/>
  <c r="BL83" i="7" s="1"/>
  <c r="BB127" i="7"/>
  <c r="BL127" i="7" s="1"/>
  <c r="BD127" i="7"/>
  <c r="BK127" i="7" s="1"/>
  <c r="BB42" i="7"/>
  <c r="BD42" i="7"/>
  <c r="BD27" i="7"/>
  <c r="BB27" i="7"/>
  <c r="BD78" i="7"/>
  <c r="BK78" i="7" s="1"/>
  <c r="BB78" i="7"/>
  <c r="BL78" i="7" s="1"/>
  <c r="BB41" i="7"/>
  <c r="BD41" i="7"/>
  <c r="BD131" i="7"/>
  <c r="BK131" i="7" s="1"/>
  <c r="BB131" i="7"/>
  <c r="BL131" i="7" s="1"/>
  <c r="BB81" i="7"/>
  <c r="BL81" i="7" s="1"/>
  <c r="BD81" i="7"/>
  <c r="BK81" i="7" s="1"/>
  <c r="BB23" i="7"/>
  <c r="BL23" i="7" s="1"/>
  <c r="BD23" i="7"/>
  <c r="BK23" i="7" s="1"/>
  <c r="BB120" i="7"/>
  <c r="BL120" i="7" s="1"/>
  <c r="BD120" i="7"/>
  <c r="BK120" i="7" s="1"/>
  <c r="BB87" i="7"/>
  <c r="BL87" i="7" s="1"/>
  <c r="BD87" i="7"/>
  <c r="BK87" i="7" s="1"/>
  <c r="BB8" i="7"/>
  <c r="BD8" i="7"/>
  <c r="BD141" i="7"/>
  <c r="BK141" i="7" s="1"/>
  <c r="BB141" i="7"/>
  <c r="BL141" i="7" s="1"/>
  <c r="BB114" i="7"/>
  <c r="BL114" i="7" s="1"/>
  <c r="BD114" i="7"/>
  <c r="BK114" i="7" s="1"/>
  <c r="BD20" i="7"/>
  <c r="BB20" i="7"/>
  <c r="BD51" i="7"/>
  <c r="BK51" i="7" s="1"/>
  <c r="BB51" i="7"/>
  <c r="BL51" i="7" s="1"/>
  <c r="BD108" i="7"/>
  <c r="BK108" i="7" s="1"/>
  <c r="BB108" i="7"/>
  <c r="BL108" i="7" s="1"/>
  <c r="BD132" i="7"/>
  <c r="BK132" i="7" s="1"/>
  <c r="BB132" i="7"/>
  <c r="BL132" i="7" s="1"/>
  <c r="BB9" i="7"/>
  <c r="BD9" i="7"/>
  <c r="BD110" i="7"/>
  <c r="BK110" i="7" s="1"/>
  <c r="BB110" i="7"/>
  <c r="BL110" i="7" s="1"/>
  <c r="BD29" i="7"/>
  <c r="BB29" i="7"/>
  <c r="BD94" i="7"/>
  <c r="BK94" i="7" s="1"/>
  <c r="BB94" i="7"/>
  <c r="BL94" i="7" s="1"/>
  <c r="BD38" i="7"/>
  <c r="BB38" i="7"/>
  <c r="BD115" i="7"/>
  <c r="BK115" i="7" s="1"/>
  <c r="BB115" i="7"/>
  <c r="BL115" i="7" s="1"/>
  <c r="BD6" i="7"/>
  <c r="BK6" i="7" s="1"/>
  <c r="BB6" i="7"/>
  <c r="BL6" i="7" s="1"/>
  <c r="BD147" i="7"/>
  <c r="BK147" i="7" s="1"/>
  <c r="BB147" i="7"/>
  <c r="BL147" i="7" s="1"/>
  <c r="BB55" i="7"/>
  <c r="BL55" i="7" s="1"/>
  <c r="BD55" i="7"/>
  <c r="BK55" i="7" s="1"/>
  <c r="BB122" i="7"/>
  <c r="BL122" i="7" s="1"/>
  <c r="BD122" i="7"/>
  <c r="BK122" i="7" s="1"/>
  <c r="BB146" i="7"/>
  <c r="BL146" i="7" s="1"/>
  <c r="BD146" i="7"/>
  <c r="BK146" i="7" s="1"/>
  <c r="BB98" i="7"/>
  <c r="BL98" i="7" s="1"/>
  <c r="BD98" i="7"/>
  <c r="BK98" i="7" s="1"/>
  <c r="BD35" i="7"/>
  <c r="BK35" i="7" s="1"/>
  <c r="BB35" i="7"/>
  <c r="BL35" i="7" s="1"/>
  <c r="BB56" i="7"/>
  <c r="BL56" i="7" s="1"/>
  <c r="BD56" i="7"/>
  <c r="BK56" i="7" s="1"/>
  <c r="BD149" i="7"/>
  <c r="BK149" i="7" s="1"/>
  <c r="BB149" i="7"/>
  <c r="BL149" i="7" s="1"/>
  <c r="BB143" i="7"/>
  <c r="BL143" i="7" s="1"/>
  <c r="BD143" i="7"/>
  <c r="BK143" i="7" s="1"/>
  <c r="I10" i="14"/>
  <c r="H10" i="14"/>
  <c r="J10" i="14" s="1"/>
  <c r="E10" i="14"/>
  <c r="G10" i="14" s="1"/>
  <c r="F10" i="14"/>
  <c r="Q8" i="14"/>
  <c r="P8" i="14"/>
  <c r="O8" i="14"/>
  <c r="R8" i="14" s="1"/>
  <c r="T8" i="14"/>
  <c r="S8" i="14"/>
  <c r="V8" i="14" s="1"/>
  <c r="U8" i="14"/>
  <c r="Q9" i="14"/>
  <c r="P9" i="14"/>
  <c r="O9" i="14"/>
  <c r="R9" i="14" s="1"/>
  <c r="T9" i="14"/>
  <c r="S9" i="14"/>
  <c r="V9" i="14" s="1"/>
  <c r="U9" i="14"/>
  <c r="I7" i="14"/>
  <c r="H7" i="14"/>
  <c r="J7" i="14" s="1"/>
  <c r="I5" i="14"/>
  <c r="H5" i="14"/>
  <c r="J5" i="14" s="1"/>
  <c r="F6" i="14"/>
  <c r="E6" i="14"/>
  <c r="G6" i="14" s="1"/>
  <c r="E4" i="14"/>
  <c r="G4" i="14" s="1"/>
  <c r="F4" i="14"/>
  <c r="H6" i="14"/>
  <c r="J6" i="14" s="1"/>
  <c r="I6" i="14"/>
  <c r="I4" i="14"/>
  <c r="H4" i="14"/>
  <c r="J4" i="14" s="1"/>
  <c r="E7" i="14"/>
  <c r="G7" i="14" s="1"/>
  <c r="F7" i="14"/>
  <c r="F5" i="14"/>
  <c r="E5" i="14"/>
  <c r="G5" i="14" s="1"/>
  <c r="AY97" i="7"/>
  <c r="AZ97" i="7" s="1"/>
  <c r="AY98" i="7"/>
  <c r="AZ98" i="7" s="1"/>
  <c r="AY155" i="7"/>
  <c r="AZ155" i="7" s="1"/>
  <c r="AY197" i="7"/>
  <c r="AY145" i="7"/>
  <c r="AZ145" i="7" s="1"/>
  <c r="AY143" i="7"/>
  <c r="AZ143" i="7" s="1"/>
  <c r="AY144" i="7"/>
  <c r="AZ144" i="7" s="1"/>
  <c r="AY146" i="7"/>
  <c r="AZ146" i="7" s="1"/>
  <c r="AY154" i="7"/>
  <c r="AY92" i="7"/>
  <c r="AZ92" i="7" s="1"/>
  <c r="AY93" i="7"/>
  <c r="AZ93" i="7" s="1"/>
  <c r="AW125" i="7"/>
  <c r="AX125" i="7" s="1"/>
  <c r="AW126" i="7"/>
  <c r="AX126" i="7" s="1"/>
  <c r="AW66" i="7"/>
  <c r="AX66" i="7" s="1"/>
  <c r="AW67" i="7"/>
  <c r="AX67" i="7" s="1"/>
  <c r="AW94" i="7"/>
  <c r="AX94" i="7" s="1"/>
  <c r="AW135" i="7"/>
  <c r="AX135" i="7" s="1"/>
  <c r="AW136" i="7"/>
  <c r="AX136" i="7" s="1"/>
  <c r="AW60" i="7"/>
  <c r="AX60" i="7" s="1"/>
  <c r="AW63" i="7"/>
  <c r="AX63" i="7" s="1"/>
  <c r="AW138" i="7"/>
  <c r="AX138" i="7" s="1"/>
  <c r="AW65" i="7"/>
  <c r="AX65" i="7" s="1"/>
  <c r="AW62" i="7"/>
  <c r="AX62" i="7" s="1"/>
  <c r="AW175" i="7"/>
  <c r="AW137" i="7"/>
  <c r="AX137" i="7" s="1"/>
  <c r="AW64" i="7"/>
  <c r="AX64" i="7" s="1"/>
  <c r="O5" i="21"/>
  <c r="U7" i="21"/>
  <c r="T7" i="21"/>
  <c r="S7" i="21"/>
  <c r="Q5" i="21"/>
  <c r="P5" i="21"/>
  <c r="P7" i="21"/>
  <c r="O7" i="21"/>
  <c r="Q7" i="21"/>
  <c r="AY83" i="7"/>
  <c r="AZ83" i="7" s="1"/>
  <c r="AY99" i="7"/>
  <c r="AZ99" i="7" s="1"/>
  <c r="AY84" i="7"/>
  <c r="AZ84" i="7" s="1"/>
  <c r="AY85" i="7"/>
  <c r="AZ85" i="7" s="1"/>
  <c r="AY82" i="7"/>
  <c r="AZ82" i="7" s="1"/>
  <c r="AY169" i="7"/>
  <c r="AZ169" i="7" s="1"/>
  <c r="AY168" i="7"/>
  <c r="AZ168" i="7" s="1"/>
  <c r="AW120" i="7"/>
  <c r="AX120" i="7" s="1"/>
  <c r="AW121" i="7"/>
  <c r="AX121" i="7" s="1"/>
  <c r="BJ121" i="7" s="1"/>
  <c r="AW189" i="7"/>
  <c r="AX189" i="7" s="1"/>
  <c r="AW10" i="7"/>
  <c r="AX10" i="7" s="1"/>
  <c r="AW8" i="7"/>
  <c r="AX8" i="7" s="1"/>
  <c r="AW191" i="7"/>
  <c r="AX191" i="7" s="1"/>
  <c r="AW6" i="7"/>
  <c r="AX6" i="7" s="1"/>
  <c r="AW3" i="7"/>
  <c r="AX3" i="7" s="1"/>
  <c r="AW7" i="7"/>
  <c r="AX7" i="7" s="1"/>
  <c r="AW11" i="7"/>
  <c r="AX11" i="7" s="1"/>
  <c r="BJ11" i="7" s="1"/>
  <c r="AW12" i="7"/>
  <c r="AX12" i="7" s="1"/>
  <c r="AW13" i="7"/>
  <c r="AX13" i="7" s="1"/>
  <c r="AW9" i="7"/>
  <c r="AX9" i="7" s="1"/>
  <c r="AW190" i="7"/>
  <c r="AX190" i="7" s="1"/>
  <c r="AW5" i="7"/>
  <c r="AX5" i="7" s="1"/>
  <c r="AW2" i="7"/>
  <c r="AX2" i="7" s="1"/>
  <c r="AW14" i="7"/>
  <c r="AX14" i="7" s="1"/>
  <c r="AW188" i="7"/>
  <c r="AX188" i="7" s="1"/>
  <c r="AW4" i="7"/>
  <c r="AX4" i="7" s="1"/>
  <c r="AW34" i="7"/>
  <c r="AX34" i="7" s="1"/>
  <c r="AW42" i="7"/>
  <c r="AX42" i="7" s="1"/>
  <c r="AW29" i="7"/>
  <c r="AW35" i="7"/>
  <c r="AX35" i="7" s="1"/>
  <c r="AW43" i="7"/>
  <c r="AX43" i="7" s="1"/>
  <c r="AW38" i="7"/>
  <c r="AX38" i="7" s="1"/>
  <c r="AW36" i="7"/>
  <c r="AX36" i="7" s="1"/>
  <c r="AW44" i="7"/>
  <c r="AX44" i="7" s="1"/>
  <c r="AW31" i="7"/>
  <c r="AW33" i="7"/>
  <c r="AX33" i="7" s="1"/>
  <c r="AW41" i="7"/>
  <c r="AX41" i="7" s="1"/>
  <c r="AW37" i="7"/>
  <c r="AX37" i="7" s="1"/>
  <c r="AW30" i="7"/>
  <c r="AW39" i="7"/>
  <c r="AX39" i="7" s="1"/>
  <c r="AW32" i="7"/>
  <c r="AW40" i="7"/>
  <c r="AX40" i="7" s="1"/>
  <c r="T4" i="21"/>
  <c r="U4" i="21"/>
  <c r="AW109" i="7"/>
  <c r="AX109" i="7" s="1"/>
  <c r="AW149" i="7"/>
  <c r="AX149" i="7" s="1"/>
  <c r="AW110" i="7"/>
  <c r="AX110" i="7" s="1"/>
  <c r="AW150" i="7"/>
  <c r="AX150" i="7" s="1"/>
  <c r="AW111" i="7"/>
  <c r="AX111" i="7" s="1"/>
  <c r="AW147" i="7"/>
  <c r="AX147" i="7" s="1"/>
  <c r="AW90" i="7"/>
  <c r="AX90" i="7" s="1"/>
  <c r="AW91" i="7"/>
  <c r="AX91" i="7" s="1"/>
  <c r="AW112" i="7"/>
  <c r="AW148" i="7"/>
  <c r="AX148" i="7" s="1"/>
  <c r="AW89" i="7"/>
  <c r="AX89" i="7" s="1"/>
  <c r="AW113" i="7"/>
  <c r="AX113" i="7" s="1"/>
  <c r="AY19" i="7"/>
  <c r="AZ19" i="7" s="1"/>
  <c r="AY27" i="7"/>
  <c r="AZ27" i="7" s="1"/>
  <c r="AY195" i="7"/>
  <c r="AY20" i="7"/>
  <c r="AZ20" i="7" s="1"/>
  <c r="AY196" i="7"/>
  <c r="AY21" i="7"/>
  <c r="AZ21" i="7" s="1"/>
  <c r="AY17" i="7"/>
  <c r="AZ17" i="7" s="1"/>
  <c r="AY25" i="7"/>
  <c r="AY193" i="7"/>
  <c r="AY26" i="7"/>
  <c r="AZ26" i="7" s="1"/>
  <c r="AY16" i="7"/>
  <c r="AZ16" i="7" s="1"/>
  <c r="AY18" i="7"/>
  <c r="AZ18" i="7" s="1"/>
  <c r="AY15" i="7"/>
  <c r="AZ15" i="7" s="1"/>
  <c r="AY192" i="7"/>
  <c r="AY22" i="7"/>
  <c r="AZ22" i="7" s="1"/>
  <c r="AY24" i="7"/>
  <c r="AY194" i="7"/>
  <c r="AY23" i="7"/>
  <c r="AZ23" i="7" s="1"/>
  <c r="AY158" i="7"/>
  <c r="AZ158" i="7" s="1"/>
  <c r="AY159" i="7"/>
  <c r="AZ159" i="7" s="1"/>
  <c r="AW101" i="7"/>
  <c r="AX101" i="7" s="1"/>
  <c r="AW100" i="7"/>
  <c r="AX100" i="7" s="1"/>
  <c r="AY107" i="7"/>
  <c r="AZ107" i="7" s="1"/>
  <c r="AY123" i="7"/>
  <c r="AZ123" i="7" s="1"/>
  <c r="AY139" i="7"/>
  <c r="AZ139" i="7" s="1"/>
  <c r="AY163" i="7"/>
  <c r="AZ163" i="7" s="1"/>
  <c r="AY108" i="7"/>
  <c r="AZ108" i="7" s="1"/>
  <c r="AY124" i="7"/>
  <c r="AY140" i="7"/>
  <c r="AZ140" i="7" s="1"/>
  <c r="AY164" i="7"/>
  <c r="AZ164" i="7" s="1"/>
  <c r="AY141" i="7"/>
  <c r="AZ141" i="7" s="1"/>
  <c r="AY106" i="7"/>
  <c r="AZ106" i="7" s="1"/>
  <c r="AY122" i="7"/>
  <c r="AZ122" i="7" s="1"/>
  <c r="AY130" i="7"/>
  <c r="AZ130" i="7" s="1"/>
  <c r="AY142" i="7"/>
  <c r="AZ142" i="7" s="1"/>
  <c r="AY170" i="7"/>
  <c r="AY162" i="7"/>
  <c r="AZ162" i="7" s="1"/>
  <c r="AY95" i="7"/>
  <c r="AZ95" i="7" s="1"/>
  <c r="AY96" i="7"/>
  <c r="AZ96" i="7" s="1"/>
  <c r="O4" i="21"/>
  <c r="P4" i="21"/>
  <c r="Q4" i="21"/>
  <c r="AW181" i="7"/>
  <c r="AX181" i="7" s="1"/>
  <c r="AW182" i="7"/>
  <c r="AX182" i="7" s="1"/>
  <c r="AW179" i="7"/>
  <c r="AX179" i="7" s="1"/>
  <c r="AW187" i="7"/>
  <c r="AX187" i="7" s="1"/>
  <c r="AW178" i="7"/>
  <c r="AX178" i="7" s="1"/>
  <c r="AW180" i="7"/>
  <c r="AX180" i="7" s="1"/>
  <c r="AW185" i="7"/>
  <c r="AX185" i="7" s="1"/>
  <c r="AW183" i="7"/>
  <c r="AX183" i="7" s="1"/>
  <c r="AW177" i="7"/>
  <c r="AX177" i="7" s="1"/>
  <c r="AW184" i="7"/>
  <c r="AX184" i="7" s="1"/>
  <c r="AW186" i="7"/>
  <c r="AX186" i="7" s="1"/>
  <c r="AW176" i="7"/>
  <c r="AX176" i="7" s="1"/>
  <c r="AW171" i="7"/>
  <c r="AW172" i="7"/>
  <c r="AW74" i="7"/>
  <c r="AX74" i="7" s="1"/>
  <c r="AW69" i="7"/>
  <c r="AX69" i="7" s="1"/>
  <c r="AW70" i="7"/>
  <c r="AX70" i="7" s="1"/>
  <c r="AW71" i="7"/>
  <c r="AX71" i="7" s="1"/>
  <c r="AW68" i="7"/>
  <c r="AX68" i="7" s="1"/>
  <c r="AW73" i="7"/>
  <c r="AX73" i="7" s="1"/>
  <c r="AW81" i="7"/>
  <c r="AX81" i="7" s="1"/>
  <c r="AW72" i="7"/>
  <c r="AX72" i="7" s="1"/>
  <c r="AW58" i="7"/>
  <c r="AX58" i="7" s="1"/>
  <c r="AW59" i="7"/>
  <c r="AX59" i="7" s="1"/>
  <c r="AW57" i="7"/>
  <c r="AX57" i="7" s="1"/>
  <c r="S6" i="21"/>
  <c r="AW165" i="7"/>
  <c r="AX165" i="7" s="1"/>
  <c r="AW103" i="7"/>
  <c r="AX103" i="7" s="1"/>
  <c r="AW127" i="7"/>
  <c r="AX127" i="7" s="1"/>
  <c r="AW104" i="7"/>
  <c r="AX104" i="7" s="1"/>
  <c r="AW105" i="7"/>
  <c r="AX105" i="7" s="1"/>
  <c r="AW128" i="7"/>
  <c r="AX128" i="7" s="1"/>
  <c r="AW129" i="7"/>
  <c r="AX129" i="7" s="1"/>
  <c r="S5" i="21"/>
  <c r="U5" i="21"/>
  <c r="T5" i="21"/>
  <c r="U6" i="21"/>
  <c r="T6" i="21"/>
  <c r="AY166" i="7"/>
  <c r="AZ166" i="7" s="1"/>
  <c r="AY167" i="7"/>
  <c r="AZ167" i="7" s="1"/>
  <c r="AY115" i="7"/>
  <c r="AZ115" i="7" s="1"/>
  <c r="AY116" i="7"/>
  <c r="AZ116" i="7" s="1"/>
  <c r="AY117" i="7"/>
  <c r="AZ117" i="7" s="1"/>
  <c r="AY161" i="7"/>
  <c r="AZ161" i="7" s="1"/>
  <c r="AY118" i="7"/>
  <c r="AZ118" i="7" s="1"/>
  <c r="AY119" i="7"/>
  <c r="AZ119" i="7" s="1"/>
  <c r="AY160" i="7"/>
  <c r="AZ160" i="7" s="1"/>
  <c r="AY114" i="7"/>
  <c r="AZ114" i="7" s="1"/>
  <c r="AY156" i="7"/>
  <c r="AZ156" i="7" s="1"/>
  <c r="AY157" i="7"/>
  <c r="AZ157" i="7" s="1"/>
  <c r="Q6" i="21"/>
  <c r="P6" i="21"/>
  <c r="O6" i="21"/>
  <c r="AW173" i="7"/>
  <c r="AX173" i="7" s="1"/>
  <c r="AW174" i="7"/>
  <c r="AX174" i="7" s="1"/>
  <c r="AW50" i="7"/>
  <c r="AX50" i="7" s="1"/>
  <c r="AW45" i="7"/>
  <c r="AX45" i="7" s="1"/>
  <c r="AW47" i="7"/>
  <c r="AX47" i="7" s="1"/>
  <c r="AW52" i="7"/>
  <c r="AX52" i="7" s="1"/>
  <c r="AW46" i="7"/>
  <c r="AX46" i="7" s="1"/>
  <c r="AW49" i="7"/>
  <c r="AX49" i="7" s="1"/>
  <c r="AW51" i="7"/>
  <c r="AX51" i="7" s="1"/>
  <c r="AW48" i="7"/>
  <c r="AX48" i="7" s="1"/>
  <c r="AY53" i="7"/>
  <c r="AY54" i="7"/>
  <c r="AZ54" i="7" s="1"/>
  <c r="AY56" i="7"/>
  <c r="AZ56" i="7" s="1"/>
  <c r="AY55" i="7"/>
  <c r="AZ55" i="7" s="1"/>
  <c r="S4" i="21"/>
  <c r="AT20" i="7"/>
  <c r="AV20" i="7"/>
  <c r="AT108" i="7"/>
  <c r="BH108" i="7" s="1"/>
  <c r="AV108" i="7"/>
  <c r="BG108" i="7" s="1"/>
  <c r="AV110" i="7"/>
  <c r="BG110" i="7" s="1"/>
  <c r="AT110" i="7"/>
  <c r="BH110" i="7" s="1"/>
  <c r="AX29" i="7"/>
  <c r="AV29" i="7"/>
  <c r="AT29" i="7"/>
  <c r="AV115" i="7"/>
  <c r="BG115" i="7" s="1"/>
  <c r="AT115" i="7"/>
  <c r="BH115" i="7" s="1"/>
  <c r="AT6" i="7"/>
  <c r="BH6" i="7" s="1"/>
  <c r="AV6" i="7"/>
  <c r="BG6" i="7" s="1"/>
  <c r="AV147" i="7"/>
  <c r="BG147" i="7" s="1"/>
  <c r="AT147" i="7"/>
  <c r="BH147" i="7" s="1"/>
  <c r="AT55" i="7"/>
  <c r="BH55" i="7" s="1"/>
  <c r="AV55" i="7"/>
  <c r="BG55" i="7" s="1"/>
  <c r="AV122" i="7"/>
  <c r="BG122" i="7" s="1"/>
  <c r="AT122" i="7"/>
  <c r="BH122" i="7" s="1"/>
  <c r="AV146" i="7"/>
  <c r="BG146" i="7" s="1"/>
  <c r="AT146" i="7"/>
  <c r="BH146" i="7" s="1"/>
  <c r="AV98" i="7"/>
  <c r="BG98" i="7" s="1"/>
  <c r="AT98" i="7"/>
  <c r="BH98" i="7" s="1"/>
  <c r="AT35" i="7"/>
  <c r="BH35" i="7" s="1"/>
  <c r="AV35" i="7"/>
  <c r="BG35" i="7" s="1"/>
  <c r="AV56" i="7"/>
  <c r="BG56" i="7" s="1"/>
  <c r="AT56" i="7"/>
  <c r="BH56" i="7" s="1"/>
  <c r="AT149" i="7"/>
  <c r="BH149" i="7" s="1"/>
  <c r="AV149" i="7"/>
  <c r="BG149" i="7" s="1"/>
  <c r="AV143" i="7"/>
  <c r="BG143" i="7" s="1"/>
  <c r="AT143" i="7"/>
  <c r="BH143" i="7" s="1"/>
  <c r="AT126" i="7"/>
  <c r="BH126" i="7" s="1"/>
  <c r="AV126" i="7"/>
  <c r="BG126" i="7" s="1"/>
  <c r="AV100" i="7"/>
  <c r="BG100" i="7" s="1"/>
  <c r="AT100" i="7"/>
  <c r="BH100" i="7" s="1"/>
  <c r="AV142" i="7"/>
  <c r="BG142" i="7" s="1"/>
  <c r="AT142" i="7"/>
  <c r="BH142" i="7" s="1"/>
  <c r="AV135" i="7"/>
  <c r="BG135" i="7" s="1"/>
  <c r="AT135" i="7"/>
  <c r="BH135" i="7" s="1"/>
  <c r="AV104" i="7"/>
  <c r="AT104" i="7"/>
  <c r="AT22" i="7"/>
  <c r="BH22" i="7" s="1"/>
  <c r="AV22" i="7"/>
  <c r="BG22" i="7" s="1"/>
  <c r="AV34" i="7"/>
  <c r="AT34" i="7"/>
  <c r="AV99" i="7"/>
  <c r="BG99" i="7" s="1"/>
  <c r="AT99" i="7"/>
  <c r="BH99" i="7" s="1"/>
  <c r="AV91" i="7"/>
  <c r="BG91" i="7" s="1"/>
  <c r="AT91" i="7"/>
  <c r="BH91" i="7" s="1"/>
  <c r="AV58" i="7"/>
  <c r="BG58" i="7" s="1"/>
  <c r="AT58" i="7"/>
  <c r="BH58" i="7" s="1"/>
  <c r="AV96" i="7"/>
  <c r="BG96" i="7" s="1"/>
  <c r="AT96" i="7"/>
  <c r="BH96" i="7" s="1"/>
  <c r="AX77" i="7"/>
  <c r="BJ77" i="7" s="1"/>
  <c r="AZ77" i="7"/>
  <c r="BI77" i="7" s="1"/>
  <c r="AT77" i="7"/>
  <c r="BH77" i="7" s="1"/>
  <c r="AV77" i="7"/>
  <c r="BG77" i="7" s="1"/>
  <c r="AV39" i="7"/>
  <c r="AT39" i="7"/>
  <c r="AT62" i="7"/>
  <c r="BH62" i="7" s="1"/>
  <c r="AV62" i="7"/>
  <c r="BG62" i="7" s="1"/>
  <c r="AT117" i="7"/>
  <c r="BH117" i="7" s="1"/>
  <c r="AV117" i="7"/>
  <c r="BG117" i="7" s="1"/>
  <c r="AT21" i="7"/>
  <c r="AV21" i="7"/>
  <c r="AV32" i="7"/>
  <c r="AT32" i="7"/>
  <c r="AX32" i="7"/>
  <c r="AV15" i="7"/>
  <c r="BG15" i="7" s="1"/>
  <c r="AT15" i="7"/>
  <c r="BH15" i="7" s="1"/>
  <c r="AV64" i="7"/>
  <c r="BG64" i="7" s="1"/>
  <c r="AT64" i="7"/>
  <c r="BH64" i="7" s="1"/>
  <c r="AZ80" i="7"/>
  <c r="BI80" i="7" s="1"/>
  <c r="AV80" i="7"/>
  <c r="BG80" i="7" s="1"/>
  <c r="AT80" i="7"/>
  <c r="BH80" i="7" s="1"/>
  <c r="AX80" i="7"/>
  <c r="BJ80" i="7" s="1"/>
  <c r="AV139" i="7"/>
  <c r="BG139" i="7" s="1"/>
  <c r="AT139" i="7"/>
  <c r="BH139" i="7" s="1"/>
  <c r="AV48" i="7"/>
  <c r="BG48" i="7" s="1"/>
  <c r="AT48" i="7"/>
  <c r="BH48" i="7" s="1"/>
  <c r="AV82" i="7"/>
  <c r="BG82" i="7" s="1"/>
  <c r="AT82" i="7"/>
  <c r="BH82" i="7" s="1"/>
  <c r="AV130" i="7"/>
  <c r="BG130" i="7" s="1"/>
  <c r="AT130" i="7"/>
  <c r="BH130" i="7" s="1"/>
  <c r="AT124" i="7"/>
  <c r="AV124" i="7"/>
  <c r="AZ124" i="7"/>
  <c r="AX124" i="7"/>
  <c r="AT140" i="7"/>
  <c r="BH140" i="7" s="1"/>
  <c r="AV140" i="7"/>
  <c r="BG140" i="7" s="1"/>
  <c r="AV73" i="7"/>
  <c r="BG73" i="7" s="1"/>
  <c r="AT73" i="7"/>
  <c r="BH73" i="7" s="1"/>
  <c r="AV50" i="7"/>
  <c r="BG50" i="7" s="1"/>
  <c r="AT50" i="7"/>
  <c r="BH50" i="7" s="1"/>
  <c r="AT46" i="7"/>
  <c r="BH46" i="7" s="1"/>
  <c r="AV46" i="7"/>
  <c r="BG46" i="7" s="1"/>
  <c r="AV57" i="7"/>
  <c r="BG57" i="7" s="1"/>
  <c r="AT57" i="7"/>
  <c r="BH57" i="7" s="1"/>
  <c r="AV72" i="7"/>
  <c r="BG72" i="7" s="1"/>
  <c r="AT72" i="7"/>
  <c r="BH72" i="7" s="1"/>
  <c r="AT119" i="7"/>
  <c r="BH119" i="7" s="1"/>
  <c r="AV119" i="7"/>
  <c r="BG119" i="7" s="1"/>
  <c r="AV47" i="7"/>
  <c r="BG47" i="7" s="1"/>
  <c r="AT47" i="7"/>
  <c r="BH47" i="7" s="1"/>
  <c r="AV71" i="7"/>
  <c r="BG71" i="7" s="1"/>
  <c r="AT71" i="7"/>
  <c r="BH71" i="7" s="1"/>
  <c r="AV2" i="7"/>
  <c r="AT2" i="7"/>
  <c r="AT12" i="7"/>
  <c r="BH12" i="7" s="1"/>
  <c r="AV12" i="7"/>
  <c r="BG12" i="7" s="1"/>
  <c r="AT85" i="7"/>
  <c r="BH85" i="7" s="1"/>
  <c r="AV85" i="7"/>
  <c r="BG85" i="7" s="1"/>
  <c r="AV88" i="7"/>
  <c r="BG88" i="7" s="1"/>
  <c r="AX88" i="7"/>
  <c r="AT88" i="7"/>
  <c r="BH88" i="7" s="1"/>
  <c r="AV69" i="7"/>
  <c r="BG69" i="7" s="1"/>
  <c r="AT69" i="7"/>
  <c r="BH69" i="7" s="1"/>
  <c r="AV16" i="7"/>
  <c r="BG16" i="7" s="1"/>
  <c r="AT16" i="7"/>
  <c r="BH16" i="7" s="1"/>
  <c r="AT61" i="7"/>
  <c r="BH61" i="7" s="1"/>
  <c r="AV61" i="7"/>
  <c r="BG61" i="7" s="1"/>
  <c r="AZ61" i="7"/>
  <c r="AT36" i="7"/>
  <c r="BH36" i="7" s="1"/>
  <c r="AV36" i="7"/>
  <c r="BG36" i="7" s="1"/>
  <c r="AT65" i="7"/>
  <c r="BH65" i="7" s="1"/>
  <c r="AV65" i="7"/>
  <c r="BG65" i="7" s="1"/>
  <c r="AX75" i="7"/>
  <c r="BJ75" i="7" s="1"/>
  <c r="AV75" i="7"/>
  <c r="BG75" i="7" s="1"/>
  <c r="AZ75" i="7"/>
  <c r="BI75" i="7" s="1"/>
  <c r="AT75" i="7"/>
  <c r="BH75" i="7" s="1"/>
  <c r="AV18" i="7"/>
  <c r="BG18" i="7" s="1"/>
  <c r="AT18" i="7"/>
  <c r="BH18" i="7" s="1"/>
  <c r="AV10" i="7"/>
  <c r="BG10" i="7" s="1"/>
  <c r="AT10" i="7"/>
  <c r="AV145" i="7"/>
  <c r="BG145" i="7" s="1"/>
  <c r="AT145" i="7"/>
  <c r="BH145" i="7" s="1"/>
  <c r="AT97" i="7"/>
  <c r="BH97" i="7" s="1"/>
  <c r="AV97" i="7"/>
  <c r="BG97" i="7" s="1"/>
  <c r="AV90" i="7"/>
  <c r="BG90" i="7" s="1"/>
  <c r="AT90" i="7"/>
  <c r="BH90" i="7" s="1"/>
  <c r="AV128" i="7"/>
  <c r="BG128" i="7" s="1"/>
  <c r="AT128" i="7"/>
  <c r="BH128" i="7" s="1"/>
  <c r="AT93" i="7"/>
  <c r="BH93" i="7" s="1"/>
  <c r="AV93" i="7"/>
  <c r="BG93" i="7" s="1"/>
  <c r="AT150" i="7"/>
  <c r="BH150" i="7" s="1"/>
  <c r="AV150" i="7"/>
  <c r="BG150" i="7" s="1"/>
  <c r="AT13" i="7"/>
  <c r="BH13" i="7" s="1"/>
  <c r="AV13" i="7"/>
  <c r="BG13" i="7" s="1"/>
  <c r="AV138" i="7"/>
  <c r="BG138" i="7" s="1"/>
  <c r="AT138" i="7"/>
  <c r="BH138" i="7" s="1"/>
  <c r="AT60" i="7"/>
  <c r="BH60" i="7" s="1"/>
  <c r="AV60" i="7"/>
  <c r="BG60" i="7" s="1"/>
  <c r="AT116" i="7"/>
  <c r="BH116" i="7" s="1"/>
  <c r="AV116" i="7"/>
  <c r="BG116" i="7" s="1"/>
  <c r="AT14" i="7"/>
  <c r="BH14" i="7" s="1"/>
  <c r="AV14" i="7"/>
  <c r="BG14" i="7" s="1"/>
  <c r="AV102" i="7"/>
  <c r="BG102" i="7" s="1"/>
  <c r="AT102" i="7"/>
  <c r="BH102" i="7" s="1"/>
  <c r="AZ102" i="7"/>
  <c r="BI102" i="7" s="1"/>
  <c r="AX102" i="7"/>
  <c r="BJ102" i="7" s="1"/>
  <c r="AV74" i="7"/>
  <c r="BG74" i="7" s="1"/>
  <c r="AT74" i="7"/>
  <c r="BH74" i="7" s="1"/>
  <c r="AT4" i="7"/>
  <c r="AV4" i="7"/>
  <c r="AT45" i="7"/>
  <c r="BH45" i="7" s="1"/>
  <c r="AV45" i="7"/>
  <c r="BG45" i="7" s="1"/>
  <c r="AV19" i="7"/>
  <c r="AT19" i="7"/>
  <c r="AT33" i="7"/>
  <c r="AV33" i="7"/>
  <c r="AT38" i="7"/>
  <c r="AV38" i="7"/>
  <c r="AV144" i="7"/>
  <c r="BG144" i="7" s="1"/>
  <c r="AT144" i="7"/>
  <c r="BH144" i="7" s="1"/>
  <c r="AT43" i="7"/>
  <c r="AV43" i="7"/>
  <c r="AV137" i="7"/>
  <c r="BG137" i="7" s="1"/>
  <c r="AT137" i="7"/>
  <c r="BH137" i="7" s="1"/>
  <c r="AT92" i="7"/>
  <c r="BH92" i="7" s="1"/>
  <c r="AV92" i="7"/>
  <c r="BG92" i="7" s="1"/>
  <c r="AZ86" i="7"/>
  <c r="BI86" i="7" s="1"/>
  <c r="AX86" i="7"/>
  <c r="BJ86" i="7" s="1"/>
  <c r="AT86" i="7"/>
  <c r="BH86" i="7" s="1"/>
  <c r="AV86" i="7"/>
  <c r="BG86" i="7" s="1"/>
  <c r="AV59" i="7"/>
  <c r="BG59" i="7" s="1"/>
  <c r="AT59" i="7"/>
  <c r="BH59" i="7" s="1"/>
  <c r="AX31" i="7"/>
  <c r="AV31" i="7"/>
  <c r="AT31" i="7"/>
  <c r="AT3" i="7"/>
  <c r="AV3" i="7"/>
  <c r="AT118" i="7"/>
  <c r="AV118" i="7"/>
  <c r="AT109" i="7"/>
  <c r="BH109" i="7" s="1"/>
  <c r="AV109" i="7"/>
  <c r="BG109" i="7" s="1"/>
  <c r="AV83" i="7"/>
  <c r="BG83" i="7" s="1"/>
  <c r="AT83" i="7"/>
  <c r="BH83" i="7" s="1"/>
  <c r="AT44" i="7"/>
  <c r="AV44" i="7"/>
  <c r="AT125" i="7"/>
  <c r="BH125" i="7" s="1"/>
  <c r="AV125" i="7"/>
  <c r="BG125" i="7" s="1"/>
  <c r="AV26" i="7"/>
  <c r="AT26" i="7"/>
  <c r="AZ76" i="7"/>
  <c r="BI76" i="7" s="1"/>
  <c r="AT76" i="7"/>
  <c r="BH76" i="7" s="1"/>
  <c r="AX76" i="7"/>
  <c r="BJ76" i="7" s="1"/>
  <c r="AV76" i="7"/>
  <c r="BG76" i="7" s="1"/>
  <c r="AT127" i="7"/>
  <c r="BH127" i="7" s="1"/>
  <c r="AV127" i="7"/>
  <c r="BG127" i="7" s="1"/>
  <c r="AV42" i="7"/>
  <c r="AT42" i="7"/>
  <c r="AX133" i="7"/>
  <c r="BJ133" i="7" s="1"/>
  <c r="AV133" i="7"/>
  <c r="BG133" i="7" s="1"/>
  <c r="AT133" i="7"/>
  <c r="BH133" i="7" s="1"/>
  <c r="AZ133" i="7"/>
  <c r="BI133" i="7" s="1"/>
  <c r="AV5" i="7"/>
  <c r="BG5" i="7" s="1"/>
  <c r="AT5" i="7"/>
  <c r="BH5" i="7" s="1"/>
  <c r="AV123" i="7"/>
  <c r="BG123" i="7" s="1"/>
  <c r="AT123" i="7"/>
  <c r="BH123" i="7" s="1"/>
  <c r="AV136" i="7"/>
  <c r="BG136" i="7" s="1"/>
  <c r="AT136" i="7"/>
  <c r="BH136" i="7" s="1"/>
  <c r="AT63" i="7"/>
  <c r="BH63" i="7" s="1"/>
  <c r="AV63" i="7"/>
  <c r="BG63" i="7" s="1"/>
  <c r="AV70" i="7"/>
  <c r="BG70" i="7" s="1"/>
  <c r="AT70" i="7"/>
  <c r="BH70" i="7" s="1"/>
  <c r="AV27" i="7"/>
  <c r="AT27" i="7"/>
  <c r="AV78" i="7"/>
  <c r="BG78" i="7" s="1"/>
  <c r="AZ78" i="7"/>
  <c r="BI78" i="7" s="1"/>
  <c r="AT78" i="7"/>
  <c r="BH78" i="7" s="1"/>
  <c r="AX78" i="7"/>
  <c r="BJ78" i="7" s="1"/>
  <c r="AT148" i="7"/>
  <c r="BH148" i="7" s="1"/>
  <c r="AV148" i="7"/>
  <c r="BG148" i="7" s="1"/>
  <c r="AT84" i="7"/>
  <c r="BH84" i="7" s="1"/>
  <c r="AV84" i="7"/>
  <c r="BG84" i="7" s="1"/>
  <c r="AT52" i="7"/>
  <c r="AV52" i="7"/>
  <c r="AV89" i="7"/>
  <c r="BG89" i="7" s="1"/>
  <c r="AT89" i="7"/>
  <c r="BH89" i="7" s="1"/>
  <c r="AT54" i="7"/>
  <c r="BH54" i="7" s="1"/>
  <c r="AV54" i="7"/>
  <c r="BG54" i="7" s="1"/>
  <c r="AV41" i="7"/>
  <c r="AT41" i="7"/>
  <c r="AZ131" i="7"/>
  <c r="BI131" i="7" s="1"/>
  <c r="AX131" i="7"/>
  <c r="BJ131" i="7" s="1"/>
  <c r="AV131" i="7"/>
  <c r="BG131" i="7" s="1"/>
  <c r="AT131" i="7"/>
  <c r="BH131" i="7" s="1"/>
  <c r="AV81" i="7"/>
  <c r="BG81" i="7" s="1"/>
  <c r="AT81" i="7"/>
  <c r="BH81" i="7" s="1"/>
  <c r="AT23" i="7"/>
  <c r="BH23" i="7" s="1"/>
  <c r="AV23" i="7"/>
  <c r="BG23" i="7" s="1"/>
  <c r="AV120" i="7"/>
  <c r="BG120" i="7" s="1"/>
  <c r="AT120" i="7"/>
  <c r="BH120" i="7" s="1"/>
  <c r="AV66" i="7"/>
  <c r="BG66" i="7" s="1"/>
  <c r="AT66" i="7"/>
  <c r="BH66" i="7" s="1"/>
  <c r="AV106" i="7"/>
  <c r="AT106" i="7"/>
  <c r="AV114" i="7"/>
  <c r="BG114" i="7" s="1"/>
  <c r="AT114" i="7"/>
  <c r="BH114" i="7" s="1"/>
  <c r="AV51" i="7"/>
  <c r="BG51" i="7" s="1"/>
  <c r="AT51" i="7"/>
  <c r="BH51" i="7" s="1"/>
  <c r="AV132" i="7"/>
  <c r="BG132" i="7" s="1"/>
  <c r="AT132" i="7"/>
  <c r="BH132" i="7" s="1"/>
  <c r="AZ132" i="7"/>
  <c r="BI132" i="7" s="1"/>
  <c r="AX132" i="7"/>
  <c r="BJ132" i="7" s="1"/>
  <c r="AV9" i="7"/>
  <c r="AT9" i="7"/>
  <c r="AT94" i="7"/>
  <c r="BH94" i="7" s="1"/>
  <c r="AV94" i="7"/>
  <c r="BG94" i="7" s="1"/>
  <c r="AT28" i="7"/>
  <c r="BH28" i="7" s="1"/>
  <c r="AV28" i="7"/>
  <c r="BG28" i="7" s="1"/>
  <c r="AX28" i="7"/>
  <c r="AT30" i="7"/>
  <c r="AX30" i="7"/>
  <c r="AV30" i="7"/>
  <c r="AX87" i="7"/>
  <c r="BJ87" i="7" s="1"/>
  <c r="AZ87" i="7"/>
  <c r="BI87" i="7" s="1"/>
  <c r="AT87" i="7"/>
  <c r="BH87" i="7" s="1"/>
  <c r="AV87" i="7"/>
  <c r="BG87" i="7" s="1"/>
  <c r="AV8" i="7"/>
  <c r="AT8" i="7"/>
  <c r="AT141" i="7"/>
  <c r="BH141" i="7" s="1"/>
  <c r="AV141" i="7"/>
  <c r="BG141" i="7" s="1"/>
  <c r="AV134" i="7"/>
  <c r="BG134" i="7" s="1"/>
  <c r="AT134" i="7"/>
  <c r="BH134" i="7" s="1"/>
  <c r="AZ134" i="7"/>
  <c r="BI134" i="7" s="1"/>
  <c r="AX134" i="7"/>
  <c r="BJ134" i="7" s="1"/>
  <c r="AT95" i="7"/>
  <c r="AV95" i="7"/>
  <c r="AV17" i="7"/>
  <c r="AT17" i="7"/>
  <c r="AV40" i="7"/>
  <c r="AT40" i="7"/>
  <c r="AV49" i="7"/>
  <c r="AT49" i="7"/>
  <c r="AT129" i="7"/>
  <c r="BH129" i="7" s="1"/>
  <c r="AV129" i="7"/>
  <c r="BG129" i="7" s="1"/>
  <c r="AV68" i="7"/>
  <c r="AT68" i="7"/>
  <c r="AV7" i="7"/>
  <c r="BG7" i="7" s="1"/>
  <c r="AT7" i="7"/>
  <c r="BH7" i="7" s="1"/>
  <c r="AV101" i="7"/>
  <c r="BG101" i="7" s="1"/>
  <c r="AT101" i="7"/>
  <c r="BH101" i="7" s="1"/>
  <c r="AV111" i="7"/>
  <c r="BG111" i="7" s="1"/>
  <c r="AT111" i="7"/>
  <c r="BH111" i="7" s="1"/>
  <c r="AV37" i="7"/>
  <c r="AT37" i="7"/>
  <c r="AV67" i="7"/>
  <c r="BG67" i="7" s="1"/>
  <c r="AT67" i="7"/>
  <c r="BH67" i="7" s="1"/>
  <c r="BG52" i="7"/>
  <c r="BH52" i="7"/>
  <c r="BG19" i="7"/>
  <c r="BH19" i="7"/>
  <c r="BH124" i="7"/>
  <c r="BG124" i="7"/>
  <c r="BG17" i="7"/>
  <c r="BH17" i="7"/>
  <c r="AB38" i="22"/>
  <c r="AC38" i="22" s="1"/>
  <c r="AB37" i="22"/>
  <c r="AC37" i="22" s="1"/>
  <c r="AB32" i="22"/>
  <c r="AC32" i="22" s="1"/>
  <c r="AB39" i="22"/>
  <c r="AC39" i="22" s="1"/>
  <c r="AB29" i="22"/>
  <c r="AC29" i="22" s="1"/>
  <c r="AB40" i="22"/>
  <c r="AC40" i="22" s="1"/>
  <c r="AB34" i="22"/>
  <c r="AC34" i="22" s="1"/>
  <c r="AB44" i="22"/>
  <c r="AC44" i="22" s="1"/>
  <c r="AB30" i="22"/>
  <c r="AC30" i="22" s="1"/>
  <c r="AB41" i="22"/>
  <c r="AC41" i="22" s="1"/>
  <c r="AB31" i="22"/>
  <c r="AC31" i="22" s="1"/>
  <c r="AB42" i="22"/>
  <c r="AC42" i="22" s="1"/>
  <c r="AB36" i="22"/>
  <c r="AC36" i="22" s="1"/>
  <c r="AB43" i="22"/>
  <c r="AC43" i="22" s="1"/>
  <c r="AB33" i="22"/>
  <c r="AC33" i="22" s="1"/>
  <c r="AB35" i="22"/>
  <c r="AC35" i="22" s="1"/>
  <c r="AB119" i="20"/>
  <c r="AC119" i="20" s="1"/>
  <c r="AD23" i="22"/>
  <c r="AE23" i="22" s="1"/>
  <c r="AD25" i="22"/>
  <c r="AE25" i="22" s="1"/>
  <c r="AD15" i="22"/>
  <c r="AE15" i="22" s="1"/>
  <c r="AD27" i="22"/>
  <c r="AE27" i="22" s="1"/>
  <c r="AD19" i="22"/>
  <c r="AE19" i="22" s="1"/>
  <c r="AD18" i="22"/>
  <c r="AE18" i="22" s="1"/>
  <c r="AD26" i="22"/>
  <c r="AE26" i="22" s="1"/>
  <c r="AD17" i="22"/>
  <c r="AE17" i="22" s="1"/>
  <c r="AD22" i="22"/>
  <c r="AE22" i="22" s="1"/>
  <c r="AD21" i="22"/>
  <c r="AE21" i="22" s="1"/>
  <c r="AD16" i="22"/>
  <c r="AE16" i="22" s="1"/>
  <c r="AD20" i="22"/>
  <c r="AE20" i="22" s="1"/>
  <c r="AD24" i="22"/>
  <c r="AE24" i="22" s="1"/>
  <c r="AB60" i="22"/>
  <c r="AC60" i="22" s="1"/>
  <c r="AB50" i="22"/>
  <c r="AC50" i="22" s="1"/>
  <c r="AB46" i="22"/>
  <c r="AC46" i="22" s="1"/>
  <c r="AB51" i="22"/>
  <c r="AC51" i="22" s="1"/>
  <c r="AB47" i="22"/>
  <c r="AC47" i="22" s="1"/>
  <c r="AB52" i="22"/>
  <c r="AC52" i="22" s="1"/>
  <c r="AB48" i="22"/>
  <c r="AC48" i="22" s="1"/>
  <c r="AB49" i="22"/>
  <c r="AC49" i="22" s="1"/>
  <c r="AB45" i="22"/>
  <c r="AC45" i="22" s="1"/>
  <c r="AB72" i="22"/>
  <c r="AC72" i="22" s="1"/>
  <c r="AB71" i="22"/>
  <c r="AC71" i="22" s="1"/>
  <c r="AB70" i="22"/>
  <c r="AC70" i="22" s="1"/>
  <c r="AB69" i="22"/>
  <c r="AC69" i="22" s="1"/>
  <c r="AB68" i="22"/>
  <c r="AC68" i="22" s="1"/>
  <c r="AB67" i="22"/>
  <c r="AC67" i="22" s="1"/>
  <c r="AB66" i="22"/>
  <c r="AC66" i="22" s="1"/>
  <c r="AB65" i="22"/>
  <c r="AC65" i="22" s="1"/>
  <c r="AB61" i="22"/>
  <c r="AC61" i="22" s="1"/>
  <c r="AB62" i="22"/>
  <c r="AC62" i="22" s="1"/>
  <c r="AB63" i="22"/>
  <c r="AC63" i="22" s="1"/>
  <c r="AB64" i="22"/>
  <c r="AC64" i="22" s="1"/>
  <c r="AB76" i="22"/>
  <c r="AC76" i="22" s="1"/>
  <c r="AB75" i="22"/>
  <c r="AC75" i="22" s="1"/>
  <c r="AB74" i="22"/>
  <c r="AC74" i="22" s="1"/>
  <c r="AB73" i="22"/>
  <c r="AC73" i="22" s="1"/>
  <c r="AB8" i="22"/>
  <c r="AC8" i="22" s="1"/>
  <c r="AB13" i="22"/>
  <c r="AC13" i="22" s="1"/>
  <c r="AB12" i="22"/>
  <c r="AC12" i="22" s="1"/>
  <c r="AB9" i="22"/>
  <c r="AC9" i="22" s="1"/>
  <c r="AB14" i="22"/>
  <c r="AC14" i="22" s="1"/>
  <c r="AB7" i="22"/>
  <c r="AC7" i="22" s="1"/>
  <c r="AB10" i="22"/>
  <c r="AC10" i="22" s="1"/>
  <c r="AB2" i="22"/>
  <c r="AC2" i="22" s="1"/>
  <c r="AB3" i="22"/>
  <c r="AC3" i="22" s="1"/>
  <c r="AB6" i="22"/>
  <c r="AC6" i="22" s="1"/>
  <c r="AB4" i="22"/>
  <c r="AC4" i="22" s="1"/>
  <c r="AB11" i="22"/>
  <c r="AC11" i="22" s="1"/>
  <c r="AB5" i="22"/>
  <c r="AC5" i="22" s="1"/>
  <c r="AB59" i="22"/>
  <c r="AC59" i="22" s="1"/>
  <c r="AB57" i="22"/>
  <c r="AC57" i="22" s="1"/>
  <c r="AB58" i="22"/>
  <c r="AC58" i="22" s="1"/>
  <c r="AB28" i="20"/>
  <c r="AC28" i="20" s="1"/>
  <c r="AB28" i="22"/>
  <c r="AC28" i="22" s="1"/>
  <c r="AD53" i="22"/>
  <c r="AE53" i="22" s="1"/>
  <c r="AD54" i="22"/>
  <c r="AE54" i="22" s="1"/>
  <c r="AD55" i="22"/>
  <c r="AE55" i="22" s="1"/>
  <c r="AD56" i="22"/>
  <c r="AE56" i="22" s="1"/>
  <c r="C9" i="22"/>
  <c r="A10" i="22"/>
  <c r="J6" i="21"/>
  <c r="P28" i="21"/>
  <c r="P29" i="21"/>
  <c r="J7" i="21"/>
  <c r="G7" i="21"/>
  <c r="G6" i="21"/>
  <c r="AB173" i="20"/>
  <c r="AC173" i="20" s="1"/>
  <c r="AD96" i="20"/>
  <c r="AE96" i="20" s="1"/>
  <c r="AD97" i="20"/>
  <c r="AE97" i="20" s="1"/>
  <c r="AD168" i="20"/>
  <c r="AE168" i="20" s="1"/>
  <c r="AD167" i="20"/>
  <c r="AE167" i="20" s="1"/>
  <c r="AD53" i="20"/>
  <c r="AE53" i="20" s="1"/>
  <c r="AD55" i="20"/>
  <c r="AE55" i="20" s="1"/>
  <c r="AD54" i="20"/>
  <c r="AE54" i="20" s="1"/>
  <c r="AD56" i="20"/>
  <c r="AE56" i="20" s="1"/>
  <c r="AD91" i="20"/>
  <c r="AE91" i="20" s="1"/>
  <c r="AD92" i="20"/>
  <c r="AE92" i="20" s="1"/>
  <c r="AD21" i="20"/>
  <c r="AE21" i="20" s="1"/>
  <c r="AD23" i="20"/>
  <c r="AE23" i="20" s="1"/>
  <c r="AD25" i="20"/>
  <c r="AE25" i="20" s="1"/>
  <c r="AD15" i="20"/>
  <c r="AE15" i="20" s="1"/>
  <c r="AD27" i="20"/>
  <c r="AE27" i="20" s="1"/>
  <c r="AD19" i="20"/>
  <c r="AE19" i="20" s="1"/>
  <c r="AD18" i="20"/>
  <c r="AE18" i="20" s="1"/>
  <c r="AD22" i="20"/>
  <c r="AE22" i="20" s="1"/>
  <c r="AD17" i="20"/>
  <c r="AE17" i="20" s="1"/>
  <c r="AD20" i="20"/>
  <c r="AE20" i="20" s="1"/>
  <c r="AD16" i="20"/>
  <c r="AE16" i="20" s="1"/>
  <c r="AD26" i="20"/>
  <c r="AE26" i="20" s="1"/>
  <c r="AD24" i="20"/>
  <c r="AE24" i="20" s="1"/>
  <c r="AD157" i="20"/>
  <c r="AE157" i="20" s="1"/>
  <c r="AD158" i="20"/>
  <c r="AE158" i="20" s="1"/>
  <c r="AD144" i="20"/>
  <c r="AE144" i="20" s="1"/>
  <c r="AD154" i="20"/>
  <c r="AE154" i="20" s="1"/>
  <c r="AD141" i="20"/>
  <c r="AE141" i="20" s="1"/>
  <c r="AD142" i="20"/>
  <c r="AE142" i="20" s="1"/>
  <c r="AD143" i="20"/>
  <c r="AE143" i="20" s="1"/>
  <c r="AD83" i="20"/>
  <c r="AE83" i="20" s="1"/>
  <c r="AD84" i="20"/>
  <c r="AE84" i="20" s="1"/>
  <c r="AD98" i="20"/>
  <c r="AE98" i="20" s="1"/>
  <c r="AD81" i="20"/>
  <c r="AE81" i="20" s="1"/>
  <c r="AD82" i="20"/>
  <c r="AE82" i="20" s="1"/>
  <c r="AB39" i="20"/>
  <c r="AC39" i="20" s="1"/>
  <c r="AB29" i="20"/>
  <c r="AC29" i="20" s="1"/>
  <c r="AB40" i="20"/>
  <c r="AC40" i="20" s="1"/>
  <c r="AB41" i="20"/>
  <c r="AC41" i="20" s="1"/>
  <c r="AB42" i="20"/>
  <c r="AC42" i="20" s="1"/>
  <c r="AB43" i="20"/>
  <c r="AC43" i="20" s="1"/>
  <c r="AB35" i="20"/>
  <c r="AC35" i="20" s="1"/>
  <c r="AB34" i="20"/>
  <c r="AC34" i="20" s="1"/>
  <c r="AB33" i="20"/>
  <c r="AC33" i="20" s="1"/>
  <c r="AB32" i="20"/>
  <c r="AC32" i="20" s="1"/>
  <c r="AB37" i="20"/>
  <c r="AC37" i="20" s="1"/>
  <c r="AB36" i="20"/>
  <c r="AC36" i="20" s="1"/>
  <c r="AB31" i="20"/>
  <c r="AC31" i="20" s="1"/>
  <c r="AB44" i="20"/>
  <c r="AC44" i="20" s="1"/>
  <c r="AB38" i="20"/>
  <c r="AC38" i="20" s="1"/>
  <c r="AB30" i="20"/>
  <c r="AC30" i="20" s="1"/>
  <c r="AB99" i="20"/>
  <c r="AC99" i="20" s="1"/>
  <c r="AB100" i="20"/>
  <c r="AC100" i="20" s="1"/>
  <c r="AD169" i="20"/>
  <c r="AE169" i="20" s="1"/>
  <c r="AD128" i="20"/>
  <c r="AE128" i="20" s="1"/>
  <c r="AD137" i="20"/>
  <c r="AE137" i="20" s="1"/>
  <c r="AD138" i="20"/>
  <c r="AE138" i="20" s="1"/>
  <c r="AD163" i="20"/>
  <c r="AE163" i="20" s="1"/>
  <c r="AD139" i="20"/>
  <c r="AE139" i="20" s="1"/>
  <c r="AD120" i="20"/>
  <c r="AE120" i="20" s="1"/>
  <c r="AD162" i="20"/>
  <c r="AE162" i="20" s="1"/>
  <c r="AD140" i="20"/>
  <c r="AE140" i="20" s="1"/>
  <c r="AD122" i="20"/>
  <c r="AE122" i="20" s="1"/>
  <c r="AD121" i="20"/>
  <c r="AE121" i="20" s="1"/>
  <c r="AD106" i="20"/>
  <c r="AE106" i="20" s="1"/>
  <c r="AD161" i="20"/>
  <c r="AE161" i="20" s="1"/>
  <c r="AD107" i="20"/>
  <c r="AE107" i="20" s="1"/>
  <c r="AD95" i="20"/>
  <c r="AE95" i="20" s="1"/>
  <c r="AD94" i="20"/>
  <c r="AE94" i="20" s="1"/>
  <c r="AD105" i="20"/>
  <c r="AE105" i="20" s="1"/>
  <c r="AB172" i="20"/>
  <c r="AC172" i="20" s="1"/>
  <c r="AB51" i="20"/>
  <c r="AC51" i="20" s="1"/>
  <c r="AB50" i="20"/>
  <c r="AC50" i="20" s="1"/>
  <c r="AB49" i="20"/>
  <c r="AC49" i="20" s="1"/>
  <c r="AB48" i="20"/>
  <c r="AC48" i="20" s="1"/>
  <c r="AB47" i="20"/>
  <c r="AC47" i="20" s="1"/>
  <c r="AB46" i="20"/>
  <c r="AC46" i="20" s="1"/>
  <c r="AB45" i="20"/>
  <c r="AC45" i="20" s="1"/>
  <c r="AB52" i="20"/>
  <c r="AC52" i="20" s="1"/>
  <c r="AB186" i="20"/>
  <c r="AC186" i="20" s="1"/>
  <c r="AB185" i="20"/>
  <c r="AC185" i="20" s="1"/>
  <c r="AB184" i="20"/>
  <c r="AC184" i="20" s="1"/>
  <c r="AB183" i="20"/>
  <c r="AC183" i="20" s="1"/>
  <c r="AB182" i="20"/>
  <c r="AC182" i="20" s="1"/>
  <c r="AB181" i="20"/>
  <c r="AC181" i="20" s="1"/>
  <c r="AB180" i="20"/>
  <c r="AC180" i="20" s="1"/>
  <c r="AB175" i="20"/>
  <c r="AC175" i="20" s="1"/>
  <c r="AB178" i="20"/>
  <c r="AC178" i="20" s="1"/>
  <c r="AB176" i="20"/>
  <c r="AC176" i="20" s="1"/>
  <c r="AB179" i="20"/>
  <c r="AC179" i="20" s="1"/>
  <c r="AB177" i="20"/>
  <c r="AC177" i="20" s="1"/>
  <c r="AB170" i="20"/>
  <c r="AC170" i="20" s="1"/>
  <c r="AB171" i="20"/>
  <c r="AC171" i="20" s="1"/>
  <c r="AB73" i="20"/>
  <c r="AC73" i="20" s="1"/>
  <c r="AB74" i="20"/>
  <c r="AC74" i="20" s="1"/>
  <c r="AB68" i="20"/>
  <c r="AC68" i="20" s="1"/>
  <c r="AB69" i="20"/>
  <c r="AC69" i="20" s="1"/>
  <c r="AB70" i="20"/>
  <c r="AC70" i="20" s="1"/>
  <c r="AB71" i="20"/>
  <c r="AC71" i="20" s="1"/>
  <c r="AB80" i="20"/>
  <c r="AC80" i="20" s="1"/>
  <c r="AB72" i="20"/>
  <c r="AC72" i="20" s="1"/>
  <c r="AB190" i="20"/>
  <c r="AC190" i="20" s="1"/>
  <c r="AB189" i="20"/>
  <c r="AC189" i="20" s="1"/>
  <c r="AB188" i="20"/>
  <c r="AC188" i="20" s="1"/>
  <c r="AB187" i="20"/>
  <c r="AC187" i="20" s="1"/>
  <c r="AB6" i="20"/>
  <c r="AC6" i="20" s="1"/>
  <c r="AB8" i="20"/>
  <c r="AC8" i="20" s="1"/>
  <c r="AB13" i="20"/>
  <c r="AC13" i="20" s="1"/>
  <c r="AB14" i="20"/>
  <c r="AC14" i="20" s="1"/>
  <c r="AB11" i="20"/>
  <c r="AC11" i="20" s="1"/>
  <c r="AB3" i="20"/>
  <c r="AC3" i="20" s="1"/>
  <c r="AB10" i="20"/>
  <c r="AC10" i="20" s="1"/>
  <c r="AB5" i="20"/>
  <c r="AC5" i="20" s="1"/>
  <c r="AB4" i="20"/>
  <c r="AC4" i="20" s="1"/>
  <c r="AB12" i="20"/>
  <c r="AC12" i="20" s="1"/>
  <c r="AB7" i="20"/>
  <c r="AC7" i="20" s="1"/>
  <c r="AB9" i="20"/>
  <c r="AC9" i="20" s="1"/>
  <c r="AB2" i="20"/>
  <c r="AC2" i="20" s="1"/>
  <c r="AB59" i="20"/>
  <c r="AC59" i="20" s="1"/>
  <c r="AB58" i="20"/>
  <c r="AC58" i="20" s="1"/>
  <c r="AB57" i="20"/>
  <c r="AC57" i="20" s="1"/>
  <c r="AB134" i="20"/>
  <c r="AC134" i="20" s="1"/>
  <c r="AB135" i="20"/>
  <c r="AC135" i="20" s="1"/>
  <c r="AB136" i="20"/>
  <c r="AC136" i="20" s="1"/>
  <c r="AB124" i="20"/>
  <c r="AC124" i="20" s="1"/>
  <c r="AB123" i="20"/>
  <c r="AC123" i="20" s="1"/>
  <c r="AB174" i="20"/>
  <c r="AC174" i="20" s="1"/>
  <c r="AB133" i="20"/>
  <c r="AC133" i="20" s="1"/>
  <c r="AB60" i="20"/>
  <c r="AC60" i="20" s="1"/>
  <c r="AB67" i="20"/>
  <c r="AC67" i="20" s="1"/>
  <c r="AB93" i="20"/>
  <c r="AC93" i="20" s="1"/>
  <c r="AB64" i="20"/>
  <c r="AC64" i="20" s="1"/>
  <c r="AB62" i="20"/>
  <c r="AC62" i="20" s="1"/>
  <c r="AB65" i="20"/>
  <c r="AC65" i="20" s="1"/>
  <c r="AB63" i="20"/>
  <c r="AC63" i="20" s="1"/>
  <c r="AB66" i="20"/>
  <c r="AC66" i="20" s="1"/>
  <c r="AB126" i="20"/>
  <c r="AC126" i="20" s="1"/>
  <c r="AB164" i="20"/>
  <c r="AC164" i="20" s="1"/>
  <c r="AB127" i="20"/>
  <c r="AC127" i="20" s="1"/>
  <c r="AB125" i="20"/>
  <c r="AC125" i="20" s="1"/>
  <c r="AB103" i="20"/>
  <c r="AC103" i="20" s="1"/>
  <c r="AB102" i="20"/>
  <c r="AC102" i="20" s="1"/>
  <c r="AB104" i="20"/>
  <c r="AC104" i="20" s="1"/>
  <c r="AB146" i="20"/>
  <c r="AC146" i="20" s="1"/>
  <c r="AB108" i="20"/>
  <c r="AC108" i="20" s="1"/>
  <c r="AB109" i="20"/>
  <c r="AC109" i="20" s="1"/>
  <c r="AB148" i="20"/>
  <c r="AC148" i="20" s="1"/>
  <c r="AB112" i="20"/>
  <c r="AC112" i="20" s="1"/>
  <c r="AB110" i="20"/>
  <c r="AC110" i="20" s="1"/>
  <c r="AB111" i="20"/>
  <c r="AC111" i="20" s="1"/>
  <c r="AB147" i="20"/>
  <c r="AC147" i="20" s="1"/>
  <c r="AB145" i="20"/>
  <c r="AC145" i="20" s="1"/>
  <c r="AB89" i="20"/>
  <c r="AC89" i="20" s="1"/>
  <c r="AB90" i="20"/>
  <c r="AC90" i="20" s="1"/>
  <c r="AB88" i="20"/>
  <c r="AC88" i="20" s="1"/>
  <c r="AB87" i="20"/>
  <c r="AC87" i="20" s="1"/>
  <c r="A13" i="20"/>
  <c r="C12" i="20"/>
  <c r="AD61" i="20"/>
  <c r="AE61" i="20" s="1"/>
  <c r="AD166" i="20"/>
  <c r="AE166" i="20" s="1"/>
  <c r="AD165" i="20"/>
  <c r="AE165" i="20" s="1"/>
  <c r="AD160" i="20"/>
  <c r="AE160" i="20" s="1"/>
  <c r="AD113" i="20"/>
  <c r="AE113" i="20" s="1"/>
  <c r="AD159" i="20"/>
  <c r="AE159" i="20" s="1"/>
  <c r="AD114" i="20"/>
  <c r="AE114" i="20" s="1"/>
  <c r="AD115" i="20"/>
  <c r="AE115" i="20" s="1"/>
  <c r="AD116" i="20"/>
  <c r="AE116" i="20" s="1"/>
  <c r="AD117" i="20"/>
  <c r="AE117" i="20" s="1"/>
  <c r="AD118" i="20"/>
  <c r="AE118" i="20" s="1"/>
  <c r="AD156" i="20"/>
  <c r="AE156" i="20" s="1"/>
  <c r="AD155" i="20"/>
  <c r="AE155" i="20" s="1"/>
  <c r="BG106" i="7"/>
  <c r="BG107" i="7"/>
  <c r="E100" i="10"/>
  <c r="Z57" i="13"/>
  <c r="AA57" i="13" s="1"/>
  <c r="Z55" i="13"/>
  <c r="AA55" i="13" s="1"/>
  <c r="Z53" i="13"/>
  <c r="AA53" i="13" s="1"/>
  <c r="Z58" i="13"/>
  <c r="AA58" i="13" s="1"/>
  <c r="Z56" i="13"/>
  <c r="AA56" i="13" s="1"/>
  <c r="Z54" i="13"/>
  <c r="AA54" i="13" s="1"/>
  <c r="Y60" i="13"/>
  <c r="Z60" i="13" s="1"/>
  <c r="Y62" i="13"/>
  <c r="Z62" i="13" s="1"/>
  <c r="Y59" i="13"/>
  <c r="Z59" i="13" s="1"/>
  <c r="Z52" i="13"/>
  <c r="AA52" i="13" s="1"/>
  <c r="Y61" i="13"/>
  <c r="Z61" i="13" s="1"/>
  <c r="X61" i="13"/>
  <c r="Y57" i="13"/>
  <c r="Y51" i="13"/>
  <c r="A53" i="13"/>
  <c r="A54" i="13" s="1"/>
  <c r="A55" i="13" s="1"/>
  <c r="A56" i="13" s="1"/>
  <c r="A57" i="13" s="1"/>
  <c r="A58" i="13" s="1"/>
  <c r="Y50" i="13"/>
  <c r="BH107" i="7"/>
  <c r="BH106" i="7"/>
  <c r="V41" i="13"/>
  <c r="V40" i="13"/>
  <c r="G25" i="10"/>
  <c r="G53" i="10"/>
  <c r="F97" i="10"/>
  <c r="F50" i="10"/>
  <c r="F5" i="10"/>
  <c r="F83" i="10"/>
  <c r="G95" i="10"/>
  <c r="F76" i="10"/>
  <c r="F20" i="10"/>
  <c r="F28" i="10"/>
  <c r="F99" i="10"/>
  <c r="F67" i="10"/>
  <c r="G12" i="10"/>
  <c r="F57" i="10"/>
  <c r="G29" i="10"/>
  <c r="G7" i="10"/>
  <c r="F26" i="10"/>
  <c r="F75" i="10"/>
  <c r="AW61" i="7"/>
  <c r="AX61" i="7" s="1"/>
  <c r="G81" i="10"/>
  <c r="F79" i="10"/>
  <c r="F68" i="10"/>
  <c r="F46" i="10"/>
  <c r="F38" i="10"/>
  <c r="F27" i="10"/>
  <c r="G21" i="10"/>
  <c r="G15" i="10"/>
  <c r="F10" i="10"/>
  <c r="G6" i="10"/>
  <c r="AY88" i="7"/>
  <c r="AZ88" i="7" s="1"/>
  <c r="F98" i="10"/>
  <c r="G71" i="10"/>
  <c r="F61" i="10"/>
  <c r="F93" i="10"/>
  <c r="G88" i="10"/>
  <c r="F78" i="10"/>
  <c r="G37" i="10"/>
  <c r="G19" i="10"/>
  <c r="F13" i="10"/>
  <c r="F8" i="10"/>
  <c r="G96" i="10"/>
  <c r="F92" i="10"/>
  <c r="F70" i="10"/>
  <c r="F66" i="10"/>
  <c r="F55" i="10"/>
  <c r="F52" i="10"/>
  <c r="G42" i="10"/>
  <c r="G24" i="10"/>
  <c r="G18" i="10"/>
  <c r="G3" i="10"/>
  <c r="BD212" i="27" l="1"/>
  <c r="BD210" i="27"/>
  <c r="BD211" i="27"/>
  <c r="C211" i="27"/>
  <c r="A212" i="27"/>
  <c r="C212" i="27" s="1"/>
  <c r="W8" i="14"/>
  <c r="Z8" i="14" s="1"/>
  <c r="BD198" i="27"/>
  <c r="BD206" i="27"/>
  <c r="BD208" i="27"/>
  <c r="BD199" i="27"/>
  <c r="BD61" i="27"/>
  <c r="BA82" i="27"/>
  <c r="AZ189" i="27"/>
  <c r="AZ169" i="27"/>
  <c r="BA149" i="27"/>
  <c r="AZ58" i="27"/>
  <c r="AZ84" i="27"/>
  <c r="BA48" i="27"/>
  <c r="BA130" i="27"/>
  <c r="AZ46" i="27"/>
  <c r="AZ163" i="27"/>
  <c r="BA84" i="27"/>
  <c r="BA50" i="27"/>
  <c r="BA95" i="27"/>
  <c r="BA139" i="27"/>
  <c r="BA62" i="27"/>
  <c r="BA138" i="27"/>
  <c r="AZ73" i="27"/>
  <c r="BA14" i="27"/>
  <c r="AZ136" i="27"/>
  <c r="BA68" i="27"/>
  <c r="BA28" i="27"/>
  <c r="AZ188" i="27"/>
  <c r="AZ110" i="27"/>
  <c r="BA110" i="27"/>
  <c r="AZ16" i="27"/>
  <c r="AZ100" i="27"/>
  <c r="AZ183" i="27"/>
  <c r="BA59" i="27"/>
  <c r="AZ160" i="27"/>
  <c r="BA101" i="27"/>
  <c r="BA182" i="27"/>
  <c r="AZ57" i="27"/>
  <c r="BA160" i="27"/>
  <c r="AZ47" i="27"/>
  <c r="BA96" i="27"/>
  <c r="BA136" i="27"/>
  <c r="AZ94" i="27"/>
  <c r="AZ45" i="27"/>
  <c r="AZ95" i="27"/>
  <c r="AZ123" i="27"/>
  <c r="BA83" i="27"/>
  <c r="BA107" i="27"/>
  <c r="BA140" i="27"/>
  <c r="BA93" i="27"/>
  <c r="BA65" i="27"/>
  <c r="BA137" i="27"/>
  <c r="AZ144" i="27"/>
  <c r="AZ71" i="27"/>
  <c r="BA7" i="27"/>
  <c r="BA121" i="27"/>
  <c r="BA71" i="27"/>
  <c r="AZ190" i="27"/>
  <c r="AZ168" i="27"/>
  <c r="AZ150" i="27"/>
  <c r="AZ166" i="27"/>
  <c r="BA169" i="27"/>
  <c r="BA90" i="27"/>
  <c r="BA167" i="27"/>
  <c r="AZ177" i="27"/>
  <c r="AZ185" i="27"/>
  <c r="AZ117" i="27"/>
  <c r="BA23" i="27"/>
  <c r="BA176" i="27"/>
  <c r="BA184" i="27"/>
  <c r="BA127" i="27"/>
  <c r="BA119" i="27"/>
  <c r="BA45" i="27"/>
  <c r="BA66" i="27"/>
  <c r="AZ96" i="27"/>
  <c r="BA51" i="27"/>
  <c r="BA122" i="27"/>
  <c r="BA97" i="27"/>
  <c r="BA64" i="27"/>
  <c r="BA135" i="27"/>
  <c r="AZ146" i="27"/>
  <c r="AZ72" i="27"/>
  <c r="BA6" i="27"/>
  <c r="BA156" i="27"/>
  <c r="AZ65" i="27"/>
  <c r="AZ135" i="27"/>
  <c r="BA143" i="27"/>
  <c r="BA72" i="27"/>
  <c r="BA35" i="27"/>
  <c r="AZ5" i="27"/>
  <c r="BA89" i="27"/>
  <c r="AZ15" i="27"/>
  <c r="AZ186" i="27"/>
  <c r="BA177" i="27"/>
  <c r="BA185" i="27"/>
  <c r="BA129" i="27"/>
  <c r="BA114" i="27"/>
  <c r="AZ164" i="27"/>
  <c r="BA146" i="27"/>
  <c r="BA123" i="27"/>
  <c r="AZ69" i="27"/>
  <c r="BA4" i="27"/>
  <c r="BA190" i="27"/>
  <c r="BA157" i="27"/>
  <c r="AZ64" i="27"/>
  <c r="AZ126" i="27"/>
  <c r="BA144" i="27"/>
  <c r="BA69" i="27"/>
  <c r="AZ10" i="27"/>
  <c r="BA88" i="27"/>
  <c r="AZ91" i="27"/>
  <c r="AZ55" i="27"/>
  <c r="AZ179" i="27"/>
  <c r="AZ187" i="27"/>
  <c r="AZ127" i="27"/>
  <c r="AZ119" i="27"/>
  <c r="BA22" i="27"/>
  <c r="BA16" i="27"/>
  <c r="BA178" i="27"/>
  <c r="BA186" i="27"/>
  <c r="BA115" i="27"/>
  <c r="AZ122" i="27"/>
  <c r="BA13" i="27"/>
  <c r="BA70" i="27"/>
  <c r="AZ167" i="27"/>
  <c r="BA18" i="27"/>
  <c r="BA183" i="27"/>
  <c r="AZ92" i="27"/>
  <c r="BA94" i="27"/>
  <c r="AZ83" i="27"/>
  <c r="AZ50" i="27"/>
  <c r="AZ108" i="27"/>
  <c r="AZ93" i="27"/>
  <c r="BA46" i="27"/>
  <c r="BA164" i="27"/>
  <c r="BA60" i="27"/>
  <c r="AZ74" i="27"/>
  <c r="AZ36" i="27"/>
  <c r="AZ28" i="27"/>
  <c r="BA10" i="27"/>
  <c r="BA191" i="27"/>
  <c r="AZ60" i="27"/>
  <c r="BA145" i="27"/>
  <c r="BA73" i="27"/>
  <c r="BA36" i="27"/>
  <c r="AZ7" i="27"/>
  <c r="AZ90" i="27"/>
  <c r="AZ147" i="27"/>
  <c r="BA109" i="27"/>
  <c r="BA147" i="27"/>
  <c r="BA56" i="27"/>
  <c r="AZ159" i="27"/>
  <c r="AZ180" i="27"/>
  <c r="AZ128" i="27"/>
  <c r="AZ161" i="27"/>
  <c r="BA159" i="27"/>
  <c r="BA179" i="27"/>
  <c r="BA187" i="27"/>
  <c r="AZ85" i="27"/>
  <c r="BA141" i="27"/>
  <c r="BA120" i="27"/>
  <c r="AZ13" i="27"/>
  <c r="BA166" i="27"/>
  <c r="AZ116" i="27"/>
  <c r="BA100" i="27"/>
  <c r="AZ49" i="27"/>
  <c r="AZ142" i="27"/>
  <c r="AZ140" i="27"/>
  <c r="BA85" i="27"/>
  <c r="BA47" i="27"/>
  <c r="BA142" i="27"/>
  <c r="BA163" i="27"/>
  <c r="BA63" i="27"/>
  <c r="BA125" i="27"/>
  <c r="AZ121" i="27"/>
  <c r="AZ70" i="27"/>
  <c r="BA12" i="27"/>
  <c r="BA189" i="27"/>
  <c r="AZ98" i="27"/>
  <c r="AZ63" i="27"/>
  <c r="BA74" i="27"/>
  <c r="AZ12" i="27"/>
  <c r="AZ4" i="27"/>
  <c r="AZ56" i="27"/>
  <c r="BA111" i="27"/>
  <c r="BA148" i="27"/>
  <c r="BA54" i="27"/>
  <c r="AZ18" i="27"/>
  <c r="AZ181" i="27"/>
  <c r="BA57" i="27"/>
  <c r="BA15" i="27"/>
  <c r="BA158" i="27"/>
  <c r="BA180" i="27"/>
  <c r="BA128" i="27"/>
  <c r="BA117" i="27"/>
  <c r="BA92" i="27"/>
  <c r="AZ68" i="27"/>
  <c r="AZ111" i="27"/>
  <c r="BA168" i="27"/>
  <c r="AZ184" i="27"/>
  <c r="BA161" i="27"/>
  <c r="AZ99" i="27"/>
  <c r="BA98" i="27"/>
  <c r="BA99" i="27"/>
  <c r="BA49" i="27"/>
  <c r="BA108" i="27"/>
  <c r="BA162" i="27"/>
  <c r="BA67" i="27"/>
  <c r="BA126" i="27"/>
  <c r="AZ145" i="27"/>
  <c r="AZ81" i="27"/>
  <c r="BA11" i="27"/>
  <c r="BA5" i="27"/>
  <c r="BA188" i="27"/>
  <c r="AZ97" i="27"/>
  <c r="BA81" i="27"/>
  <c r="AZ11" i="27"/>
  <c r="AZ191" i="27"/>
  <c r="AZ157" i="27"/>
  <c r="AZ109" i="27"/>
  <c r="BA91" i="27"/>
  <c r="BA150" i="27"/>
  <c r="BA55" i="27"/>
  <c r="AZ182" i="27"/>
  <c r="BA58" i="27"/>
  <c r="BA181" i="27"/>
  <c r="AZ59" i="27"/>
  <c r="BA116" i="27"/>
  <c r="C18" i="27"/>
  <c r="BM134" i="7"/>
  <c r="BM78" i="7"/>
  <c r="BM102" i="7"/>
  <c r="BM133" i="7"/>
  <c r="BM87" i="7"/>
  <c r="BM76" i="7"/>
  <c r="BM86" i="7"/>
  <c r="BM75" i="7"/>
  <c r="BM77" i="7"/>
  <c r="BM80" i="7"/>
  <c r="BM132" i="7"/>
  <c r="BM131" i="7"/>
  <c r="BG68" i="7"/>
  <c r="U10" i="14"/>
  <c r="T10" i="14"/>
  <c r="S10" i="14"/>
  <c r="V10" i="14" s="1"/>
  <c r="Y8" i="14"/>
  <c r="BH68" i="7"/>
  <c r="Q10" i="14"/>
  <c r="O10" i="14"/>
  <c r="R10" i="14" s="1"/>
  <c r="P10" i="14"/>
  <c r="U4" i="14"/>
  <c r="T4" i="14"/>
  <c r="S4" i="14"/>
  <c r="V4" i="14" s="1"/>
  <c r="Q4" i="14"/>
  <c r="P4" i="14"/>
  <c r="O4" i="14"/>
  <c r="R4" i="14" s="1"/>
  <c r="Q7" i="14"/>
  <c r="P7" i="14"/>
  <c r="O7" i="14"/>
  <c r="R7" i="14" s="1"/>
  <c r="O5" i="14"/>
  <c r="R5" i="14" s="1"/>
  <c r="Q5" i="14"/>
  <c r="P5" i="14"/>
  <c r="T7" i="14"/>
  <c r="S7" i="14"/>
  <c r="V7" i="14" s="1"/>
  <c r="U7" i="14"/>
  <c r="O6" i="14"/>
  <c r="R6" i="14" s="1"/>
  <c r="P6" i="14"/>
  <c r="Q6" i="14"/>
  <c r="S5" i="14"/>
  <c r="V5" i="14" s="1"/>
  <c r="U5" i="14"/>
  <c r="T5" i="14"/>
  <c r="X8" i="14"/>
  <c r="U6" i="14"/>
  <c r="T6" i="14"/>
  <c r="S6" i="14"/>
  <c r="V6" i="14" s="1"/>
  <c r="BG4" i="7"/>
  <c r="BH4" i="7"/>
  <c r="BG49" i="7"/>
  <c r="BH49" i="7"/>
  <c r="BH10" i="7"/>
  <c r="AD28" i="22"/>
  <c r="AE28" i="22" s="1"/>
  <c r="AY28" i="7"/>
  <c r="AZ28" i="7" s="1"/>
  <c r="AW166" i="7"/>
  <c r="AX166" i="7" s="1"/>
  <c r="AW167" i="7"/>
  <c r="AX167" i="7" s="1"/>
  <c r="AW54" i="7"/>
  <c r="AX54" i="7" s="1"/>
  <c r="AW55" i="7"/>
  <c r="AX55" i="7" s="1"/>
  <c r="AW53" i="7"/>
  <c r="AW56" i="7"/>
  <c r="AX56" i="7" s="1"/>
  <c r="AW117" i="7"/>
  <c r="AX117" i="7" s="1"/>
  <c r="AW118" i="7"/>
  <c r="AX118" i="7" s="1"/>
  <c r="AW119" i="7"/>
  <c r="AX119" i="7" s="1"/>
  <c r="AW115" i="7"/>
  <c r="AX115" i="7" s="1"/>
  <c r="AW116" i="7"/>
  <c r="AX116" i="7" s="1"/>
  <c r="AW161" i="7"/>
  <c r="AX161" i="7" s="1"/>
  <c r="AW114" i="7"/>
  <c r="AX114" i="7" s="1"/>
  <c r="AW160" i="7"/>
  <c r="AX160" i="7" s="1"/>
  <c r="AW99" i="7"/>
  <c r="AX99" i="7" s="1"/>
  <c r="AW82" i="7"/>
  <c r="AX82" i="7" s="1"/>
  <c r="AW83" i="7"/>
  <c r="AX83" i="7" s="1"/>
  <c r="AW84" i="7"/>
  <c r="AX84" i="7" s="1"/>
  <c r="AW85" i="7"/>
  <c r="AX85" i="7" s="1"/>
  <c r="AY100" i="7"/>
  <c r="AZ100" i="7" s="1"/>
  <c r="AY101" i="7"/>
  <c r="AZ101" i="7" s="1"/>
  <c r="AW141" i="7"/>
  <c r="AX141" i="7" s="1"/>
  <c r="AW142" i="7"/>
  <c r="AX142" i="7" s="1"/>
  <c r="AW107" i="7"/>
  <c r="AX107" i="7" s="1"/>
  <c r="AW123" i="7"/>
  <c r="AX123" i="7" s="1"/>
  <c r="AW139" i="7"/>
  <c r="AX139" i="7" s="1"/>
  <c r="AW163" i="7"/>
  <c r="AX163" i="7" s="1"/>
  <c r="AW140" i="7"/>
  <c r="AX140" i="7" s="1"/>
  <c r="AW122" i="7"/>
  <c r="AX122" i="7" s="1"/>
  <c r="AW170" i="7"/>
  <c r="AW108" i="7"/>
  <c r="AX108" i="7" s="1"/>
  <c r="AW106" i="7"/>
  <c r="AX106" i="7" s="1"/>
  <c r="AW95" i="7"/>
  <c r="AX95" i="7" s="1"/>
  <c r="AW130" i="7"/>
  <c r="AX130" i="7" s="1"/>
  <c r="AW164" i="7"/>
  <c r="AX164" i="7" s="1"/>
  <c r="AW124" i="7"/>
  <c r="AW96" i="7"/>
  <c r="AX96" i="7" s="1"/>
  <c r="AW162" i="7"/>
  <c r="AX162" i="7" s="1"/>
  <c r="AW18" i="7"/>
  <c r="AX18" i="7" s="1"/>
  <c r="AW195" i="7"/>
  <c r="AW16" i="7"/>
  <c r="AX16" i="7" s="1"/>
  <c r="AW17" i="7"/>
  <c r="AX17" i="7" s="1"/>
  <c r="AW26" i="7"/>
  <c r="AX26" i="7" s="1"/>
  <c r="AW22" i="7"/>
  <c r="AX22" i="7" s="1"/>
  <c r="AW23" i="7"/>
  <c r="AX23" i="7" s="1"/>
  <c r="AW192" i="7"/>
  <c r="AW19" i="7"/>
  <c r="AX19" i="7" s="1"/>
  <c r="AW27" i="7"/>
  <c r="AX27" i="7" s="1"/>
  <c r="AW193" i="7"/>
  <c r="AW20" i="7"/>
  <c r="AX20" i="7" s="1"/>
  <c r="AW21" i="7"/>
  <c r="AX21" i="7" s="1"/>
  <c r="AW196" i="7"/>
  <c r="AW194" i="7"/>
  <c r="AW15" i="7"/>
  <c r="AX15" i="7" s="1"/>
  <c r="AW25" i="7"/>
  <c r="AW24" i="7"/>
  <c r="AY91" i="7"/>
  <c r="AZ91" i="7" s="1"/>
  <c r="AY147" i="7"/>
  <c r="AZ147" i="7" s="1"/>
  <c r="AY148" i="7"/>
  <c r="AZ148" i="7" s="1"/>
  <c r="AY109" i="7"/>
  <c r="AZ109" i="7" s="1"/>
  <c r="AY149" i="7"/>
  <c r="AZ149" i="7" s="1"/>
  <c r="AY89" i="7"/>
  <c r="AZ89" i="7" s="1"/>
  <c r="AY113" i="7"/>
  <c r="AZ113" i="7" s="1"/>
  <c r="AY111" i="7"/>
  <c r="AZ111" i="7" s="1"/>
  <c r="AY150" i="7"/>
  <c r="AZ150" i="7" s="1"/>
  <c r="AY110" i="7"/>
  <c r="AZ110" i="7" s="1"/>
  <c r="AY90" i="7"/>
  <c r="AZ90" i="7" s="1"/>
  <c r="AY112" i="7"/>
  <c r="AY179" i="7"/>
  <c r="AZ179" i="7" s="1"/>
  <c r="AY187" i="7"/>
  <c r="AZ187" i="7" s="1"/>
  <c r="AY180" i="7"/>
  <c r="AZ180" i="7" s="1"/>
  <c r="AY181" i="7"/>
  <c r="AZ181" i="7" s="1"/>
  <c r="AY177" i="7"/>
  <c r="AZ177" i="7" s="1"/>
  <c r="AY185" i="7"/>
  <c r="AZ185" i="7" s="1"/>
  <c r="AY183" i="7"/>
  <c r="AZ183" i="7" s="1"/>
  <c r="AY176" i="7"/>
  <c r="AZ176" i="7" s="1"/>
  <c r="AY178" i="7"/>
  <c r="AZ178" i="7" s="1"/>
  <c r="AY186" i="7"/>
  <c r="AZ186" i="7" s="1"/>
  <c r="AY182" i="7"/>
  <c r="AZ182" i="7" s="1"/>
  <c r="AY184" i="7"/>
  <c r="AZ184" i="7" s="1"/>
  <c r="AW97" i="7"/>
  <c r="AX97" i="7" s="1"/>
  <c r="AW98" i="7"/>
  <c r="AX98" i="7" s="1"/>
  <c r="AW197" i="7"/>
  <c r="AW155" i="7"/>
  <c r="AX155" i="7" s="1"/>
  <c r="AW145" i="7"/>
  <c r="AX145" i="7" s="1"/>
  <c r="AW146" i="7"/>
  <c r="AX146" i="7" s="1"/>
  <c r="AW143" i="7"/>
  <c r="AX143" i="7" s="1"/>
  <c r="AW154" i="7"/>
  <c r="AW144" i="7"/>
  <c r="AX144" i="7" s="1"/>
  <c r="AY35" i="7"/>
  <c r="AZ35" i="7" s="1"/>
  <c r="AY43" i="7"/>
  <c r="AZ43" i="7" s="1"/>
  <c r="AY36" i="7"/>
  <c r="AZ36" i="7" s="1"/>
  <c r="AY44" i="7"/>
  <c r="AZ44" i="7" s="1"/>
  <c r="AY29" i="7"/>
  <c r="AZ29" i="7" s="1"/>
  <c r="AY37" i="7"/>
  <c r="AZ37" i="7" s="1"/>
  <c r="AY33" i="7"/>
  <c r="AZ33" i="7" s="1"/>
  <c r="AY41" i="7"/>
  <c r="AZ41" i="7" s="1"/>
  <c r="AY42" i="7"/>
  <c r="AZ42" i="7" s="1"/>
  <c r="AY30" i="7"/>
  <c r="AZ30" i="7" s="1"/>
  <c r="AY38" i="7"/>
  <c r="AZ38" i="7" s="1"/>
  <c r="AY31" i="7"/>
  <c r="AZ31" i="7" s="1"/>
  <c r="AY34" i="7"/>
  <c r="AZ34" i="7" s="1"/>
  <c r="AY40" i="7"/>
  <c r="AZ40" i="7" s="1"/>
  <c r="AY32" i="7"/>
  <c r="AZ32" i="7" s="1"/>
  <c r="AY39" i="7"/>
  <c r="AZ39" i="7" s="1"/>
  <c r="AY59" i="7"/>
  <c r="AZ59" i="7" s="1"/>
  <c r="AY57" i="7"/>
  <c r="AZ57" i="7" s="1"/>
  <c r="AY58" i="7"/>
  <c r="AZ58" i="7" s="1"/>
  <c r="AY51" i="7"/>
  <c r="AZ51" i="7" s="1"/>
  <c r="AY52" i="7"/>
  <c r="AZ52" i="7" s="1"/>
  <c r="AY45" i="7"/>
  <c r="AZ45" i="7" s="1"/>
  <c r="AY173" i="7"/>
  <c r="AZ173" i="7" s="1"/>
  <c r="AY49" i="7"/>
  <c r="AZ49" i="7" s="1"/>
  <c r="AY174" i="7"/>
  <c r="AZ174" i="7" s="1"/>
  <c r="AY48" i="7"/>
  <c r="AZ48" i="7" s="1"/>
  <c r="AY46" i="7"/>
  <c r="AZ46" i="7" s="1"/>
  <c r="AY47" i="7"/>
  <c r="AZ47" i="7" s="1"/>
  <c r="AY50" i="7"/>
  <c r="AZ50" i="7" s="1"/>
  <c r="AY67" i="7"/>
  <c r="AZ67" i="7" s="1"/>
  <c r="AY60" i="7"/>
  <c r="AZ60" i="7" s="1"/>
  <c r="AY125" i="7"/>
  <c r="AZ125" i="7" s="1"/>
  <c r="AY65" i="7"/>
  <c r="AZ65" i="7" s="1"/>
  <c r="AY137" i="7"/>
  <c r="AZ137" i="7" s="1"/>
  <c r="AY66" i="7"/>
  <c r="AZ66" i="7" s="1"/>
  <c r="AY94" i="7"/>
  <c r="AZ94" i="7" s="1"/>
  <c r="AY126" i="7"/>
  <c r="AZ126" i="7" s="1"/>
  <c r="AY62" i="7"/>
  <c r="AZ62" i="7" s="1"/>
  <c r="AY175" i="7"/>
  <c r="AY63" i="7"/>
  <c r="AZ63" i="7" s="1"/>
  <c r="AY64" i="7"/>
  <c r="AZ64" i="7" s="1"/>
  <c r="AY135" i="7"/>
  <c r="AZ135" i="7" s="1"/>
  <c r="AY136" i="7"/>
  <c r="AZ136" i="7" s="1"/>
  <c r="AY138" i="7"/>
  <c r="AZ138" i="7" s="1"/>
  <c r="AW168" i="7"/>
  <c r="AX168" i="7" s="1"/>
  <c r="AW169" i="7"/>
  <c r="AX169" i="7" s="1"/>
  <c r="AW158" i="7"/>
  <c r="AX158" i="7" s="1"/>
  <c r="AW159" i="7"/>
  <c r="AX159" i="7" s="1"/>
  <c r="AW93" i="7"/>
  <c r="AX93" i="7" s="1"/>
  <c r="AW92" i="7"/>
  <c r="AX92" i="7" s="1"/>
  <c r="AW157" i="7"/>
  <c r="AX157" i="7" s="1"/>
  <c r="AW156" i="7"/>
  <c r="AX156" i="7" s="1"/>
  <c r="W41" i="13"/>
  <c r="X41" i="13" s="1"/>
  <c r="AY165" i="7"/>
  <c r="AZ165" i="7" s="1"/>
  <c r="AY105" i="7"/>
  <c r="AZ105" i="7" s="1"/>
  <c r="AY129" i="7"/>
  <c r="AZ129" i="7" s="1"/>
  <c r="AY103" i="7"/>
  <c r="AZ103" i="7" s="1"/>
  <c r="AY104" i="7"/>
  <c r="AZ104" i="7" s="1"/>
  <c r="AY127" i="7"/>
  <c r="AZ127" i="7" s="1"/>
  <c r="AY128" i="7"/>
  <c r="AZ128" i="7" s="1"/>
  <c r="AY121" i="7"/>
  <c r="AZ121" i="7" s="1"/>
  <c r="BI121" i="7" s="1"/>
  <c r="BM121" i="7" s="1"/>
  <c r="AY120" i="7"/>
  <c r="AZ120" i="7" s="1"/>
  <c r="AY68" i="7"/>
  <c r="AZ68" i="7" s="1"/>
  <c r="AY172" i="7"/>
  <c r="AY69" i="7"/>
  <c r="AZ69" i="7" s="1"/>
  <c r="AY73" i="7"/>
  <c r="AZ73" i="7" s="1"/>
  <c r="AY81" i="7"/>
  <c r="AZ81" i="7" s="1"/>
  <c r="AY171" i="7"/>
  <c r="AY74" i="7"/>
  <c r="AZ74" i="7" s="1"/>
  <c r="AY72" i="7"/>
  <c r="AZ72" i="7" s="1"/>
  <c r="AY70" i="7"/>
  <c r="AZ70" i="7" s="1"/>
  <c r="AY71" i="7"/>
  <c r="AZ71" i="7" s="1"/>
  <c r="AY3" i="7"/>
  <c r="AZ3" i="7" s="1"/>
  <c r="AY11" i="7"/>
  <c r="AZ11" i="7" s="1"/>
  <c r="BI11" i="7" s="1"/>
  <c r="BM11" i="7" s="1"/>
  <c r="AY4" i="7"/>
  <c r="AZ4" i="7" s="1"/>
  <c r="AY12" i="7"/>
  <c r="AZ12" i="7" s="1"/>
  <c r="AY188" i="7"/>
  <c r="AZ188" i="7" s="1"/>
  <c r="AY5" i="7"/>
  <c r="AZ5" i="7" s="1"/>
  <c r="AY13" i="7"/>
  <c r="AZ13" i="7" s="1"/>
  <c r="AY189" i="7"/>
  <c r="AZ189" i="7" s="1"/>
  <c r="AY9" i="7"/>
  <c r="AZ9" i="7" s="1"/>
  <c r="AY10" i="7"/>
  <c r="AZ10" i="7" s="1"/>
  <c r="AY190" i="7"/>
  <c r="AZ190" i="7" s="1"/>
  <c r="AY6" i="7"/>
  <c r="AZ6" i="7" s="1"/>
  <c r="AY7" i="7"/>
  <c r="AZ7" i="7" s="1"/>
  <c r="AY14" i="7"/>
  <c r="AZ14" i="7" s="1"/>
  <c r="AY191" i="7"/>
  <c r="AZ191" i="7" s="1"/>
  <c r="AY2" i="7"/>
  <c r="AZ2" i="7" s="1"/>
  <c r="AY8" i="7"/>
  <c r="AZ8" i="7" s="1"/>
  <c r="BJ165" i="7"/>
  <c r="BI161" i="7"/>
  <c r="BI159" i="7"/>
  <c r="BJ188" i="7"/>
  <c r="BI164" i="7"/>
  <c r="BI160" i="7"/>
  <c r="BJ185" i="7"/>
  <c r="BJ183" i="7"/>
  <c r="BJ71" i="7"/>
  <c r="BJ135" i="7"/>
  <c r="BJ69" i="7"/>
  <c r="BJ137" i="7"/>
  <c r="BJ35" i="7"/>
  <c r="BJ4" i="7"/>
  <c r="BI157" i="7"/>
  <c r="BJ177" i="7"/>
  <c r="BJ179" i="7"/>
  <c r="BI106" i="7"/>
  <c r="BI124" i="7"/>
  <c r="BI107" i="7"/>
  <c r="BI99" i="7"/>
  <c r="BI145" i="7"/>
  <c r="BI22" i="7"/>
  <c r="BI55" i="7"/>
  <c r="BI168" i="7"/>
  <c r="BI15" i="7"/>
  <c r="BI97" i="7"/>
  <c r="BJ184" i="7"/>
  <c r="BI17" i="7"/>
  <c r="BJ60" i="7"/>
  <c r="BJ94" i="7"/>
  <c r="BJ180" i="7"/>
  <c r="BJ10" i="7"/>
  <c r="BJ189" i="7"/>
  <c r="BJ186" i="7"/>
  <c r="BJ5" i="7"/>
  <c r="BI114" i="7"/>
  <c r="BI16" i="7"/>
  <c r="BJ70" i="7"/>
  <c r="BI85" i="7"/>
  <c r="BJ127" i="7"/>
  <c r="BI82" i="7"/>
  <c r="BJ12" i="7"/>
  <c r="BI119" i="7"/>
  <c r="BJ181" i="7"/>
  <c r="BI56" i="7"/>
  <c r="BJ125" i="7"/>
  <c r="BJ74" i="7"/>
  <c r="BJ128" i="7"/>
  <c r="BJ147" i="7"/>
  <c r="BJ13" i="7"/>
  <c r="BI156" i="7"/>
  <c r="BI117" i="7"/>
  <c r="BJ182" i="7"/>
  <c r="BI96" i="7"/>
  <c r="BI23" i="7"/>
  <c r="BI54" i="7"/>
  <c r="BI169" i="7"/>
  <c r="BI108" i="7"/>
  <c r="BI140" i="7"/>
  <c r="BJ51" i="7"/>
  <c r="BJ58" i="7"/>
  <c r="BI92" i="7"/>
  <c r="BJ138" i="7"/>
  <c r="BJ64" i="7"/>
  <c r="BJ36" i="7"/>
  <c r="BJ73" i="7"/>
  <c r="BJ50" i="7"/>
  <c r="BJ190" i="7"/>
  <c r="BI93" i="7"/>
  <c r="BJ129" i="7"/>
  <c r="BI115" i="7"/>
  <c r="BI158" i="7"/>
  <c r="BJ126" i="7"/>
  <c r="BJ100" i="7"/>
  <c r="BJ176" i="7"/>
  <c r="BI141" i="7"/>
  <c r="BI123" i="7"/>
  <c r="BI139" i="7"/>
  <c r="BJ47" i="7"/>
  <c r="BI167" i="7"/>
  <c r="BI163" i="7"/>
  <c r="BI146" i="7"/>
  <c r="BJ149" i="7"/>
  <c r="BJ49" i="7"/>
  <c r="BJ66" i="7"/>
  <c r="BJ14" i="7"/>
  <c r="BJ6" i="7"/>
  <c r="BJ65" i="7"/>
  <c r="BJ111" i="7"/>
  <c r="BI166" i="7"/>
  <c r="BJ187" i="7"/>
  <c r="BI84" i="7"/>
  <c r="BI18" i="7"/>
  <c r="BJ81" i="7"/>
  <c r="BJ91" i="7"/>
  <c r="BJ28" i="7"/>
  <c r="BJ90" i="7"/>
  <c r="BJ148" i="7"/>
  <c r="BJ150" i="7"/>
  <c r="BJ59" i="7"/>
  <c r="BJ45" i="7"/>
  <c r="BJ67" i="7"/>
  <c r="BJ110" i="7"/>
  <c r="BJ136" i="7"/>
  <c r="BJ109" i="7"/>
  <c r="BJ57" i="7"/>
  <c r="BJ68" i="7"/>
  <c r="BJ52" i="7"/>
  <c r="BJ191" i="7"/>
  <c r="BI116" i="7"/>
  <c r="BJ178" i="7"/>
  <c r="BI142" i="7"/>
  <c r="BI162" i="7"/>
  <c r="BI143" i="7"/>
  <c r="BI98" i="7"/>
  <c r="BI122" i="7"/>
  <c r="BJ63" i="7"/>
  <c r="BJ62" i="7"/>
  <c r="BJ72" i="7"/>
  <c r="BI83" i="7"/>
  <c r="BJ120" i="7"/>
  <c r="BJ7" i="7"/>
  <c r="BJ46" i="7"/>
  <c r="BI144" i="7"/>
  <c r="BI19" i="7"/>
  <c r="BJ101" i="7"/>
  <c r="BJ88" i="7"/>
  <c r="BI130" i="7"/>
  <c r="BJ48" i="7"/>
  <c r="BJ89" i="7"/>
  <c r="BI61" i="7"/>
  <c r="AD76" i="22"/>
  <c r="AE76" i="22" s="1"/>
  <c r="AD75" i="22"/>
  <c r="AE75" i="22" s="1"/>
  <c r="AD74" i="22"/>
  <c r="AE74" i="22" s="1"/>
  <c r="AD73" i="22"/>
  <c r="AE73" i="22" s="1"/>
  <c r="AD13" i="22"/>
  <c r="AE13" i="22" s="1"/>
  <c r="AD14" i="22"/>
  <c r="AE14" i="22" s="1"/>
  <c r="AD2" i="22"/>
  <c r="AE2" i="22" s="1"/>
  <c r="AD9" i="22"/>
  <c r="AE9" i="22" s="1"/>
  <c r="AD10" i="22"/>
  <c r="AE10" i="22" s="1"/>
  <c r="AD8" i="22"/>
  <c r="AE8" i="22" s="1"/>
  <c r="AD3" i="22"/>
  <c r="AE3" i="22" s="1"/>
  <c r="AD12" i="22"/>
  <c r="AE12" i="22" s="1"/>
  <c r="AD7" i="22"/>
  <c r="AE7" i="22" s="1"/>
  <c r="AD4" i="22"/>
  <c r="AE4" i="22" s="1"/>
  <c r="AD5" i="22"/>
  <c r="AE5" i="22" s="1"/>
  <c r="AD11" i="22"/>
  <c r="AE11" i="22" s="1"/>
  <c r="AD6" i="22"/>
  <c r="AE6" i="22" s="1"/>
  <c r="C10" i="22"/>
  <c r="A11" i="22"/>
  <c r="AB54" i="22"/>
  <c r="AC54" i="22" s="1"/>
  <c r="AB55" i="22"/>
  <c r="AC55" i="22" s="1"/>
  <c r="AB53" i="22"/>
  <c r="AC53" i="22" s="1"/>
  <c r="AB56" i="22"/>
  <c r="AC56" i="22" s="1"/>
  <c r="AB21" i="22"/>
  <c r="AC21" i="22" s="1"/>
  <c r="AB23" i="22"/>
  <c r="AC23" i="22" s="1"/>
  <c r="AB25" i="22"/>
  <c r="AC25" i="22" s="1"/>
  <c r="AB15" i="22"/>
  <c r="AC15" i="22" s="1"/>
  <c r="Y4" i="21" s="1"/>
  <c r="AB24" i="22"/>
  <c r="AC24" i="22" s="1"/>
  <c r="AB26" i="22"/>
  <c r="AC26" i="22" s="1"/>
  <c r="AB20" i="22"/>
  <c r="AC20" i="22" s="1"/>
  <c r="AB27" i="22"/>
  <c r="AC27" i="22" s="1"/>
  <c r="AB19" i="22"/>
  <c r="AC19" i="22" s="1"/>
  <c r="AB17" i="22"/>
  <c r="AC17" i="22" s="1"/>
  <c r="AB18" i="22"/>
  <c r="AC18" i="22" s="1"/>
  <c r="AB22" i="22"/>
  <c r="AC22" i="22" s="1"/>
  <c r="AB16" i="22"/>
  <c r="AC16" i="22" s="1"/>
  <c r="AD72" i="22"/>
  <c r="AE72" i="22" s="1"/>
  <c r="AD71" i="22"/>
  <c r="AE71" i="22" s="1"/>
  <c r="AD70" i="22"/>
  <c r="AE70" i="22" s="1"/>
  <c r="AD69" i="22"/>
  <c r="AE69" i="22" s="1"/>
  <c r="AD68" i="22"/>
  <c r="AE68" i="22" s="1"/>
  <c r="AD67" i="22"/>
  <c r="AE67" i="22" s="1"/>
  <c r="AD66" i="22"/>
  <c r="AE66" i="22" s="1"/>
  <c r="AD65" i="22"/>
  <c r="AE65" i="22" s="1"/>
  <c r="AD64" i="22"/>
  <c r="AE64" i="22" s="1"/>
  <c r="AD63" i="22"/>
  <c r="AE63" i="22" s="1"/>
  <c r="AD62" i="22"/>
  <c r="AE62" i="22" s="1"/>
  <c r="AD61" i="22"/>
  <c r="AE61" i="22" s="1"/>
  <c r="AD60" i="22"/>
  <c r="AE60" i="22" s="1"/>
  <c r="AD51" i="22"/>
  <c r="AE51" i="22" s="1"/>
  <c r="AD47" i="22"/>
  <c r="AE47" i="22" s="1"/>
  <c r="AD52" i="22"/>
  <c r="AE52" i="22" s="1"/>
  <c r="AD48" i="22"/>
  <c r="AE48" i="22" s="1"/>
  <c r="AD49" i="22"/>
  <c r="AE49" i="22" s="1"/>
  <c r="AD45" i="22"/>
  <c r="AE45" i="22" s="1"/>
  <c r="AD46" i="22"/>
  <c r="AE46" i="22" s="1"/>
  <c r="AD50" i="22"/>
  <c r="AE50" i="22" s="1"/>
  <c r="AD44" i="22"/>
  <c r="AE44" i="22" s="1"/>
  <c r="AD43" i="22"/>
  <c r="AE43" i="22" s="1"/>
  <c r="AD42" i="22"/>
  <c r="AE42" i="22" s="1"/>
  <c r="AD41" i="22"/>
  <c r="AE41" i="22" s="1"/>
  <c r="AD40" i="22"/>
  <c r="AE40" i="22" s="1"/>
  <c r="AD39" i="22"/>
  <c r="AE39" i="22" s="1"/>
  <c r="AD38" i="22"/>
  <c r="AE38" i="22" s="1"/>
  <c r="AD37" i="22"/>
  <c r="AE37" i="22" s="1"/>
  <c r="AD34" i="22"/>
  <c r="AE34" i="22" s="1"/>
  <c r="AD32" i="22"/>
  <c r="AE32" i="22" s="1"/>
  <c r="AD29" i="22"/>
  <c r="AE29" i="22" s="1"/>
  <c r="AD31" i="22"/>
  <c r="AE31" i="22" s="1"/>
  <c r="AD36" i="22"/>
  <c r="AE36" i="22" s="1"/>
  <c r="AD33" i="22"/>
  <c r="AE33" i="22" s="1"/>
  <c r="AD30" i="22"/>
  <c r="AE30" i="22" s="1"/>
  <c r="AD35" i="22"/>
  <c r="AE35" i="22" s="1"/>
  <c r="AD58" i="22"/>
  <c r="AE58" i="22" s="1"/>
  <c r="AD59" i="22"/>
  <c r="AE59" i="22" s="1"/>
  <c r="AD57" i="22"/>
  <c r="AE57" i="22" s="1"/>
  <c r="G4" i="21"/>
  <c r="AD173" i="20"/>
  <c r="AE173" i="20" s="1"/>
  <c r="J4" i="21"/>
  <c r="AB166" i="20"/>
  <c r="AC166" i="20" s="1"/>
  <c r="AB165" i="20"/>
  <c r="AC165" i="20" s="1"/>
  <c r="F74" i="10"/>
  <c r="AD172" i="20"/>
  <c r="AE172" i="20" s="1"/>
  <c r="AD52" i="20"/>
  <c r="AE52" i="20" s="1"/>
  <c r="AD51" i="20"/>
  <c r="AE51" i="20" s="1"/>
  <c r="AD50" i="20"/>
  <c r="AE50" i="20" s="1"/>
  <c r="AD49" i="20"/>
  <c r="AE49" i="20" s="1"/>
  <c r="AD48" i="20"/>
  <c r="AE48" i="20" s="1"/>
  <c r="AD47" i="20"/>
  <c r="AE47" i="20" s="1"/>
  <c r="AD46" i="20"/>
  <c r="AE46" i="20" s="1"/>
  <c r="AD45" i="20"/>
  <c r="AE45" i="20" s="1"/>
  <c r="AD174" i="20"/>
  <c r="AE174" i="20" s="1"/>
  <c r="AD136" i="20"/>
  <c r="AE136" i="20" s="1"/>
  <c r="AD124" i="20"/>
  <c r="AE124" i="20" s="1"/>
  <c r="AD123" i="20"/>
  <c r="AE123" i="20" s="1"/>
  <c r="AD133" i="20"/>
  <c r="AE133" i="20" s="1"/>
  <c r="AD134" i="20"/>
  <c r="AE134" i="20" s="1"/>
  <c r="AD135" i="20"/>
  <c r="AE135" i="20" s="1"/>
  <c r="AD67" i="20"/>
  <c r="AE67" i="20" s="1"/>
  <c r="AD66" i="20"/>
  <c r="AE66" i="20" s="1"/>
  <c r="AD65" i="20"/>
  <c r="AE65" i="20" s="1"/>
  <c r="AD64" i="20"/>
  <c r="AE64" i="20" s="1"/>
  <c r="AD63" i="20"/>
  <c r="AE63" i="20" s="1"/>
  <c r="AD62" i="20"/>
  <c r="AE62" i="20" s="1"/>
  <c r="AD93" i="20"/>
  <c r="AE93" i="20" s="1"/>
  <c r="AD60" i="20"/>
  <c r="AE60" i="20" s="1"/>
  <c r="AB55" i="20"/>
  <c r="AC55" i="20" s="1"/>
  <c r="AB56" i="20"/>
  <c r="AC56" i="20" s="1"/>
  <c r="AB54" i="20"/>
  <c r="AC54" i="20" s="1"/>
  <c r="AB53" i="20"/>
  <c r="AC53" i="20" s="1"/>
  <c r="A14" i="20"/>
  <c r="C13" i="20"/>
  <c r="AB168" i="20"/>
  <c r="AC168" i="20" s="1"/>
  <c r="AB167" i="20"/>
  <c r="AC167" i="20" s="1"/>
  <c r="AB91" i="20"/>
  <c r="AC91" i="20" s="1"/>
  <c r="AB92" i="20"/>
  <c r="AC92" i="20" s="1"/>
  <c r="G30" i="10"/>
  <c r="AB155" i="20"/>
  <c r="AC155" i="20" s="1"/>
  <c r="AB156" i="20"/>
  <c r="AC156" i="20" s="1"/>
  <c r="AB61" i="20"/>
  <c r="AC61" i="20" s="1"/>
  <c r="G90" i="10"/>
  <c r="AD164" i="20"/>
  <c r="AE164" i="20" s="1"/>
  <c r="AD125" i="20"/>
  <c r="AE125" i="20" s="1"/>
  <c r="AD126" i="20"/>
  <c r="AE126" i="20" s="1"/>
  <c r="AD127" i="20"/>
  <c r="AE127" i="20" s="1"/>
  <c r="AD103" i="20"/>
  <c r="AE103" i="20" s="1"/>
  <c r="AD102" i="20"/>
  <c r="AE102" i="20" s="1"/>
  <c r="AD104" i="20"/>
  <c r="AE104" i="20" s="1"/>
  <c r="G36" i="10"/>
  <c r="AD119" i="20"/>
  <c r="AE119" i="20" s="1"/>
  <c r="AD170" i="20"/>
  <c r="AE170" i="20" s="1"/>
  <c r="AD171" i="20"/>
  <c r="AE171" i="20" s="1"/>
  <c r="AD68" i="20"/>
  <c r="AE68" i="20" s="1"/>
  <c r="AD69" i="20"/>
  <c r="AE69" i="20" s="1"/>
  <c r="AD70" i="20"/>
  <c r="AE70" i="20" s="1"/>
  <c r="AD71" i="20"/>
  <c r="AE71" i="20" s="1"/>
  <c r="AD80" i="20"/>
  <c r="AE80" i="20" s="1"/>
  <c r="AD72" i="20"/>
  <c r="AE72" i="20" s="1"/>
  <c r="AD73" i="20"/>
  <c r="AE73" i="20" s="1"/>
  <c r="AD74" i="20"/>
  <c r="AE74" i="20" s="1"/>
  <c r="G22" i="10"/>
  <c r="AD190" i="20"/>
  <c r="AE190" i="20" s="1"/>
  <c r="AD189" i="20"/>
  <c r="AE189" i="20" s="1"/>
  <c r="AD188" i="20"/>
  <c r="AE188" i="20" s="1"/>
  <c r="AD187" i="20"/>
  <c r="AE187" i="20" s="1"/>
  <c r="AD8" i="20"/>
  <c r="AE8" i="20" s="1"/>
  <c r="AD13" i="20"/>
  <c r="AE13" i="20" s="1"/>
  <c r="AD2" i="20"/>
  <c r="AE2" i="20" s="1"/>
  <c r="AD4" i="20"/>
  <c r="AE4" i="20" s="1"/>
  <c r="AD14" i="20"/>
  <c r="AE14" i="20" s="1"/>
  <c r="AD11" i="20"/>
  <c r="AE11" i="20" s="1"/>
  <c r="AD3" i="20"/>
  <c r="AE3" i="20" s="1"/>
  <c r="AD5" i="20"/>
  <c r="AE5" i="20" s="1"/>
  <c r="AD10" i="20"/>
  <c r="AE10" i="20" s="1"/>
  <c r="AD12" i="20"/>
  <c r="AE12" i="20" s="1"/>
  <c r="AD7" i="20"/>
  <c r="AE7" i="20" s="1"/>
  <c r="AD9" i="20"/>
  <c r="AE9" i="20" s="1"/>
  <c r="AD6" i="20"/>
  <c r="AE6" i="20" s="1"/>
  <c r="G43" i="10"/>
  <c r="AB158" i="20"/>
  <c r="AC158" i="20" s="1"/>
  <c r="AB157" i="20"/>
  <c r="AC157" i="20" s="1"/>
  <c r="G31" i="10"/>
  <c r="AD87" i="20"/>
  <c r="AE87" i="20" s="1"/>
  <c r="AB160" i="20"/>
  <c r="AC160" i="20" s="1"/>
  <c r="AB117" i="20"/>
  <c r="AC117" i="20" s="1"/>
  <c r="AB118" i="20"/>
  <c r="AC118" i="20" s="1"/>
  <c r="AB113" i="20"/>
  <c r="AC113" i="20" s="1"/>
  <c r="AB159" i="20"/>
  <c r="AC159" i="20" s="1"/>
  <c r="AB114" i="20"/>
  <c r="AC114" i="20" s="1"/>
  <c r="AB116" i="20"/>
  <c r="AC116" i="20" s="1"/>
  <c r="AB115" i="20"/>
  <c r="AC115" i="20" s="1"/>
  <c r="AD99" i="20"/>
  <c r="AE99" i="20" s="1"/>
  <c r="AD100" i="20"/>
  <c r="AE100" i="20" s="1"/>
  <c r="AB163" i="20"/>
  <c r="AC163" i="20" s="1"/>
  <c r="AB162" i="20"/>
  <c r="AC162" i="20" s="1"/>
  <c r="AB161" i="20"/>
  <c r="AC161" i="20" s="1"/>
  <c r="AB107" i="20"/>
  <c r="AC107" i="20" s="1"/>
  <c r="AB105" i="20"/>
  <c r="AC105" i="20" s="1"/>
  <c r="AB128" i="20"/>
  <c r="AC128" i="20" s="1"/>
  <c r="AB137" i="20"/>
  <c r="AC137" i="20" s="1"/>
  <c r="AB138" i="20"/>
  <c r="AC138" i="20" s="1"/>
  <c r="AB139" i="20"/>
  <c r="AC139" i="20" s="1"/>
  <c r="AB120" i="20"/>
  <c r="AC120" i="20" s="1"/>
  <c r="AB140" i="20"/>
  <c r="AC140" i="20" s="1"/>
  <c r="AB169" i="20"/>
  <c r="AC169" i="20" s="1"/>
  <c r="AB106" i="20"/>
  <c r="AC106" i="20" s="1"/>
  <c r="AB122" i="20"/>
  <c r="AC122" i="20" s="1"/>
  <c r="AB95" i="20"/>
  <c r="AC95" i="20" s="1"/>
  <c r="AB94" i="20"/>
  <c r="AC94" i="20" s="1"/>
  <c r="AB121" i="20"/>
  <c r="AC121" i="20" s="1"/>
  <c r="G73" i="10"/>
  <c r="AD146" i="20"/>
  <c r="AE146" i="20" s="1"/>
  <c r="AD148" i="20"/>
  <c r="AE148" i="20" s="1"/>
  <c r="AD109" i="20"/>
  <c r="AE109" i="20" s="1"/>
  <c r="AD112" i="20"/>
  <c r="AE112" i="20" s="1"/>
  <c r="AD110" i="20"/>
  <c r="AE110" i="20" s="1"/>
  <c r="AD111" i="20"/>
  <c r="AE111" i="20" s="1"/>
  <c r="AD147" i="20"/>
  <c r="AE147" i="20" s="1"/>
  <c r="AD145" i="20"/>
  <c r="AE145" i="20" s="1"/>
  <c r="AD88" i="20"/>
  <c r="AE88" i="20" s="1"/>
  <c r="AD89" i="20"/>
  <c r="AE89" i="20" s="1"/>
  <c r="AD108" i="20"/>
  <c r="AE108" i="20" s="1"/>
  <c r="AD90" i="20"/>
  <c r="AE90" i="20" s="1"/>
  <c r="F45" i="10"/>
  <c r="AD186" i="20"/>
  <c r="AE186" i="20" s="1"/>
  <c r="AD185" i="20"/>
  <c r="AE185" i="20" s="1"/>
  <c r="AD184" i="20"/>
  <c r="AE184" i="20" s="1"/>
  <c r="AD183" i="20"/>
  <c r="AE183" i="20" s="1"/>
  <c r="AD182" i="20"/>
  <c r="AE182" i="20" s="1"/>
  <c r="AD181" i="20"/>
  <c r="AE181" i="20" s="1"/>
  <c r="AD180" i="20"/>
  <c r="AE180" i="20" s="1"/>
  <c r="AD179" i="20"/>
  <c r="AE179" i="20" s="1"/>
  <c r="AD178" i="20"/>
  <c r="AE178" i="20" s="1"/>
  <c r="AD177" i="20"/>
  <c r="AE177" i="20" s="1"/>
  <c r="AD176" i="20"/>
  <c r="AE176" i="20" s="1"/>
  <c r="AD175" i="20"/>
  <c r="AE175" i="20" s="1"/>
  <c r="AB27" i="20"/>
  <c r="AC27" i="20" s="1"/>
  <c r="AB19" i="20"/>
  <c r="AC19" i="20" s="1"/>
  <c r="AB18" i="20"/>
  <c r="AC18" i="20" s="1"/>
  <c r="AB21" i="20"/>
  <c r="AC21" i="20" s="1"/>
  <c r="AB23" i="20"/>
  <c r="AC23" i="20" s="1"/>
  <c r="AB25" i="20"/>
  <c r="AC25" i="20" s="1"/>
  <c r="AB22" i="20"/>
  <c r="AC22" i="20" s="1"/>
  <c r="AB17" i="20"/>
  <c r="AC17" i="20" s="1"/>
  <c r="AB20" i="20"/>
  <c r="AC20" i="20" s="1"/>
  <c r="AB16" i="20"/>
  <c r="AC16" i="20" s="1"/>
  <c r="AB26" i="20"/>
  <c r="AC26" i="20" s="1"/>
  <c r="AB15" i="20"/>
  <c r="AC15" i="20" s="1"/>
  <c r="AB24" i="20"/>
  <c r="AC24" i="20" s="1"/>
  <c r="G44" i="10"/>
  <c r="AD28" i="20"/>
  <c r="AE28" i="20" s="1"/>
  <c r="AB81" i="20"/>
  <c r="AC81" i="20" s="1"/>
  <c r="AB82" i="20"/>
  <c r="AC82" i="20" s="1"/>
  <c r="AB83" i="20"/>
  <c r="AC83" i="20" s="1"/>
  <c r="AB84" i="20"/>
  <c r="AC84" i="20" s="1"/>
  <c r="AB98" i="20"/>
  <c r="AC98" i="20" s="1"/>
  <c r="AB144" i="20"/>
  <c r="AC144" i="20" s="1"/>
  <c r="AB142" i="20"/>
  <c r="AC142" i="20" s="1"/>
  <c r="AB143" i="20"/>
  <c r="AC143" i="20" s="1"/>
  <c r="AB154" i="20"/>
  <c r="AC154" i="20" s="1"/>
  <c r="AB141" i="20"/>
  <c r="AC141" i="20" s="1"/>
  <c r="AB96" i="20"/>
  <c r="AC96" i="20" s="1"/>
  <c r="AB97" i="20"/>
  <c r="AC97" i="20" s="1"/>
  <c r="G86" i="10"/>
  <c r="AD44" i="20"/>
  <c r="AE44" i="20" s="1"/>
  <c r="AD43" i="20"/>
  <c r="AE43" i="20" s="1"/>
  <c r="AD40" i="20"/>
  <c r="AE40" i="20" s="1"/>
  <c r="AD41" i="20"/>
  <c r="AE41" i="20" s="1"/>
  <c r="AD42" i="20"/>
  <c r="AE42" i="20" s="1"/>
  <c r="AD35" i="20"/>
  <c r="AE35" i="20" s="1"/>
  <c r="AD34" i="20"/>
  <c r="AE34" i="20" s="1"/>
  <c r="AD33" i="20"/>
  <c r="AE33" i="20" s="1"/>
  <c r="AD32" i="20"/>
  <c r="AE32" i="20" s="1"/>
  <c r="AD37" i="20"/>
  <c r="AE37" i="20" s="1"/>
  <c r="AD36" i="20"/>
  <c r="AE36" i="20" s="1"/>
  <c r="AD31" i="20"/>
  <c r="AE31" i="20" s="1"/>
  <c r="AD38" i="20"/>
  <c r="AE38" i="20" s="1"/>
  <c r="AD30" i="20"/>
  <c r="AE30" i="20" s="1"/>
  <c r="AD39" i="20"/>
  <c r="AE39" i="20" s="1"/>
  <c r="AD29" i="20"/>
  <c r="AE29" i="20" s="1"/>
  <c r="D100" i="10"/>
  <c r="F100" i="10" s="1"/>
  <c r="AD57" i="20"/>
  <c r="AE57" i="20" s="1"/>
  <c r="AD58" i="20"/>
  <c r="AE58" i="20" s="1"/>
  <c r="AD59" i="20"/>
  <c r="AE59" i="20" s="1"/>
  <c r="F89" i="10"/>
  <c r="F4" i="10"/>
  <c r="G87" i="10"/>
  <c r="G49" i="10"/>
  <c r="F23" i="10"/>
  <c r="F87" i="10"/>
  <c r="F56" i="10"/>
  <c r="Z51" i="13"/>
  <c r="AA51" i="13" s="1"/>
  <c r="Z50" i="13"/>
  <c r="AA50" i="13" s="1"/>
  <c r="G60" i="10"/>
  <c r="G34" i="10"/>
  <c r="F31" i="10"/>
  <c r="G62" i="10"/>
  <c r="F72" i="10"/>
  <c r="G82" i="10"/>
  <c r="F96" i="10"/>
  <c r="F6" i="10"/>
  <c r="F37" i="10"/>
  <c r="G92" i="10"/>
  <c r="G57" i="10"/>
  <c r="F21" i="10"/>
  <c r="F94" i="10"/>
  <c r="G94" i="10"/>
  <c r="G79" i="10"/>
  <c r="F18" i="10"/>
  <c r="G10" i="10"/>
  <c r="G70" i="10"/>
  <c r="G26" i="10"/>
  <c r="G13" i="10"/>
  <c r="F15" i="10"/>
  <c r="F42" i="10"/>
  <c r="F35" i="10"/>
  <c r="G35" i="10"/>
  <c r="G69" i="10"/>
  <c r="F69" i="10"/>
  <c r="G41" i="10"/>
  <c r="F41" i="10"/>
  <c r="G85" i="10"/>
  <c r="F85" i="10"/>
  <c r="F58" i="10"/>
  <c r="G58" i="10"/>
  <c r="G40" i="10"/>
  <c r="F40" i="10"/>
  <c r="F19" i="10"/>
  <c r="F82" i="10"/>
  <c r="G68" i="10"/>
  <c r="G27" i="10"/>
  <c r="F29" i="10"/>
  <c r="G8" i="10"/>
  <c r="F63" i="10"/>
  <c r="G63" i="10"/>
  <c r="F91" i="10"/>
  <c r="G91" i="10"/>
  <c r="G78" i="10"/>
  <c r="G80" i="10"/>
  <c r="G38" i="10"/>
  <c r="F81" i="10"/>
  <c r="G55" i="10"/>
  <c r="G77" i="10"/>
  <c r="F77" i="10"/>
  <c r="G99" i="10"/>
  <c r="G46" i="10"/>
  <c r="F7" i="10"/>
  <c r="G39" i="10"/>
  <c r="F39" i="10"/>
  <c r="F3" i="10"/>
  <c r="G93" i="10"/>
  <c r="G11" i="10"/>
  <c r="F11" i="10"/>
  <c r="G51" i="10"/>
  <c r="F51" i="10"/>
  <c r="G64" i="10"/>
  <c r="F64" i="10"/>
  <c r="G52" i="10"/>
  <c r="G75" i="10"/>
  <c r="G61" i="10"/>
  <c r="G98" i="10"/>
  <c r="G67" i="10"/>
  <c r="F12" i="10"/>
  <c r="G66" i="10"/>
  <c r="F73" i="10"/>
  <c r="F48" i="10"/>
  <c r="G48" i="10"/>
  <c r="G16" i="10"/>
  <c r="F16" i="10"/>
  <c r="G54" i="10"/>
  <c r="F54" i="10"/>
  <c r="F9" i="10"/>
  <c r="G9" i="10"/>
  <c r="F71" i="10"/>
  <c r="G84" i="10"/>
  <c r="F84" i="10"/>
  <c r="F59" i="10"/>
  <c r="G59" i="10"/>
  <c r="G32" i="10"/>
  <c r="F32" i="10"/>
  <c r="F14" i="10"/>
  <c r="G14" i="10"/>
  <c r="F88" i="10"/>
  <c r="G33" i="10"/>
  <c r="F33" i="10"/>
  <c r="F90" i="10"/>
  <c r="F65" i="10"/>
  <c r="G65" i="10"/>
  <c r="G47" i="10"/>
  <c r="F47" i="10"/>
  <c r="F17" i="10"/>
  <c r="G17" i="10"/>
  <c r="F24" i="10"/>
  <c r="Y9" i="14" l="1"/>
  <c r="W9" i="14"/>
  <c r="Z9" i="14" s="1"/>
  <c r="X9" i="14"/>
  <c r="AC9" i="14"/>
  <c r="AB9" i="14"/>
  <c r="AA9" i="14"/>
  <c r="AD9" i="14" s="1"/>
  <c r="AZ114" i="27"/>
  <c r="BD114" i="27" s="1"/>
  <c r="AZ156" i="27"/>
  <c r="BD156" i="27" s="1"/>
  <c r="AZ120" i="27"/>
  <c r="BD120" i="27" s="1"/>
  <c r="AZ162" i="27"/>
  <c r="BD162" i="27" s="1"/>
  <c r="AZ125" i="27"/>
  <c r="BD125" i="27" s="1"/>
  <c r="AZ141" i="27"/>
  <c r="BD141" i="27" s="1"/>
  <c r="AZ14" i="27"/>
  <c r="BD14" i="27" s="1"/>
  <c r="AZ6" i="27"/>
  <c r="BD6" i="27" s="1"/>
  <c r="AZ51" i="27"/>
  <c r="BD51" i="27" s="1"/>
  <c r="AZ115" i="27"/>
  <c r="BD115" i="27" s="1"/>
  <c r="AZ48" i="27"/>
  <c r="BD48" i="27" s="1"/>
  <c r="AZ137" i="27"/>
  <c r="BD137" i="27" s="1"/>
  <c r="AZ143" i="27"/>
  <c r="BD143" i="27" s="1"/>
  <c r="AZ178" i="27"/>
  <c r="BD178" i="27" s="1"/>
  <c r="AZ107" i="27"/>
  <c r="BD107" i="27" s="1"/>
  <c r="AZ66" i="27"/>
  <c r="BD66" i="27" s="1"/>
  <c r="AZ138" i="27"/>
  <c r="BD138" i="27" s="1"/>
  <c r="AZ139" i="27"/>
  <c r="BD139" i="27" s="1"/>
  <c r="AZ176" i="27"/>
  <c r="BD176" i="27" s="1"/>
  <c r="AZ158" i="27"/>
  <c r="BD158" i="27" s="1"/>
  <c r="AZ22" i="27"/>
  <c r="BD22" i="27" s="1"/>
  <c r="AZ35" i="27"/>
  <c r="BD35" i="27" s="1"/>
  <c r="AZ67" i="27"/>
  <c r="BD67" i="27" s="1"/>
  <c r="AZ148" i="27"/>
  <c r="BD148" i="27" s="1"/>
  <c r="AZ89" i="27"/>
  <c r="BD89" i="27" s="1"/>
  <c r="AZ101" i="27"/>
  <c r="BD101" i="27" s="1"/>
  <c r="AZ130" i="27"/>
  <c r="BD130" i="27" s="1"/>
  <c r="AZ23" i="27"/>
  <c r="BD23" i="27" s="1"/>
  <c r="AZ62" i="27"/>
  <c r="BD62" i="27" s="1"/>
  <c r="AZ54" i="27"/>
  <c r="BD54" i="27" s="1"/>
  <c r="AZ129" i="27"/>
  <c r="BD129" i="27" s="1"/>
  <c r="AZ149" i="27"/>
  <c r="BD149" i="27" s="1"/>
  <c r="AZ82" i="27"/>
  <c r="BD82" i="27" s="1"/>
  <c r="AZ88" i="27"/>
  <c r="BD88" i="27" s="1"/>
  <c r="BD145" i="27"/>
  <c r="BD99" i="27"/>
  <c r="BD59" i="27"/>
  <c r="BD97" i="27"/>
  <c r="BD116" i="27"/>
  <c r="BD65" i="27"/>
  <c r="BD182" i="27"/>
  <c r="BD161" i="27"/>
  <c r="BD90" i="27"/>
  <c r="BD16" i="27"/>
  <c r="BD157" i="27"/>
  <c r="BD70" i="27"/>
  <c r="BD84" i="27"/>
  <c r="BD60" i="27"/>
  <c r="BD122" i="27"/>
  <c r="BD135" i="27"/>
  <c r="BD119" i="27"/>
  <c r="BD68" i="27"/>
  <c r="BD187" i="27"/>
  <c r="BD136" i="27"/>
  <c r="BD147" i="27"/>
  <c r="BD93" i="27"/>
  <c r="BD164" i="27"/>
  <c r="BD169" i="27"/>
  <c r="BD181" i="27"/>
  <c r="BD85" i="27"/>
  <c r="BD177" i="27"/>
  <c r="BD94" i="27"/>
  <c r="BD160" i="27"/>
  <c r="BD111" i="27"/>
  <c r="BD56" i="27"/>
  <c r="BD63" i="27"/>
  <c r="BD92" i="27"/>
  <c r="BD127" i="27"/>
  <c r="BD10" i="27"/>
  <c r="BD69" i="27"/>
  <c r="BD186" i="27"/>
  <c r="BD98" i="27"/>
  <c r="BD183" i="27"/>
  <c r="BD58" i="27"/>
  <c r="BD179" i="27"/>
  <c r="BD15" i="27"/>
  <c r="BD47" i="27"/>
  <c r="BD100" i="27"/>
  <c r="BD126" i="27"/>
  <c r="BD166" i="27"/>
  <c r="BD163" i="27"/>
  <c r="BD109" i="27"/>
  <c r="BD18" i="27"/>
  <c r="BD4" i="27"/>
  <c r="BD140" i="27"/>
  <c r="BD13" i="27"/>
  <c r="BD128" i="27"/>
  <c r="BD7" i="27"/>
  <c r="BD28" i="27"/>
  <c r="BD108" i="27"/>
  <c r="BD167" i="27"/>
  <c r="BD55" i="27"/>
  <c r="BD64" i="27"/>
  <c r="BD96" i="27"/>
  <c r="BD150" i="27"/>
  <c r="BD71" i="27"/>
  <c r="BD123" i="27"/>
  <c r="BD57" i="27"/>
  <c r="BD73" i="27"/>
  <c r="BD189" i="27"/>
  <c r="BD191" i="27"/>
  <c r="BD12" i="27"/>
  <c r="BD121" i="27"/>
  <c r="BD142" i="27"/>
  <c r="BD180" i="27"/>
  <c r="BD36" i="27"/>
  <c r="BD50" i="27"/>
  <c r="BD91" i="27"/>
  <c r="BD5" i="27"/>
  <c r="BD72" i="27"/>
  <c r="BD117" i="27"/>
  <c r="BD168" i="27"/>
  <c r="BD144" i="27"/>
  <c r="BD95" i="27"/>
  <c r="BD110" i="27"/>
  <c r="BD46" i="27"/>
  <c r="BD11" i="27"/>
  <c r="BD81" i="27"/>
  <c r="BD184" i="27"/>
  <c r="BD49" i="27"/>
  <c r="BD159" i="27"/>
  <c r="BD74" i="27"/>
  <c r="BD83" i="27"/>
  <c r="BD146" i="27"/>
  <c r="BD185" i="27"/>
  <c r="BD190" i="27"/>
  <c r="BD45" i="27"/>
  <c r="BD188" i="27"/>
  <c r="C19" i="27"/>
  <c r="X10" i="14"/>
  <c r="K20" i="14"/>
  <c r="K22" i="14"/>
  <c r="K23" i="14"/>
  <c r="W4" i="14"/>
  <c r="Z4" i="14" s="1"/>
  <c r="AB7" i="14"/>
  <c r="W6" i="14"/>
  <c r="Z6" i="14" s="1"/>
  <c r="Y5" i="14"/>
  <c r="AA7" i="14"/>
  <c r="AD7" i="14" s="1"/>
  <c r="W5" i="14"/>
  <c r="Z5" i="14" s="1"/>
  <c r="AA10" i="14"/>
  <c r="AD10" i="14" s="1"/>
  <c r="AB10" i="14"/>
  <c r="AC10" i="14"/>
  <c r="X4" i="14"/>
  <c r="Y6" i="14"/>
  <c r="AC6" i="14"/>
  <c r="AB6" i="14"/>
  <c r="AA6" i="14"/>
  <c r="AD6" i="14" s="1"/>
  <c r="X5" i="14"/>
  <c r="Y4" i="14"/>
  <c r="X6" i="14"/>
  <c r="AA5" i="14"/>
  <c r="AD5" i="14" s="1"/>
  <c r="AC5" i="14"/>
  <c r="AB5" i="14"/>
  <c r="AB8" i="14"/>
  <c r="AA8" i="14"/>
  <c r="AD8" i="14" s="1"/>
  <c r="AC8" i="14"/>
  <c r="AC7" i="14"/>
  <c r="W10" i="14"/>
  <c r="Z10" i="14" s="1"/>
  <c r="Y10" i="14"/>
  <c r="AC4" i="14"/>
  <c r="AB4" i="14"/>
  <c r="AA4" i="14"/>
  <c r="AD4" i="14" s="1"/>
  <c r="Y7" i="14"/>
  <c r="X7" i="14"/>
  <c r="W7" i="14"/>
  <c r="Z7" i="14" s="1"/>
  <c r="F22" i="10"/>
  <c r="F36" i="10"/>
  <c r="F43" i="10"/>
  <c r="G45" i="10"/>
  <c r="F44" i="10"/>
  <c r="F86" i="10"/>
  <c r="F30" i="10"/>
  <c r="X5" i="21"/>
  <c r="Y6" i="21"/>
  <c r="G4" i="10"/>
  <c r="F49" i="10"/>
  <c r="BI165" i="7"/>
  <c r="BM165" i="7" s="1"/>
  <c r="BJ144" i="7"/>
  <c r="BM144" i="7" s="1"/>
  <c r="BJ16" i="7"/>
  <c r="BM16" i="7" s="1"/>
  <c r="BJ139" i="7"/>
  <c r="BM139" i="7" s="1"/>
  <c r="BJ163" i="7"/>
  <c r="BM163" i="7" s="1"/>
  <c r="BI57" i="7"/>
  <c r="BM57" i="7" s="1"/>
  <c r="BI35" i="7"/>
  <c r="BM35" i="7" s="1"/>
  <c r="BI89" i="7"/>
  <c r="BM89" i="7" s="1"/>
  <c r="BI12" i="7"/>
  <c r="BM12" i="7" s="1"/>
  <c r="BI4" i="7"/>
  <c r="BM4" i="7" s="1"/>
  <c r="BI6" i="7"/>
  <c r="BM6" i="7" s="1"/>
  <c r="BI81" i="7"/>
  <c r="BM81" i="7" s="1"/>
  <c r="BI74" i="7"/>
  <c r="BM74" i="7" s="1"/>
  <c r="BJ156" i="7"/>
  <c r="BM156" i="7" s="1"/>
  <c r="BI137" i="7"/>
  <c r="BM137" i="7" s="1"/>
  <c r="BI62" i="7"/>
  <c r="BM62" i="7" s="1"/>
  <c r="BJ115" i="7"/>
  <c r="BM115" i="7" s="1"/>
  <c r="BJ19" i="7"/>
  <c r="BM19" i="7" s="1"/>
  <c r="BJ166" i="7"/>
  <c r="BM166" i="7" s="1"/>
  <c r="BI65" i="7"/>
  <c r="BM65" i="7" s="1"/>
  <c r="BI58" i="7"/>
  <c r="BM58" i="7" s="1"/>
  <c r="BI150" i="7"/>
  <c r="BM150" i="7" s="1"/>
  <c r="BJ117" i="7"/>
  <c r="BM117" i="7" s="1"/>
  <c r="BJ54" i="7"/>
  <c r="BM54" i="7" s="1"/>
  <c r="BJ141" i="7"/>
  <c r="BM141" i="7" s="1"/>
  <c r="BI184" i="7"/>
  <c r="BM184" i="7" s="1"/>
  <c r="BI186" i="7"/>
  <c r="BM186" i="7" s="1"/>
  <c r="BI14" i="7"/>
  <c r="BM14" i="7" s="1"/>
  <c r="BI68" i="7"/>
  <c r="BM68" i="7" s="1"/>
  <c r="BJ61" i="7"/>
  <c r="BM61" i="7" s="1"/>
  <c r="BJ168" i="7"/>
  <c r="BM168" i="7" s="1"/>
  <c r="BI49" i="7"/>
  <c r="BM49" i="7" s="1"/>
  <c r="BJ116" i="7"/>
  <c r="BM116" i="7" s="1"/>
  <c r="BI178" i="7"/>
  <c r="BM178" i="7" s="1"/>
  <c r="BJ159" i="7"/>
  <c r="BM159" i="7" s="1"/>
  <c r="BJ143" i="7"/>
  <c r="BM143" i="7" s="1"/>
  <c r="BJ23" i="7"/>
  <c r="BM23" i="7" s="1"/>
  <c r="BJ108" i="7"/>
  <c r="BM108" i="7" s="1"/>
  <c r="BJ162" i="7"/>
  <c r="BM162" i="7" s="1"/>
  <c r="BI183" i="7"/>
  <c r="BM183" i="7" s="1"/>
  <c r="BI101" i="7"/>
  <c r="BM101" i="7" s="1"/>
  <c r="BI47" i="7"/>
  <c r="BM47" i="7" s="1"/>
  <c r="BI182" i="7"/>
  <c r="BM182" i="7" s="1"/>
  <c r="BI100" i="7"/>
  <c r="BM100" i="7" s="1"/>
  <c r="BI71" i="7"/>
  <c r="BM71" i="7" s="1"/>
  <c r="BI136" i="7"/>
  <c r="BM136" i="7" s="1"/>
  <c r="BJ114" i="7"/>
  <c r="BM114" i="7" s="1"/>
  <c r="BJ98" i="7"/>
  <c r="BM98" i="7" s="1"/>
  <c r="BJ161" i="7"/>
  <c r="BM161" i="7" s="1"/>
  <c r="BJ145" i="7"/>
  <c r="BM145" i="7" s="1"/>
  <c r="BJ122" i="7"/>
  <c r="BM122" i="7" s="1"/>
  <c r="BI109" i="7"/>
  <c r="BM109" i="7" s="1"/>
  <c r="BI10" i="7"/>
  <c r="BM10" i="7" s="1"/>
  <c r="BI73" i="7"/>
  <c r="BM73" i="7" s="1"/>
  <c r="BI129" i="7"/>
  <c r="BM129" i="7" s="1"/>
  <c r="BI126" i="7"/>
  <c r="BM126" i="7" s="1"/>
  <c r="BI50" i="7"/>
  <c r="BM50" i="7" s="1"/>
  <c r="BJ96" i="7"/>
  <c r="BM96" i="7" s="1"/>
  <c r="BJ167" i="7"/>
  <c r="BM167" i="7" s="1"/>
  <c r="BI176" i="7"/>
  <c r="BM176" i="7" s="1"/>
  <c r="BI147" i="7"/>
  <c r="BM147" i="7" s="1"/>
  <c r="BI189" i="7"/>
  <c r="BM189" i="7" s="1"/>
  <c r="BI128" i="7"/>
  <c r="BM128" i="7" s="1"/>
  <c r="BI48" i="7"/>
  <c r="BM48" i="7" s="1"/>
  <c r="BI59" i="7"/>
  <c r="BM59" i="7" s="1"/>
  <c r="BI91" i="7"/>
  <c r="BM91" i="7" s="1"/>
  <c r="BJ158" i="7"/>
  <c r="BM158" i="7" s="1"/>
  <c r="BI72" i="7"/>
  <c r="BM72" i="7" s="1"/>
  <c r="BJ157" i="7"/>
  <c r="BM157" i="7" s="1"/>
  <c r="BI125" i="7"/>
  <c r="BM125" i="7" s="1"/>
  <c r="BJ124" i="7"/>
  <c r="BM124" i="7" s="1"/>
  <c r="BJ84" i="7"/>
  <c r="BM84" i="7" s="1"/>
  <c r="BJ164" i="7"/>
  <c r="BM164" i="7" s="1"/>
  <c r="BI127" i="7"/>
  <c r="BM127" i="7" s="1"/>
  <c r="BI94" i="7"/>
  <c r="BM94" i="7" s="1"/>
  <c r="BJ107" i="7"/>
  <c r="BM107" i="7" s="1"/>
  <c r="BJ83" i="7"/>
  <c r="BM83" i="7" s="1"/>
  <c r="BI111" i="7"/>
  <c r="BM111" i="7" s="1"/>
  <c r="BI191" i="7"/>
  <c r="BM191" i="7" s="1"/>
  <c r="BI188" i="7"/>
  <c r="BM188" i="7" s="1"/>
  <c r="BI70" i="7"/>
  <c r="BM70" i="7" s="1"/>
  <c r="BI46" i="7"/>
  <c r="BM46" i="7" s="1"/>
  <c r="BJ97" i="7"/>
  <c r="BM97" i="7" s="1"/>
  <c r="BJ85" i="7"/>
  <c r="BM85" i="7" s="1"/>
  <c r="BI180" i="7"/>
  <c r="BM180" i="7" s="1"/>
  <c r="BI149" i="7"/>
  <c r="BM149" i="7" s="1"/>
  <c r="BI7" i="7"/>
  <c r="BM7" i="7" s="1"/>
  <c r="BI120" i="7"/>
  <c r="BM120" i="7" s="1"/>
  <c r="BI67" i="7"/>
  <c r="BM67" i="7" s="1"/>
  <c r="BI45" i="7"/>
  <c r="BM45" i="7" s="1"/>
  <c r="BI181" i="7"/>
  <c r="BM181" i="7" s="1"/>
  <c r="BI64" i="7"/>
  <c r="BM64" i="7" s="1"/>
  <c r="BI60" i="7"/>
  <c r="BM60" i="7" s="1"/>
  <c r="BJ113" i="7"/>
  <c r="BJ93" i="7"/>
  <c r="BM93" i="7" s="1"/>
  <c r="BJ18" i="7"/>
  <c r="BM18" i="7" s="1"/>
  <c r="BJ140" i="7"/>
  <c r="BM140" i="7" s="1"/>
  <c r="BJ160" i="7"/>
  <c r="BM160" i="7" s="1"/>
  <c r="BJ56" i="7"/>
  <c r="BM56" i="7" s="1"/>
  <c r="BJ15" i="7"/>
  <c r="BM15" i="7" s="1"/>
  <c r="BJ142" i="7"/>
  <c r="BM142" i="7" s="1"/>
  <c r="BJ123" i="7"/>
  <c r="BM123" i="7" s="1"/>
  <c r="BJ82" i="7"/>
  <c r="BM82" i="7" s="1"/>
  <c r="BI36" i="7"/>
  <c r="BM36" i="7" s="1"/>
  <c r="BI28" i="7"/>
  <c r="BM28" i="7" s="1"/>
  <c r="BI185" i="7"/>
  <c r="BM185" i="7" s="1"/>
  <c r="BI187" i="7"/>
  <c r="BM187" i="7" s="1"/>
  <c r="BI110" i="7"/>
  <c r="BM110" i="7" s="1"/>
  <c r="BI88" i="7"/>
  <c r="BM88" i="7" s="1"/>
  <c r="BI13" i="7"/>
  <c r="BM13" i="7" s="1"/>
  <c r="BI69" i="7"/>
  <c r="BM69" i="7" s="1"/>
  <c r="BI135" i="7"/>
  <c r="BM135" i="7" s="1"/>
  <c r="BI138" i="7"/>
  <c r="BM138" i="7" s="1"/>
  <c r="BJ119" i="7"/>
  <c r="BM119" i="7" s="1"/>
  <c r="BJ55" i="7"/>
  <c r="BM55" i="7" s="1"/>
  <c r="BJ146" i="7"/>
  <c r="BM146" i="7" s="1"/>
  <c r="BJ130" i="7"/>
  <c r="BM130" i="7" s="1"/>
  <c r="BJ106" i="7"/>
  <c r="BM106" i="7" s="1"/>
  <c r="BJ99" i="7"/>
  <c r="BM99" i="7" s="1"/>
  <c r="BJ169" i="7"/>
  <c r="BM169" i="7" s="1"/>
  <c r="BI177" i="7"/>
  <c r="BM177" i="7" s="1"/>
  <c r="BI179" i="7"/>
  <c r="BM179" i="7" s="1"/>
  <c r="BI90" i="7"/>
  <c r="BM90" i="7" s="1"/>
  <c r="BI148" i="7"/>
  <c r="BM148" i="7" s="1"/>
  <c r="BI190" i="7"/>
  <c r="BM190" i="7" s="1"/>
  <c r="BI63" i="7"/>
  <c r="BM63" i="7" s="1"/>
  <c r="BI51" i="7"/>
  <c r="BM51" i="7" s="1"/>
  <c r="AA7" i="21"/>
  <c r="Q20" i="21" s="1"/>
  <c r="AC7" i="21"/>
  <c r="X4" i="21"/>
  <c r="W4" i="21"/>
  <c r="Y7" i="21"/>
  <c r="X7" i="21"/>
  <c r="W7" i="21"/>
  <c r="AB7" i="21"/>
  <c r="W6" i="21"/>
  <c r="AC4" i="21"/>
  <c r="AB4" i="21"/>
  <c r="AA4" i="21"/>
  <c r="AA6" i="21"/>
  <c r="AC6" i="21"/>
  <c r="AB6" i="21"/>
  <c r="X6" i="21"/>
  <c r="Y5" i="21"/>
  <c r="AC5" i="21"/>
  <c r="AB5" i="21"/>
  <c r="AA5" i="21"/>
  <c r="W5" i="21"/>
  <c r="A12" i="22"/>
  <c r="C11" i="22"/>
  <c r="G56" i="10"/>
  <c r="G89" i="10"/>
  <c r="V6" i="21"/>
  <c r="K19" i="21"/>
  <c r="I17" i="21"/>
  <c r="H17" i="21"/>
  <c r="R4" i="21"/>
  <c r="R7" i="21"/>
  <c r="I20" i="21"/>
  <c r="H20" i="21"/>
  <c r="G74" i="10"/>
  <c r="K20" i="21"/>
  <c r="V7" i="21"/>
  <c r="G100" i="10"/>
  <c r="K17" i="21"/>
  <c r="V4" i="21"/>
  <c r="I19" i="21"/>
  <c r="H19" i="21"/>
  <c r="R6" i="21"/>
  <c r="A15" i="20"/>
  <c r="C14" i="20"/>
  <c r="K24" i="14"/>
  <c r="I20" i="14"/>
  <c r="H20" i="14"/>
  <c r="I23" i="14"/>
  <c r="H23" i="14"/>
  <c r="I24" i="14"/>
  <c r="H24" i="14"/>
  <c r="H22" i="14"/>
  <c r="I22" i="14"/>
  <c r="G23" i="10"/>
  <c r="G72" i="10"/>
  <c r="F34" i="10"/>
  <c r="F62" i="10"/>
  <c r="F60" i="10"/>
  <c r="BI95" i="7"/>
  <c r="C20" i="27" l="1"/>
  <c r="L20" i="14"/>
  <c r="G32" i="14" s="1"/>
  <c r="AD7" i="21"/>
  <c r="Q23" i="14"/>
  <c r="O20" i="14"/>
  <c r="O23" i="14"/>
  <c r="BJ17" i="7"/>
  <c r="BM17" i="7" s="1"/>
  <c r="Q22" i="14"/>
  <c r="BI66" i="7"/>
  <c r="BM66" i="7" s="1"/>
  <c r="BI52" i="7"/>
  <c r="BM52" i="7" s="1"/>
  <c r="BJ92" i="7"/>
  <c r="BM92" i="7" s="1"/>
  <c r="BI113" i="7"/>
  <c r="BM113" i="7" s="1"/>
  <c r="Q20" i="14"/>
  <c r="BJ22" i="7"/>
  <c r="BM22" i="7" s="1"/>
  <c r="BI5" i="7"/>
  <c r="BM5" i="7" s="1"/>
  <c r="L20" i="21"/>
  <c r="G31" i="21" s="1"/>
  <c r="C12" i="22"/>
  <c r="A13" i="22"/>
  <c r="J20" i="21"/>
  <c r="F31" i="21" s="1"/>
  <c r="L19" i="21"/>
  <c r="G30" i="21" s="1"/>
  <c r="Q18" i="21"/>
  <c r="N20" i="21"/>
  <c r="R20" i="21" s="1"/>
  <c r="I31" i="21" s="1"/>
  <c r="Z7" i="21"/>
  <c r="O20" i="21"/>
  <c r="O19" i="21"/>
  <c r="N19" i="21"/>
  <c r="Z6" i="21"/>
  <c r="I8" i="21"/>
  <c r="J19" i="21"/>
  <c r="F30" i="21" s="1"/>
  <c r="AD4" i="21"/>
  <c r="Q17" i="21"/>
  <c r="AB8" i="21"/>
  <c r="Q19" i="21"/>
  <c r="AD6" i="21"/>
  <c r="L17" i="21"/>
  <c r="G28" i="21" s="1"/>
  <c r="AC8" i="21"/>
  <c r="O17" i="21"/>
  <c r="N17" i="21"/>
  <c r="Z4" i="21"/>
  <c r="J17" i="21"/>
  <c r="F28" i="21" s="1"/>
  <c r="A16" i="20"/>
  <c r="C15" i="20"/>
  <c r="Q21" i="14"/>
  <c r="J20" i="14"/>
  <c r="F32" i="14" s="1"/>
  <c r="L22" i="14"/>
  <c r="G34" i="14" s="1"/>
  <c r="L24" i="14"/>
  <c r="G36" i="14" s="1"/>
  <c r="L23" i="14"/>
  <c r="G35" i="14" s="1"/>
  <c r="J24" i="14"/>
  <c r="F36" i="14" s="1"/>
  <c r="J22" i="14"/>
  <c r="F34" i="14" s="1"/>
  <c r="J23" i="14"/>
  <c r="F35" i="14" s="1"/>
  <c r="BJ95" i="7"/>
  <c r="BG95" i="7"/>
  <c r="I11" i="14"/>
  <c r="BH95" i="7"/>
  <c r="C21" i="27" l="1"/>
  <c r="BM95" i="7"/>
  <c r="N24" i="14"/>
  <c r="N20" i="14"/>
  <c r="R20" i="14" s="1"/>
  <c r="I32" i="14" s="1"/>
  <c r="O24" i="14"/>
  <c r="N23" i="14"/>
  <c r="P23" i="14" s="1"/>
  <c r="H35" i="14" s="1"/>
  <c r="O22" i="14"/>
  <c r="N22" i="14"/>
  <c r="R22" i="14" s="1"/>
  <c r="I34" i="14" s="1"/>
  <c r="Q24" i="14"/>
  <c r="A14" i="22"/>
  <c r="C13" i="22"/>
  <c r="P20" i="21"/>
  <c r="H31" i="21" s="1"/>
  <c r="AA8" i="21"/>
  <c r="AD8" i="21" s="1"/>
  <c r="R19" i="21"/>
  <c r="I30" i="21" s="1"/>
  <c r="AD5" i="21"/>
  <c r="P17" i="21"/>
  <c r="H28" i="21" s="1"/>
  <c r="Q21" i="21"/>
  <c r="R17" i="21"/>
  <c r="I28" i="21" s="1"/>
  <c r="P19" i="21"/>
  <c r="H30" i="21" s="1"/>
  <c r="Q8" i="21"/>
  <c r="P8" i="21"/>
  <c r="F8" i="21"/>
  <c r="O21" i="14"/>
  <c r="X8" i="21"/>
  <c r="Y8" i="21"/>
  <c r="J5" i="21"/>
  <c r="H8" i="21"/>
  <c r="J8" i="21" s="1"/>
  <c r="U8" i="21"/>
  <c r="T8" i="21"/>
  <c r="C16" i="20"/>
  <c r="A17" i="20"/>
  <c r="X11" i="14"/>
  <c r="Y11" i="14"/>
  <c r="K21" i="14"/>
  <c r="K25" i="14" s="1"/>
  <c r="P11" i="14"/>
  <c r="Q11" i="14"/>
  <c r="H11" i="14"/>
  <c r="J11" i="14" s="1"/>
  <c r="F11" i="14"/>
  <c r="C22" i="27" l="1"/>
  <c r="P20" i="14"/>
  <c r="H32" i="14" s="1"/>
  <c r="P24" i="14"/>
  <c r="H36" i="14" s="1"/>
  <c r="R24" i="14"/>
  <c r="I36" i="14" s="1"/>
  <c r="R23" i="14"/>
  <c r="I35" i="14" s="1"/>
  <c r="P22" i="14"/>
  <c r="H34" i="14" s="1"/>
  <c r="Q25" i="14"/>
  <c r="W11" i="14"/>
  <c r="Z11" i="14" s="1"/>
  <c r="C14" i="22"/>
  <c r="A15" i="22"/>
  <c r="O18" i="21"/>
  <c r="N18" i="21"/>
  <c r="Z5" i="21"/>
  <c r="W8" i="21"/>
  <c r="Z8" i="21" s="1"/>
  <c r="K18" i="21"/>
  <c r="V5" i="21"/>
  <c r="S8" i="21"/>
  <c r="V8" i="21" s="1"/>
  <c r="G5" i="21"/>
  <c r="E8" i="21"/>
  <c r="G8" i="21" s="1"/>
  <c r="R5" i="21"/>
  <c r="I18" i="21"/>
  <c r="H18" i="21"/>
  <c r="H21" i="21" s="1"/>
  <c r="O8" i="21"/>
  <c r="R8" i="21" s="1"/>
  <c r="A18" i="20"/>
  <c r="C17" i="20"/>
  <c r="N21" i="14"/>
  <c r="P21" i="14" s="1"/>
  <c r="H33" i="14" s="1"/>
  <c r="O25" i="14"/>
  <c r="I21" i="14"/>
  <c r="I25" i="14" s="1"/>
  <c r="H21" i="14"/>
  <c r="AC11" i="14"/>
  <c r="AB11" i="14"/>
  <c r="U11" i="14"/>
  <c r="T11" i="14"/>
  <c r="O11" i="14"/>
  <c r="R11" i="14" s="1"/>
  <c r="E11" i="14"/>
  <c r="G11" i="14" s="1"/>
  <c r="C23" i="27" l="1"/>
  <c r="A16" i="22"/>
  <c r="C15" i="22"/>
  <c r="L18" i="21"/>
  <c r="G29" i="21" s="1"/>
  <c r="K21" i="21"/>
  <c r="L21" i="21" s="1"/>
  <c r="G32" i="21" s="1"/>
  <c r="N21" i="21"/>
  <c r="R21" i="21" s="1"/>
  <c r="I32" i="21" s="1"/>
  <c r="R18" i="21"/>
  <c r="I29" i="21" s="1"/>
  <c r="J18" i="21"/>
  <c r="F29" i="21" s="1"/>
  <c r="I21" i="21"/>
  <c r="P18" i="21"/>
  <c r="H29" i="21" s="1"/>
  <c r="O21" i="21"/>
  <c r="L35" i="21" s="1"/>
  <c r="L36" i="21" s="1"/>
  <c r="A19" i="20"/>
  <c r="C18" i="20"/>
  <c r="N25" i="14"/>
  <c r="P25" i="14" s="1"/>
  <c r="H37" i="14" s="1"/>
  <c r="R21" i="14"/>
  <c r="I33" i="14" s="1"/>
  <c r="L21" i="14"/>
  <c r="G33" i="14" s="1"/>
  <c r="H25" i="14"/>
  <c r="J21" i="14"/>
  <c r="F33" i="14" s="1"/>
  <c r="AA11" i="14"/>
  <c r="AD11" i="14" s="1"/>
  <c r="S11" i="14"/>
  <c r="V11" i="14" s="1"/>
  <c r="C24" i="27" l="1"/>
  <c r="J21" i="21"/>
  <c r="F32" i="21" s="1"/>
  <c r="K35" i="21"/>
  <c r="K36" i="21" s="1"/>
  <c r="A17" i="22"/>
  <c r="C16" i="22"/>
  <c r="P21" i="21"/>
  <c r="H32" i="21" s="1"/>
  <c r="C19" i="20"/>
  <c r="A20" i="20"/>
  <c r="R25" i="14"/>
  <c r="I37" i="14" s="1"/>
  <c r="L25" i="14"/>
  <c r="G37" i="14" s="1"/>
  <c r="J25" i="14"/>
  <c r="F37" i="14" s="1"/>
  <c r="C25" i="27" l="1"/>
  <c r="A18" i="22"/>
  <c r="C17" i="22"/>
  <c r="C20" i="20"/>
  <c r="A21" i="20"/>
  <c r="C26" i="27" l="1"/>
  <c r="A19" i="22"/>
  <c r="C18" i="22"/>
  <c r="A22" i="20"/>
  <c r="C21" i="20"/>
  <c r="C27" i="27" l="1"/>
  <c r="C19" i="22"/>
  <c r="A20" i="22"/>
  <c r="C22" i="20"/>
  <c r="A23" i="20"/>
  <c r="C28" i="27" l="1"/>
  <c r="C20" i="22"/>
  <c r="A21" i="22"/>
  <c r="A24" i="20"/>
  <c r="C23" i="20"/>
  <c r="C29" i="27" l="1"/>
  <c r="A22" i="22"/>
  <c r="C21" i="22"/>
  <c r="C24" i="20"/>
  <c r="A25" i="20"/>
  <c r="C30" i="27" l="1"/>
  <c r="C22" i="22"/>
  <c r="A23" i="22"/>
  <c r="A26" i="20"/>
  <c r="C25" i="20"/>
  <c r="C31" i="27" l="1"/>
  <c r="A24" i="22"/>
  <c r="C23" i="22"/>
  <c r="C26" i="20"/>
  <c r="A27" i="20"/>
  <c r="C32" i="27" l="1"/>
  <c r="C24" i="22"/>
  <c r="A25" i="22"/>
  <c r="A28" i="20"/>
  <c r="C27" i="20"/>
  <c r="C33" i="27" l="1"/>
  <c r="A26" i="22"/>
  <c r="C25" i="22"/>
  <c r="C28" i="20"/>
  <c r="A29" i="20"/>
  <c r="C34" i="27" l="1"/>
  <c r="C26" i="22"/>
  <c r="A27" i="22"/>
  <c r="A30" i="20"/>
  <c r="C29" i="20"/>
  <c r="C35" i="27" l="1"/>
  <c r="A28" i="22"/>
  <c r="C27" i="22"/>
  <c r="A31" i="20"/>
  <c r="C30" i="20"/>
  <c r="C36" i="27" l="1"/>
  <c r="C28" i="22"/>
  <c r="A29" i="22"/>
  <c r="A32" i="20"/>
  <c r="C31" i="20"/>
  <c r="C37" i="27" l="1"/>
  <c r="C29" i="22"/>
  <c r="A30" i="22"/>
  <c r="A33" i="20"/>
  <c r="C32" i="20"/>
  <c r="C38" i="27" l="1"/>
  <c r="C174" i="20"/>
  <c r="A31" i="22"/>
  <c r="C30" i="22"/>
  <c r="C33" i="20"/>
  <c r="A34" i="20"/>
  <c r="C39" i="27" l="1"/>
  <c r="C175" i="20"/>
  <c r="A32" i="22"/>
  <c r="C31" i="22"/>
  <c r="C34" i="20"/>
  <c r="A35" i="20"/>
  <c r="C40" i="27" l="1"/>
  <c r="C176" i="20"/>
  <c r="C32" i="22"/>
  <c r="A33" i="22"/>
  <c r="C35" i="20"/>
  <c r="A36" i="20"/>
  <c r="C41" i="27" l="1"/>
  <c r="C177" i="20"/>
  <c r="A34" i="22"/>
  <c r="C33" i="22"/>
  <c r="C36" i="20"/>
  <c r="A37" i="20"/>
  <c r="C42" i="27" l="1"/>
  <c r="C178" i="20"/>
  <c r="C34" i="22"/>
  <c r="A35" i="22"/>
  <c r="C37" i="20"/>
  <c r="A38" i="20"/>
  <c r="C43" i="27" l="1"/>
  <c r="C179" i="20"/>
  <c r="C35" i="22"/>
  <c r="A36" i="22"/>
  <c r="C38" i="20"/>
  <c r="A39" i="20"/>
  <c r="C44" i="27" l="1"/>
  <c r="C180" i="20"/>
  <c r="A37" i="22"/>
  <c r="C36" i="22"/>
  <c r="C39" i="20"/>
  <c r="A40" i="20"/>
  <c r="C45" i="27" l="1"/>
  <c r="C181" i="20"/>
  <c r="A38" i="22"/>
  <c r="C37" i="22"/>
  <c r="C40" i="20"/>
  <c r="A41" i="20"/>
  <c r="C46" i="27" l="1"/>
  <c r="C182" i="20"/>
  <c r="C38" i="22"/>
  <c r="A39" i="22"/>
  <c r="C41" i="20"/>
  <c r="A42" i="20"/>
  <c r="C47" i="27" l="1"/>
  <c r="C183" i="20"/>
  <c r="C39" i="22"/>
  <c r="A40" i="22"/>
  <c r="C42" i="20"/>
  <c r="A43" i="20"/>
  <c r="C48" i="27" l="1"/>
  <c r="C184" i="20"/>
  <c r="C40" i="22"/>
  <c r="A41" i="22"/>
  <c r="C43" i="20"/>
  <c r="A44" i="20"/>
  <c r="C49" i="27" l="1"/>
  <c r="C185" i="20"/>
  <c r="C41" i="22"/>
  <c r="A42" i="22"/>
  <c r="C44" i="20"/>
  <c r="A45" i="20"/>
  <c r="C50" i="27" l="1"/>
  <c r="C186" i="20"/>
  <c r="C42" i="22"/>
  <c r="A43" i="22"/>
  <c r="C45" i="20"/>
  <c r="A46" i="20"/>
  <c r="C51" i="27" l="1"/>
  <c r="C187" i="20"/>
  <c r="C43" i="22"/>
  <c r="A44" i="22"/>
  <c r="C46" i="20"/>
  <c r="A47" i="20"/>
  <c r="C52" i="27" l="1"/>
  <c r="C188" i="20"/>
  <c r="C44" i="22"/>
  <c r="A45" i="22"/>
  <c r="C47" i="20"/>
  <c r="A48" i="20"/>
  <c r="C53" i="27" l="1"/>
  <c r="C190" i="20"/>
  <c r="C189" i="20"/>
  <c r="C45" i="22"/>
  <c r="A46" i="22"/>
  <c r="C48" i="20"/>
  <c r="A49" i="20"/>
  <c r="C54" i="27" l="1"/>
  <c r="C46" i="22"/>
  <c r="A47" i="22"/>
  <c r="C49" i="20"/>
  <c r="A50" i="20"/>
  <c r="C55" i="27" l="1"/>
  <c r="C47" i="22"/>
  <c r="A48" i="22"/>
  <c r="C50" i="20"/>
  <c r="A51" i="20"/>
  <c r="C56" i="27" l="1"/>
  <c r="A49" i="22"/>
  <c r="C48" i="22"/>
  <c r="A52" i="20"/>
  <c r="C51" i="20"/>
  <c r="C57" i="27" l="1"/>
  <c r="A50" i="22"/>
  <c r="C49" i="22"/>
  <c r="A53" i="20"/>
  <c r="C52" i="20"/>
  <c r="C58" i="27" l="1"/>
  <c r="C50" i="22"/>
  <c r="A51" i="22"/>
  <c r="A54" i="20"/>
  <c r="C53" i="20"/>
  <c r="C59" i="27" l="1"/>
  <c r="C51" i="22"/>
  <c r="A52" i="22"/>
  <c r="C54" i="20"/>
  <c r="A55" i="20"/>
  <c r="C60" i="27" l="1"/>
  <c r="A53" i="22"/>
  <c r="C52" i="22"/>
  <c r="A56" i="20"/>
  <c r="C55" i="20"/>
  <c r="C61" i="27" l="1"/>
  <c r="A54" i="22"/>
  <c r="C53" i="22"/>
  <c r="A57" i="20"/>
  <c r="C56" i="20"/>
  <c r="C62" i="27" l="1"/>
  <c r="C54" i="22"/>
  <c r="A55" i="22"/>
  <c r="C57" i="20"/>
  <c r="A58" i="20"/>
  <c r="C63" i="27" l="1"/>
  <c r="A56" i="22"/>
  <c r="C55" i="22"/>
  <c r="C58" i="20"/>
  <c r="A59" i="20"/>
  <c r="C64" i="27" l="1"/>
  <c r="A57" i="22"/>
  <c r="C56" i="22"/>
  <c r="C59" i="20"/>
  <c r="A60" i="20"/>
  <c r="C65" i="27" l="1"/>
  <c r="C57" i="22"/>
  <c r="A58" i="22"/>
  <c r="A61" i="20"/>
  <c r="C60" i="20"/>
  <c r="C66" i="27" l="1"/>
  <c r="C58" i="22"/>
  <c r="A59" i="22"/>
  <c r="A60" i="22" s="1"/>
  <c r="A61" i="22" s="1"/>
  <c r="A62" i="22" s="1"/>
  <c r="A63" i="22" s="1"/>
  <c r="A64" i="22" s="1"/>
  <c r="A65" i="22" s="1"/>
  <c r="A66" i="22" s="1"/>
  <c r="A67" i="22" s="1"/>
  <c r="A68" i="22" s="1"/>
  <c r="A69" i="22" s="1"/>
  <c r="A70" i="22" s="1"/>
  <c r="A71" i="22" s="1"/>
  <c r="A72" i="22" s="1"/>
  <c r="A73" i="22" s="1"/>
  <c r="A74" i="22" s="1"/>
  <c r="A75" i="22" s="1"/>
  <c r="A76" i="22" s="1"/>
  <c r="C61" i="20"/>
  <c r="A62" i="20"/>
  <c r="C67" i="27" l="1"/>
  <c r="C59" i="22"/>
  <c r="C62" i="20"/>
  <c r="A63" i="20"/>
  <c r="C68" i="27" l="1"/>
  <c r="C63" i="20"/>
  <c r="A64" i="20"/>
  <c r="C69" i="27" l="1"/>
  <c r="C64" i="20"/>
  <c r="A65" i="20"/>
  <c r="C70" i="27" l="1"/>
  <c r="C65" i="20"/>
  <c r="A66" i="20"/>
  <c r="C71" i="27" l="1"/>
  <c r="C66" i="20"/>
  <c r="A67" i="20"/>
  <c r="C72" i="27" l="1"/>
  <c r="C67" i="20"/>
  <c r="A68" i="20"/>
  <c r="C73" i="27" l="1"/>
  <c r="C68" i="20"/>
  <c r="A69" i="20"/>
  <c r="C74" i="27" l="1"/>
  <c r="A70" i="20"/>
  <c r="C69" i="20"/>
  <c r="C75" i="27" l="1"/>
  <c r="A71" i="20"/>
  <c r="C70" i="20"/>
  <c r="C76" i="27" l="1"/>
  <c r="A72" i="20"/>
  <c r="C71" i="20"/>
  <c r="C77" i="27" l="1"/>
  <c r="C72" i="20"/>
  <c r="A73" i="20"/>
  <c r="C78" i="27" l="1"/>
  <c r="C73" i="20"/>
  <c r="A74" i="20"/>
  <c r="C79" i="27" l="1"/>
  <c r="C74" i="20"/>
  <c r="A75" i="20"/>
  <c r="C80" i="27" l="1"/>
  <c r="C75" i="20"/>
  <c r="A76" i="20"/>
  <c r="C81" i="27" l="1"/>
  <c r="C76" i="20"/>
  <c r="A77" i="20"/>
  <c r="C82" i="27" l="1"/>
  <c r="A78" i="20"/>
  <c r="C77" i="20"/>
  <c r="C83" i="27" l="1"/>
  <c r="A79" i="20"/>
  <c r="C78" i="20"/>
  <c r="C84" i="27" l="1"/>
  <c r="A80" i="20"/>
  <c r="C79" i="20"/>
  <c r="C85" i="27" l="1"/>
  <c r="C80" i="20"/>
  <c r="A81" i="20"/>
  <c r="C86" i="27" l="1"/>
  <c r="C81" i="20"/>
  <c r="A82" i="20"/>
  <c r="C87" i="27" l="1"/>
  <c r="C82" i="20"/>
  <c r="A83" i="20"/>
  <c r="C88" i="27" l="1"/>
  <c r="C83" i="20"/>
  <c r="A84" i="20"/>
  <c r="C89" i="27" l="1"/>
  <c r="C84" i="20"/>
  <c r="A85" i="20"/>
  <c r="C90" i="27" l="1"/>
  <c r="A86" i="20"/>
  <c r="C85" i="20"/>
  <c r="C91" i="27" l="1"/>
  <c r="A87" i="20"/>
  <c r="C86" i="20"/>
  <c r="C92" i="27" l="1"/>
  <c r="A88" i="20"/>
  <c r="C87" i="20"/>
  <c r="C93" i="27" l="1"/>
  <c r="C88" i="20"/>
  <c r="A89" i="20"/>
  <c r="C94" i="27" l="1"/>
  <c r="C89" i="20"/>
  <c r="A90" i="20"/>
  <c r="C95" i="27" l="1"/>
  <c r="C90" i="20"/>
  <c r="A91" i="20"/>
  <c r="C96" i="27" l="1"/>
  <c r="C91" i="20"/>
  <c r="A92" i="20"/>
  <c r="C97" i="27" l="1"/>
  <c r="C92" i="20"/>
  <c r="A93" i="20"/>
  <c r="C98" i="27" l="1"/>
  <c r="A94" i="20"/>
  <c r="C93" i="20"/>
  <c r="C99" i="27" l="1"/>
  <c r="A95" i="20"/>
  <c r="C94" i="20"/>
  <c r="C100" i="27" l="1"/>
  <c r="A96" i="20"/>
  <c r="C95" i="20"/>
  <c r="C101" i="27" l="1"/>
  <c r="A97" i="20"/>
  <c r="C96" i="20"/>
  <c r="C102" i="27" l="1"/>
  <c r="A98" i="20"/>
  <c r="C97" i="20"/>
  <c r="C103" i="27" l="1"/>
  <c r="C98" i="20"/>
  <c r="A99" i="20"/>
  <c r="C104" i="27" l="1"/>
  <c r="C99" i="20"/>
  <c r="A100" i="20"/>
  <c r="C105" i="27" l="1"/>
  <c r="C100" i="20"/>
  <c r="A101" i="20"/>
  <c r="C106" i="27" l="1"/>
  <c r="C101" i="20"/>
  <c r="A102" i="20"/>
  <c r="C107" i="27" l="1"/>
  <c r="C102" i="20"/>
  <c r="A103" i="20"/>
  <c r="C108" i="27" l="1"/>
  <c r="C103" i="20"/>
  <c r="A104" i="20"/>
  <c r="C109" i="27" l="1"/>
  <c r="A105" i="20"/>
  <c r="C104" i="20"/>
  <c r="C110" i="27" l="1"/>
  <c r="A106" i="20"/>
  <c r="C105" i="20"/>
  <c r="C111" i="27" l="1"/>
  <c r="C106" i="20"/>
  <c r="A107" i="20"/>
  <c r="C112" i="27" l="1"/>
  <c r="A108" i="20"/>
  <c r="C107" i="20"/>
  <c r="C113" i="27" l="1"/>
  <c r="A109" i="20"/>
  <c r="C108" i="20"/>
  <c r="C114" i="27" l="1"/>
  <c r="C109" i="20"/>
  <c r="A110" i="20"/>
  <c r="C115" i="27" l="1"/>
  <c r="C110" i="20"/>
  <c r="A111" i="20"/>
  <c r="C116" i="27" l="1"/>
  <c r="A112" i="20"/>
  <c r="C111" i="20"/>
  <c r="C117" i="27" l="1"/>
  <c r="A113" i="20"/>
  <c r="C112" i="20"/>
  <c r="C118" i="27" l="1"/>
  <c r="A114" i="20"/>
  <c r="C113" i="20"/>
  <c r="C119" i="27" l="1"/>
  <c r="A115" i="20"/>
  <c r="C114" i="20"/>
  <c r="C120" i="27" l="1"/>
  <c r="A116" i="20"/>
  <c r="C115" i="20"/>
  <c r="C121" i="27" l="1"/>
  <c r="C116" i="20"/>
  <c r="A117" i="20"/>
  <c r="C122" i="27" l="1"/>
  <c r="C117" i="20"/>
  <c r="A118" i="20"/>
  <c r="C123" i="27" l="1"/>
  <c r="C118" i="20"/>
  <c r="A119" i="20"/>
  <c r="A120" i="20" s="1"/>
  <c r="C124" i="27" l="1"/>
  <c r="A121" i="20"/>
  <c r="C120" i="20"/>
  <c r="C119" i="20"/>
  <c r="C125" i="27" l="1"/>
  <c r="A122" i="20"/>
  <c r="C121" i="20"/>
  <c r="C60" i="22"/>
  <c r="C126" i="27" l="1"/>
  <c r="A123" i="20"/>
  <c r="C122" i="20"/>
  <c r="C61" i="22"/>
  <c r="C127" i="27" l="1"/>
  <c r="A124" i="20"/>
  <c r="C123" i="20"/>
  <c r="C62" i="22"/>
  <c r="C128" i="27" l="1"/>
  <c r="C124" i="20"/>
  <c r="A125" i="20"/>
  <c r="C63" i="22"/>
  <c r="C129" i="27" l="1"/>
  <c r="A126" i="20"/>
  <c r="C125" i="20"/>
  <c r="C64" i="22"/>
  <c r="C130" i="27" l="1"/>
  <c r="A127" i="20"/>
  <c r="C126" i="20"/>
  <c r="C65" i="22"/>
  <c r="C131" i="27" l="1"/>
  <c r="C127" i="20"/>
  <c r="A128" i="20"/>
  <c r="C66" i="22"/>
  <c r="C132" i="27" l="1"/>
  <c r="A129" i="20"/>
  <c r="C128" i="20"/>
  <c r="C67" i="22"/>
  <c r="C133" i="27" l="1"/>
  <c r="A130" i="20"/>
  <c r="C129" i="20"/>
  <c r="C68" i="22"/>
  <c r="C134" i="27" l="1"/>
  <c r="C130" i="20"/>
  <c r="A131" i="20"/>
  <c r="C69" i="22"/>
  <c r="C135" i="27" l="1"/>
  <c r="A132" i="20"/>
  <c r="C131" i="20"/>
  <c r="C70" i="22"/>
  <c r="C136" i="27" l="1"/>
  <c r="C132" i="20"/>
  <c r="A133" i="20"/>
  <c r="C71" i="22"/>
  <c r="C137" i="27" l="1"/>
  <c r="A134" i="20"/>
  <c r="C133" i="20"/>
  <c r="C72" i="22"/>
  <c r="C138" i="27" l="1"/>
  <c r="A135" i="20"/>
  <c r="C134" i="20"/>
  <c r="C73" i="22"/>
  <c r="C139" i="27" l="1"/>
  <c r="A136" i="20"/>
  <c r="C135" i="20"/>
  <c r="C74" i="22"/>
  <c r="C140" i="27" l="1"/>
  <c r="C136" i="20"/>
  <c r="A137" i="20"/>
  <c r="C75" i="22"/>
  <c r="C76" i="22"/>
  <c r="C141" i="27" l="1"/>
  <c r="A138" i="20"/>
  <c r="C137" i="20"/>
  <c r="C142" i="27" l="1"/>
  <c r="A139" i="20"/>
  <c r="C138" i="20"/>
  <c r="C143" i="27" l="1"/>
  <c r="A140" i="20"/>
  <c r="C139" i="20"/>
  <c r="C144" i="27" l="1"/>
  <c r="C140" i="20"/>
  <c r="A141" i="20"/>
  <c r="C145" i="27" l="1"/>
  <c r="C141" i="20"/>
  <c r="A142" i="20"/>
  <c r="C146" i="27" l="1"/>
  <c r="A143" i="20"/>
  <c r="C142" i="20"/>
  <c r="C147" i="27" l="1"/>
  <c r="C143" i="20"/>
  <c r="A144" i="20"/>
  <c r="C148" i="27" l="1"/>
  <c r="C144" i="20"/>
  <c r="A145" i="20"/>
  <c r="C149" i="27" l="1"/>
  <c r="A146" i="20"/>
  <c r="C145" i="20"/>
  <c r="C150" i="27" l="1"/>
  <c r="C146" i="20"/>
  <c r="A147" i="20"/>
  <c r="C151" i="27" l="1"/>
  <c r="A148" i="20"/>
  <c r="C147" i="20"/>
  <c r="C152" i="27" l="1"/>
  <c r="C148" i="20"/>
  <c r="A149" i="20"/>
  <c r="C153" i="27" l="1"/>
  <c r="A150" i="20"/>
  <c r="C149" i="20"/>
  <c r="C154" i="27" l="1"/>
  <c r="A151" i="20"/>
  <c r="C150" i="20"/>
  <c r="C155" i="27" l="1"/>
  <c r="C151" i="20"/>
  <c r="A152" i="20"/>
  <c r="C156" i="27" l="1"/>
  <c r="A153" i="20"/>
  <c r="C152" i="20"/>
  <c r="C157" i="27" l="1"/>
  <c r="C153" i="20"/>
  <c r="A154" i="20"/>
  <c r="C158" i="27" l="1"/>
  <c r="A155" i="20"/>
  <c r="C154" i="20"/>
  <c r="C159" i="27" l="1"/>
  <c r="A156" i="20"/>
  <c r="C155" i="20"/>
  <c r="C160" i="27" l="1"/>
  <c r="A157" i="20"/>
  <c r="C156" i="20"/>
  <c r="C161" i="27" l="1"/>
  <c r="C157" i="20"/>
  <c r="A158" i="20"/>
  <c r="C162" i="27" l="1"/>
  <c r="C158" i="20"/>
  <c r="A159" i="20"/>
  <c r="C163" i="27" l="1"/>
  <c r="C159" i="20"/>
  <c r="A160" i="20"/>
  <c r="C164" i="27" l="1"/>
  <c r="A161" i="20"/>
  <c r="C160" i="20"/>
  <c r="C165" i="27" l="1"/>
  <c r="A162" i="20"/>
  <c r="C161" i="20"/>
  <c r="C166" i="27" l="1"/>
  <c r="A163" i="20"/>
  <c r="C162" i="20"/>
  <c r="C167" i="27" l="1"/>
  <c r="A164" i="20"/>
  <c r="C163" i="20"/>
  <c r="C168" i="27" l="1"/>
  <c r="A165" i="20"/>
  <c r="C164" i="20"/>
  <c r="C169" i="27" l="1"/>
  <c r="A166" i="20"/>
  <c r="C165" i="20"/>
  <c r="C170" i="27" l="1"/>
  <c r="A167" i="20"/>
  <c r="C166" i="20"/>
  <c r="C171" i="27" l="1"/>
  <c r="C167" i="20"/>
  <c r="A168" i="20"/>
  <c r="C172" i="27" l="1"/>
  <c r="A169" i="20"/>
  <c r="C168" i="20"/>
  <c r="C173" i="27" l="1"/>
  <c r="A170" i="20"/>
  <c r="C169" i="20"/>
  <c r="C174" i="27" l="1"/>
  <c r="A171" i="20"/>
  <c r="C170" i="20"/>
  <c r="C175" i="27" l="1"/>
  <c r="A172" i="20"/>
  <c r="C171" i="20"/>
  <c r="C176" i="27" l="1"/>
  <c r="A173" i="20"/>
  <c r="C173" i="20" s="1"/>
  <c r="C172" i="20"/>
  <c r="A4" i="7"/>
  <c r="A5" i="7" s="1"/>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C177" i="27" l="1"/>
  <c r="A90" i="7"/>
  <c r="C89" i="7"/>
  <c r="C4" i="7"/>
  <c r="C178" i="27" l="1"/>
  <c r="A91" i="7"/>
  <c r="C90" i="7"/>
  <c r="C5" i="7"/>
  <c r="C179" i="27" l="1"/>
  <c r="A92" i="7"/>
  <c r="C91" i="7"/>
  <c r="C6" i="7"/>
  <c r="C180" i="27" l="1"/>
  <c r="A93" i="7"/>
  <c r="C92" i="7"/>
  <c r="C7" i="7"/>
  <c r="C181" i="27" l="1"/>
  <c r="A94" i="7"/>
  <c r="C93" i="7"/>
  <c r="C8" i="7"/>
  <c r="C182" i="27" l="1"/>
  <c r="A95" i="7"/>
  <c r="C94" i="7"/>
  <c r="C9" i="7"/>
  <c r="C183" i="27" l="1"/>
  <c r="A96" i="7"/>
  <c r="C95" i="7"/>
  <c r="C10" i="7"/>
  <c r="C184" i="27" l="1"/>
  <c r="A97" i="7"/>
  <c r="C96" i="7"/>
  <c r="C11" i="7"/>
  <c r="C185" i="27" l="1"/>
  <c r="A98" i="7"/>
  <c r="C97" i="7"/>
  <c r="C12" i="7"/>
  <c r="C186" i="27" l="1"/>
  <c r="A99" i="7"/>
  <c r="C98" i="7"/>
  <c r="C13" i="7"/>
  <c r="C187" i="27" l="1"/>
  <c r="A100" i="7"/>
  <c r="C99" i="7"/>
  <c r="C14" i="7"/>
  <c r="C188" i="27" l="1"/>
  <c r="A101" i="7"/>
  <c r="C100" i="7"/>
  <c r="C15" i="7"/>
  <c r="C189" i="27" l="1"/>
  <c r="A102" i="7"/>
  <c r="C101" i="7"/>
  <c r="C16" i="7"/>
  <c r="C190" i="27" l="1"/>
  <c r="A103" i="7"/>
  <c r="C102" i="7"/>
  <c r="C17" i="7"/>
  <c r="C191" i="27" l="1"/>
  <c r="A104" i="7"/>
  <c r="C103" i="7"/>
  <c r="C18" i="7"/>
  <c r="C192" i="27" l="1"/>
  <c r="A105" i="7"/>
  <c r="C104" i="7"/>
  <c r="C19" i="7"/>
  <c r="C193" i="27" l="1"/>
  <c r="A106" i="7"/>
  <c r="C105" i="7"/>
  <c r="C20" i="7"/>
  <c r="C194" i="27" l="1"/>
  <c r="A107" i="7"/>
  <c r="C106" i="7"/>
  <c r="C21" i="7"/>
  <c r="C195" i="27" l="1"/>
  <c r="A108" i="7"/>
  <c r="C107" i="7"/>
  <c r="C22" i="7"/>
  <c r="C197" i="27" l="1"/>
  <c r="C196" i="27"/>
  <c r="A109" i="7"/>
  <c r="C108" i="7"/>
  <c r="C23" i="7"/>
  <c r="A110" i="7" l="1"/>
  <c r="C109" i="7"/>
  <c r="C24" i="7"/>
  <c r="A111" i="7" l="1"/>
  <c r="C110" i="7"/>
  <c r="C25" i="7"/>
  <c r="A112" i="7" l="1"/>
  <c r="C111" i="7"/>
  <c r="C26" i="7"/>
  <c r="A113" i="7" l="1"/>
  <c r="C112" i="7"/>
  <c r="C27" i="7"/>
  <c r="A114" i="7" l="1"/>
  <c r="C113" i="7"/>
  <c r="C28" i="7"/>
  <c r="A115" i="7" l="1"/>
  <c r="C114" i="7"/>
  <c r="C29" i="7"/>
  <c r="A116" i="7" l="1"/>
  <c r="C115" i="7"/>
  <c r="C30" i="7"/>
  <c r="A117" i="7" l="1"/>
  <c r="C116" i="7"/>
  <c r="C31" i="7"/>
  <c r="A118" i="7" l="1"/>
  <c r="C117" i="7"/>
  <c r="C32" i="7"/>
  <c r="A119" i="7" l="1"/>
  <c r="C118" i="7"/>
  <c r="C33" i="7"/>
  <c r="A120" i="7" l="1"/>
  <c r="C119" i="7"/>
  <c r="C34" i="7"/>
  <c r="A121" i="7" l="1"/>
  <c r="C120" i="7"/>
  <c r="C35" i="7"/>
  <c r="A122" i="7" l="1"/>
  <c r="C121" i="7"/>
  <c r="C36" i="7"/>
  <c r="A123" i="7" l="1"/>
  <c r="C122" i="7"/>
  <c r="C37" i="7"/>
  <c r="A124" i="7" l="1"/>
  <c r="C123" i="7"/>
  <c r="C38" i="7"/>
  <c r="A125" i="7" l="1"/>
  <c r="C124" i="7"/>
  <c r="C39" i="7"/>
  <c r="A126" i="7" l="1"/>
  <c r="C125" i="7"/>
  <c r="C40" i="7"/>
  <c r="A127" i="7" l="1"/>
  <c r="C126" i="7"/>
  <c r="C41" i="7"/>
  <c r="A128" i="7" l="1"/>
  <c r="C127" i="7"/>
  <c r="C42" i="7"/>
  <c r="A129" i="7" l="1"/>
  <c r="C128" i="7"/>
  <c r="C43" i="7"/>
  <c r="A130" i="7" l="1"/>
  <c r="C129" i="7"/>
  <c r="C44" i="7"/>
  <c r="A131" i="7" l="1"/>
  <c r="C130" i="7"/>
  <c r="C45" i="7"/>
  <c r="A132" i="7" l="1"/>
  <c r="C131" i="7"/>
  <c r="C46" i="7"/>
  <c r="A133" i="7" l="1"/>
  <c r="C132" i="7"/>
  <c r="C47" i="7"/>
  <c r="A134" i="7" l="1"/>
  <c r="C133" i="7"/>
  <c r="C48" i="7"/>
  <c r="A135" i="7" l="1"/>
  <c r="C134" i="7"/>
  <c r="C49" i="7"/>
  <c r="A136" i="7" l="1"/>
  <c r="C135" i="7"/>
  <c r="C50" i="7"/>
  <c r="A137" i="7" l="1"/>
  <c r="C136" i="7"/>
  <c r="C51" i="7"/>
  <c r="A138" i="7" l="1"/>
  <c r="C137" i="7"/>
  <c r="C52" i="7"/>
  <c r="A139" i="7" l="1"/>
  <c r="C138" i="7"/>
  <c r="C53" i="7"/>
  <c r="A140" i="7" l="1"/>
  <c r="C139" i="7"/>
  <c r="C54" i="7"/>
  <c r="A141" i="7" l="1"/>
  <c r="C140" i="7"/>
  <c r="C55" i="7"/>
  <c r="A142" i="7" l="1"/>
  <c r="C141" i="7"/>
  <c r="C56" i="7"/>
  <c r="A143" i="7" l="1"/>
  <c r="C142" i="7"/>
  <c r="C57" i="7"/>
  <c r="A144" i="7" l="1"/>
  <c r="C143" i="7"/>
  <c r="C58" i="7"/>
  <c r="A145" i="7" l="1"/>
  <c r="C144" i="7"/>
  <c r="C59" i="7"/>
  <c r="A50" i="13"/>
  <c r="A51" i="13" s="1"/>
  <c r="A146" i="7" l="1"/>
  <c r="C145" i="7"/>
  <c r="C60" i="7"/>
  <c r="A52" i="13"/>
  <c r="A147" i="7" l="1"/>
  <c r="C146" i="7"/>
  <c r="C61" i="7"/>
  <c r="A148" i="7" l="1"/>
  <c r="C147" i="7"/>
  <c r="C62" i="7"/>
  <c r="A149" i="7" l="1"/>
  <c r="C148" i="7"/>
  <c r="C63" i="7"/>
  <c r="A150" i="7" l="1"/>
  <c r="C149" i="7"/>
  <c r="C64" i="7"/>
  <c r="A151" i="7" l="1"/>
  <c r="C150" i="7"/>
  <c r="C65" i="7"/>
  <c r="A152" i="7" l="1"/>
  <c r="C151" i="7"/>
  <c r="C66" i="7"/>
  <c r="A153" i="7" l="1"/>
  <c r="C152" i="7"/>
  <c r="C67" i="7"/>
  <c r="A154" i="7" l="1"/>
  <c r="C153" i="7"/>
  <c r="C68" i="7"/>
  <c r="A155" i="7" l="1"/>
  <c r="C154" i="7"/>
  <c r="C69" i="7"/>
  <c r="A156" i="7" l="1"/>
  <c r="C155" i="7"/>
  <c r="C70" i="7"/>
  <c r="A157" i="7" l="1"/>
  <c r="C156" i="7"/>
  <c r="C71" i="7"/>
  <c r="A158" i="7" l="1"/>
  <c r="C157" i="7"/>
  <c r="C72" i="7"/>
  <c r="A159" i="7" l="1"/>
  <c r="C158" i="7"/>
  <c r="C73" i="7"/>
  <c r="A160" i="7" l="1"/>
  <c r="C159" i="7"/>
  <c r="C74" i="7"/>
  <c r="A161" i="7" l="1"/>
  <c r="C160" i="7"/>
  <c r="C75" i="7"/>
  <c r="A162" i="7" l="1"/>
  <c r="C161" i="7"/>
  <c r="C76" i="7"/>
  <c r="A163" i="7" l="1"/>
  <c r="C162" i="7"/>
  <c r="C77" i="7"/>
  <c r="A164" i="7" l="1"/>
  <c r="C163" i="7"/>
  <c r="C78" i="7"/>
  <c r="A165" i="7" l="1"/>
  <c r="C164" i="7"/>
  <c r="C79" i="7"/>
  <c r="A166" i="7" l="1"/>
  <c r="C165" i="7"/>
  <c r="C80" i="7"/>
  <c r="A167" i="7" l="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C166" i="7"/>
  <c r="C81" i="7"/>
  <c r="C167" i="7" l="1"/>
  <c r="C82" i="7"/>
  <c r="C168" i="7" l="1"/>
  <c r="C83" i="7"/>
  <c r="C169" i="7" l="1"/>
  <c r="C84" i="7"/>
  <c r="C170" i="7" l="1"/>
  <c r="C85" i="7"/>
  <c r="C86" i="7" l="1"/>
  <c r="C171" i="7" l="1"/>
  <c r="C172" i="7"/>
  <c r="C87" i="7"/>
  <c r="C173" i="7" l="1"/>
  <c r="C88" i="7"/>
  <c r="C174" i="7" l="1"/>
  <c r="A59" i="13"/>
  <c r="A60" i="13" s="1"/>
  <c r="A61" i="13" s="1"/>
  <c r="A62" i="13" s="1"/>
  <c r="C175" i="7" l="1"/>
  <c r="J10" i="18"/>
  <c r="C176" i="7" l="1"/>
  <c r="C177" i="7" l="1"/>
  <c r="C178" i="7" l="1"/>
  <c r="C179" i="7" l="1"/>
  <c r="C180" i="7" l="1"/>
  <c r="C181" i="7" l="1"/>
  <c r="C182" i="7" l="1"/>
  <c r="C183" i="7" l="1"/>
  <c r="C184" i="7" l="1"/>
  <c r="C185" i="7" l="1"/>
  <c r="C186" i="7" l="1"/>
  <c r="C187" i="7" l="1"/>
  <c r="C188" i="7" l="1"/>
  <c r="C189" i="7" l="1"/>
  <c r="C190" i="7" l="1"/>
  <c r="C191" i="7" l="1"/>
  <c r="C192" i="7" l="1"/>
  <c r="C193" i="7" l="1"/>
  <c r="C194" i="7" l="1"/>
  <c r="C195" i="7" l="1"/>
  <c r="C196" i="7" l="1"/>
  <c r="C197" i="7" l="1"/>
  <c r="P31" i="21"/>
  <c r="P36" i="14"/>
  <c r="P37" i="14" s="1"/>
  <c r="T37"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F10" authorId="0" shapeId="0" xr:uid="{50F1060A-F6DA-494C-B995-33B4136997DE}">
      <text>
        <r>
          <rPr>
            <b/>
            <sz val="9"/>
            <color indexed="81"/>
            <rFont val="Tahoma"/>
            <family val="2"/>
          </rPr>
          <t>Natalie Carvalho:</t>
        </r>
        <r>
          <rPr>
            <sz val="9"/>
            <color indexed="81"/>
            <rFont val="Tahoma"/>
            <family val="2"/>
          </rPr>
          <t xml:space="preserve">
This is a high income setting in a LMIC - need to ensure clarify in inclusion/exclusion criteria</t>
        </r>
      </text>
    </comment>
    <comment ref="F14" authorId="0" shapeId="0" xr:uid="{ACB12C78-82D8-4E32-928F-68EBAAE7AEE2}">
      <text>
        <r>
          <rPr>
            <b/>
            <sz val="9"/>
            <color indexed="81"/>
            <rFont val="Tahoma"/>
            <family val="2"/>
          </rPr>
          <t>Natalie Carvalho:</t>
        </r>
        <r>
          <rPr>
            <sz val="9"/>
            <color indexed="81"/>
            <rFont val="Tahoma"/>
            <family val="2"/>
          </rPr>
          <t xml:space="preserve">
Unsure - doesn't provide results for all countries, but does list out ICERs for some countries?</t>
        </r>
      </text>
    </comment>
    <comment ref="F15" authorId="0" shapeId="0" xr:uid="{E2D748A6-2021-4C20-AB9C-C226449E2A30}">
      <text>
        <r>
          <rPr>
            <b/>
            <sz val="9"/>
            <color indexed="81"/>
            <rFont val="Tahoma"/>
            <family val="2"/>
          </rPr>
          <t>Natalie Carvalho:</t>
        </r>
        <r>
          <rPr>
            <sz val="9"/>
            <color indexed="81"/>
            <rFont val="Tahoma"/>
            <family val="2"/>
          </rPr>
          <t xml:space="preserve">
Cannot find supplementary appendix online</t>
        </r>
      </text>
    </comment>
    <comment ref="F16" authorId="0" shapeId="0" xr:uid="{7CC43226-7C19-425A-BE1C-4DC5EB0FB6AF}">
      <text>
        <r>
          <rPr>
            <b/>
            <sz val="9"/>
            <color indexed="81"/>
            <rFont val="Tahoma"/>
            <family val="2"/>
          </rPr>
          <t xml:space="preserve">Natalie Carvalho:
</t>
        </r>
        <r>
          <rPr>
            <sz val="9"/>
            <color indexed="81"/>
            <rFont val="Tahoma"/>
            <family val="2"/>
          </rPr>
          <t>Cannot find supplementary appendix online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tc={C7892344-7455-E447-BDED-67A6FA67487E}</author>
    <author>tc={A20217E3-278A-AF4F-8C7A-2AEF2229A601}</author>
    <author>tc={D43EACBA-0A03-FD4B-949E-9BCD036E431C}</author>
    <author>tc={D6BF0172-6B6D-2745-AD57-9432FC0647E6}</author>
    <author>tc={FFA9F81F-A1A4-114E-88A3-E7461A4AF13A}</author>
    <author>tc={5061AE01-6548-B849-BBE8-4E524E81AB4A}</author>
    <author>tc={B2712801-7B3D-1142-B177-345D4E7E28ED}</author>
    <author>tc={FC791BED-CFB7-1E40-B832-07E0FD487DAA}</author>
    <author>Edifofon Akpan</author>
    <author>tc={B126892A-3964-4548-9692-85A0D51EE1C1}</author>
    <author>tc={80141E4C-7FB4-4A4A-866F-3B68CCD4AF32}</author>
    <author>tc={EC26F930-4047-A443-97C9-51B8DF205DC5}</author>
    <author>tc={A4324429-0C41-5446-BAB6-2FB443237E4F}</author>
    <author>tc={67619DD8-7BFA-AB49-B8E0-B1856982774C}</author>
    <author>tc={EDD22237-9993-174A-B8F1-6E92AFC05D70}</author>
    <author>tc={650C23F2-306A-8348-8F62-1132EB49A9FE}</author>
    <author>tc={FFF762F4-FD09-6C44-A975-F01B3B487ADA}</author>
    <author>tc={4DECFACF-5AFC-4015-BA14-9202BD3B6ACA}</author>
    <author>tc={0CF42793-05BC-4F48-A8D8-BC609035C24B}</author>
    <author>tc={BB57B72C-4F3D-4D61-840C-F745B9B9038C}</author>
    <author>tc={63D77FE8-5B77-4A57-9650-966C5EC35B0F}</author>
    <author>tc={1A891BB5-D2C8-4353-957E-818367BD0103}</author>
    <author>tc={1956594C-2738-484C-882D-036A79C81218}</author>
    <author>tc={B728F7E8-C024-4CAD-AB29-4376E130B357}</author>
    <author>tc={D1344556-B64E-48E7-A357-110FFE8D50A9}</author>
  </authors>
  <commentList>
    <comment ref="I1" authorId="0" shapeId="0" xr:uid="{C7892344-7455-E447-BDED-67A6FA67487E}">
      <text>
        <t>[Threaded comment]
Your version of Excel allows you to read this threaded comment; however, any edits to it will get removed if the file is opened in a newer version of Excel. Learn more: https://go.microsoft.com/fwlink/?linkid=870924
Comment:
    Is it an Asia-Pacific country?</t>
      </text>
    </comment>
    <comment ref="O1" authorId="1" shapeId="0" xr:uid="{A20217E3-278A-AF4F-8C7A-2AEF2229A601}">
      <text>
        <t>[Threaded comment]
Your version of Excel allows you to read this threaded comment; however, any edits to it will get removed if the file is opened in a newer version of Excel. Learn more: https://go.microsoft.com/fwlink/?linkid=870924
Comment:
    Who pays for healthcare is important too (OOP) in healthcare /payer perspective</t>
      </text>
    </comment>
    <comment ref="Z1" authorId="2" shapeId="0" xr:uid="{D43EACBA-0A03-FD4B-949E-9BCD036E431C}">
      <text>
        <t xml:space="preserve">[Threaded comment]
Your version of Excel allows you to read this threaded comment; however, any edits to it will get removed if the file is opened in a newer version of Excel. Learn more: https://go.microsoft.com/fwlink/?linkid=870924
Comment:
    bacteremia, sepsis, meningitis, and osteomyelitis </t>
      </text>
    </comment>
    <comment ref="AJ1" authorId="3" shapeId="0" xr:uid="{D6BF0172-6B6D-2745-AD57-9432FC0647E6}">
      <text>
        <t>[Threaded comment]
Your version of Excel allows you to read this threaded comment; however, any edits to it will get removed if the file is opened in a newer version of Excel. Learn more: https://go.microsoft.com/fwlink/?linkid=870924
Comment:
    Ochalek (2018) high value</t>
      </text>
    </comment>
    <comment ref="AL1" authorId="4" shapeId="0" xr:uid="{FFA9F81F-A1A4-114E-88A3-E7461A4AF13A}">
      <text>
        <t>[Threaded comment]
Your version of Excel allows you to read this threaded comment; however, any edits to it will get removed if the file is opened in a newer version of Excel. Learn more: https://go.microsoft.com/fwlink/?linkid=870924
Comment:
    Ochalek (2018) low value</t>
      </text>
    </comment>
    <comment ref="AN1" authorId="5" shapeId="0" xr:uid="{5061AE01-6548-B849-BBE8-4E524E81AB4A}">
      <text>
        <t>[Threaded comment]
Your version of Excel allows you to read this threaded comment; however, any edits to it will get removed if the file is opened in a newer version of Excel. Learn more: https://go.microsoft.com/fwlink/?linkid=870924
Comment:
    Woods (2016) high value</t>
      </text>
    </comment>
    <comment ref="AP1" authorId="6" shapeId="0" xr:uid="{B2712801-7B3D-1142-B177-345D4E7E28ED}">
      <text>
        <t>[Threaded comment]
Your version of Excel allows you to read this threaded comment; however, any edits to it will get removed if the file is opened in a newer version of Excel. Learn more: https://go.microsoft.com/fwlink/?linkid=870924
Comment:
    Woods (2016) low value</t>
      </text>
    </comment>
    <comment ref="S88" authorId="7" shapeId="0" xr:uid="{FC791BED-CFB7-1E40-B832-07E0FD487DAA}">
      <text>
        <t>[Threaded comment]
Your version of Excel allows you to read this threaded comment; however, any edits to it will get removed if the file is opened in a newer version of Excel. Learn more: https://go.microsoft.com/fwlink/?linkid=870924
Comment:
    It was assumed that the price would decrease 3% per year</t>
      </text>
    </comment>
    <comment ref="T95" authorId="8" shapeId="0" xr:uid="{67FF9B55-B500-AD46-BAB4-DBA52CF87C68}">
      <text>
        <r>
          <rPr>
            <b/>
            <sz val="9"/>
            <color rgb="FF000000"/>
            <rFont val="Tahoma"/>
            <family val="2"/>
          </rPr>
          <t>Edifofon Akpan:</t>
        </r>
        <r>
          <rPr>
            <sz val="9"/>
            <color rgb="FF000000"/>
            <rFont val="Tahoma"/>
            <family val="2"/>
          </rPr>
          <t xml:space="preserve">
Amount in I$ multiplied by PPP exchange rate in 2008 then converted to US $</t>
        </r>
      </text>
    </comment>
    <comment ref="AD95" authorId="8" shapeId="0" xr:uid="{869DB538-8348-FD47-8967-4099D0EEA7BD}">
      <text>
        <r>
          <rPr>
            <b/>
            <sz val="9"/>
            <color rgb="FF000000"/>
            <rFont val="Tahoma"/>
            <family val="2"/>
          </rPr>
          <t>Edifofon Akpan:</t>
        </r>
        <r>
          <rPr>
            <sz val="9"/>
            <color rgb="FF000000"/>
            <rFont val="Tahoma"/>
            <family val="2"/>
          </rPr>
          <t xml:space="preserve">
Amount in I$ multiplied by PPP exchange rate in 2008 then converted to US $</t>
        </r>
      </text>
    </comment>
    <comment ref="T102" authorId="8" shapeId="0" xr:uid="{51F05B91-591A-B04C-B30C-3895119D88E8}">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X102" authorId="9" shapeId="0" xr:uid="{B126892A-3964-4548-9692-85A0D51EE1C1}">
      <text>
        <t>[Threaded comment]
Your version of Excel allows you to read this threaded comment; however, any edits to it will get removed if the file is opened in a newer version of Excel. Learn more: https://go.microsoft.com/fwlink/?linkid=870924
Comment:
    See Figure 1</t>
      </text>
    </comment>
    <comment ref="AD102" authorId="8" shapeId="0" xr:uid="{CAEE9770-DD80-214B-A306-AD0D278D9AB9}">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C107" authorId="8" shapeId="0" xr:uid="{08258869-5C14-E84C-B1DC-BDAC934979AE}">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C113" authorId="8" shapeId="0" xr:uid="{6A482598-8F42-6141-9ECF-C42983568F8D}">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C121" authorId="10" shapeId="0" xr:uid="{80141E4C-7FB4-4A4A-866F-3B68CCD4AF32}">
      <text>
        <t>[Threaded comment]
Your version of Excel allows you to read this threaded comment; however, any edits to it will get removed if the file is opened in a newer version of Excel. Learn more: https://go.microsoft.com/fwlink/?linkid=870924
Comment:
    Guess from the graph</t>
      </text>
    </comment>
    <comment ref="Z156" authorId="11" shapeId="0" xr:uid="{EC26F930-4047-A443-97C9-51B8DF205DC5}">
      <text>
        <t>[Threaded comment]
Your version of Excel allows you to read this threaded comment; however, any edits to it will get removed if the file is opened in a newer version of Excel. Learn more: https://go.microsoft.com/fwlink/?linkid=870924
Comment:
    Only meningitis</t>
      </text>
    </comment>
    <comment ref="AD156" authorId="8" shapeId="0" xr:uid="{248B46A2-22CB-564F-B82B-C182180C7F1D}">
      <text>
        <r>
          <rPr>
            <b/>
            <sz val="9"/>
            <color indexed="81"/>
            <rFont val="Tahoma"/>
            <family val="2"/>
          </rPr>
          <t>Edifofon Akpan:</t>
        </r>
        <r>
          <rPr>
            <sz val="9"/>
            <color indexed="81"/>
            <rFont val="Tahoma"/>
            <family val="2"/>
          </rPr>
          <t xml:space="preserve">
Amount in I$ multiplied by PPP exchange rate in 2014 then converted to US $</t>
        </r>
      </text>
    </comment>
    <comment ref="Z157" authorId="12" shapeId="0" xr:uid="{A4324429-0C41-5446-BAB6-2FB443237E4F}">
      <text>
        <t>[Threaded comment]
Your version of Excel allows you to read this threaded comment; however, any edits to it will get removed if the file is opened in a newer version of Excel. Learn more: https://go.microsoft.com/fwlink/?linkid=870924
Comment:
    Only meningitis</t>
      </text>
    </comment>
    <comment ref="Z158" authorId="13" shapeId="0" xr:uid="{67619DD8-7BFA-AB49-B8E0-B1856982774C}">
      <text>
        <t>[Threaded comment]
Your version of Excel allows you to read this threaded comment; however, any edits to it will get removed if the file is opened in a newer version of Excel. Learn more: https://go.microsoft.com/fwlink/?linkid=870924
Comment:
    Only meningitis</t>
      </text>
    </comment>
    <comment ref="Z159" authorId="14" shapeId="0" xr:uid="{EDD22237-9993-174A-B8F1-6E92AFC05D70}">
      <text>
        <t>[Threaded comment]
Your version of Excel allows you to read this threaded comment; however, any edits to it will get removed if the file is opened in a newer version of Excel. Learn more: https://go.microsoft.com/fwlink/?linkid=870924
Comment:
    Only meningitis</t>
      </text>
    </comment>
    <comment ref="Z160" authorId="15" shapeId="0" xr:uid="{650C23F2-306A-8348-8F62-1132EB49A9FE}">
      <text>
        <t>[Threaded comment]
Your version of Excel allows you to read this threaded comment; however, any edits to it will get removed if the file is opened in a newer version of Excel. Learn more: https://go.microsoft.com/fwlink/?linkid=870924
Comment:
    Only meningitis</t>
      </text>
    </comment>
    <comment ref="Z161" authorId="16" shapeId="0" xr:uid="{FFF762F4-FD09-6C44-A975-F01B3B487ADA}">
      <text>
        <t>[Threaded comment]
Your version of Excel allows you to read this threaded comment; however, any edits to it will get removed if the file is opened in a newer version of Excel. Learn more: https://go.microsoft.com/fwlink/?linkid=870924
Comment:
    Only meningitis</t>
      </text>
    </comment>
    <comment ref="L206" authorId="17" shapeId="0" xr:uid="{4DECFACF-5AFC-4015-BA14-9202BD3B6ACA}">
      <text>
        <t>[Threaded comment]
Your version of Excel allows you to read this threaded comment; however, any edits to it will get removed if the file is opened in a newer version of Excel. Learn more: https://go.microsoft.com/fwlink/?linkid=870924
Comment:
    GSK</t>
      </text>
    </comment>
    <comment ref="L207" authorId="18" shapeId="0" xr:uid="{0CF42793-05BC-4F48-A8D8-BC609035C24B}">
      <text>
        <t>[Threaded comment]
Your version of Excel allows you to read this threaded comment; however, any edits to it will get removed if the file is opened in a newer version of Excel. Learn more: https://go.microsoft.com/fwlink/?linkid=870924
Comment:
    SII</t>
      </text>
    </comment>
    <comment ref="R209" authorId="19" shapeId="0" xr:uid="{BB57B72C-4F3D-4D61-840C-F745B9B9038C}">
      <text>
        <t>[Threaded comment]
Your version of Excel allows you to read this threaded comment; however, any edits to it will get removed if the file is opened in a newer version of Excel. Learn more: https://go.microsoft.com/fwlink/?linkid=870924
Comment:
    Costs were reported in Colombian Pesos and Later converted into USD, based on the average exchange rate reported between July 2022 and November 2022 from the Colombian central bank (Banco de la República, in Spanish): COP 4,492 for USD 1 </t>
      </text>
    </comment>
    <comment ref="S209" authorId="20" shapeId="0" xr:uid="{63D77FE8-5B77-4A57-9650-966C5EC35B0F}">
      <text>
        <t>[Threaded comment]
Your version of Excel allows you to read this threaded comment; however, any edits to it will get removed if the file is opened in a newer version of Excel. Learn more: https://go.microsoft.com/fwlink/?linkid=870924
Comment:
    Vaccine costs were reported in USD</t>
      </text>
    </comment>
    <comment ref="U209" authorId="21" shapeId="0" xr:uid="{1A891BB5-D2C8-4353-957E-818367BD0103}">
      <text>
        <t>[Threaded comment]
Your version of Excel allows you to read this threaded comment; however, any edits to it will get removed if the file is opened in a newer version of Excel. Learn more: https://go.microsoft.com/fwlink/?linkid=870924
Comment:
    Vaccine costs were reported in USD</t>
      </text>
    </comment>
    <comment ref="AV210" authorId="22" shapeId="0" xr:uid="{1956594C-2738-484C-882D-036A79C81218}">
      <text>
        <t>[Threaded comment]
Your version of Excel allows you to read this threaded comment; however, any edits to it will get removed if the file is opened in a newer version of Excel. Learn more: https://go.microsoft.com/fwlink/?linkid=870924
Comment:
    also used 0.5 GDPpc</t>
      </text>
    </comment>
    <comment ref="AV211" authorId="23" shapeId="0" xr:uid="{B728F7E8-C024-4CAD-AB29-4376E130B357}">
      <text>
        <t>[Threaded comment]
Your version of Excel allows you to read this threaded comment; however, any edits to it will get removed if the file is opened in a newer version of Excel. Learn more: https://go.microsoft.com/fwlink/?linkid=870924
Comment:
    also used 0.5 GDPpc</t>
      </text>
    </comment>
    <comment ref="AV212" authorId="24" shapeId="0" xr:uid="{D1344556-B64E-48E7-A357-110FFE8D50A9}">
      <text>
        <t>[Threaded comment]
Your version of Excel allows you to read this threaded comment; however, any edits to it will get removed if the file is opened in a newer version of Excel. Learn more: https://go.microsoft.com/fwlink/?linkid=870924
Comment:
    also used 0.5 GDPpc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tc={1704C869-E01B-5743-BBA0-AE8A7B928D5D}</author>
    <author>tc={9358BC43-F352-48F4-BD3C-0874C0AA1B5E}</author>
    <author>tc={B512160C-9FAD-46AA-9BC7-E1A6BE010D3C}</author>
    <author>tc={347BEFE5-2DE7-4D4A-BE40-B30B6E52F099}</author>
    <author>Edifofon Akpan</author>
    <author>tc={7DBFE5A5-BDEB-40BA-91AB-0FB297AD3DB3}</author>
    <author>tc={F205444B-76DB-4263-B5F2-5E606A0173EE}</author>
    <author>tc={110A2627-D995-452B-A1EB-433BC7939373}</author>
    <author>tc={1CEDFDD8-52EC-49A8-A475-BA68BB518479}</author>
    <author>tc={45525DA3-CA03-45F4-A8DB-12CD9A8DB400}</author>
    <author>tc={B5FD9FA9-70B1-4CE2-8524-EFEB22E6F0C3}</author>
    <author>tc={401EC970-6E76-4A74-A4D9-E9AB0F37C8C7}</author>
    <author>tc={5EDA4237-1AA9-4941-A696-D68E03725ADB}</author>
    <author>tc={1F43909C-40AB-4717-9082-92740599568D}</author>
    <author>tc={02B46BAE-7DF0-40ED-B641-E6044FADCDF0}</author>
  </authors>
  <commentList>
    <comment ref="Q1" authorId="0" shapeId="0" xr:uid="{1704C869-E01B-5743-BBA0-AE8A7B928D5D}">
      <text>
        <t>[Threaded comment]
Your version of Excel allows you to read this threaded comment; however, any edits to it will get removed if the file is opened in a newer version of Excel. Learn more: https://go.microsoft.com/fwlink/?linkid=870924
Comment:
    Who pays for healthcare is important too (OOP) in healthcare /payer perspective</t>
      </text>
    </comment>
    <comment ref="AG1" authorId="1" shapeId="0" xr:uid="{9358BC43-F352-48F4-BD3C-0874C0AA1B5E}">
      <text>
        <t xml:space="preserve">[Threaded comment]
Your version of Excel allows you to read this threaded comment; however, any edits to it will get removed if the file is opened in a newer version of Excel. Learn more: https://go.microsoft.com/fwlink/?linkid=870924
Comment:
    bacteremia, sepsis, meningitis, and osteomyelitis </t>
      </text>
    </comment>
    <comment ref="AJ1" authorId="2" shapeId="0" xr:uid="{B512160C-9FAD-46AA-9BC7-E1A6BE010D3C}">
      <text>
        <t>[Threaded comment]
Your version of Excel allows you to read this threaded comment; however, any edits to it will get removed if the file is opened in a newer version of Excel. Learn more: https://go.microsoft.com/fwlink/?linkid=870924
Comment:
    Are the efficacy assumptions specific to the types of PCV vaccine used, or just generic</t>
      </text>
    </comment>
    <comment ref="BO1" authorId="3" shapeId="0" xr:uid="{347BEFE5-2DE7-4D4A-BE40-B30B6E52F099}">
      <text>
        <t>[Threaded comment]
Your version of Excel allows you to read this threaded comment; however, any edits to it will get removed if the file is opened in a newer version of Excel. Learn more: https://go.microsoft.com/fwlink/?linkid=870924
Comment:
    Formal, informal, how they presented the results (total $, % health budget, % immunization budget). If they include these %, put them here</t>
      </text>
    </comment>
    <comment ref="AK17" authorId="4" shapeId="0" xr:uid="{C0092013-E008-4780-91BC-2B6B8B38C17B}">
      <text>
        <r>
          <rPr>
            <b/>
            <sz val="9"/>
            <color indexed="81"/>
            <rFont val="Tahoma"/>
            <family val="2"/>
          </rPr>
          <t>Edifofon Akpan:</t>
        </r>
        <r>
          <rPr>
            <sz val="9"/>
            <color indexed="81"/>
            <rFont val="Tahoma"/>
            <family val="2"/>
          </rPr>
          <t xml:space="preserve">
RECALCULATED</t>
        </r>
      </text>
    </comment>
    <comment ref="U88" authorId="5" shapeId="0" xr:uid="{7DBFE5A5-BDEB-40BA-91AB-0FB297AD3DB3}">
      <text>
        <t>[Threaded comment]
Your version of Excel allows you to read this threaded comment; however, any edits to it will get removed if the file is opened in a newer version of Excel. Learn more: https://go.microsoft.com/fwlink/?linkid=870924
Comment:
    It was assumed that the price would decrease 3% per year</t>
      </text>
    </comment>
    <comment ref="V95" authorId="4" shapeId="0" xr:uid="{5C98B168-CA90-4626-ABD5-51868360A642}">
      <text>
        <r>
          <rPr>
            <b/>
            <sz val="9"/>
            <color rgb="FF000000"/>
            <rFont val="Tahoma"/>
            <family val="2"/>
          </rPr>
          <t>Edifofon Akpan:</t>
        </r>
        <r>
          <rPr>
            <sz val="9"/>
            <color rgb="FF000000"/>
            <rFont val="Tahoma"/>
            <family val="2"/>
          </rPr>
          <t xml:space="preserve">
Amount in I$ multiplied by PPP exchange rate in 2008 then converted to US $</t>
        </r>
      </text>
    </comment>
    <comment ref="AN95" authorId="4" shapeId="0" xr:uid="{E0FF3185-1D43-4EDE-8DE8-51AA789A1347}">
      <text>
        <r>
          <rPr>
            <b/>
            <sz val="9"/>
            <color rgb="FF000000"/>
            <rFont val="Tahoma"/>
            <family val="2"/>
          </rPr>
          <t>Edifofon Akpan:</t>
        </r>
        <r>
          <rPr>
            <sz val="9"/>
            <color rgb="FF000000"/>
            <rFont val="Tahoma"/>
            <family val="2"/>
          </rPr>
          <t xml:space="preserve">
Amount in I$ multiplied by PPP exchange rate in 2008 then converted to US $</t>
        </r>
      </text>
    </comment>
    <comment ref="BO99" authorId="6" shapeId="0" xr:uid="{F205444B-76DB-4263-B5F2-5E606A0173EE}">
      <text>
        <t>[Threaded comment]
Your version of Excel allows you to read this threaded comment; however, any edits to it will get removed if the file is opened in a newer version of Excel. Learn more: https://go.microsoft.com/fwlink/?linkid=870924
Comment:
    The undiscounted
annual cost of the vaccine programme is approximately
US$130 000 on average. Incorporating cost savings to the
government from averted outpatient visits and hospitalizations,
however, results in net savings of approximately
US$140 000 per year on average.</t>
      </text>
    </comment>
    <comment ref="V102" authorId="4" shapeId="0" xr:uid="{C6D786F5-5AF7-4F1C-864F-8A1C8165946C}">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D102" authorId="7" shapeId="0" xr:uid="{110A2627-D995-452B-A1EB-433BC7939373}">
      <text>
        <t>[Threaded comment]
Your version of Excel allows you to read this threaded comment; however, any edits to it will get removed if the file is opened in a newer version of Excel. Learn more: https://go.microsoft.com/fwlink/?linkid=870924
Comment:
    See Figure 1</t>
      </text>
    </comment>
    <comment ref="AN102" authorId="4" shapeId="0" xr:uid="{D6A3F15D-5534-47F0-9758-9BF20F7BAA97}">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M107" authorId="4" shapeId="0" xr:uid="{C0844D2B-4170-4DCC-9639-38FBFC5CD5FD}">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M113" authorId="4" shapeId="0" xr:uid="{895AB64F-5BD4-4A6E-9152-1ECFE37FCF71}">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M121" authorId="8" shapeId="0" xr:uid="{1CEDFDD8-52EC-49A8-A475-BA68BB518479}">
      <text>
        <t>[Threaded comment]
Your version of Excel allows you to read this threaded comment; however, any edits to it will get removed if the file is opened in a newer version of Excel. Learn more: https://go.microsoft.com/fwlink/?linkid=870924
Comment:
    Guess from the graph</t>
      </text>
    </comment>
    <comment ref="AG156" authorId="9" shapeId="0" xr:uid="{45525DA3-CA03-45F4-A8DB-12CD9A8DB400}">
      <text>
        <t>[Threaded comment]
Your version of Excel allows you to read this threaded comment; however, any edits to it will get removed if the file is opened in a newer version of Excel. Learn more: https://go.microsoft.com/fwlink/?linkid=870924
Comment:
    Only meningitis</t>
      </text>
    </comment>
    <comment ref="AN156" authorId="4" shapeId="0" xr:uid="{A764B609-6812-47F7-A323-0B5D30A1C07F}">
      <text>
        <r>
          <rPr>
            <b/>
            <sz val="9"/>
            <color indexed="81"/>
            <rFont val="Tahoma"/>
            <family val="2"/>
          </rPr>
          <t>Edifofon Akpan:</t>
        </r>
        <r>
          <rPr>
            <sz val="9"/>
            <color indexed="81"/>
            <rFont val="Tahoma"/>
            <family val="2"/>
          </rPr>
          <t xml:space="preserve">
Amount in I$ multiplied by PPP exchange rate in 2014 then converted to US $</t>
        </r>
      </text>
    </comment>
    <comment ref="AG157" authorId="10" shapeId="0" xr:uid="{B5FD9FA9-70B1-4CE2-8524-EFEB22E6F0C3}">
      <text>
        <t>[Threaded comment]
Your version of Excel allows you to read this threaded comment; however, any edits to it will get removed if the file is opened in a newer version of Excel. Learn more: https://go.microsoft.com/fwlink/?linkid=870924
Comment:
    Only meningitis</t>
      </text>
    </comment>
    <comment ref="AG158" authorId="11" shapeId="0" xr:uid="{401EC970-6E76-4A74-A4D9-E9AB0F37C8C7}">
      <text>
        <t>[Threaded comment]
Your version of Excel allows you to read this threaded comment; however, any edits to it will get removed if the file is opened in a newer version of Excel. Learn more: https://go.microsoft.com/fwlink/?linkid=870924
Comment:
    Only meningitis</t>
      </text>
    </comment>
    <comment ref="AG159" authorId="12" shapeId="0" xr:uid="{5EDA4237-1AA9-4941-A696-D68E03725ADB}">
      <text>
        <t>[Threaded comment]
Your version of Excel allows you to read this threaded comment; however, any edits to it will get removed if the file is opened in a newer version of Excel. Learn more: https://go.microsoft.com/fwlink/?linkid=870924
Comment:
    Only meningitis</t>
      </text>
    </comment>
    <comment ref="AG160" authorId="13" shapeId="0" xr:uid="{1F43909C-40AB-4717-9082-92740599568D}">
      <text>
        <t>[Threaded comment]
Your version of Excel allows you to read this threaded comment; however, any edits to it will get removed if the file is opened in a newer version of Excel. Learn more: https://go.microsoft.com/fwlink/?linkid=870924
Comment:
    Only meningitis</t>
      </text>
    </comment>
    <comment ref="AG161" authorId="14" shapeId="0" xr:uid="{02B46BAE-7DF0-40ED-B641-E6044FADCDF0}">
      <text>
        <t>[Threaded comment]
Your version of Excel allows you to read this threaded comment; however, any edits to it will get removed if the file is opened in a newer version of Excel. Learn more: https://go.microsoft.com/fwlink/?linkid=870924
Comment:
    Only meningitis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Q17" authorId="0" shapeId="0" xr:uid="{79CD75D5-C5D6-8A42-BFC6-C26FFE0611BA}">
      <text>
        <r>
          <rPr>
            <b/>
            <sz val="9"/>
            <color indexed="81"/>
            <rFont val="Tahoma"/>
            <family val="2"/>
          </rPr>
          <t>Edifofon Akpan:</t>
        </r>
        <r>
          <rPr>
            <sz val="9"/>
            <color indexed="81"/>
            <rFont val="Tahoma"/>
            <family val="2"/>
          </rPr>
          <t xml:space="preserve">
RECALCULATED</t>
        </r>
      </text>
    </comment>
    <comment ref="T85" authorId="0" shapeId="0" xr:uid="{5971130C-8357-5243-8D6F-7317E89B82C5}">
      <text>
        <r>
          <rPr>
            <b/>
            <sz val="9"/>
            <color rgb="FF000000"/>
            <rFont val="Tahoma"/>
            <family val="2"/>
          </rPr>
          <t>Edifofon Akpan:</t>
        </r>
        <r>
          <rPr>
            <sz val="9"/>
            <color rgb="FF000000"/>
            <rFont val="Tahoma"/>
            <family val="2"/>
          </rPr>
          <t xml:space="preserve">
</t>
        </r>
        <r>
          <rPr>
            <sz val="9"/>
            <color rgb="FF000000"/>
            <rFont val="Tahoma"/>
            <family val="2"/>
          </rPr>
          <t>Used value for 2013 for previous years as GDPpc was not available for those years</t>
        </r>
      </text>
    </comment>
    <comment ref="S94" authorId="0" shapeId="0" xr:uid="{38011744-C469-6D49-B53B-BD5DB04813A0}">
      <text>
        <r>
          <rPr>
            <b/>
            <sz val="9"/>
            <color rgb="FF000000"/>
            <rFont val="Tahoma"/>
            <family val="2"/>
          </rPr>
          <t>Edifofon Akpan:</t>
        </r>
        <r>
          <rPr>
            <sz val="9"/>
            <color rgb="FF000000"/>
            <rFont val="Tahoma"/>
            <family val="2"/>
          </rPr>
          <t xml:space="preserve">
Amount in I$ multiplied by PPP exchange rate in 2008 then converted to US $</t>
        </r>
      </text>
    </comment>
    <comment ref="J98" authorId="0" shapeId="0" xr:uid="{5220ADFD-8A15-BE47-90C6-E2AF5D90AFB6}">
      <text>
        <r>
          <rPr>
            <b/>
            <sz val="9"/>
            <color indexed="81"/>
            <rFont val="Tahoma"/>
            <family val="2"/>
          </rPr>
          <t>Edifofon Akpan:</t>
        </r>
        <r>
          <rPr>
            <sz val="9"/>
            <color indexed="81"/>
            <rFont val="Tahoma"/>
            <family val="2"/>
          </rPr>
          <t xml:space="preserve">
Discontinuing vaccination</t>
        </r>
      </text>
    </comment>
    <comment ref="S101" authorId="0" shapeId="0" xr:uid="{12155E2E-5C58-8D44-A6DE-F548C453E50E}">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R105" authorId="0" shapeId="0" xr:uid="{4B72890B-86E7-DA42-9716-AA9469B4F9CE}">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R106" authorId="0" shapeId="0" xr:uid="{2A278E09-320B-A140-93C5-09AB3B48B07F}">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S155" authorId="0" shapeId="0" xr:uid="{F99E3B69-2C87-1F48-9A7C-3C9274795939}">
      <text>
        <r>
          <rPr>
            <b/>
            <sz val="9"/>
            <color indexed="81"/>
            <rFont val="Tahoma"/>
            <family val="2"/>
          </rPr>
          <t>Edifofon Akpan:</t>
        </r>
        <r>
          <rPr>
            <sz val="9"/>
            <color indexed="81"/>
            <rFont val="Tahoma"/>
            <family val="2"/>
          </rPr>
          <t xml:space="preserve">
Amount in I$ multiplied by PPP exchange rate in 2014 then converted to US $</t>
        </r>
      </text>
    </comment>
    <comment ref="AG170" authorId="0" shapeId="0" xr:uid="{97414D36-BD9E-104D-8196-6006787256E0}">
      <text>
        <r>
          <rPr>
            <b/>
            <sz val="9"/>
            <color rgb="FF000000"/>
            <rFont val="Tahoma"/>
            <family val="2"/>
          </rPr>
          <t>Edifofon Akpan:</t>
        </r>
        <r>
          <rPr>
            <sz val="9"/>
            <color rgb="FF000000"/>
            <rFont val="Tahoma"/>
            <family val="2"/>
          </rPr>
          <t xml:space="preserve">
</t>
        </r>
        <r>
          <rPr>
            <sz val="9"/>
            <color rgb="FF000000"/>
            <rFont val="Tahoma"/>
            <family val="2"/>
          </rPr>
          <t xml:space="preserve">Thus, PCV would be a high value investment under any
</t>
        </r>
        <r>
          <rPr>
            <sz val="9"/>
            <color rgb="FF000000"/>
            <rFont val="Tahoma"/>
            <family val="2"/>
          </rPr>
          <t xml:space="preserve">cost effectiveness threshold. While ICERs are now less
</t>
        </r>
        <r>
          <rPr>
            <sz val="9"/>
            <color rgb="FF000000"/>
            <rFont val="Tahoma"/>
            <family val="2"/>
          </rPr>
          <t xml:space="preserve">commonly compared with an international income per
</t>
        </r>
        <r>
          <rPr>
            <sz val="9"/>
            <color rgb="FF000000"/>
            <rFont val="Tahoma"/>
            <family val="2"/>
          </rPr>
          <t xml:space="preserve">capita threshold even under the least favourable scenario
</t>
        </r>
        <r>
          <rPr>
            <sz val="9"/>
            <color rgb="FF000000"/>
            <rFont val="Tahoma"/>
            <family val="2"/>
          </rPr>
          <t xml:space="preserve">in which The Gambia pays the full vaccine cost, the ICER
</t>
        </r>
        <r>
          <rPr>
            <sz val="9"/>
            <color rgb="FF000000"/>
            <rFont val="Tahoma"/>
            <family val="2"/>
          </rPr>
          <t xml:space="preserve">(US$91/US$56 per DALY averted from the government/
</t>
        </r>
        <r>
          <rPr>
            <sz val="9"/>
            <color rgb="FF000000"/>
            <rFont val="Tahoma"/>
            <family val="2"/>
          </rPr>
          <t xml:space="preserve">societal perspective) is still less than 15% of per
</t>
        </r>
        <r>
          <rPr>
            <sz val="9"/>
            <color rgb="FF000000"/>
            <rFont val="Tahoma"/>
            <family val="2"/>
          </rPr>
          <t xml:space="preserve">capita GNI meaning it is highly cost effective by nearly
</t>
        </r>
        <r>
          <rPr>
            <sz val="9"/>
            <color rgb="FF000000"/>
            <rFont val="Tahoma"/>
            <family val="2"/>
          </rPr>
          <t>all measures.</t>
        </r>
      </text>
    </comment>
    <comment ref="AG171" authorId="0" shapeId="0" xr:uid="{CD01DBB5-DB18-DA42-B1F3-B0FF4EF01AE4}">
      <text>
        <r>
          <rPr>
            <b/>
            <sz val="9"/>
            <color rgb="FF000000"/>
            <rFont val="Tahoma"/>
            <family val="2"/>
          </rPr>
          <t>Edifofon Akpan:</t>
        </r>
        <r>
          <rPr>
            <sz val="9"/>
            <color rgb="FF000000"/>
            <rFont val="Tahoma"/>
            <family val="2"/>
          </rPr>
          <t xml:space="preserve">
</t>
        </r>
        <r>
          <rPr>
            <sz val="9"/>
            <color rgb="FF000000"/>
            <rFont val="Tahoma"/>
            <family val="2"/>
          </rPr>
          <t xml:space="preserve">Thus, PCV would be a high value investment under any
</t>
        </r>
        <r>
          <rPr>
            <sz val="9"/>
            <color rgb="FF000000"/>
            <rFont val="Tahoma"/>
            <family val="2"/>
          </rPr>
          <t xml:space="preserve">cost effectiveness threshold. While ICERs are now less
</t>
        </r>
        <r>
          <rPr>
            <sz val="9"/>
            <color rgb="FF000000"/>
            <rFont val="Tahoma"/>
            <family val="2"/>
          </rPr>
          <t xml:space="preserve">commonly compared with an international income per
</t>
        </r>
        <r>
          <rPr>
            <sz val="9"/>
            <color rgb="FF000000"/>
            <rFont val="Tahoma"/>
            <family val="2"/>
          </rPr>
          <t xml:space="preserve">capita threshold even under the least favourable scenario
</t>
        </r>
        <r>
          <rPr>
            <sz val="9"/>
            <color rgb="FF000000"/>
            <rFont val="Tahoma"/>
            <family val="2"/>
          </rPr>
          <t xml:space="preserve">in which The Gambia pays the full vaccine cost, the ICER
</t>
        </r>
        <r>
          <rPr>
            <sz val="9"/>
            <color rgb="FF000000"/>
            <rFont val="Tahoma"/>
            <family val="2"/>
          </rPr>
          <t xml:space="preserve">(US$91/US$56 per DALY averted from the government/
</t>
        </r>
        <r>
          <rPr>
            <sz val="9"/>
            <color rgb="FF000000"/>
            <rFont val="Tahoma"/>
            <family val="2"/>
          </rPr>
          <t xml:space="preserve">societal perspective) is still less than 15% of per
</t>
        </r>
        <r>
          <rPr>
            <sz val="9"/>
            <color rgb="FF000000"/>
            <rFont val="Tahoma"/>
            <family val="2"/>
          </rPr>
          <t xml:space="preserve">capita GNI meaning it is highly cost effective by nearly
</t>
        </r>
        <r>
          <rPr>
            <sz val="9"/>
            <color rgb="FF000000"/>
            <rFont val="Tahoma"/>
            <family val="2"/>
          </rPr>
          <t>all measures.</t>
        </r>
      </text>
    </comment>
    <comment ref="P172" authorId="0" shapeId="0" xr:uid="{3C4C644F-E3AA-1F4F-8291-DAEB6D7623E5}">
      <text>
        <r>
          <rPr>
            <b/>
            <sz val="9"/>
            <color indexed="81"/>
            <rFont val="Tahoma"/>
            <family val="2"/>
          </rPr>
          <t>Edifofon Akpan:</t>
        </r>
        <r>
          <rPr>
            <sz val="9"/>
            <color indexed="81"/>
            <rFont val="Tahoma"/>
            <family val="2"/>
          </rPr>
          <t xml:space="preserve">
Not specified
</t>
        </r>
      </text>
    </comment>
    <comment ref="P173" authorId="0" shapeId="0" xr:uid="{A880C03E-D6BB-F846-BD01-B91A4B79A46D}">
      <text>
        <r>
          <rPr>
            <b/>
            <sz val="9"/>
            <color indexed="81"/>
            <rFont val="Tahoma"/>
            <family val="2"/>
          </rPr>
          <t>Edifofon Akpan:</t>
        </r>
        <r>
          <rPr>
            <sz val="9"/>
            <color indexed="81"/>
            <rFont val="Tahoma"/>
            <family val="2"/>
          </rPr>
          <t xml:space="preserve">
Not specified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M3" authorId="0" shapeId="0" xr:uid="{B9C1ABEB-76D1-4B0D-BED9-4A35D16278F0}">
      <text>
        <r>
          <rPr>
            <b/>
            <sz val="9"/>
            <color rgb="FF000000"/>
            <rFont val="Tahoma"/>
            <family val="2"/>
          </rPr>
          <t>Edifofon Akpan:</t>
        </r>
        <r>
          <rPr>
            <sz val="9"/>
            <color rgb="FF000000"/>
            <rFont val="Tahoma"/>
            <family val="2"/>
          </rPr>
          <t xml:space="preserve">
</t>
        </r>
        <r>
          <rPr>
            <sz val="9"/>
            <color rgb="FF000000"/>
            <rFont val="Tahoma"/>
            <family val="2"/>
          </rPr>
          <t>No Threshold</t>
        </r>
      </text>
    </comment>
    <comment ref="Q3" authorId="0" shapeId="0" xr:uid="{07B41D7A-880C-46BA-BC88-1F2960B140CA}">
      <text>
        <r>
          <rPr>
            <b/>
            <sz val="9"/>
            <color indexed="81"/>
            <rFont val="Tahoma"/>
            <family val="2"/>
          </rPr>
          <t>Edifofon Akpan:</t>
        </r>
        <r>
          <rPr>
            <sz val="9"/>
            <color indexed="81"/>
            <rFont val="Tahoma"/>
            <family val="2"/>
          </rPr>
          <t xml:space="preserve">
No Threshold</t>
        </r>
      </text>
    </comment>
    <comment ref="U3" authorId="0" shapeId="0" xr:uid="{C58AC36B-0F42-C24E-BA51-80448C2740A2}">
      <text>
        <r>
          <rPr>
            <b/>
            <sz val="9"/>
            <color indexed="81"/>
            <rFont val="Tahoma"/>
            <family val="2"/>
          </rPr>
          <t>Edifofon Akpan:</t>
        </r>
        <r>
          <rPr>
            <sz val="9"/>
            <color indexed="81"/>
            <rFont val="Tahoma"/>
            <family val="2"/>
          </rPr>
          <t xml:space="preserve">
No Threshold</t>
        </r>
      </text>
    </comment>
    <comment ref="Y3" authorId="0" shapeId="0" xr:uid="{35F39659-F2B8-498B-AA02-6814765553A1}">
      <text>
        <r>
          <rPr>
            <b/>
            <sz val="9"/>
            <color indexed="81"/>
            <rFont val="Tahoma"/>
            <family val="2"/>
          </rPr>
          <t>Edifofon Akpan:</t>
        </r>
        <r>
          <rPr>
            <sz val="9"/>
            <color indexed="81"/>
            <rFont val="Tahoma"/>
            <family val="2"/>
          </rPr>
          <t xml:space="preserve">
No Threshold</t>
        </r>
      </text>
    </comment>
    <comment ref="AC3" authorId="0" shapeId="0" xr:uid="{3AE178F4-EED3-E947-9279-99A00711277A}">
      <text>
        <r>
          <rPr>
            <b/>
            <sz val="9"/>
            <color indexed="81"/>
            <rFont val="Tahoma"/>
            <family val="2"/>
          </rPr>
          <t>Edifofon Akpan:</t>
        </r>
        <r>
          <rPr>
            <sz val="9"/>
            <color indexed="81"/>
            <rFont val="Tahoma"/>
            <family val="2"/>
          </rPr>
          <t xml:space="preserve">
No Threshold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Q17" authorId="0" shapeId="0" xr:uid="{86B471FF-85E8-E748-9F21-BDFE99424C73}">
      <text>
        <r>
          <rPr>
            <b/>
            <sz val="9"/>
            <color indexed="81"/>
            <rFont val="Tahoma"/>
            <family val="2"/>
          </rPr>
          <t>Edifofon Akpan:</t>
        </r>
        <r>
          <rPr>
            <sz val="9"/>
            <color indexed="81"/>
            <rFont val="Tahoma"/>
            <family val="2"/>
          </rPr>
          <t xml:space="preserve">
RECALCULATED</t>
        </r>
      </text>
    </comment>
    <comment ref="P60" authorId="0" shapeId="0" xr:uid="{1C7E309D-E4A4-174B-ADFC-7D4A33FB15F8}">
      <text>
        <r>
          <rPr>
            <b/>
            <sz val="9"/>
            <color indexed="81"/>
            <rFont val="Tahoma"/>
            <family val="2"/>
          </rPr>
          <t>Edifofon Akpan:</t>
        </r>
        <r>
          <rPr>
            <sz val="9"/>
            <color indexed="81"/>
            <rFont val="Tahoma"/>
            <family val="2"/>
          </rPr>
          <t xml:space="preserve">
Not specified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M3" authorId="0" shapeId="0" xr:uid="{2922A818-45C6-1246-9238-29F1A2E8A6F0}">
      <text>
        <r>
          <rPr>
            <b/>
            <sz val="9"/>
            <color indexed="81"/>
            <rFont val="Tahoma"/>
            <family val="2"/>
          </rPr>
          <t>Edifofon Akpan:</t>
        </r>
        <r>
          <rPr>
            <sz val="9"/>
            <color indexed="81"/>
            <rFont val="Tahoma"/>
            <family val="2"/>
          </rPr>
          <t xml:space="preserve">
No Threshold</t>
        </r>
      </text>
    </comment>
    <comment ref="Q3" authorId="0" shapeId="0" xr:uid="{1561A858-D27B-884F-BE75-3A2EDA098560}">
      <text>
        <r>
          <rPr>
            <b/>
            <sz val="9"/>
            <color indexed="81"/>
            <rFont val="Tahoma"/>
            <family val="2"/>
          </rPr>
          <t>Edifofon Akpan:</t>
        </r>
        <r>
          <rPr>
            <sz val="9"/>
            <color indexed="81"/>
            <rFont val="Tahoma"/>
            <family val="2"/>
          </rPr>
          <t xml:space="preserve">
No Threshold</t>
        </r>
      </text>
    </comment>
    <comment ref="U3" authorId="0" shapeId="0" xr:uid="{8D087BA2-5233-1440-9A33-DE37E73C5475}">
      <text>
        <r>
          <rPr>
            <b/>
            <sz val="9"/>
            <color indexed="81"/>
            <rFont val="Tahoma"/>
            <family val="2"/>
          </rPr>
          <t>Edifofon Akpan:</t>
        </r>
        <r>
          <rPr>
            <sz val="9"/>
            <color indexed="81"/>
            <rFont val="Tahoma"/>
            <family val="2"/>
          </rPr>
          <t xml:space="preserve">
No Threshold</t>
        </r>
      </text>
    </comment>
    <comment ref="Y3" authorId="0" shapeId="0" xr:uid="{765AD88C-9491-214D-8F1A-0C60D9C8B381}">
      <text>
        <r>
          <rPr>
            <b/>
            <sz val="9"/>
            <color indexed="81"/>
            <rFont val="Tahoma"/>
            <family val="2"/>
          </rPr>
          <t>Edifofon Akpan:</t>
        </r>
        <r>
          <rPr>
            <sz val="9"/>
            <color indexed="81"/>
            <rFont val="Tahoma"/>
            <family val="2"/>
          </rPr>
          <t xml:space="preserve">
No Threshold</t>
        </r>
      </text>
    </comment>
    <comment ref="AC3" authorId="0" shapeId="0" xr:uid="{FBA31BC5-9624-E343-BBCD-F5D64A87C321}">
      <text>
        <r>
          <rPr>
            <b/>
            <sz val="9"/>
            <color indexed="81"/>
            <rFont val="Tahoma"/>
            <family val="2"/>
          </rPr>
          <t>Edifofon Akpan:</t>
        </r>
        <r>
          <rPr>
            <sz val="9"/>
            <color indexed="81"/>
            <rFont val="Tahoma"/>
            <family val="2"/>
          </rPr>
          <t xml:space="preserve">
No Threshold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<sst xmlns="http://schemas.openxmlformats.org/spreadsheetml/2006/main" count="22976" uniqueCount="1555">
  <si>
    <t>S/N</t>
  </si>
  <si>
    <t>FirstAuthor</t>
  </si>
  <si>
    <t>PubYear</t>
  </si>
  <si>
    <t>Title</t>
  </si>
  <si>
    <t>Edifofon</t>
  </si>
  <si>
    <t>Natalie</t>
  </si>
  <si>
    <t>Final</t>
  </si>
  <si>
    <t>Ellis</t>
  </si>
  <si>
    <t>Economic evaluation of pneumococcal conjugated vaccines for Argentina.</t>
  </si>
  <si>
    <t>abstract only</t>
  </si>
  <si>
    <t>Reasons</t>
  </si>
  <si>
    <t>Number</t>
  </si>
  <si>
    <t>Password for protected sheets is 12345</t>
  </si>
  <si>
    <t>Lee</t>
  </si>
  <si>
    <t>Cost-effectiveness and public health impact of pneumococcal vaccination in Malaysia.</t>
  </si>
  <si>
    <t>Liu</t>
  </si>
  <si>
    <t>Cost effectiveness of an infant pneumococcal conjugate vaccine program in China.</t>
  </si>
  <si>
    <t>high income settings</t>
  </si>
  <si>
    <t>Lutz</t>
  </si>
  <si>
    <t>Cost-effectiveness analysis of anti-pneumococcal vaccines in panama.</t>
  </si>
  <si>
    <t>no ICERs (multicountry)</t>
  </si>
  <si>
    <t>Manova</t>
  </si>
  <si>
    <t>Health economic analysis of pneumococcal vaccination - Example from Bulgaria.</t>
  </si>
  <si>
    <t>not full economic evaluation</t>
  </si>
  <si>
    <t>Haasis</t>
  </si>
  <si>
    <t>Cost-utility analysis of 10-and 13-valent pneumocococcal conjugate vaccines in the philippines.</t>
  </si>
  <si>
    <t>outcomes not LY, QALY, or DALY</t>
  </si>
  <si>
    <t>Gomez</t>
  </si>
  <si>
    <t>Health economic analysis of pneumococcal conjugated vaccines for Mexico, under a technical parity scenario.</t>
  </si>
  <si>
    <t>review article</t>
  </si>
  <si>
    <t>Sohn</t>
  </si>
  <si>
    <t>Economic evaluation of childhood 7-valent pneumococcal conjugate vaccination in Korea.</t>
  </si>
  <si>
    <t>study included</t>
  </si>
  <si>
    <t>Hu</t>
  </si>
  <si>
    <t>Estimating the cost-effectiveness of the 7-valent pneumococcal conjugate vaccine in Shanghai, China.</t>
  </si>
  <si>
    <t>Cost-effectiveness of infant vaccination with 13-valent versus 10-valent pneumococcal conjuvate vaccine in Korea.</t>
  </si>
  <si>
    <t>Zhang</t>
  </si>
  <si>
    <t>Cost-effectiveness analysis of infant pneumococcal vaccination with PHiD-CV in Korea.</t>
  </si>
  <si>
    <t>Kim</t>
  </si>
  <si>
    <t>Cost-effectiveness of a national immunization program with the 13-valent pneumococcal conjugate vaccine compared with the 10-valent pneumococcal conjugate vaccine in South Korea.</t>
  </si>
  <si>
    <t>Sinha</t>
  </si>
  <si>
    <t>Cost-effectiveness of pneumococcal conjugate vaccination in the prevention of child mortality: an international economic analysis.</t>
  </si>
  <si>
    <t>Nakamura</t>
  </si>
  <si>
    <t>Cost effectiveness of child pneumococcal conjugate vaccination in middle-income countries.</t>
  </si>
  <si>
    <t>Tasslimi</t>
  </si>
  <si>
    <t>Cost effectiveness of child pneumococcal conjugate vaccination in GAVI-eligible countries.</t>
  </si>
  <si>
    <t>Chen</t>
  </si>
  <si>
    <t>Effect and cost-effectiveness of pneumococcal conjugate vaccination: a global modelling analysis.</t>
  </si>
  <si>
    <t>Estimated public health impact of nationwide vaccination of infants with 7-valent pneumococcal conjugate vaccine (PCV7) in China.</t>
  </si>
  <si>
    <t>Griffiths</t>
  </si>
  <si>
    <t>Costs of introducing pneumococcal, rotavirus and a second dose of measles vaccine into the Zambian immunisation programme: Are expansions sustainable?</t>
  </si>
  <si>
    <t>Johansson</t>
  </si>
  <si>
    <t>Health Gains and Financial Protection from Pneumococcal Vaccination and Pneumonia Treatment in Ethiopia: Results from an Extended Cost-Effectiveness Analysis.</t>
  </si>
  <si>
    <t>Not economic evaluation</t>
  </si>
  <si>
    <t>Verguet</t>
  </si>
  <si>
    <t>Health gains and financial risk protection afforded by public financing of selected interventions in ethiopia: An extended cost-effectiveness analysis.</t>
  </si>
  <si>
    <t>Mezones</t>
  </si>
  <si>
    <t>Cost-effectiveness analysis of pneumococcal conjugate vaccines in preventing pneumonia in Peruvian children.</t>
  </si>
  <si>
    <t>Giglio</t>
  </si>
  <si>
    <t>The pharmacoeconomics of pneumococcal conjugate vaccines in Latin America.</t>
  </si>
  <si>
    <t>Li</t>
  </si>
  <si>
    <t>The Cost-Effectiveness of 13-Valent Pneumococcal Conjugate Vaccine in Seven Chinese Cities.</t>
  </si>
  <si>
    <t>High income settings</t>
  </si>
  <si>
    <t>Cost-effectiveness of the CRM-based 7-valent pneumococcal conjugated vaccine (PCV7) in Argentina.</t>
  </si>
  <si>
    <t>Talbird</t>
  </si>
  <si>
    <t>Outcomes and costs associated with PHiD-CV, a new protein D conjugate pneumococcal vaccine, in four countries.</t>
  </si>
  <si>
    <t>Constenla</t>
  </si>
  <si>
    <t>Post-introduction economic evaluation of pneumococcal conjugate vaccination in Ecuador, Honduras, and Paraguay.</t>
  </si>
  <si>
    <t>Some other reason</t>
  </si>
  <si>
    <t>Castaneda-Orjuela</t>
  </si>
  <si>
    <t>How cost effective is switching universal vaccination from PCV10 to PCV13? A case study from a developing country.</t>
  </si>
  <si>
    <t>Marijam</t>
  </si>
  <si>
    <t>Cost-Effectiveness Comparison of Pneumococcal Conjugate Vaccines in Turkish Children.</t>
  </si>
  <si>
    <t>Pugh</t>
  </si>
  <si>
    <t>Cost-Effectiveness of the Pneumococcal Conjugate Vaccine (10- or 13-Valent) Versus No Vaccination for a National Immunization Program in Tunisia or Algeria.</t>
  </si>
  <si>
    <t>Estimating the Impact of Switching from a Lower to Higher Valent Pneumococcal Conjugate Vaccine in Colombia, Finland, and The Netherlands: A Cost-Effectiveness Analysis.</t>
  </si>
  <si>
    <t>Pecenka</t>
  </si>
  <si>
    <t>Pneumococcal conjugate vaccination in The Gambia: health impact, cost effectiveness and budget implications.</t>
  </si>
  <si>
    <t>Perdrizet</t>
  </si>
  <si>
    <t>Cost-Effectiveness of the 13-Valent Pneumococcal Conjugate Vaccine (PCV13) Versus Lower-Valent Alternatives in Filipino Infants.</t>
  </si>
  <si>
    <t>Cost-effectiveness analysis of replacing the 10-valent pneumococcal conjugate vaccine (PCV10) with the 13-valent pneumococcal conjugate vaccine (PCV13) in Brazil infants.</t>
  </si>
  <si>
    <t>Suwantika</t>
  </si>
  <si>
    <t>Cost-Effectiveness and Budget Impact Analyses of Pneumococcal Vaccination in Indonesia.</t>
  </si>
  <si>
    <t>Wang</t>
  </si>
  <si>
    <t>Cost-effectiveness analysis of domestic 13-valent pneumococcal conjugate vaccine for children under 5 years of age in mainland China.</t>
  </si>
  <si>
    <t>studyID</t>
  </si>
  <si>
    <t>icerID</t>
  </si>
  <si>
    <t>uniqueID</t>
  </si>
  <si>
    <t>firstAuthor</t>
  </si>
  <si>
    <t>pubYear</t>
  </si>
  <si>
    <t>title</t>
  </si>
  <si>
    <t>country</t>
  </si>
  <si>
    <t>income</t>
  </si>
  <si>
    <t>asiaPacific</t>
  </si>
  <si>
    <t>intervention</t>
  </si>
  <si>
    <t>comparator</t>
  </si>
  <si>
    <t>comparison</t>
  </si>
  <si>
    <t>doseNum</t>
  </si>
  <si>
    <t>baseCase</t>
  </si>
  <si>
    <t>perspective</t>
  </si>
  <si>
    <t>currencyName</t>
  </si>
  <si>
    <t>currencyCountry</t>
  </si>
  <si>
    <t>priceYear</t>
  </si>
  <si>
    <t>priceIntvNCU</t>
  </si>
  <si>
    <t>priceIntvUSD</t>
  </si>
  <si>
    <t>priceCompNCU</t>
  </si>
  <si>
    <t>priceCompUSD</t>
  </si>
  <si>
    <t>herdEffects</t>
  </si>
  <si>
    <t>seroReplace</t>
  </si>
  <si>
    <t>efficacyPneum</t>
  </si>
  <si>
    <t>efficacyIPD</t>
  </si>
  <si>
    <t>efficacyOtitis</t>
  </si>
  <si>
    <t>icerMetric</t>
  </si>
  <si>
    <t>icerNCU</t>
  </si>
  <si>
    <t>icerUSD</t>
  </si>
  <si>
    <t>costSaving</t>
  </si>
  <si>
    <t>gdppc</t>
  </si>
  <si>
    <t>gdp1decide</t>
  </si>
  <si>
    <t>gdp3decide</t>
  </si>
  <si>
    <t>icerGdppc</t>
  </si>
  <si>
    <t>OHgdppc</t>
  </si>
  <si>
    <t>OHdecide</t>
  </si>
  <si>
    <t>OLgdppc</t>
  </si>
  <si>
    <t>OLdecide</t>
  </si>
  <si>
    <t>WHgdppc</t>
  </si>
  <si>
    <t>WHdecide</t>
  </si>
  <si>
    <t>WLgdppc</t>
  </si>
  <si>
    <t>WLdecide</t>
  </si>
  <si>
    <t>RHgdppc</t>
  </si>
  <si>
    <t>RHdecide</t>
  </si>
  <si>
    <t>RLgdppc</t>
  </si>
  <si>
    <t>RLdecide</t>
  </si>
  <si>
    <t>studyThreshold</t>
  </si>
  <si>
    <t>studyDecide</t>
  </si>
  <si>
    <t>switchOH</t>
  </si>
  <si>
    <t>switchOL</t>
  </si>
  <si>
    <t>switchWH</t>
  </si>
  <si>
    <t>switchWL</t>
  </si>
  <si>
    <t>switchRH</t>
  </si>
  <si>
    <t>switchRL</t>
  </si>
  <si>
    <t>switches</t>
  </si>
  <si>
    <t>budgetImpact</t>
  </si>
  <si>
    <t>funding</t>
  </si>
  <si>
    <t>Che</t>
  </si>
  <si>
    <t>Modeling the impact of the 7-valent pneumococcal conjugate v</t>
  </si>
  <si>
    <t>China</t>
  </si>
  <si>
    <t>PCV7</t>
  </si>
  <si>
    <t>NoVax</t>
  </si>
  <si>
    <t>Yes</t>
  </si>
  <si>
    <t>Societal</t>
  </si>
  <si>
    <t>US dollar</t>
  </si>
  <si>
    <t>United States</t>
  </si>
  <si>
    <t>QALY gained</t>
  </si>
  <si>
    <t>one/three GPDpc</t>
  </si>
  <si>
    <t>Not cost-effective</t>
  </si>
  <si>
    <t>No</t>
  </si>
  <si>
    <t>Non-profit</t>
  </si>
  <si>
    <t>Caldwell</t>
  </si>
  <si>
    <t xml:space="preserve">The health and economic impact of vaccination with 7-valent </t>
  </si>
  <si>
    <t>Healthcare/payer</t>
  </si>
  <si>
    <t>Chinese yuan</t>
  </si>
  <si>
    <t>three GDPpc</t>
  </si>
  <si>
    <t>Cost-effective</t>
  </si>
  <si>
    <t>Industry</t>
  </si>
  <si>
    <t>Maurer</t>
  </si>
  <si>
    <t xml:space="preserve">Cost-effectiveness analysis of pneumococcal vaccination for </t>
  </si>
  <si>
    <t>PCV10</t>
  </si>
  <si>
    <t>PCV13</t>
  </si>
  <si>
    <t>Mo</t>
  </si>
  <si>
    <t>Cost-effectiveness and health benefits of pediatric 23-valen</t>
  </si>
  <si>
    <t>None</t>
  </si>
  <si>
    <t>Shen</t>
  </si>
  <si>
    <t>Estimating the cost-effectiveness of an infant 13-valent pne</t>
  </si>
  <si>
    <t>two GDPpc</t>
  </si>
  <si>
    <t>Zhou</t>
  </si>
  <si>
    <t>Cost-effectiveness analysis of routine 13-valent pneumococca</t>
  </si>
  <si>
    <t>one GDPpc</t>
  </si>
  <si>
    <t>Government</t>
  </si>
  <si>
    <t>Aljunid</t>
  </si>
  <si>
    <t xml:space="preserve">Impact of routine PCV7 (Prevenar) vaccination of infants on </t>
  </si>
  <si>
    <t>Malaysia</t>
  </si>
  <si>
    <t>Malaysian ringgit</t>
  </si>
  <si>
    <t xml:space="preserve">Economic impact of pneumococcal protein-D conjugate vaccine </t>
  </si>
  <si>
    <t xml:space="preserve">Cost-effectiveness analysis of a universal mass vaccination </t>
  </si>
  <si>
    <t>Wu</t>
  </si>
  <si>
    <t>Cost-effectiveness analysis of infant universal routine pneu</t>
  </si>
  <si>
    <t>Cost-saving</t>
  </si>
  <si>
    <t>Krishnamoorthy</t>
  </si>
  <si>
    <t>Impact and cost effectiveness of pneumococcal conjugate vacc</t>
  </si>
  <si>
    <t>India</t>
  </si>
  <si>
    <t>DALY averted</t>
  </si>
  <si>
    <t>Dilokthornsakul</t>
  </si>
  <si>
    <t>An updated cost-effectiveness analysis of pneumococcal conju</t>
  </si>
  <si>
    <t>Thailand</t>
  </si>
  <si>
    <t>Thai baht</t>
  </si>
  <si>
    <t>THB 160000</t>
  </si>
  <si>
    <t>Kulpeng</t>
  </si>
  <si>
    <t>Cost-utility analysis of 10-and 13-valent pneumococcal conju</t>
  </si>
  <si>
    <t>THB 100000</t>
  </si>
  <si>
    <t xml:space="preserve">Do pneumococcal conjugate vaccines represent good value for </t>
  </si>
  <si>
    <t>Philippines</t>
  </si>
  <si>
    <t>Philippine peso</t>
  </si>
  <si>
    <t>PHP 120,000</t>
  </si>
  <si>
    <t>Cost-effectiveness analysis of pneumococcal vaccination with</t>
  </si>
  <si>
    <t>Sundaram</t>
  </si>
  <si>
    <t>Cost-effectiveness of 13-valent pneumococcal conjugate vacci</t>
  </si>
  <si>
    <t>Mongolia</t>
  </si>
  <si>
    <t>Dorji</t>
  </si>
  <si>
    <t xml:space="preserve">Towards the introduction of pneumococcal conjugate vaccines </t>
  </si>
  <si>
    <t>Bhutan</t>
  </si>
  <si>
    <t>Economic impact of pneumococcal conjugate vaccination in Bra</t>
  </si>
  <si>
    <t>Brazil</t>
  </si>
  <si>
    <t>Uruguay</t>
  </si>
  <si>
    <t>Vespa</t>
  </si>
  <si>
    <t xml:space="preserve">Estimating the cost-effectiveness of pneumococcal conjugate </t>
  </si>
  <si>
    <t>Brazilian real</t>
  </si>
  <si>
    <t>Economic evaluation of pneumococcal conjugate vaccination in</t>
  </si>
  <si>
    <t>Gambia, The</t>
  </si>
  <si>
    <t>PCV9</t>
  </si>
  <si>
    <t>Urueña</t>
  </si>
  <si>
    <t>Cost-effectiveness analysis of the 10- and 13-valent pneumoc</t>
  </si>
  <si>
    <t>Argentina</t>
  </si>
  <si>
    <t>Touray</t>
  </si>
  <si>
    <t xml:space="preserve">The cost effectiveness of pneumococcal conjugate vaccine in </t>
  </si>
  <si>
    <t>Ayieko</t>
  </si>
  <si>
    <t>Assessment of health benefits and cost-effectiveness of 10-v</t>
  </si>
  <si>
    <t>Kenya</t>
  </si>
  <si>
    <t>Gargano</t>
  </si>
  <si>
    <t>Pneumonia Prevention during a Humanitarian Emergency: Cost-e</t>
  </si>
  <si>
    <t>Somalia</t>
  </si>
  <si>
    <t>Sibak</t>
  </si>
  <si>
    <t>Cost-effectiveness analysis of the introduction of the pneum</t>
  </si>
  <si>
    <t>Egypt, Arab Rep.</t>
  </si>
  <si>
    <t>Cost-effectiveness analysis of 10- and 13-valent pneumococca</t>
  </si>
  <si>
    <t>Peru</t>
  </si>
  <si>
    <t>Pneumonia prevention: Cost-effectiveness analyses of two vac</t>
  </si>
  <si>
    <t>South Sudan</t>
  </si>
  <si>
    <t>Kupek</t>
  </si>
  <si>
    <t>Postintroduction Study of Cost Effectiveness of Pneumococcal</t>
  </si>
  <si>
    <t>Lara</t>
  </si>
  <si>
    <t>Cost-Effectiveness Analysis of Pneumococcal and Influenza Va</t>
  </si>
  <si>
    <t>Colombia</t>
  </si>
  <si>
    <t>Intl Dollars</t>
  </si>
  <si>
    <t>International</t>
  </si>
  <si>
    <t>Kebede</t>
  </si>
  <si>
    <t>Cost-effectiveness of childhood pneumococcal vaccination pro</t>
  </si>
  <si>
    <t>Ethiopia</t>
  </si>
  <si>
    <t>Ojal</t>
  </si>
  <si>
    <t>Sustaining pneumococcal vaccination after transitioning from</t>
  </si>
  <si>
    <t>Mixed</t>
  </si>
  <si>
    <t>Ezoji</t>
  </si>
  <si>
    <t>Cost-effectiveness of introducing the pneumococcal conjugate</t>
  </si>
  <si>
    <t>Iran, Islamic Rep.</t>
  </si>
  <si>
    <t>Fariñas</t>
  </si>
  <si>
    <t>Cost-effectiveness of introducing a domestic pneumococcal co</t>
  </si>
  <si>
    <t>Cuba</t>
  </si>
  <si>
    <t>Cuban peso</t>
  </si>
  <si>
    <t>Bakir</t>
  </si>
  <si>
    <t>Cost-effectiveness of new pneumococcal conjugate vaccines in</t>
  </si>
  <si>
    <t>Türkiye</t>
  </si>
  <si>
    <t>NA</t>
  </si>
  <si>
    <t>Castañeda-Orjuela</t>
  </si>
  <si>
    <t xml:space="preserve">Cost-effectiveness of pneumococcal conjugate vaccines of 7, </t>
  </si>
  <si>
    <t>LY gained</t>
  </si>
  <si>
    <t>Cost-effectiveness and cost utility analysis of three pneumo</t>
  </si>
  <si>
    <t>Kieninger</t>
  </si>
  <si>
    <t>Cost-effectiveness analysis of pneumococcal conjugate vaccin</t>
  </si>
  <si>
    <t>Paraguay</t>
  </si>
  <si>
    <t>Komakhidze</t>
  </si>
  <si>
    <t xml:space="preserve">Cost-effectiveness of pneumococcal conjugate vaccination in </t>
  </si>
  <si>
    <t>Georgia</t>
  </si>
  <si>
    <t>Ordóñez</t>
  </si>
  <si>
    <t>Cost-effectiveness analysis of the available pneumococcal co</t>
  </si>
  <si>
    <t>Sartori</t>
  </si>
  <si>
    <t>Cost-effectiveness of introducing the 10-valent pneumococcal</t>
  </si>
  <si>
    <t>Türel</t>
  </si>
  <si>
    <t>Potential cost-effectiveness of pneumococcal conjugate vacci</t>
  </si>
  <si>
    <t>Guzmán</t>
  </si>
  <si>
    <t>Cost effectiveness of heptavalent pneumococcal conjugate vac</t>
  </si>
  <si>
    <t>Marti</t>
  </si>
  <si>
    <t>A cost-effectiveness analysis of a 10-valent pneumococcal co</t>
  </si>
  <si>
    <t>Mexico</t>
  </si>
  <si>
    <t>Cost-effectiveness of the CRM-based 7-valent pneumococcal co</t>
  </si>
  <si>
    <t xml:space="preserve">Outcomes and costs associated with PHiD-CV, a new protein D </t>
  </si>
  <si>
    <t>Mexican peso</t>
  </si>
  <si>
    <t>Post-introduction economic evaluation of pneumococcal conjug</t>
  </si>
  <si>
    <t>Ecuador</t>
  </si>
  <si>
    <t>Honduras</t>
  </si>
  <si>
    <t>How cost effective is switching universal vaccination from P</t>
  </si>
  <si>
    <t>Cost-Effectiveness Comparison of Pneumococcal Conjugate Vacc</t>
  </si>
  <si>
    <t>Euro</t>
  </si>
  <si>
    <t>Euro area</t>
  </si>
  <si>
    <t>Cost-Effectiveness of the Pneumococcal Conjugate Vaccine (10</t>
  </si>
  <si>
    <t>Tunisia</t>
  </si>
  <si>
    <t>Algeria</t>
  </si>
  <si>
    <t>Estimating the Impact of Switching from a Lower to Higher Va</t>
  </si>
  <si>
    <t>Pneumococcal conjugate vaccination in The Gambia: health imp</t>
  </si>
  <si>
    <t>Cost-Effectiveness of the 13-Valent Pneumococcal Conjugate V</t>
  </si>
  <si>
    <t>PHP 150,000</t>
  </si>
  <si>
    <t>Cost-effectiveness analysis of replacing the 10-valent pneum</t>
  </si>
  <si>
    <t>Cost-Effectiveness and Budget Impact Analyses of Pneumococca</t>
  </si>
  <si>
    <t>Indonesia</t>
  </si>
  <si>
    <t>Healthcare</t>
  </si>
  <si>
    <t>Cost-effectiveness analysis of domestic 13-valent pneumococc</t>
  </si>
  <si>
    <t>Shafie</t>
  </si>
  <si>
    <t>Estimating the population health and economic impacts of int</t>
  </si>
  <si>
    <t>Wasserman</t>
  </si>
  <si>
    <t>Modeling the sustained use of the 13-valent pneumococcal con</t>
  </si>
  <si>
    <t>Lagoubi</t>
  </si>
  <si>
    <t>A cost-effectiveness analysis of PHiD-CV compared to PCV13</t>
  </si>
  <si>
    <t>Chaiyakunapruk</t>
  </si>
  <si>
    <t>Public Health Value of a Hypothetical Pneumococcal Conju</t>
  </si>
  <si>
    <t>PCV12</t>
  </si>
  <si>
    <t>Huang</t>
  </si>
  <si>
    <t>Cost-Effectiveness Analysis of the South African Infant Natio</t>
  </si>
  <si>
    <t>South Africa</t>
  </si>
  <si>
    <t>South Africa rand</t>
  </si>
  <si>
    <t>Lai</t>
  </si>
  <si>
    <t>Estimating national, regional and provincial cost-effectiveness</t>
  </si>
  <si>
    <t>A cost-effectiveness analysis of pneumococcal conjugate vacci</t>
  </si>
  <si>
    <t>Sevilla</t>
  </si>
  <si>
    <t>Cost-utility and cost-benefit analysis of pediatric PCV programs</t>
  </si>
  <si>
    <t>interventionPhrase</t>
  </si>
  <si>
    <t>dosePhrase</t>
  </si>
  <si>
    <t>currencyYear</t>
  </si>
  <si>
    <t>vaxPriceIntervention</t>
  </si>
  <si>
    <t>vaxPriceInterventionUSD</t>
  </si>
  <si>
    <t>vaxPriceInterventionSource</t>
  </si>
  <si>
    <t>vaxPriceComparator</t>
  </si>
  <si>
    <t>vaxPriceComparatorUSD</t>
  </si>
  <si>
    <t>vaxPriceComparatorSource</t>
  </si>
  <si>
    <t>herdEffectsMethod</t>
  </si>
  <si>
    <t>herdEffectOlder</t>
  </si>
  <si>
    <t>seroReplaceMethod</t>
  </si>
  <si>
    <t>efficacyPneumonia</t>
  </si>
  <si>
    <t>efficacyOthers</t>
  </si>
  <si>
    <t>efficacyAssumptions</t>
  </si>
  <si>
    <t>icerPhrase</t>
  </si>
  <si>
    <t>icer</t>
  </si>
  <si>
    <t>GDPPC</t>
  </si>
  <si>
    <t>oneGDPpcdecision</t>
  </si>
  <si>
    <t>threeGDPpcdecision</t>
  </si>
  <si>
    <t>percentGDPpc</t>
  </si>
  <si>
    <t>ochalekHigh</t>
  </si>
  <si>
    <t>ochalekHighDecision</t>
  </si>
  <si>
    <t>ochalekLow</t>
  </si>
  <si>
    <t>ochalekLowDecision</t>
  </si>
  <si>
    <t>woodsHigh</t>
  </si>
  <si>
    <t>woodsHighDecision</t>
  </si>
  <si>
    <t>woodsLow</t>
  </si>
  <si>
    <t>woodsLowDecision</t>
  </si>
  <si>
    <t>riviereHigh</t>
  </si>
  <si>
    <t>riviereHighDecision</t>
  </si>
  <si>
    <t>riviereLow</t>
  </si>
  <si>
    <t>riviereLowDecision</t>
  </si>
  <si>
    <t>studyThresholdDecision</t>
  </si>
  <si>
    <t>switchOchalekLow</t>
  </si>
  <si>
    <t>switchOchalekHigh</t>
  </si>
  <si>
    <t>switchWoodsLow</t>
  </si>
  <si>
    <t>switchWoodsHigh</t>
  </si>
  <si>
    <t>switchRiviereLow</t>
  </si>
  <si>
    <t>switchRiviereHigh</t>
  </si>
  <si>
    <t xml:space="preserve">Switches </t>
  </si>
  <si>
    <t>budgetImpactResults</t>
  </si>
  <si>
    <t>fundingPhrase</t>
  </si>
  <si>
    <t>notesComments</t>
  </si>
  <si>
    <t>Modeling the impact of the 7-valent pneumococcal conjugate vaccine in Chinese infants: an economic analysis of a compulsory vaccination</t>
  </si>
  <si>
    <t>PCV7 vs NoVax</t>
  </si>
  <si>
    <t>2+1 Dose</t>
  </si>
  <si>
    <t>Estimated</t>
  </si>
  <si>
    <t>USD 530,354</t>
  </si>
  <si>
    <t>Not Cost-Effective</t>
  </si>
  <si>
    <t>Shanghai Jiaotong University School of Medicine</t>
  </si>
  <si>
    <t>decrease in vaccine serotypes (same thing as increase in vax effectiveness &lt;4 y); reduction of IPD rates (20+ y)</t>
  </si>
  <si>
    <t>USD 95,319</t>
  </si>
  <si>
    <t>The health and economic impact of vaccination with 7-valent pneumococcal vaccine (PCV7) during an annual influenza epidemic and influenza pandemic in China</t>
  </si>
  <si>
    <t>4 Dose</t>
  </si>
  <si>
    <t>Healthcare/Payer</t>
  </si>
  <si>
    <t>Shanghai Municipal Commission of Health and Family Planning</t>
  </si>
  <si>
    <t>reduction of pneumonia rates</t>
  </si>
  <si>
    <t>PCV7 trial data</t>
  </si>
  <si>
    <t>CNY 13,737</t>
  </si>
  <si>
    <t>Cost-Effective</t>
  </si>
  <si>
    <t>Pfizer</t>
  </si>
  <si>
    <t>Cost-effectiveness analysis of pneumococcal vaccination for infants in China</t>
  </si>
  <si>
    <t>Unclear</t>
  </si>
  <si>
    <t>.</t>
  </si>
  <si>
    <t>Previous study</t>
  </si>
  <si>
    <t>AOM/IPD, adjusted PCV7 trial data</t>
  </si>
  <si>
    <t>USD 18,224</t>
  </si>
  <si>
    <t>University of Michigan</t>
  </si>
  <si>
    <t>PCV10-GSK vs NoVax</t>
  </si>
  <si>
    <t>USD 16,664</t>
  </si>
  <si>
    <t>PCV13-PFE vs NoVax</t>
  </si>
  <si>
    <t>USD 11,436</t>
  </si>
  <si>
    <t>Cost-effectiveness and health benefits of pediatric 23-valent pneumococcal polysaccharide vaccine, 7-valent pneumococcal conjugate vaccine and forecasting 13-valent pneumococcal conjugate vaccine in China</t>
  </si>
  <si>
    <t>3 doses</t>
  </si>
  <si>
    <t xml:space="preserve">increase in vaccine effectiveness    </t>
  </si>
  <si>
    <t>USD 104,094</t>
  </si>
  <si>
    <t>Ignoring PPV-23 (Do we specifically state this?)</t>
  </si>
  <si>
    <t>4 doses</t>
  </si>
  <si>
    <t>USD 29,460</t>
  </si>
  <si>
    <t>Estimating the cost-effectiveness of an infant 13-valent pneumococcal conjugate vaccine national immunization program in China</t>
  </si>
  <si>
    <t>3+1 Dose</t>
  </si>
  <si>
    <t>current average list price</t>
  </si>
  <si>
    <t>PCV trial data</t>
  </si>
  <si>
    <t>CNY 79,304/ (direct)</t>
  </si>
  <si>
    <t xml:space="preserve">reduction of IPD </t>
  </si>
  <si>
    <t>CNY 76,551 / DE + IDE for IPD</t>
  </si>
  <si>
    <t>reduction of IPD and pneumonia rates (in unvaccited) based on data from the US</t>
  </si>
  <si>
    <t>CNY 3,777/ (direct + indirect IPD + PNE)</t>
  </si>
  <si>
    <t>Cost-effectiveness analysis of routine 13-valent pneumococcal conjugate vaccinations in Chinese infants</t>
  </si>
  <si>
    <t>USD 20,709</t>
  </si>
  <si>
    <t>Shanghai Health and Family Planning Commission</t>
  </si>
  <si>
    <t>USD 18,483</t>
  </si>
  <si>
    <t>Impact of routine PCV7 (Prevenar) vaccination of infants on the clinical and economic burden of pneumococcal disease in Malaysia</t>
  </si>
  <si>
    <t>Current market prices</t>
  </si>
  <si>
    <t>reduction of IPD rates</t>
  </si>
  <si>
    <t>RM 35,196</t>
  </si>
  <si>
    <t>Economic impact of pneumococcal protein-D conjugate vaccine (PHiD-CV) on the Malaysian national immunization programme</t>
  </si>
  <si>
    <t>IPD/pneu, PCV10 trial data; AOM, PCV7 trial data</t>
  </si>
  <si>
    <t>USD 9,407</t>
  </si>
  <si>
    <t>GSK</t>
  </si>
  <si>
    <t>PCV10-GSK vs PCV13-PFE</t>
  </si>
  <si>
    <t>USD 61061.49</t>
  </si>
  <si>
    <t>Cost-effectiveness analysis of a universal mass vaccination program with a PHiD-CV 2+ 1 schedule in Malaysia</t>
  </si>
  <si>
    <t>hypothetical price</t>
  </si>
  <si>
    <t>IPD, adjusted PCV7 trial data</t>
  </si>
  <si>
    <t>USD 28,497</t>
  </si>
  <si>
    <t>USD 44907.6</t>
  </si>
  <si>
    <t>Cost-effectiveness analysis of infant universal routine pneumococcal vaccination in Malaysia and Hong Kong</t>
  </si>
  <si>
    <t>private market prices</t>
  </si>
  <si>
    <t>dynamic transmission</t>
  </si>
  <si>
    <t>USD 21,438</t>
  </si>
  <si>
    <t>USD 20,667</t>
  </si>
  <si>
    <t>USD 6,389</t>
  </si>
  <si>
    <t>USD 4,883</t>
  </si>
  <si>
    <t>PCV13-PFE vs PCV10-GSK</t>
  </si>
  <si>
    <t>USD -3,059</t>
  </si>
  <si>
    <t>Cost-Saving</t>
  </si>
  <si>
    <t>USD -5,027</t>
  </si>
  <si>
    <t>USD 15752</t>
  </si>
  <si>
    <t>USD 14981</t>
  </si>
  <si>
    <t>Impact and cost effectiveness of pneumococcal conjugate vaccine in India</t>
  </si>
  <si>
    <t>USD 467 DALY averted</t>
  </si>
  <si>
    <t>USD 4791 million over 10 years 2018-2027; Incremental USD 46 million av. per year</t>
  </si>
  <si>
    <t>The vaccine price per dose was $3.30 till 2021 and $7.00 till 2025 and $15.68 after the end of partnership with GAVI and subsidization by Pfizer</t>
  </si>
  <si>
    <t>An updated cost-effectiveness analysis of pneumococcal conjugate vaccine among children in Thailand</t>
  </si>
  <si>
    <t>pharmaceutical companies</t>
  </si>
  <si>
    <t>various sources</t>
  </si>
  <si>
    <t>THB -46,918 Dose (3 + 1)</t>
  </si>
  <si>
    <t>put a note on the diff.</t>
  </si>
  <si>
    <t>THB -70,854 (Dose 2 + 1)</t>
  </si>
  <si>
    <t xml:space="preserve">THB -84,770 Dose (3 + 1): </t>
  </si>
  <si>
    <t xml:space="preserve">THB -99,394 Dose (2 + 1): </t>
  </si>
  <si>
    <t>THB 215,948 Dose (3 + 1)</t>
  </si>
  <si>
    <t>THB 3945.6 million av. per year 2017-2021. Incremental THB 1196 million savings in 2017</t>
  </si>
  <si>
    <t>THB 170,437 Dose 2 + 1)</t>
  </si>
  <si>
    <t>THB 2959.0 million av. per year 2017-2021. Incremental THB   724 million savings in 2017</t>
  </si>
  <si>
    <t xml:space="preserve">THB 97,269 Dose (3 + 1): </t>
  </si>
  <si>
    <t>THB 3147.2 million av. per year 2017-2021. Incremental THB   788 million savings in 2017</t>
  </si>
  <si>
    <t xml:space="preserve">THB 73,674 Dose (2 + 1): </t>
  </si>
  <si>
    <t>THB 2354.6 million av. per year 2017-2021. Incremental THB 1100 million savings in 2017</t>
  </si>
  <si>
    <t>Cost-utility analysis of 10-and 13-valent pneumococcal conjugate vaccines: protection at what price in the Thai context</t>
  </si>
  <si>
    <t>adjust serotype coverage parameter</t>
  </si>
  <si>
    <t>THB 519399 (Dose 2 + 1)</t>
  </si>
  <si>
    <t xml:space="preserve">The Health Promotion Foundation </t>
  </si>
  <si>
    <t>THB 650087 (Dose 3 + 1)</t>
  </si>
  <si>
    <t>THB 1368072 (Dose 2 + 1)</t>
  </si>
  <si>
    <t>THB 1677379 (Dose 3 + 1)</t>
  </si>
  <si>
    <t>THB 527378 (Dose 2 + 1)</t>
  </si>
  <si>
    <t>THB 660662 (Dose 3 + 1)</t>
  </si>
  <si>
    <t>THB 1490305 (Dose 2 + 1)</t>
  </si>
  <si>
    <t>THB 1830716 (Dose 3 + 1)</t>
  </si>
  <si>
    <t>Do pneumococcal conjugate vaccines represent good value for money in a lower-middle income country? A cost-utility analysis in the Philippines</t>
  </si>
  <si>
    <t>DOH Expanded Program Immunization</t>
  </si>
  <si>
    <t>PHP 68,182</t>
  </si>
  <si>
    <t>PHP 4935 million over 5 years. Incremental PHP 1837 million over 5 years.</t>
  </si>
  <si>
    <t>WHO</t>
  </si>
  <si>
    <t>PHP 112,640</t>
  </si>
  <si>
    <t>PHP 3557 million over 5 years. Incremental PHP   459 million over 5 years.</t>
  </si>
  <si>
    <t>PHP 54,510</t>
  </si>
  <si>
    <t>PHP 5139 million over 5 years. Incremental PHP 2041 million over 5 years.</t>
  </si>
  <si>
    <t>PHP 84,654</t>
  </si>
  <si>
    <t>PHP 3609 million over 5 years. Incremental PHP   511 million over 5 years.</t>
  </si>
  <si>
    <t>DOH Expanded Program on Immunization</t>
  </si>
  <si>
    <t>PHP 15,795</t>
  </si>
  <si>
    <t>PHP 23,836</t>
  </si>
  <si>
    <t>Cost-effectiveness analysis of pneumococcal vaccination with the pneumococcal polysaccharide NTHi protein D conjugate vaccine in the Philippines</t>
  </si>
  <si>
    <t>pharmacueutical companies</t>
  </si>
  <si>
    <t xml:space="preserve">PHP 50,913 </t>
  </si>
  <si>
    <t>pharmaceuutical companies</t>
  </si>
  <si>
    <t>PHP -310274.66 (dominant)</t>
  </si>
  <si>
    <t>Cost-effectiveness of 13-valent pneumococcal conjugate vaccination in Mongolia</t>
  </si>
  <si>
    <t>3+0 Dose</t>
  </si>
  <si>
    <t>Gavi AMC ‘tail price’</t>
  </si>
  <si>
    <t>reduction of IPD rates, historical data-driven</t>
  </si>
  <si>
    <t>increase in non-vaccine type IPD</t>
  </si>
  <si>
    <t>vaccine-type pneumococcal carriage</t>
  </si>
  <si>
    <t>USD -27 DALY averted (dominant)</t>
  </si>
  <si>
    <t>USD 920000 in 2016, USD 820000 per year by 2025. Incremental USD 440000 savings in 2016, USD 510000 by 2025</t>
  </si>
  <si>
    <t>Same notes as Che 2014; Higher vaccine price ICERs also available</t>
  </si>
  <si>
    <t>USD 52 DALY averted</t>
  </si>
  <si>
    <t>USD 920000 in 2016, USD 820000 per year by 2025. Incremental USD 380000 savings in 2016, USD 480000 by 2025</t>
  </si>
  <si>
    <t>USD 19 DALY averted</t>
  </si>
  <si>
    <t>USD 79 DALY averted</t>
  </si>
  <si>
    <t>Towards the introduction of pneumococcal conjugate vaccines in Bhutan: a cost-utility analysis to determine the optimal policy option</t>
  </si>
  <si>
    <t>GAVI</t>
  </si>
  <si>
    <t>USD 36</t>
  </si>
  <si>
    <t>USD 3.766 million over 5 years. Incremental USD 0.591 million over 5 years.</t>
  </si>
  <si>
    <t>USD 40</t>
  </si>
  <si>
    <t>USD 3.754 million over 5 years. Incremental USD 0.578 million over 5 years.</t>
  </si>
  <si>
    <t>USD 92</t>
  </si>
  <si>
    <t>Economic impact of pneumococcal conjugate vaccination in Brazil, Chile, and Uruguay</t>
  </si>
  <si>
    <t>3 Dose</t>
  </si>
  <si>
    <t>PAHO</t>
  </si>
  <si>
    <t>USD 664 DALY averted</t>
  </si>
  <si>
    <t>Bill &amp; Melinda Gates foundation, Pan American Health Organization</t>
  </si>
  <si>
    <t xml:space="preserve">USD 1546 DALY averted </t>
  </si>
  <si>
    <t>Estimating the cost-effectiveness of pneumococcal conjugate vaccination in Brazil</t>
  </si>
  <si>
    <t>R$ 4516 DALY averted</t>
  </si>
  <si>
    <t>Wyeth Industria Farmaceutica, Sao Paulo, Brazil</t>
  </si>
  <si>
    <t>R$ 3946 DALY averted</t>
  </si>
  <si>
    <t>R$ 1302 DALY averted</t>
  </si>
  <si>
    <t>R$ 1490 DALY averted</t>
  </si>
  <si>
    <t>R$ 5973 DALY averted</t>
  </si>
  <si>
    <t>R$ 5403 DALY averted</t>
  </si>
  <si>
    <t>Economic evaluation of pneumococcal conjugate vaccination in The Gambia</t>
  </si>
  <si>
    <t>PCV9 vs NoVax</t>
  </si>
  <si>
    <t>World Bank AMC</t>
  </si>
  <si>
    <t xml:space="preserve">USD 670 DALY averted </t>
  </si>
  <si>
    <t>Bill &amp; Melinda Gates foundation</t>
  </si>
  <si>
    <t xml:space="preserve">USD 910 DALY averted </t>
  </si>
  <si>
    <t>PCV10 vs NoVax</t>
  </si>
  <si>
    <t>PCV13 vs NoVax</t>
  </si>
  <si>
    <t xml:space="preserve">USD 570 DALY averted </t>
  </si>
  <si>
    <t>tentative Advance Market Commitment (AMC) price</t>
  </si>
  <si>
    <t>reduction of IPD and pneumonia rates</t>
  </si>
  <si>
    <t>adjust efficacy estimates against endpoints</t>
  </si>
  <si>
    <t>PCV9 trial data</t>
  </si>
  <si>
    <t xml:space="preserve">USD 630 DALY averted </t>
  </si>
  <si>
    <t>Same notes as Che 2014</t>
  </si>
  <si>
    <t xml:space="preserve">USD 430 DALY averted </t>
  </si>
  <si>
    <t xml:space="preserve">USD 370 DALY averted </t>
  </si>
  <si>
    <t>Cost-effectiveness analysis of the 10- and 13-valent pneumococcal conjugate vaccines in Argentina</t>
  </si>
  <si>
    <t>vaccine manufacturers</t>
  </si>
  <si>
    <t xml:space="preserve">USD 8973 DALY averted </t>
  </si>
  <si>
    <t xml:space="preserve">USD 8546 DALY averted </t>
  </si>
  <si>
    <t xml:space="preserve">USD 10948 DALY averted </t>
  </si>
  <si>
    <t xml:space="preserve">USD 10510 DALY averted </t>
  </si>
  <si>
    <t>PCV13 vs PCV10</t>
  </si>
  <si>
    <t>vaccine manufactures</t>
  </si>
  <si>
    <t xml:space="preserve">USD 28147 DALY averted </t>
  </si>
  <si>
    <t xml:space="preserve">USD 27614 DALY averted </t>
  </si>
  <si>
    <t>The cost effectiveness of pneumococcal conjugate vaccine in the routine infant immunisation programme of The Gambia</t>
  </si>
  <si>
    <t>Assumptions of the Advanced Market Commitment (AMC) 2007</t>
  </si>
  <si>
    <t>USD 26 DALY averted</t>
  </si>
  <si>
    <t>[Informal] USD 8.037 million. Incremental cost of USD 6.337 million</t>
  </si>
  <si>
    <t>Assessment of health benefits and cost-effectiveness of 10-valent and 13-valent pneumococcal conjugate vaccination in Kenyan children</t>
  </si>
  <si>
    <t>2 Dose</t>
  </si>
  <si>
    <t>USD 59 DALY averted</t>
  </si>
  <si>
    <t>GAVI, Alliance</t>
  </si>
  <si>
    <t>USD 47 DALY averted</t>
  </si>
  <si>
    <t>increased incidence of pneumonia among vaxxed</t>
  </si>
  <si>
    <t>USD 32 DALY averted</t>
  </si>
  <si>
    <t>USD 25 DALY averted</t>
  </si>
  <si>
    <t>Pneumonia Prevention during a Humanitarian Emergency: Cost-effectiveness of Haemophilus Influenzae Type B Conjugate Vaccine and Pneumococcal Conjugate Vaccine in Somalia</t>
  </si>
  <si>
    <t>1 Dose</t>
  </si>
  <si>
    <t>adjusted PCV9 trial data</t>
  </si>
  <si>
    <t>USD 114.84 DALY averted</t>
  </si>
  <si>
    <t>USD 161.51 DALY averted</t>
  </si>
  <si>
    <t>Cost-effectiveness analysis of the introduction of the pneumococcal conjugate vaccine (PCV-13) in the Egyptian national immunization program, 2013</t>
  </si>
  <si>
    <t>Local company importation price</t>
  </si>
  <si>
    <t>5.5% per year - what was the source??</t>
  </si>
  <si>
    <t>Meta analysis from several trials, and other studies</t>
  </si>
  <si>
    <t>USD 3916 DALY averted</t>
  </si>
  <si>
    <t>Cost-effectiveness analysis of 10- and 13-valent pneumococcal conjugate vaccines in Peru</t>
  </si>
  <si>
    <t>USD 1605 DALY averted</t>
  </si>
  <si>
    <t>USD 401 million over 2012-2031. Incremental USD 37.385 million savings over 2012-2031.</t>
  </si>
  <si>
    <t>NIH, Peru</t>
  </si>
  <si>
    <t>USD 1304 DALY averted</t>
  </si>
  <si>
    <t>USD 455 million over 2012-2031. Incremental USD 47.220 million savings over 2012-2031.</t>
  </si>
  <si>
    <t>USD 519 DALY averted</t>
  </si>
  <si>
    <t>USD 54.8 million over 2012-2031. Incremental USD  9.834 million savings over 2012-2031.</t>
  </si>
  <si>
    <t>Pneumonia prevention: Cost-effectiveness analyses of two vaccines among refugee children aged under two years, Haemophilus influenzae type b-containing and pneumococcal conjugate vaccines, during a humanitarian emergency, Yida camp, South Sudan</t>
  </si>
  <si>
    <t>MSF</t>
  </si>
  <si>
    <t>USD 148 DALY averted</t>
  </si>
  <si>
    <t>USD 210 DALY averted</t>
  </si>
  <si>
    <t>Postintroduction Study of Cost Effectiveness of Pneumococcal Vaccine PCV10 from Public Sector Payer''s Perspective in the State of Santa Catarina, Brazil</t>
  </si>
  <si>
    <t>USD 27748 DALY averted</t>
  </si>
  <si>
    <t>Cost-Effectiveness Analysis of Pneumococcal and Influenza Vaccines Administered to Children Less Than 5 Years of Age in a Low-Income District of Bogota, Colombia</t>
  </si>
  <si>
    <t>I$ 1417 DALY averted</t>
  </si>
  <si>
    <t>I$ 1301 DALY averted</t>
  </si>
  <si>
    <t>Cost-effectiveness of childhood pneumococcal vaccination program in Ethiopia: results from a quasi-experimental evaluation</t>
  </si>
  <si>
    <t>PCV10 vs NoVax (including 1st year of life)</t>
  </si>
  <si>
    <t>USD 413.8 DALY averted</t>
  </si>
  <si>
    <t>Swedish Research Council</t>
  </si>
  <si>
    <t>Undiscounted</t>
  </si>
  <si>
    <t>PCV10 vs NoVax (excluding 1st year of life)</t>
  </si>
  <si>
    <t>USD 292.7 DALY averted</t>
  </si>
  <si>
    <t>Discounted</t>
  </si>
  <si>
    <t>Sustaining pneumococcal vaccination after transitioning from Gavi support: a modelling and cost-effectiveness study in Kenya</t>
  </si>
  <si>
    <t>4 dose</t>
  </si>
  <si>
    <t>USD 153 DALY averted</t>
  </si>
  <si>
    <t>[Informal] USD 15.9 million av. per year. Double immunization spending (0.8% to 1.6%)</t>
  </si>
  <si>
    <t>GAVI, Wellcome Trust</t>
  </si>
  <si>
    <t>NoVax = Discontinuing vaccination</t>
  </si>
  <si>
    <t>Cost-effectiveness of introducing the pneumococcal conjugate vaccine for children under 5 years in the Islamic Republic of Iran</t>
  </si>
  <si>
    <t>USD 1890 DALY averted</t>
  </si>
  <si>
    <t>Also mentioned three GDPpc</t>
  </si>
  <si>
    <t>USD 1538 DALY averted</t>
  </si>
  <si>
    <t>Cost-effectiveness of introducing a domestic pneumococcal conjugate vaccine (PCV7-TT) into the Cuban national immunization programme</t>
  </si>
  <si>
    <t>state-owned vaccine manufacturer</t>
  </si>
  <si>
    <t>CUP 374 DALY averted</t>
  </si>
  <si>
    <t>Provac Initiative of PAHO, Funds Fund for Research,Science and Innovation of the Ministry of Science of Cuba, Technology and Environment (FONCI)</t>
  </si>
  <si>
    <t>Cost-effectiveness of new pneumococcal conjugate vaccines in Turkey: a decision analytical model.</t>
  </si>
  <si>
    <t>Turkey</t>
  </si>
  <si>
    <t>13-Valent PCV vs PCV7</t>
  </si>
  <si>
    <t>Not provided</t>
  </si>
  <si>
    <t>IPD, adjusted PCV7 trial data; AOM, PCV7 data for PCV7 and PCV10 data for PCV10/13</t>
  </si>
  <si>
    <t>USD 3,483,803 saved and 2223 QALY gained</t>
  </si>
  <si>
    <t>PCV10 vs PCV13</t>
  </si>
  <si>
    <t>USD 8,235,010 saved and -933 QALY</t>
  </si>
  <si>
    <t>PCV10 vs PCV7</t>
  </si>
  <si>
    <t>USD 11,718,813 saved and 3156 QALY gained</t>
  </si>
  <si>
    <t>Cost-effectiveness of pneumococcal conjugate vaccines of 7, 10, and 13 valences in Colombian children.</t>
  </si>
  <si>
    <t>Assumption</t>
  </si>
  <si>
    <t>adjusted PCV7 trial data</t>
  </si>
  <si>
    <t>Dominated LYG</t>
  </si>
  <si>
    <t>Ministry health of Colombia</t>
  </si>
  <si>
    <t>Ministry of Health</t>
  </si>
  <si>
    <t>Not calculated LYG</t>
  </si>
  <si>
    <t>USD 9516 LYG</t>
  </si>
  <si>
    <t>Cost-effectiveness and cost utility analysis of three pneumococcal conjugate vaccines in children of Peru.</t>
  </si>
  <si>
    <t>USD 6014 QALY gained</t>
  </si>
  <si>
    <t>USD 5327 QALY gained</t>
  </si>
  <si>
    <t>USD 4500 QALY gained</t>
  </si>
  <si>
    <t>USD -2727 QALY gained</t>
  </si>
  <si>
    <t>PCV13 vs PCV7</t>
  </si>
  <si>
    <t>Dominated QALY gained</t>
  </si>
  <si>
    <t>Cost-effectiveness analysis of pneumococcal conjugate vaccine introduction in Paraguay.</t>
  </si>
  <si>
    <t>systematic reviews</t>
  </si>
  <si>
    <t>USD 3851 DALY averted</t>
  </si>
  <si>
    <t>[Informal] Immunization budget would increase by 43%, equivalent to 4% Ministry of Public Health total budget</t>
  </si>
  <si>
    <t>USD 1920 DALY averted</t>
  </si>
  <si>
    <t>USD 4901 DALY averted</t>
  </si>
  <si>
    <t>[Informal] Immunization budget would increase by 57%, equivalent to 6% Ministry of Public Health total budget</t>
  </si>
  <si>
    <t>USD 3657 DALY averted</t>
  </si>
  <si>
    <t>USD 12181 DALY averted</t>
  </si>
  <si>
    <t>USD 15696 DALY averted</t>
  </si>
  <si>
    <t>Cost-effectiveness of pneumococcal conjugate vaccination in Georgia.</t>
  </si>
  <si>
    <t>MoH assumption</t>
  </si>
  <si>
    <t>5.5% per year</t>
  </si>
  <si>
    <t>Studies and clinical trial data</t>
  </si>
  <si>
    <t>USD 1599 DALY averted</t>
  </si>
  <si>
    <t xml:space="preserve">Bill &amp; Melinda Gates foundation </t>
  </si>
  <si>
    <t>Based on PCV7 data</t>
  </si>
  <si>
    <t>Not available (only shown in a figure)</t>
  </si>
  <si>
    <t>Cost-effectiveness analysis of the available pneumococcal conjugated vaccines for children under five years in Colombia</t>
  </si>
  <si>
    <t>USD 489.26 LYG</t>
  </si>
  <si>
    <t>USD 813.41 LYG</t>
  </si>
  <si>
    <t>USD -417.53 LYG</t>
  </si>
  <si>
    <t>Cost-effectiveness of introducing the 10-valent pneumococcal conjugate vaccine into the universal immunisation of infants in Brazil.</t>
  </si>
  <si>
    <t>Brazilian National Immunisation</t>
  </si>
  <si>
    <t>R$ 22066 DALY averted</t>
  </si>
  <si>
    <t>Ministry of Health of Brazil, Conselho Nacional de Desenvolvimento Cientifico e Tecnologico (CNPq)</t>
  </si>
  <si>
    <t>R$ 24930 DALY averted</t>
  </si>
  <si>
    <t>Potential cost-effectiveness of pneumococcal conjugate vaccine (PCV) in Turkey.</t>
  </si>
  <si>
    <t>7-valent PCV</t>
  </si>
  <si>
    <t>USD 7109 LYG</t>
  </si>
  <si>
    <t>10-valent PCV</t>
  </si>
  <si>
    <t>USD 6784 LYG</t>
  </si>
  <si>
    <t>13-valent PCV</t>
  </si>
  <si>
    <t>USD 6696 LYG</t>
  </si>
  <si>
    <t>Cost effectiveness of heptavalent pneumococcal conjugate vaccine in populations of high risk in Colombia</t>
  </si>
  <si>
    <t>USD 752 LYG</t>
  </si>
  <si>
    <t>A cost-effectiveness analysis of a 10-valent pneumococcal conjugate vaccine in children in six Latin American countries</t>
  </si>
  <si>
    <t>Higher than PAHO USD 14</t>
  </si>
  <si>
    <t>USD 3347.53 QALY gained</t>
  </si>
  <si>
    <t>USD 1509.59 QALY gained</t>
  </si>
  <si>
    <t>USD 3295.13 QALY gained</t>
  </si>
  <si>
    <t>USD 1454.51 QALY gained</t>
  </si>
  <si>
    <t>USD 7088.64 QALY gained</t>
  </si>
  <si>
    <t>USD 4810.99 QALY gained</t>
  </si>
  <si>
    <t>USD 6293.05 QALY gained</t>
  </si>
  <si>
    <t>USD 4024.69 QALY gained</t>
  </si>
  <si>
    <t>USD 4021.37 QALY gained</t>
  </si>
  <si>
    <t>USD 2433.32 QALY gained</t>
  </si>
  <si>
    <t>USD 3885.80 QALY gained</t>
  </si>
  <si>
    <t>USD 2295.77 QALY gained</t>
  </si>
  <si>
    <t>USD 4594.33 QALY gained</t>
  </si>
  <si>
    <t>USD 3243.41 QALY gained</t>
  </si>
  <si>
    <t>USD 4144.01 QALY gained</t>
  </si>
  <si>
    <t>USD 2790.71 QALY gained</t>
  </si>
  <si>
    <t>USD 2975.23 QALY gained</t>
  </si>
  <si>
    <t>USD 1535.87 QALY gained</t>
  </si>
  <si>
    <t>USD 2920.73 QALY gained</t>
  </si>
  <si>
    <t>USD 1478.95 QALY gained</t>
  </si>
  <si>
    <t xml:space="preserve">PCV7 vs NoVax </t>
  </si>
  <si>
    <t>USD 5599.42 LYG</t>
  </si>
  <si>
    <t>USD 139.66 million over 5 years. Incremental USD 5.35 million savings over 5 years</t>
  </si>
  <si>
    <t xml:space="preserve">Wyeth  </t>
  </si>
  <si>
    <t>USD 2821.83 LYG</t>
  </si>
  <si>
    <t>USD 728.24 million over 5 years. Incremental USD 22.01 million savings over 5 years</t>
  </si>
  <si>
    <t>USD 5827.76 LYG</t>
  </si>
  <si>
    <t>Wyeth</t>
  </si>
  <si>
    <t>PHiD-CV vs PCV7</t>
  </si>
  <si>
    <t>Altering the incidence of disease for all age groups</t>
  </si>
  <si>
    <t>Unclear; from a previous article</t>
  </si>
  <si>
    <t>Mex$ 228.8m savings, 242.1 QALY gained</t>
  </si>
  <si>
    <t>NS</t>
  </si>
  <si>
    <t>Cost saving</t>
  </si>
  <si>
    <t xml:space="preserve">PCV10 vs NoVax </t>
  </si>
  <si>
    <t>PAHO revolving fund</t>
  </si>
  <si>
    <t>IPD/pneumonia, adjusted PCV7 trial data. AOM, PCV10 trial data</t>
  </si>
  <si>
    <t>I$ 1340 DALY averted ($16 per dose)</t>
  </si>
  <si>
    <t>John Hopkins</t>
  </si>
  <si>
    <t xml:space="preserve">PCV13 vs NoVax </t>
  </si>
  <si>
    <t>IPD/pneumonia/AOM, adjusted PCV7 trial data</t>
  </si>
  <si>
    <t>I$ 1166 DALY averted  ($16 per dose)</t>
  </si>
  <si>
    <t>I$ 796 DALY averted  ($16 per dose)</t>
  </si>
  <si>
    <t>I$ 691 DALY averted  ($16 per dose)</t>
  </si>
  <si>
    <t>I$ 1226 DALY averted  ($16 per dose)</t>
  </si>
  <si>
    <t>I$ 1026 DALY averted  ($16 per dose)</t>
  </si>
  <si>
    <t>MoH communication</t>
  </si>
  <si>
    <t>USD 2319 YLS</t>
  </si>
  <si>
    <t>USD 1770 YLS</t>
  </si>
  <si>
    <t xml:space="preserve">PCV13 vs PCV10 </t>
  </si>
  <si>
    <t>USD 2217 YLS</t>
  </si>
  <si>
    <t>PCV13 vs PHiD-CV</t>
  </si>
  <si>
    <t>Turkish Medicine and Medical Device Agency</t>
  </si>
  <si>
    <t>Trial data</t>
  </si>
  <si>
    <t>€ 635340 &amp; -176 QALY</t>
  </si>
  <si>
    <t xml:space="preserve">USD 848 QALY gained </t>
  </si>
  <si>
    <t>USD 1366 QALY gained</t>
  </si>
  <si>
    <t>USD 308 QALY gained</t>
  </si>
  <si>
    <t>USD 731 QALY gained</t>
  </si>
  <si>
    <t xml:space="preserve">Observed historic trends in incidence and serotypes </t>
  </si>
  <si>
    <t>$59,836,109 saved &amp; 6406 QALY</t>
  </si>
  <si>
    <t>Gavi</t>
  </si>
  <si>
    <t>[Informal] USD 0.13 million av. per year. Incremental USD 0.14 million savings av. per year</t>
  </si>
  <si>
    <t>GAVI, Pfizer</t>
  </si>
  <si>
    <t>PAHO expanded program on immunization</t>
  </si>
  <si>
    <t>using real-world effectiveness data to predict future IPD</t>
  </si>
  <si>
    <t xml:space="preserve">historical data-driven </t>
  </si>
  <si>
    <t>PHP12274777282 saved &amp; 153,349 QALY</t>
  </si>
  <si>
    <t>PCV13-PFE vs PCV10-SII</t>
  </si>
  <si>
    <t>PHP  7383473851 saved &amp; 187,084 QALY</t>
  </si>
  <si>
    <t>Ministry of Health prices published on the Federal Official Gazette</t>
  </si>
  <si>
    <t>R$172,101,081 saved &amp; 20317 QALY</t>
  </si>
  <si>
    <t>PCV13 vs NoVax at Unicef price</t>
  </si>
  <si>
    <t>UNICEF</t>
  </si>
  <si>
    <t xml:space="preserve">USD 162 QALY gained </t>
  </si>
  <si>
    <t>USD 323.8 over 2019-2024. 1.2% of health budget. 10.2% of routine immunization budget</t>
  </si>
  <si>
    <t>Clinton Health Access Initiative, Indonesia</t>
  </si>
  <si>
    <t xml:space="preserve">USD 154 QALY gained </t>
  </si>
  <si>
    <t>Payer</t>
  </si>
  <si>
    <t xml:space="preserve">USD 122 QALY gained </t>
  </si>
  <si>
    <t>PCV13 vs NoVax at Government price</t>
  </si>
  <si>
    <t>Government contract price</t>
  </si>
  <si>
    <t xml:space="preserve">USD 747 QALY gained </t>
  </si>
  <si>
    <t>USD 1160.5 over 2019-2024. 4.2% of health budget. 36.7% of routine immunization budget</t>
  </si>
  <si>
    <t xml:space="preserve">USD 739 QALY gained </t>
  </si>
  <si>
    <t xml:space="preserve">USD 707 QALY gained </t>
  </si>
  <si>
    <t>PCV10 vs NoVax at Unicef Price</t>
  </si>
  <si>
    <t xml:space="preserve">USD 218 QALY gained </t>
  </si>
  <si>
    <t xml:space="preserve">USD 210 QALY gained </t>
  </si>
  <si>
    <t xml:space="preserve">USD 178 QALY gained </t>
  </si>
  <si>
    <t>PCV10 vs NoVax at Government price</t>
  </si>
  <si>
    <t xml:space="preserve">USD 987 QALY gained </t>
  </si>
  <si>
    <t xml:space="preserve">USD 979 QALY gained </t>
  </si>
  <si>
    <t xml:space="preserve">USD 948 QALY gained </t>
  </si>
  <si>
    <t xml:space="preserve">Domestic PCV13 vs No vaccine </t>
  </si>
  <si>
    <t>Government reports</t>
  </si>
  <si>
    <t xml:space="preserve">USD 15394 QALY gained </t>
  </si>
  <si>
    <t>NFSC, China</t>
  </si>
  <si>
    <t xml:space="preserve">USD 9292 QALY gained </t>
  </si>
  <si>
    <t xml:space="preserve">USD 4445 QALY gained </t>
  </si>
  <si>
    <t xml:space="preserve">USD 2417 QALY gained </t>
  </si>
  <si>
    <t>Estimating the population health and economic impacts of introducing a pneumococcal conjugate vaccine in Malaysia- an economic evaluation</t>
  </si>
  <si>
    <t>USD 89,904,777 saved &amp; 2280 QALY</t>
  </si>
  <si>
    <t>Impact on IPD only (both vaccines) - base case</t>
  </si>
  <si>
    <t>USD 448,382,729 saved &amp; 6008 QALY</t>
  </si>
  <si>
    <t>USD 60,501,015 saved &amp; 2280 QALY</t>
  </si>
  <si>
    <t>reduction of IPD/pneumonia rates</t>
  </si>
  <si>
    <t>USD 198,277,289 saved &amp; 2739 QALY</t>
  </si>
  <si>
    <t>Indirect effects of pneumonia included (both vaccines)</t>
  </si>
  <si>
    <t>reduction of IPD/AOM rates</t>
  </si>
  <si>
    <t>USD 173,261,339 saved &amp; 2560 QALY</t>
  </si>
  <si>
    <t>Impact on AOM due to NTHi included (both vaccines)</t>
  </si>
  <si>
    <t>Modeling the sustained use of the 13-valent pneumococcal conjugate vaccine compared to switching to the 10-valent vaccine in Mexico</t>
  </si>
  <si>
    <t>Maintaining PCV13 vs Switching to PCV10</t>
  </si>
  <si>
    <t>PAHO EPI</t>
  </si>
  <si>
    <t>Mex$ 6,710,744,176 saved &amp; 1307 QALY</t>
  </si>
  <si>
    <t>Country</t>
  </si>
  <si>
    <t xml:space="preserve">           </t>
  </si>
  <si>
    <t>updated</t>
  </si>
  <si>
    <t>Others</t>
  </si>
  <si>
    <t>Total</t>
  </si>
  <si>
    <t>StudyID</t>
  </si>
  <si>
    <t>RAND</t>
  </si>
  <si>
    <t>RANDBETWEEN</t>
  </si>
  <si>
    <t>StudyNo</t>
  </si>
  <si>
    <t>AuthorYear</t>
  </si>
  <si>
    <t>Fariñas 2020</t>
  </si>
  <si>
    <t>Dilokthornsakul 2019</t>
  </si>
  <si>
    <t>Sundaram 2017</t>
  </si>
  <si>
    <t>Castañeda-Orjuela 2012</t>
  </si>
  <si>
    <t>Bakir 2012</t>
  </si>
  <si>
    <t>Türel 2013</t>
  </si>
  <si>
    <t>Zhang 2014</t>
  </si>
  <si>
    <t>Gargano 2015</t>
  </si>
  <si>
    <t>Sibak 2015</t>
  </si>
  <si>
    <t>Mezones 2014</t>
  </si>
  <si>
    <t>RatioID</t>
  </si>
  <si>
    <t>UniqueID</t>
  </si>
  <si>
    <t>InterventionPhrase</t>
  </si>
  <si>
    <t>Intervention</t>
  </si>
  <si>
    <t>Comparator</t>
  </si>
  <si>
    <t>DosePhrase</t>
  </si>
  <si>
    <t>DoseNum</t>
  </si>
  <si>
    <t>HerdEffects</t>
  </si>
  <si>
    <t>Perspective</t>
  </si>
  <si>
    <t>Currency</t>
  </si>
  <si>
    <t>CurrencyYear</t>
  </si>
  <si>
    <t>ICERPhrase</t>
  </si>
  <si>
    <t>ICER_study</t>
  </si>
  <si>
    <t>ICER_dollar</t>
  </si>
  <si>
    <t>OneGDPpcAmount</t>
  </si>
  <si>
    <t>OneGDPpcDecision</t>
  </si>
  <si>
    <t>ThreeGDPpcDecision</t>
  </si>
  <si>
    <t>PercentGDPpc</t>
  </si>
  <si>
    <t>OchalekThresholdHigh</t>
  </si>
  <si>
    <t>OchalekDecisionHigh</t>
  </si>
  <si>
    <t>OchalekThresholdLow</t>
  </si>
  <si>
    <t>OchalekDecisionLow</t>
  </si>
  <si>
    <t>WoodsThreshold High</t>
  </si>
  <si>
    <t>WoodsDecisionHigh</t>
  </si>
  <si>
    <t>WoodsThreshold Low</t>
  </si>
  <si>
    <t>WoodsDecisionLow</t>
  </si>
  <si>
    <t>StudyThreshold</t>
  </si>
  <si>
    <t>StudyDecision</t>
  </si>
  <si>
    <t>NotesComments</t>
  </si>
  <si>
    <t>Classification</t>
  </si>
  <si>
    <t>PCV7 vs. No Vaccination</t>
  </si>
  <si>
    <t>US Dollars</t>
  </si>
  <si>
    <t>US$ 530,354</t>
  </si>
  <si>
    <t>low, lower middle, upper middle</t>
  </si>
  <si>
    <t>US$ 95,319</t>
  </si>
  <si>
    <t>US$ 2,125</t>
  </si>
  <si>
    <t>US$ 18,224</t>
  </si>
  <si>
    <t>PCV10-GSK vs. No Vaccination</t>
  </si>
  <si>
    <t>US$ 16,664</t>
  </si>
  <si>
    <t>PCV13-PFE vs. No Vaccination</t>
  </si>
  <si>
    <t>US$ 11,436</t>
  </si>
  <si>
    <t>US$ 104,094</t>
  </si>
  <si>
    <t>US$ 29,460</t>
  </si>
  <si>
    <t>Chinese Yuan</t>
  </si>
  <si>
    <t>¥ 79,304/ (direct)</t>
  </si>
  <si>
    <t>¥ 76,551/ (direct + indirect IPD)</t>
  </si>
  <si>
    <t>¥ 3,777/ (direct + indirect IPD + PNE)</t>
  </si>
  <si>
    <t>US$ 20,709</t>
  </si>
  <si>
    <t>US$ 18,483</t>
  </si>
  <si>
    <t>US$ 10,261</t>
  </si>
  <si>
    <t>US$ 9,406</t>
  </si>
  <si>
    <t>PCV10-GSK vs. PCV13-PFE</t>
  </si>
  <si>
    <t>US$ 61061.49</t>
  </si>
  <si>
    <t>Study decision no longer applicable because of recalculation</t>
  </si>
  <si>
    <t>NC to check</t>
  </si>
  <si>
    <t>US$ 28,497</t>
  </si>
  <si>
    <t>US$ 44907.6</t>
  </si>
  <si>
    <t>US$ 21,438</t>
  </si>
  <si>
    <t>US$ 20,667</t>
  </si>
  <si>
    <t>US$ 6,389</t>
  </si>
  <si>
    <t>US$ 4,883</t>
  </si>
  <si>
    <t>PCV13-PFE vs. PCV10-GSK</t>
  </si>
  <si>
    <t>US$ -3,059</t>
  </si>
  <si>
    <t>US$ -5,027</t>
  </si>
  <si>
    <t>US$ 15752</t>
  </si>
  <si>
    <t>US$ 14981</t>
  </si>
  <si>
    <t>US$ 467 DALY averted</t>
  </si>
  <si>
    <t>Php 68,182</t>
  </si>
  <si>
    <t>Php 120,000</t>
  </si>
  <si>
    <t>Php 112,640</t>
  </si>
  <si>
    <t>Php 54,510</t>
  </si>
  <si>
    <t>Php 84,654</t>
  </si>
  <si>
    <t>Php 15,795</t>
  </si>
  <si>
    <t>Php 23,836</t>
  </si>
  <si>
    <t xml:space="preserve">Php 50,913 </t>
  </si>
  <si>
    <t>Php -310274.66 (dominant)</t>
  </si>
  <si>
    <t>3 + 0 vaccine</t>
  </si>
  <si>
    <t>US$ -27 DALY averted (dominant)</t>
  </si>
  <si>
    <t>Also used Ochalek as secondary comparison</t>
  </si>
  <si>
    <t>US$ 52 DALY averted</t>
  </si>
  <si>
    <t>US$ 19 DALY averted</t>
  </si>
  <si>
    <t>US$ 79 DALY averted</t>
  </si>
  <si>
    <t>US$ 36</t>
  </si>
  <si>
    <t>US$ 40</t>
  </si>
  <si>
    <t>US$ 92</t>
  </si>
  <si>
    <t>Pneumococcal 7-valent conjugate vaccine</t>
  </si>
  <si>
    <t>US$ 664 DALY averted</t>
  </si>
  <si>
    <t>Pneumococcal 7-valentconjugate vaccine</t>
  </si>
  <si>
    <t xml:space="preserve">US$ 1546 DALY averted </t>
  </si>
  <si>
    <t>heptavalent pneumococcal conjugate vaccine </t>
  </si>
  <si>
    <t>Brazilian Real</t>
  </si>
  <si>
    <t xml:space="preserve">Healthcare/Payer </t>
  </si>
  <si>
    <t>9-valent pneumococcal conjugate vaccine</t>
  </si>
  <si>
    <t xml:space="preserve">US$ 670 DALY averted </t>
  </si>
  <si>
    <t>7-valent pneumococcal conjugate vaccine</t>
  </si>
  <si>
    <t xml:space="preserve">US$ 910 DALY averted </t>
  </si>
  <si>
    <t>10-valent pneumococcal conjugate vaccine</t>
  </si>
  <si>
    <t>13-valent pneumococcal conjugate vaccine</t>
  </si>
  <si>
    <t xml:space="preserve">US$ 570 DALY averted </t>
  </si>
  <si>
    <t xml:space="preserve">US$ 630 DALY averted </t>
  </si>
  <si>
    <t xml:space="preserve">US$ 430 DALY averted </t>
  </si>
  <si>
    <t xml:space="preserve">US$ 370 DALY averted </t>
  </si>
  <si>
    <t>Pneumococcal conjugate vaccine (10-valent)</t>
  </si>
  <si>
    <t xml:space="preserve">US$ 8973 DALY averted </t>
  </si>
  <si>
    <t>Mentioned one GDPpc, but used three GDPpc since ICER was above one</t>
  </si>
  <si>
    <t xml:space="preserve">US$ 8546 DALY averted </t>
  </si>
  <si>
    <t xml:space="preserve">US$ 10948 DALY averted </t>
  </si>
  <si>
    <t xml:space="preserve">US$ 10510 DALY averted </t>
  </si>
  <si>
    <t>Pneumococcal conjugate vaccine (13-valent)</t>
  </si>
  <si>
    <t xml:space="preserve">US$ 28147 DALY averted </t>
  </si>
  <si>
    <t>Pneumococcal vaccine</t>
  </si>
  <si>
    <t>US$ 26 DALY averted</t>
  </si>
  <si>
    <t>Pneumococcal vaccination (PCV10)</t>
  </si>
  <si>
    <t>US$ 59 DALY averted</t>
  </si>
  <si>
    <t>Pneumococcal vaccination (PCV13)</t>
  </si>
  <si>
    <t>US$ 47 DALY averted</t>
  </si>
  <si>
    <t>US$ 32 DALY averted</t>
  </si>
  <si>
    <t>US$ 25 DALY averted</t>
  </si>
  <si>
    <t>Pneumococcal conjugate vaccine 10 (PCV10) (1 dose)</t>
  </si>
  <si>
    <t>US$ 114.84 DALY averted</t>
  </si>
  <si>
    <t>Pneumococcal conjugate vaccine 10 (PCV10) (2 dose)</t>
  </si>
  <si>
    <t>US$ 161.51 DALY averted</t>
  </si>
  <si>
    <t>13- valent pneumococcal conjugate vaccine (PCV-13)</t>
  </si>
  <si>
    <t>US$ 3916 DALY averted</t>
  </si>
  <si>
    <t>US$ 1605 DALY averted</t>
  </si>
  <si>
    <t>US$ 1304 DALY averted</t>
  </si>
  <si>
    <t>PCV13 vs PCV 10</t>
  </si>
  <si>
    <t>US$ 519 DALY averted</t>
  </si>
  <si>
    <t>Pneumococcal conjugate vaccine - 1 dose</t>
  </si>
  <si>
    <t>US$ 148 DALY averted</t>
  </si>
  <si>
    <t>Pneumococcal conjugate vaccine - 2 dose</t>
  </si>
  <si>
    <t xml:space="preserve">No </t>
  </si>
  <si>
    <t>US$ 210 DALY averted</t>
  </si>
  <si>
    <t>10-valent pneumococcal conjugate vaccine immunization program</t>
  </si>
  <si>
    <t>US$ 27748 DALY averted</t>
  </si>
  <si>
    <t>State they are using one GDPpc but amount closer to three GDPpc</t>
  </si>
  <si>
    <t>State they are using three GDPpc but amount closer to one GDPpc</t>
  </si>
  <si>
    <t>10- valent pneumococcal conjugate vaccine (including 1st year of life)</t>
  </si>
  <si>
    <t>US$ 413.8 DALY averted</t>
  </si>
  <si>
    <t>10- valent pneumococcal conjugate vaccine (excluding 1st year of life)</t>
  </si>
  <si>
    <t>US$ 292.7 DALY averted</t>
  </si>
  <si>
    <t>Pneumococcal conjugate vaccine</t>
  </si>
  <si>
    <t>US$ 153 DALY averted</t>
  </si>
  <si>
    <t>pneumococcal conjugate vaccine-13</t>
  </si>
  <si>
    <t>US$ 1890 DALY averted</t>
  </si>
  <si>
    <t>US$ 1538 DALY averted</t>
  </si>
  <si>
    <t>Cost-effectiveness of introducing a domestic pneumococcal conjugate vaccine  (PCV7-TT) into the Cuban national immunization programme</t>
  </si>
  <si>
    <t>pneumococcal immunization</t>
  </si>
  <si>
    <t>Cuban Peso</t>
  </si>
  <si>
    <t>13-Valent PCV vs PCV 7</t>
  </si>
  <si>
    <t>US$ -2223 QALY gained</t>
  </si>
  <si>
    <t>none</t>
  </si>
  <si>
    <t>10-Valent Pneumococcal non typeable Haemophilus influenza protein D conjugate vaccine  vs PCV 13</t>
  </si>
  <si>
    <t>US$ -933 QALY gained</t>
  </si>
  <si>
    <t>No Threshold</t>
  </si>
  <si>
    <t>10-Valent Pneumococcal non typeable Haemophilus influenza protein D conjugate vaccine  vs PCV 7</t>
  </si>
  <si>
    <t>US$ -3156 QALY gained</t>
  </si>
  <si>
    <t>Pneumococcal conjugate vaccine (7valent)</t>
  </si>
  <si>
    <t>Dominated strategy - to exclude??</t>
  </si>
  <si>
    <t>US$ 9516 LYG</t>
  </si>
  <si>
    <t>PCV7 vs No Vaccination</t>
  </si>
  <si>
    <t>US$ 6014 QALY gained</t>
  </si>
  <si>
    <t>PCV13 vs No Vaccination</t>
  </si>
  <si>
    <t>US$ 5327 QALY gained</t>
  </si>
  <si>
    <t>PCV10 vs No Vaccination</t>
  </si>
  <si>
    <t>US$ 4500 QALY gained</t>
  </si>
  <si>
    <t>US$ -2727 QALY gained</t>
  </si>
  <si>
    <t>PCV 10 vs No Vaccination</t>
  </si>
  <si>
    <t>US$ 3851 DALY averted</t>
  </si>
  <si>
    <t>US$ 1920 DALY averted</t>
  </si>
  <si>
    <t>PCV 13 vs No Vaccination</t>
  </si>
  <si>
    <t>US$ 4901 DALY averted</t>
  </si>
  <si>
    <t>US$ 3657 DALY averted</t>
  </si>
  <si>
    <t>US$ 12181 DALY averted</t>
  </si>
  <si>
    <t>US$ 15696 DALY averted</t>
  </si>
  <si>
    <t>US$ 1599 DALY averted</t>
  </si>
  <si>
    <t>US$ 489.26 LYG</t>
  </si>
  <si>
    <t>Used both oneX and threeX GDP thresholds</t>
  </si>
  <si>
    <t>US$ 813.41 LYG</t>
  </si>
  <si>
    <t>PCV 10 vs PCV 13</t>
  </si>
  <si>
    <t>US$ -417.53 LYG</t>
  </si>
  <si>
    <t>US$ 7109 LYG</t>
  </si>
  <si>
    <t>US$ 6784 LYG</t>
  </si>
  <si>
    <t>US$ 6696 LYG</t>
  </si>
  <si>
    <t>3 dose</t>
  </si>
  <si>
    <t>US$ 752 LYG</t>
  </si>
  <si>
    <t>US$ 3347.53 QALY gained</t>
  </si>
  <si>
    <t>US$ 1509.59 QALY gained</t>
  </si>
  <si>
    <t>US$ 3295.13 QALY gained</t>
  </si>
  <si>
    <t>US$ 1454.51 QALY gained</t>
  </si>
  <si>
    <t>US$ 7088.64 QALY gained</t>
  </si>
  <si>
    <t>US$ 4810.99 QALY gained</t>
  </si>
  <si>
    <t>US$ 6293.05 QALY gained</t>
  </si>
  <si>
    <t>US$ 4024.69 QALY gained</t>
  </si>
  <si>
    <t>US$ 4021.37 QALY gained</t>
  </si>
  <si>
    <t>US$ 2433.32 QALY gained</t>
  </si>
  <si>
    <t>US$ 3885.80 QALY gained</t>
  </si>
  <si>
    <t>US$ 2295.77 QALY gained</t>
  </si>
  <si>
    <t>US$ 4594.33 QALY gained</t>
  </si>
  <si>
    <t>US$ 3243.41 QALY gained</t>
  </si>
  <si>
    <t>US$ 4144.01 QALY gained</t>
  </si>
  <si>
    <t>US$ 2790.71 QALY gained</t>
  </si>
  <si>
    <t>US$ 2975.23 QALY gained</t>
  </si>
  <si>
    <t>US$ 1535.87 QALY gained</t>
  </si>
  <si>
    <t>US$ 2920.73 QALY gained</t>
  </si>
  <si>
    <t>US$ 1478.95 QALY gained</t>
  </si>
  <si>
    <t>Cost-effectiveness of the CRM-based 7-valent pneumococcal conjugated vaccine (PCV5) in Argentina</t>
  </si>
  <si>
    <t xml:space="preserve">PCV7 vs No Vaccination </t>
  </si>
  <si>
    <t>US$ 5599.42 LYG</t>
  </si>
  <si>
    <t>US$ 2821.83 LYG</t>
  </si>
  <si>
    <t>Healthcare/Public</t>
  </si>
  <si>
    <t>US$ 5827.76 LYG</t>
  </si>
  <si>
    <t>Healthcare/Private</t>
  </si>
  <si>
    <t>US$ 5777.68 LYG</t>
  </si>
  <si>
    <t>Effectiveness</t>
  </si>
  <si>
    <t>US$ 3412.06 LYG</t>
  </si>
  <si>
    <t xml:space="preserve">Outcomes and costs associated with PHiD-CV, a new protein D conjugate pneumococcal vaccine, in four countries. </t>
  </si>
  <si>
    <t>Mexico Pesos</t>
  </si>
  <si>
    <t xml:space="preserve">PCV10 vs No Vaccination </t>
  </si>
  <si>
    <t xml:space="preserve">Societal </t>
  </si>
  <si>
    <t xml:space="preserve">PCV13 vs No Vaccination </t>
  </si>
  <si>
    <t>US$ 2319 YLS</t>
  </si>
  <si>
    <t>US$ 1770 YLS</t>
  </si>
  <si>
    <t>US$ 2217 YLS</t>
  </si>
  <si>
    <t>Euros</t>
  </si>
  <si>
    <t>€ 635340 saved &amp; 176 QALY</t>
  </si>
  <si>
    <t xml:space="preserve">US$ 848 QALY gained </t>
  </si>
  <si>
    <t>US$ 1366 QALY gained</t>
  </si>
  <si>
    <t>US$ 308 QALY gained</t>
  </si>
  <si>
    <t>US$ 731 QALY gained</t>
  </si>
  <si>
    <t xml:space="preserve">US$ 91 DALY averted </t>
  </si>
  <si>
    <t xml:space="preserve">US$ 56 DALY averted </t>
  </si>
  <si>
    <t>Phillipines Pesos</t>
  </si>
  <si>
    <t>Brazilian Reals</t>
  </si>
  <si>
    <t>PCV13 vs No Vaccination at Unicef price</t>
  </si>
  <si>
    <t xml:space="preserve">US$ 162 QALY gained </t>
  </si>
  <si>
    <r>
      <t>Mentioned three GDPpc, but used one since ICER was below one;</t>
    </r>
    <r>
      <rPr>
        <sz val="10"/>
        <color rgb="FF00B050"/>
        <rFont val="Arial"/>
        <family val="2"/>
      </rPr>
      <t xml:space="preserve"> study mentions below 1xGPD/capita as "highly cost-effective" but 3xGDP/capita as "cost-effective"</t>
    </r>
  </si>
  <si>
    <t xml:space="preserve">US$ 154 QALY gained </t>
  </si>
  <si>
    <t xml:space="preserve">US$ 122 QALY gained </t>
  </si>
  <si>
    <t>PCV13 vs No Vaccination at Government contract price</t>
  </si>
  <si>
    <t xml:space="preserve">US$ 747 QALY gained </t>
  </si>
  <si>
    <t xml:space="preserve">US$ 739 QALY gained </t>
  </si>
  <si>
    <t xml:space="preserve">US$ 707 QALY gained </t>
  </si>
  <si>
    <t>PCV10 vs No Vaccination at Unicef Price</t>
  </si>
  <si>
    <t xml:space="preserve">US$ 218 QALY gained </t>
  </si>
  <si>
    <t xml:space="preserve">US$ 210 QALY gained </t>
  </si>
  <si>
    <t xml:space="preserve">US$ 178 QALY gained </t>
  </si>
  <si>
    <t>PCV10 vs No Vaccination at Government Contract Price</t>
  </si>
  <si>
    <t xml:space="preserve">US$ 987 QALY gained </t>
  </si>
  <si>
    <t>PCV10 vs No Vaccination at Government contract Price</t>
  </si>
  <si>
    <t xml:space="preserve">US$ 979 QALY gained </t>
  </si>
  <si>
    <t xml:space="preserve">US$ 948 QALY gained </t>
  </si>
  <si>
    <t xml:space="preserve">US Dollars </t>
  </si>
  <si>
    <t xml:space="preserve">US$ 15394 QALY gained </t>
  </si>
  <si>
    <t xml:space="preserve">US$ 9292 QALY gained </t>
  </si>
  <si>
    <t xml:space="preserve">US$ 4445 QALY gained </t>
  </si>
  <si>
    <t xml:space="preserve">US$ 2417 QALY gained </t>
  </si>
  <si>
    <t>Edi - see my corrections in green</t>
  </si>
  <si>
    <t>Later:</t>
  </si>
  <si>
    <t>to include mutli country studies</t>
  </si>
  <si>
    <r>
      <rPr>
        <b/>
        <sz val="10"/>
        <rFont val="Arial"/>
        <family val="2"/>
      </rPr>
      <t>Tasslimi.</t>
    </r>
    <r>
      <rPr>
        <b/>
        <i/>
        <sz val="10"/>
        <rFont val="Arial"/>
        <family val="2"/>
      </rPr>
      <t xml:space="preserve"> </t>
    </r>
    <r>
      <rPr>
        <i/>
        <sz val="10"/>
        <rFont val="Arial"/>
        <family val="2"/>
      </rPr>
      <t>Cost effectiveness of child pneumococcal conjugate vaccination in GAVI-eligible countries</t>
    </r>
  </si>
  <si>
    <t xml:space="preserve"> </t>
  </si>
  <si>
    <r>
      <rPr>
        <b/>
        <sz val="10"/>
        <rFont val="Arial"/>
        <family val="2"/>
      </rPr>
      <t xml:space="preserve">Sinha. </t>
    </r>
    <r>
      <rPr>
        <i/>
        <sz val="10"/>
        <rFont val="Arial"/>
        <family val="2"/>
      </rPr>
      <t>Cost-effectiveness of pneumococcal conjugate vaccination in the prevention of child mortality: an international economic analysis</t>
    </r>
  </si>
  <si>
    <r>
      <rPr>
        <b/>
        <sz val="10"/>
        <rFont val="Arial"/>
        <family val="2"/>
      </rPr>
      <t>Sinha.</t>
    </r>
    <r>
      <rPr>
        <b/>
        <i/>
        <sz val="10"/>
        <rFont val="Arial"/>
        <family val="2"/>
      </rPr>
      <t xml:space="preserve"> </t>
    </r>
    <r>
      <rPr>
        <i/>
        <sz val="10"/>
        <rFont val="Arial"/>
        <family val="2"/>
      </rPr>
      <t>Cost-effectiveness of pneumococcal conjugate vaccination in Latin America and the Caribbean: a regional analysis</t>
    </r>
  </si>
  <si>
    <r>
      <rPr>
        <b/>
        <sz val="10"/>
        <rFont val="Arial"/>
        <family val="2"/>
      </rPr>
      <t xml:space="preserve">Nakamura. </t>
    </r>
    <r>
      <rPr>
        <i/>
        <sz val="10"/>
        <rFont val="Arial"/>
        <family val="2"/>
      </rPr>
      <t>Cost effectiveness of child pneumococcal conjugate vaccination in middle-income countries</t>
    </r>
  </si>
  <si>
    <t>For discussion: why don't they report at country-level</t>
  </si>
  <si>
    <t>Cost-saving interventions</t>
  </si>
  <si>
    <t>To do later:</t>
  </si>
  <si>
    <t>Among low-income countries, xYZ</t>
  </si>
  <si>
    <t>Among middle-income countries – what trends do we see and does that vary by vaccine price and/or taking herd effects into account?</t>
  </si>
  <si>
    <t>oneGDPpc</t>
  </si>
  <si>
    <t>threeGDPpc</t>
  </si>
  <si>
    <t>Study Conclusion - Cost-effective?</t>
  </si>
  <si>
    <t>Ochalek High</t>
  </si>
  <si>
    <t>Ochalek Low</t>
  </si>
  <si>
    <t>Woods High</t>
  </si>
  <si>
    <t>Woods Low</t>
  </si>
  <si>
    <t>Alternative</t>
  </si>
  <si>
    <t>Comparison</t>
  </si>
  <si>
    <t>Percent</t>
  </si>
  <si>
    <t>Cost-effective Study Conclusion</t>
  </si>
  <si>
    <t>Cost-effective Ochalek 2018</t>
  </si>
  <si>
    <t>Cost-effective Woods 2016</t>
  </si>
  <si>
    <t># of analyses</t>
  </si>
  <si>
    <t>Lower</t>
  </si>
  <si>
    <t>Higher</t>
  </si>
  <si>
    <t>Other comparisons</t>
  </si>
  <si>
    <t>Table. Cost-effectiveness conclusions of pneumococcal conjugate vaccines in low- and middle-income countries at different cost-effectiveness thresholds</t>
  </si>
  <si>
    <t>Evaluations</t>
  </si>
  <si>
    <t>Studies</t>
  </si>
  <si>
    <t>Number of evaluations</t>
  </si>
  <si>
    <r>
      <t>Study conclusion
% cost-effective</t>
    </r>
    <r>
      <rPr>
        <vertAlign val="superscript"/>
        <sz val="11"/>
        <color theme="1"/>
        <rFont val="Calibri"/>
        <family val="2"/>
        <scheme val="minor"/>
      </rPr>
      <t>1</t>
    </r>
  </si>
  <si>
    <r>
      <t>Ochalek 2018</t>
    </r>
    <r>
      <rPr>
        <vertAlign val="superscript"/>
        <sz val="11"/>
        <color theme="1"/>
        <rFont val="Calibri"/>
        <family val="2"/>
        <scheme val="minor"/>
      </rPr>
      <t>2</t>
    </r>
    <r>
      <rPr>
        <sz val="11"/>
        <color theme="1"/>
        <rFont val="Calibri"/>
        <family val="2"/>
        <scheme val="minor"/>
      </rPr>
      <t xml:space="preserve">
% cost-effective at</t>
    </r>
  </si>
  <si>
    <r>
      <t>Woods 2016</t>
    </r>
    <r>
      <rPr>
        <vertAlign val="superscript"/>
        <sz val="11"/>
        <color theme="1"/>
        <rFont val="Calibri"/>
        <family val="2"/>
        <scheme val="minor"/>
      </rPr>
      <t>3</t>
    </r>
    <r>
      <rPr>
        <sz val="11"/>
        <color theme="1"/>
        <rFont val="Calibri"/>
        <family val="2"/>
        <scheme val="minor"/>
      </rPr>
      <t xml:space="preserve">
% cost-effective at</t>
    </r>
  </si>
  <si>
    <t>study conclusion</t>
  </si>
  <si>
    <t xml:space="preserve">based on </t>
  </si>
  <si>
    <r>
      <rPr>
        <b/>
        <sz val="10"/>
        <color theme="1"/>
        <rFont val="Calibri"/>
        <family val="2"/>
        <scheme val="minor"/>
      </rPr>
      <t>Upper</t>
    </r>
    <r>
      <rPr>
        <sz val="10"/>
        <color theme="1"/>
        <rFont val="Calibri"/>
        <family val="2"/>
        <scheme val="minor"/>
      </rPr>
      <t xml:space="preserve"> bound</t>
    </r>
  </si>
  <si>
    <r>
      <rPr>
        <b/>
        <sz val="10"/>
        <color theme="1"/>
        <rFont val="Calibri"/>
        <family val="2"/>
        <scheme val="minor"/>
      </rPr>
      <t>Lower</t>
    </r>
    <r>
      <rPr>
        <sz val="10"/>
        <color theme="1"/>
        <rFont val="Calibri"/>
        <family val="2"/>
        <scheme val="minor"/>
      </rPr>
      <t xml:space="preserve"> bound</t>
    </r>
  </si>
  <si>
    <t>PCV7 vs No vaccination</t>
  </si>
  <si>
    <t>PCV10 vs No vaccination</t>
  </si>
  <si>
    <t>PCV13 vs No vaccination</t>
  </si>
  <si>
    <t>others</t>
  </si>
  <si>
    <r>
      <rPr>
        <vertAlign val="superscript"/>
        <sz val="10"/>
        <color theme="1"/>
        <rFont val="Calibri"/>
        <family val="2"/>
        <scheme val="minor"/>
      </rPr>
      <t>1</t>
    </r>
    <r>
      <rPr>
        <sz val="10"/>
        <color theme="1"/>
        <rFont val="Calibri"/>
        <family val="2"/>
        <scheme val="minor"/>
      </rPr>
      <t xml:space="preserve"> Study conclusions were based on stated cost-effectiveness thresholds of 1xGDP/capita (n=27 studies), 2xGDP/capita (n=1 study), 3xGDP/capita (n=21 studies), and other stated thresholds (n=4). No conclusion was available in 3 evaluations. Proportions are reflecting all evaluations with conclusions on cost-effectiveness.
</t>
    </r>
    <r>
      <rPr>
        <vertAlign val="superscript"/>
        <sz val="10"/>
        <color theme="1"/>
        <rFont val="Calibri"/>
        <family val="2"/>
        <scheme val="minor"/>
      </rPr>
      <t>2</t>
    </r>
    <r>
      <rPr>
        <sz val="10"/>
        <color theme="1"/>
        <rFont val="Calibri"/>
        <family val="2"/>
        <scheme val="minor"/>
      </rPr>
      <t xml:space="preserve"> Using the country-specific lower and upper bound threshold from Ochalek et al. BMJ Global Health 2018.
</t>
    </r>
    <r>
      <rPr>
        <vertAlign val="superscript"/>
        <sz val="10"/>
        <color theme="1"/>
        <rFont val="Calibri"/>
        <family val="2"/>
        <scheme val="minor"/>
      </rPr>
      <t>3</t>
    </r>
    <r>
      <rPr>
        <sz val="10"/>
        <color theme="1"/>
        <rFont val="Calibri"/>
        <family val="2"/>
        <scheme val="minor"/>
      </rPr>
      <t xml:space="preserve"> Using the country-specific lower and upper bound threshold from Woods et al. Value in Health 2016.</t>
    </r>
  </si>
  <si>
    <t>Asia Pacific Region? (WHO Western Pacific and South-east Asian Regions)</t>
  </si>
  <si>
    <t xml:space="preserve"> Cost-Effectiveness of the 13-Valent Pneumococcal Conjugate Vaccine (PCV13) Versus Lower-Valent Alternatives in Filipino Infants. </t>
  </si>
  <si>
    <t xml:space="preserve"> Cost-Effectiveness and Budget Impact Analyses of Pneumococcal Vaccination in Indonesia. </t>
  </si>
  <si>
    <t>Mentioned three GDPpc, but used one since ICER was below one</t>
  </si>
  <si>
    <t xml:space="preserve"> Cost-effectiveness analysis of domestic 13-valent pneumococcal conjugate vaccine for children under 5 years of age in mainland China. </t>
  </si>
  <si>
    <t xml:space="preserve">Domestic PCV13 vs Imported PCV13 </t>
  </si>
  <si>
    <t>counts</t>
  </si>
  <si>
    <t>Asia Pacific only</t>
  </si>
  <si>
    <t>Study</t>
  </si>
  <si>
    <t>Table 1. Cost-effectiveness conclusions of pneumococcal conjugate vaccines in low- and middle-income countries in the Asia Pacific Region at different cost-effectiveness thresholds</t>
  </si>
  <si>
    <t>Number of analyses</t>
  </si>
  <si>
    <r>
      <rPr>
        <vertAlign val="superscript"/>
        <sz val="10"/>
        <color theme="1"/>
        <rFont val="Calibri"/>
        <family val="2"/>
        <scheme val="minor"/>
      </rPr>
      <t>1</t>
    </r>
    <r>
      <rPr>
        <sz val="10"/>
        <color theme="1"/>
        <rFont val="Calibri"/>
        <family val="2"/>
        <scheme val="minor"/>
      </rPr>
      <t xml:space="preserve"> Study conclusions were based on stated cost-effectiveness thresholds of 1xGDP/capita (n=32 analyses), 2xGDP/capita (n=3 analyses), 3xGDP/capita (n=17 analyses).
</t>
    </r>
    <r>
      <rPr>
        <vertAlign val="superscript"/>
        <sz val="10"/>
        <color theme="1"/>
        <rFont val="Calibri"/>
        <family val="2"/>
        <scheme val="minor"/>
      </rPr>
      <t>2</t>
    </r>
    <r>
      <rPr>
        <sz val="10"/>
        <color theme="1"/>
        <rFont val="Calibri"/>
        <family val="2"/>
        <scheme val="minor"/>
      </rPr>
      <t xml:space="preserve"> Using the country-specific lower and upper bound threshold from Ochalek et al. BMJ Global Health 2018.
</t>
    </r>
    <r>
      <rPr>
        <vertAlign val="superscript"/>
        <sz val="10"/>
        <color theme="1"/>
        <rFont val="Calibri"/>
        <family val="2"/>
        <scheme val="minor"/>
      </rPr>
      <t>3</t>
    </r>
    <r>
      <rPr>
        <sz val="10"/>
        <color theme="1"/>
        <rFont val="Calibri"/>
        <family val="2"/>
        <scheme val="minor"/>
      </rPr>
      <t xml:space="preserve"> Using the country-specific lower and upper bound threshold from Woods et al. Value in Health 2016.</t>
    </r>
  </si>
  <si>
    <t>No longer found to be CE</t>
  </si>
  <si>
    <t>Country Name</t>
  </si>
  <si>
    <t>Aruba</t>
  </si>
  <si>
    <t>Africa Eastern and Southern</t>
  </si>
  <si>
    <t>Afghanistan</t>
  </si>
  <si>
    <t>Africa Western and Central</t>
  </si>
  <si>
    <t>Angola</t>
  </si>
  <si>
    <t>Albania</t>
  </si>
  <si>
    <t>Andorra</t>
  </si>
  <si>
    <t>Arab World</t>
  </si>
  <si>
    <t>United Arab Emirates</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</si>
  <si>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</si>
  <si>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</si>
  <si>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</si>
  <si>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</si>
  <si>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</si>
  <si>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</si>
  <si>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</si>
  <si>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</si>
  <si>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</si>
  <si>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</si>
  <si>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</si>
  <si>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</si>
  <si>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</si>
  <si>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</si>
  <si>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</si>
  <si>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</si>
  <si>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</si>
  <si>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</si>
  <si>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</si>
  <si>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Barbados</t>
  </si>
  <si>
    <t>Brunei Darussalam</t>
  </si>
  <si>
    <t>Botswana</t>
  </si>
  <si>
    <t>Central African Republic</t>
  </si>
  <si>
    <t>Canada</t>
  </si>
  <si>
    <t>Central Europe and the Baltics</t>
  </si>
  <si>
    <t>Switzerland</t>
  </si>
  <si>
    <t>Channel Islands</t>
  </si>
  <si>
    <t>Chile</t>
  </si>
  <si>
    <t>Cote d'Ivoire</t>
  </si>
  <si>
    <t>Cameroon</t>
  </si>
  <si>
    <t>Congo, Dem. Rep.</t>
  </si>
  <si>
    <t>Congo, Rep.</t>
  </si>
  <si>
    <t>Comoros</t>
  </si>
  <si>
    <t>Cabo Verde</t>
  </si>
  <si>
    <t>Costa Rica</t>
  </si>
  <si>
    <t>Caribbean small states</t>
  </si>
  <si>
    <t>Curacao</t>
  </si>
  <si>
    <t>Cayman Islands</t>
  </si>
  <si>
    <t>Cyprus</t>
  </si>
  <si>
    <t>Czechia</t>
  </si>
  <si>
    <t>Germany</t>
  </si>
  <si>
    <t>Djibouti</t>
  </si>
  <si>
    <t>Dominica</t>
  </si>
  <si>
    <t>Denmark</t>
  </si>
  <si>
    <t>Dominican Republic</t>
  </si>
  <si>
    <t>East Asia &amp; Pacific (excluding high income)</t>
  </si>
  <si>
    <t>Early-demographic dividend</t>
  </si>
  <si>
    <t>East Asia &amp; Pacific</t>
  </si>
  <si>
    <t>Europe &amp; Central Asia (excluding high income)</t>
  </si>
  <si>
    <t>Europe &amp; Central Asia</t>
  </si>
  <si>
    <t>Eritrea</t>
  </si>
  <si>
    <t>Spain</t>
  </si>
  <si>
    <t>Estonia</t>
  </si>
  <si>
    <t>European Union</t>
  </si>
  <si>
    <t>Fragile and conflict affected situations</t>
  </si>
  <si>
    <t>Finland</t>
  </si>
  <si>
    <t>Fiji</t>
  </si>
  <si>
    <t>France</t>
  </si>
  <si>
    <t>Faroe Islands</t>
  </si>
  <si>
    <t>Micronesia, Fed. Sts.</t>
  </si>
  <si>
    <t>Gabon</t>
  </si>
  <si>
    <t>United Kingdom</t>
  </si>
  <si>
    <t>Ghana</t>
  </si>
  <si>
    <t>Gibraltar</t>
  </si>
  <si>
    <t>Guinea</t>
  </si>
  <si>
    <t>Guinea-Bissau</t>
  </si>
  <si>
    <t>Equatorial Guinea</t>
  </si>
  <si>
    <t>Greece</t>
  </si>
  <si>
    <t>Grenada</t>
  </si>
  <si>
    <t>Greenland</t>
  </si>
  <si>
    <t>Guatemala</t>
  </si>
  <si>
    <t>Guam</t>
  </si>
  <si>
    <t>Guyana</t>
  </si>
  <si>
    <t>High income</t>
  </si>
  <si>
    <t>Hong Kong SAR, China</t>
  </si>
  <si>
    <t>Heavily indebted poor countries (HIPC)</t>
  </si>
  <si>
    <t>Croatia</t>
  </si>
  <si>
    <t>Haiti</t>
  </si>
  <si>
    <t>Hungary</t>
  </si>
  <si>
    <t>IBRD only</t>
  </si>
  <si>
    <t>IDA &amp; IBRD total</t>
  </si>
  <si>
    <t>IDA total</t>
  </si>
  <si>
    <t>IDA blend</t>
  </si>
  <si>
    <t>IDA only</t>
  </si>
  <si>
    <t>Isle of Man</t>
  </si>
  <si>
    <t>Not classified</t>
  </si>
  <si>
    <t>Ireland</t>
  </si>
  <si>
    <t>Iraq</t>
  </si>
  <si>
    <t>Iceland</t>
  </si>
  <si>
    <t>Israel</t>
  </si>
  <si>
    <t>Italy</t>
  </si>
  <si>
    <t>Jamaica</t>
  </si>
  <si>
    <t>Jordan</t>
  </si>
  <si>
    <t>Japan</t>
  </si>
  <si>
    <t>Kazakhstan</t>
  </si>
  <si>
    <t>Kyrgyz Republic</t>
  </si>
  <si>
    <t>Cambodia</t>
  </si>
  <si>
    <t>Kiribati</t>
  </si>
  <si>
    <t>St. Kitts and Nevis</t>
  </si>
  <si>
    <t>Korea, Rep.</t>
  </si>
  <si>
    <t>Kuwait</t>
  </si>
  <si>
    <t>Latin America &amp; Caribbean (excluding high income)</t>
  </si>
  <si>
    <t>Lao PDR</t>
  </si>
  <si>
    <t>Lebanon</t>
  </si>
  <si>
    <t>Liberia</t>
  </si>
  <si>
    <t>Libya</t>
  </si>
  <si>
    <t>St. Lucia</t>
  </si>
  <si>
    <t>Latin America &amp; Caribbean</t>
  </si>
  <si>
    <t>Least developed countries: UN classification</t>
  </si>
  <si>
    <t>Low income</t>
  </si>
  <si>
    <t>Liechtenstein</t>
  </si>
  <si>
    <t>Sri Lanka</t>
  </si>
  <si>
    <t>Lower middle income</t>
  </si>
  <si>
    <t>Low &amp; middle income</t>
  </si>
  <si>
    <t>Lesotho</t>
  </si>
  <si>
    <t>Late-demographic dividend</t>
  </si>
  <si>
    <t>Lithuania</t>
  </si>
  <si>
    <t>Luxembourg</t>
  </si>
  <si>
    <t>Latvia</t>
  </si>
  <si>
    <t>Macao SAR, China</t>
  </si>
  <si>
    <t>St. Martin (French part)</t>
  </si>
  <si>
    <t>Morocco</t>
  </si>
  <si>
    <t>Monaco</t>
  </si>
  <si>
    <t>Moldova</t>
  </si>
  <si>
    <t>Madagascar</t>
  </si>
  <si>
    <t>Maldives</t>
  </si>
  <si>
    <t>Middle East &amp; North Africa</t>
  </si>
  <si>
    <t>Marshall Islands</t>
  </si>
  <si>
    <t>Middle income</t>
  </si>
  <si>
    <t>North Macedonia</t>
  </si>
  <si>
    <t>Mali</t>
  </si>
  <si>
    <t>Malta</t>
  </si>
  <si>
    <t>Myanmar</t>
  </si>
  <si>
    <t>Middle East &amp; North Africa (excluding high income)</t>
  </si>
  <si>
    <t>Montenegro</t>
  </si>
  <si>
    <t>Northern Mariana Islands</t>
  </si>
  <si>
    <t>Mozambique</t>
  </si>
  <si>
    <t>Mauritania</t>
  </si>
  <si>
    <t>Mauritius</t>
  </si>
  <si>
    <t>Malawi</t>
  </si>
  <si>
    <t>North America</t>
  </si>
  <si>
    <t>Namibia</t>
  </si>
  <si>
    <t>New Caledonia</t>
  </si>
  <si>
    <t>Niger</t>
  </si>
  <si>
    <t>Nigeria</t>
  </si>
  <si>
    <t>Nicaragua</t>
  </si>
  <si>
    <t>Netherlands</t>
  </si>
  <si>
    <t>Norway</t>
  </si>
  <si>
    <t>Nepal</t>
  </si>
  <si>
    <t>Nauru</t>
  </si>
  <si>
    <t>New Zealand</t>
  </si>
  <si>
    <t>OECD members</t>
  </si>
  <si>
    <t>Oman</t>
  </si>
  <si>
    <t>Other small states</t>
  </si>
  <si>
    <t>Pakistan</t>
  </si>
  <si>
    <t>Panama</t>
  </si>
  <si>
    <t>Palau</t>
  </si>
  <si>
    <t>Papua New Guinea</t>
  </si>
  <si>
    <t>Poland</t>
  </si>
  <si>
    <t>Pre-demographic dividend</t>
  </si>
  <si>
    <t>Puerto Rico</t>
  </si>
  <si>
    <t>Korea, Dem. People's Rep.</t>
  </si>
  <si>
    <t>Portugal</t>
  </si>
  <si>
    <t>West Bank and Gaza</t>
  </si>
  <si>
    <t>Pacific island small states</t>
  </si>
  <si>
    <t>Post-demographic dividend</t>
  </si>
  <si>
    <t>French Polynesia</t>
  </si>
  <si>
    <t>Qatar</t>
  </si>
  <si>
    <t>Romania</t>
  </si>
  <si>
    <t>Russian Federation</t>
  </si>
  <si>
    <t>Rwanda</t>
  </si>
  <si>
    <t>South Asia</t>
  </si>
  <si>
    <t>Saudi Arabia</t>
  </si>
  <si>
    <t>Sudan</t>
  </si>
  <si>
    <t>Senegal</t>
  </si>
  <si>
    <t>Singapore</t>
  </si>
  <si>
    <t>Solomon Islands</t>
  </si>
  <si>
    <t>Sierra Leone</t>
  </si>
  <si>
    <t>El Salvador</t>
  </si>
  <si>
    <t>San Marino</t>
  </si>
  <si>
    <t>Serbia</t>
  </si>
  <si>
    <t>Sub-Saharan Africa (excluding high income)</t>
  </si>
  <si>
    <t>Sub-Saharan Africa</t>
  </si>
  <si>
    <t>Small states</t>
  </si>
  <si>
    <t>Sao Tome and Principe</t>
  </si>
  <si>
    <t>Suriname</t>
  </si>
  <si>
    <t>Slovak Republic</t>
  </si>
  <si>
    <t>Slovenia</t>
  </si>
  <si>
    <t>Sweden</t>
  </si>
  <si>
    <t>Eswatini</t>
  </si>
  <si>
    <t>Sint Maarten (Dutch part)</t>
  </si>
  <si>
    <t>Seychelles</t>
  </si>
  <si>
    <t>Syrian Arab Republic</t>
  </si>
  <si>
    <t>Turks and Caicos Islands</t>
  </si>
  <si>
    <t>Chad</t>
  </si>
  <si>
    <t>East Asia &amp; Pacific (IDA &amp; IBRD countries)</t>
  </si>
  <si>
    <t>Europe &amp; Central Asia (IDA &amp; IBRD countries)</t>
  </si>
  <si>
    <t>Togo</t>
  </si>
  <si>
    <t>Tajikistan</t>
  </si>
  <si>
    <t>Turkmenistan</t>
  </si>
  <si>
    <t>Latin America &amp; the Caribbean (IDA &amp; IBRD countries)</t>
  </si>
  <si>
    <t>Timor-Leste</t>
  </si>
  <si>
    <t>Middle East &amp; North Africa (IDA &amp; IBRD countries)</t>
  </si>
  <si>
    <t>Tonga</t>
  </si>
  <si>
    <t>South Asia (IDA &amp; IBRD)</t>
  </si>
  <si>
    <t>Sub-Saharan Africa (IDA &amp; IBRD countries)</t>
  </si>
  <si>
    <t>Trinidad and Tobago</t>
  </si>
  <si>
    <t>Tuvalu</t>
  </si>
  <si>
    <t>Tanzania</t>
  </si>
  <si>
    <t>Uganda</t>
  </si>
  <si>
    <t>Ukraine</t>
  </si>
  <si>
    <t>Upper middle income</t>
  </si>
  <si>
    <t>Uzbekistan</t>
  </si>
  <si>
    <t>St. Vincent and the Grenadines</t>
  </si>
  <si>
    <t>Venezuela, RB</t>
  </si>
  <si>
    <t>British Virgin Islands</t>
  </si>
  <si>
    <t>Virgin Islands (U.S.)</t>
  </si>
  <si>
    <t>Viet Nam</t>
  </si>
  <si>
    <t>Vanuatu</t>
  </si>
  <si>
    <t>World</t>
  </si>
  <si>
    <t>Samoa</t>
  </si>
  <si>
    <t>Kosovo</t>
  </si>
  <si>
    <t>Yemen, Rep.</t>
  </si>
  <si>
    <t>Zambia</t>
  </si>
  <si>
    <t>Zimbabwe</t>
  </si>
  <si>
    <t>Turkiye</t>
  </si>
  <si>
    <t>Vietnam</t>
  </si>
  <si>
    <t>###########</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</si>
  <si>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</si>
  <si>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</si>
  <si>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</si>
  <si>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</si>
  <si>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</si>
  <si>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</si>
  <si>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</si>
  <si>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</si>
  <si>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</si>
  <si>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</si>
  <si>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</si>
  <si>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</si>
  <si>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</si>
  <si>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</si>
  <si>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</si>
  <si>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</si>
  <si>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</si>
  <si>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</si>
  <si>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</si>
  <si>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</si>
  <si>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</si>
  <si>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</si>
  <si>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Czech Republic</t>
  </si>
  <si>
    <t>WOODS</t>
  </si>
  <si>
    <t>COMBINED</t>
  </si>
  <si>
    <t>OCHALEK</t>
  </si>
  <si>
    <t>RIVIERE</t>
  </si>
  <si>
    <t>low_value</t>
  </si>
  <si>
    <t>high_value</t>
  </si>
  <si>
    <t>daly1_amount</t>
  </si>
  <si>
    <t>daly2_amount</t>
  </si>
  <si>
    <t>daly3_amount</t>
  </si>
  <si>
    <t>daly4_amount</t>
  </si>
  <si>
    <t>daly1</t>
  </si>
  <si>
    <t>daly2</t>
  </si>
  <si>
    <t>daly3</t>
  </si>
  <si>
    <t>daly4</t>
  </si>
  <si>
    <t>low</t>
  </si>
  <si>
    <t>high</t>
  </si>
  <si>
    <t>mean</t>
  </si>
  <si>
    <t>mean_value</t>
  </si>
  <si>
    <t>Cape Verde</t>
  </si>
  <si>
    <t>Congo</t>
  </si>
  <si>
    <t>Democratic Republic of the Congo</t>
  </si>
  <si>
    <t>Kyrgyzstan</t>
  </si>
  <si>
    <t>Macedonia</t>
  </si>
  <si>
    <t>Russia</t>
  </si>
  <si>
    <t>Swaziland</t>
  </si>
  <si>
    <t>Venezuela</t>
  </si>
  <si>
    <t>Yemen</t>
  </si>
  <si>
    <t>Macedonia, FYR</t>
  </si>
  <si>
    <t>L</t>
  </si>
  <si>
    <t>..</t>
  </si>
  <si>
    <t>LM</t>
  </si>
  <si>
    <t>UM</t>
  </si>
  <si>
    <t>H</t>
  </si>
  <si>
    <t>Côte d'Ivoire</t>
  </si>
  <si>
    <t>Curaçao</t>
  </si>
  <si>
    <t>Faeroe Islands</t>
  </si>
  <si>
    <t>Korea, Dem. Rep.</t>
  </si>
  <si>
    <t>São Tomé and Príncipe</t>
  </si>
  <si>
    <t>Taiwan, China</t>
  </si>
  <si>
    <t>LM*</t>
  </si>
  <si>
    <t>Iran</t>
  </si>
  <si>
    <t>Author</t>
  </si>
  <si>
    <t>EvaluationYear</t>
  </si>
  <si>
    <t>YearOfCurrency</t>
  </si>
  <si>
    <t>Results</t>
  </si>
  <si>
    <t>Cost per QALY ($)</t>
  </si>
  <si>
    <t>onexGDPpc_amount</t>
  </si>
  <si>
    <t>onexGDPpc_decision</t>
  </si>
  <si>
    <t>threexGDPpc_decision</t>
  </si>
  <si>
    <t>percent_GDPpc</t>
  </si>
  <si>
    <t>ochalek_threshold</t>
  </si>
  <si>
    <t>ochalek_decision</t>
  </si>
  <si>
    <t>woods_threshold</t>
  </si>
  <si>
    <t>woods_decision</t>
  </si>
  <si>
    <t>study_threshold</t>
  </si>
  <si>
    <t>study_decision</t>
  </si>
  <si>
    <t>Include</t>
  </si>
  <si>
    <t>Wu et al. 2016</t>
  </si>
  <si>
    <t>Hong Kong</t>
  </si>
  <si>
    <t>No Vaccination</t>
  </si>
  <si>
    <t>US$ 46,832</t>
  </si>
  <si>
    <t>Excluded - high income</t>
  </si>
  <si>
    <t>US$ 40,923</t>
  </si>
  <si>
    <t>Dominant</t>
  </si>
  <si>
    <t>Lee et al. 2013</t>
  </si>
  <si>
    <t>The health economic impact of universal infant vaccination with the 10-valent pneumococcal nontypeable Haemophilus influenzae protein D conjugate vaccine as compared with 13-valent pneumococcal conjugate vaccine in Hong Kong</t>
  </si>
  <si>
    <t>Hong King dollars</t>
  </si>
  <si>
    <t>Lee et al. 2009</t>
  </si>
  <si>
    <t>Economic evaluation of universal infant vaccination with 7vPCV in Hong Kong</t>
  </si>
  <si>
    <t>US$ 6,460 LYG (Payer)</t>
  </si>
  <si>
    <t>US$ 5,929 LYG (Societal)</t>
  </si>
  <si>
    <t>Hoshi et al. 2012</t>
  </si>
  <si>
    <t>Economic evaluation of vaccination programme of 7-valent pneumococcal conjugate vaccine to the birth cohort in Japan</t>
  </si>
  <si>
    <t>US$ 93,013 (Vaccinated Alone)</t>
  </si>
  <si>
    <t>US$ 93,013 (Co-Vaccination)</t>
  </si>
  <si>
    <t>Hoshi et al. 2013</t>
  </si>
  <si>
    <t>Economic evaluation of vaccination programme of 13-valent pneumococcal conjugate vaccine to the birth cohort in Japan</t>
  </si>
  <si>
    <t xml:space="preserve">Japanese Yen  </t>
  </si>
  <si>
    <t>¥  6,352,110</t>
  </si>
  <si>
    <t>¥  1,588,575</t>
  </si>
  <si>
    <t>¥  9,034,940</t>
  </si>
  <si>
    <t>¥  4,368,278</t>
  </si>
  <si>
    <t>¥  4,495,903</t>
  </si>
  <si>
    <t>PCV13-PFE vs. PCV7</t>
  </si>
  <si>
    <t>¥  37,722,901</t>
  </si>
  <si>
    <t>¥  343,830</t>
  </si>
  <si>
    <t>¥  35,584,455</t>
  </si>
  <si>
    <t>Shiragami et al. 2015</t>
  </si>
  <si>
    <t>Cost-effectiveness evaluation of the 10-valent pneumococcal non-typeable Haemophilus influenzae protein D conjugate vaccine and 13-valent pneumococcal vaccine in Japanese children</t>
  </si>
  <si>
    <t>Sohn et al. 2010</t>
  </si>
  <si>
    <t>Economic evaluation of childhood 7-valent pneumococcal conjugate vaccination in Korea</t>
  </si>
  <si>
    <t>Korea</t>
  </si>
  <si>
    <t>US$ 115,549 (4-Dose Schedule);</t>
  </si>
  <si>
    <t>US$ 79,955 (3-Dose Schedule)</t>
  </si>
  <si>
    <t>Zhang et al. 2018</t>
  </si>
  <si>
    <t>Cost-effectiveness analysis of infant pneumococcal vaccination with PHiD-CV in Korea</t>
  </si>
  <si>
    <t>Tyo et al. 2011</t>
  </si>
  <si>
    <t>Cost-effectiveness of conjugate pneumococcal vaccination in Singapore: comparing estimates for 7-valent, 10-valent, and 13-valent vaccines</t>
  </si>
  <si>
    <t>US$ 5,562-43,275</t>
  </si>
  <si>
    <t>US$ 45,100</t>
  </si>
  <si>
    <t>US$ 37,644</t>
  </si>
  <si>
    <t>Megiddo et al. 2018</t>
  </si>
  <si>
    <t>Potential impact of introducing the pneumococcal conjugate vaccine into national immunisation programmes</t>
  </si>
  <si>
    <t>US$ 144 per YLL averted (current coverage)</t>
  </si>
  <si>
    <t>Excluded - outcome not QALY/DALY</t>
  </si>
  <si>
    <t>US$ 127 per YLL averted (expanded coverage)</t>
  </si>
  <si>
    <t>Wu et al. 2012</t>
  </si>
  <si>
    <t>Cost-effectiveness analysis of pneumococcal conjugate vaccine in Taiwan: a transmission dynamic modeling approach</t>
  </si>
  <si>
    <t>Taiwan</t>
  </si>
  <si>
    <t>US$ 38,045LYG (Four Dose; Payer)</t>
  </si>
  <si>
    <t>US$ 18,299 LYG (Four Dose; Societal)</t>
  </si>
  <si>
    <t>US$ 22,050 LYG (Three-Dose; Payer) and</t>
  </si>
  <si>
    <t>US$ 2,304 LYG (Three-Dose; Societal)</t>
  </si>
  <si>
    <t>Wu et al. 2013</t>
  </si>
  <si>
    <t>Economic evaluation of universal 7-valent pneumococcal conjugate vaccination in Taiwan: a cost-effectiveness analysis</t>
  </si>
  <si>
    <t>New Taiwan dollar</t>
  </si>
  <si>
    <t>NT$ 1,183,028 LY (payer)</t>
  </si>
  <si>
    <t>NT$ 619,862 LY (societal)</t>
  </si>
  <si>
    <t>Hu et al. 2014</t>
  </si>
  <si>
    <t>Estimating the Cost-Effectiveness of the 7-Valent Pneumococcal Conjugate Vaccine in Shanghai, China</t>
  </si>
  <si>
    <t>US$ 6,435</t>
  </si>
  <si>
    <t>Included</t>
  </si>
  <si>
    <t>Shanghai, China</t>
  </si>
  <si>
    <t>GPD/capita is higher ($12,000)</t>
  </si>
  <si>
    <t>US$ 376,497</t>
  </si>
  <si>
    <t>2004-01-00405-01</t>
  </si>
  <si>
    <t>The cost-effectiveness of pneumococcal conjugate vaccination in Australia</t>
  </si>
  <si>
    <t>2009-01-01769-01</t>
  </si>
  <si>
    <t>Cost-effectiveness of introducing the conjugated pneumococcal vaccine to routine free immunizations for infants in Lazio, Italy</t>
  </si>
  <si>
    <t>Including vaccination of infants with conjugated pneumococcal vaccine (PCV-7) to the recommended schedule</t>
  </si>
  <si>
    <t>DosePhrases</t>
  </si>
  <si>
    <t>OchalekThreshold</t>
  </si>
  <si>
    <t>OchalekDecision</t>
  </si>
  <si>
    <t>WoodsThreshold</t>
  </si>
  <si>
    <t>WoodsDecision</t>
  </si>
  <si>
    <t>Navas</t>
  </si>
  <si>
    <t>Cost-benefit and cost-effectiveness of the incorporation of the pneumococcal 7-valent conjugated vaccine in the routine vaccination schedule of Catalonia (Spain)</t>
  </si>
  <si>
    <t>Four doses of 7-valent pneumococcal conjugated vaccine at 2, 4, 6 and 12-15 months of age</t>
  </si>
  <si>
    <t>€ 44307 DALY Averted</t>
  </si>
  <si>
    <t>€ 80291 DALY Averted</t>
  </si>
  <si>
    <t>Excluded</t>
  </si>
  <si>
    <t xml:space="preserve">NoVax </t>
  </si>
  <si>
    <t>US$ 2019 DALY Averted</t>
  </si>
  <si>
    <t>Vucina</t>
  </si>
  <si>
    <t>Cost-effectiveness of pneumococcal conjugate vaccination in Croatia</t>
  </si>
  <si>
    <t>Pneumococcal conjugate vaccination (PCV) with PCV-10</t>
  </si>
  <si>
    <t>3 Doses</t>
  </si>
  <si>
    <t>US$ 75467 DALY Averted</t>
  </si>
  <si>
    <t>US$ 68698 DALY Averted</t>
  </si>
  <si>
    <t>Pneumococcal conjugate vaccination (PCV) with PCV-13</t>
  </si>
  <si>
    <t>US$ 76557 DALY Averted</t>
  </si>
  <si>
    <t>US$ 69977 DALY Averted</t>
  </si>
  <si>
    <t>US$ 83830 DALY Averted</t>
  </si>
  <si>
    <t>US$ 78507 DALY Averted</t>
  </si>
  <si>
    <t>PCV 10 Vs No Vaccination</t>
  </si>
  <si>
    <t>PCV 10</t>
  </si>
  <si>
    <t>$-230.13 QALY gained</t>
  </si>
  <si>
    <t>$-2133.38 QALY gained</t>
  </si>
  <si>
    <t>$-235.11 QALY gained</t>
  </si>
  <si>
    <t>$-2141.37 QALY gained</t>
  </si>
  <si>
    <t>Three</t>
  </si>
  <si>
    <t>Four</t>
  </si>
  <si>
    <t>One/two</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</si>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</sst>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Red]\-&quot;$&quot;#,##0"/>
    <numFmt numFmtId="165" formatCode="_-&quot;$&quot;* #,##0.00_-;\-&quot;$&quot;* #,##0.00_-;_-&quot;$&quot;* &quot;-&quot;??_-;_-@_-"/>
    <numFmt numFmtId="166" formatCode="_-* #,##0.00_-;\-* #,##0.00_-;_-* &quot;-&quot;??_-;_-@_-"/>
    <numFmt numFmtId="167" formatCode="&quot;$&quot;#,##0"/>
    <numFmt numFmtId="168" formatCode="0.0%"/>
    <numFmt numFmtId="169" formatCode="_-* #,##0_-;\-* #,##0_-;_-* &quot;-&quot;??_-;_-@_-"/>
    <numFmt numFmtId="170" formatCode="000"/>
    <numFmt numFmtId="171" formatCode="0.0"/>
    <numFmt numFmtId="172" formatCode="0.000"/>
  </numFmts>
  <fonts count="49">
    <font>
      <sz val="11"/>
      <color theme="1"/>
      <name val="Calibri"/>
      <family val="2"/>
      <scheme val="minor"/>
    </font>
    <font>
      <sz val="10"/>
      <color theme="1"/>
      <name val="Arial"/>
      <family val="2"/>
    </font>
    <font>
      <b/>
      <sz val="10"/>
      <color theme="1"/>
      <name val="Arial"/>
      <family val="2"/>
    </font>
    <font>
      <sz val="11"/>
      <name val="Calibri"/>
      <family val="2"/>
    </font>
    <font>
      <sz val="10"/>
      <name val="Arial"/>
      <family val="2"/>
    </font>
    <font>
      <sz val="8"/>
      <name val="Calibri"/>
      <family val="2"/>
      <scheme val="minor"/>
    </font>
    <font>
      <sz val="10"/>
      <color rgb="FFFF0000"/>
      <name val="Arial"/>
      <family val="2"/>
    </font>
    <font>
      <sz val="11"/>
      <color theme="1"/>
      <name val="Calibri"/>
      <family val="2"/>
      <scheme val="minor"/>
    </font>
    <font>
      <sz val="10"/>
      <color rgb="FFC00000"/>
      <name val="Arial"/>
      <family val="2"/>
    </font>
    <font>
      <sz val="10"/>
      <color theme="4" tint="-0.249977111117893"/>
      <name val="Arial"/>
      <family val="2"/>
    </font>
    <font>
      <sz val="10"/>
      <color theme="7" tint="-0.499984740745262"/>
      <name val="Arial"/>
      <family val="2"/>
    </font>
    <font>
      <b/>
      <sz val="10"/>
      <name val="Arial"/>
      <family val="2"/>
    </font>
    <font>
      <b/>
      <sz val="10"/>
      <color theme="1"/>
      <name val="Arial "/>
    </font>
    <font>
      <sz val="10"/>
      <color theme="1"/>
      <name val="Arial "/>
    </font>
    <font>
      <b/>
      <sz val="10"/>
      <color rgb="FFC00000"/>
      <name val="Arial "/>
    </font>
    <font>
      <sz val="10"/>
      <color rgb="FFC00000"/>
      <name val="Arial "/>
    </font>
    <font>
      <sz val="10"/>
      <name val="Arial "/>
    </font>
    <font>
      <sz val="9"/>
      <color indexed="81"/>
      <name val="Tahoma"/>
      <family val="2"/>
    </font>
    <font>
      <b/>
      <sz val="9"/>
      <color indexed="81"/>
      <name val="Tahoma"/>
      <family val="2"/>
    </font>
    <font>
      <b/>
      <sz val="9"/>
      <color rgb="FF000000"/>
      <name val="Tahoma"/>
      <family val="2"/>
    </font>
    <font>
      <sz val="9"/>
      <color rgb="FF000000"/>
      <name val="Tahoma"/>
      <family val="2"/>
    </font>
    <font>
      <b/>
      <sz val="10"/>
      <color rgb="FFFF0000"/>
      <name val="Arial "/>
    </font>
    <font>
      <sz val="10"/>
      <color rgb="FFFF0000"/>
      <name val="Arial "/>
    </font>
    <font>
      <sz val="11"/>
      <color theme="1"/>
      <name val="Arial"/>
      <family val="2"/>
    </font>
    <font>
      <b/>
      <i/>
      <sz val="10"/>
      <name val="Arial"/>
      <family val="2"/>
    </font>
    <font>
      <i/>
      <sz val="10"/>
      <name val="Arial"/>
      <family val="2"/>
    </font>
    <font>
      <i/>
      <sz val="10"/>
      <color theme="1"/>
      <name val="Arial"/>
      <family val="2"/>
    </font>
    <font>
      <sz val="10"/>
      <color theme="1"/>
      <name val="Calibri"/>
      <family val="2"/>
      <scheme val="minor"/>
    </font>
    <font>
      <i/>
      <sz val="11"/>
      <color theme="1"/>
      <name val="Calibri"/>
      <family val="2"/>
      <scheme val="minor"/>
    </font>
    <font>
      <vertAlign val="superscript"/>
      <sz val="10"/>
      <color theme="1"/>
      <name val="Calibri"/>
      <family val="2"/>
      <scheme val="minor"/>
    </font>
    <font>
      <b/>
      <sz val="10"/>
      <color theme="1"/>
      <name val="Calibri"/>
      <family val="2"/>
      <scheme val="minor"/>
    </font>
    <font>
      <vertAlign val="superscript"/>
      <sz val="11"/>
      <color theme="1"/>
      <name val="Calibri"/>
      <family val="2"/>
      <scheme val="minor"/>
    </font>
    <font>
      <b/>
      <sz val="13"/>
      <color rgb="FF0063A6"/>
      <name val="Calibri"/>
      <family val="2"/>
      <scheme val="minor"/>
    </font>
    <font>
      <sz val="10"/>
      <color rgb="FF00B050"/>
      <name val="Arial"/>
      <family val="2"/>
    </font>
    <font>
      <b/>
      <sz val="11"/>
      <color theme="1"/>
      <name val="Calibri"/>
      <family val="2"/>
      <scheme val="minor"/>
    </font>
    <font>
      <b/>
      <sz val="10"/>
      <name val="Arial Narrow"/>
      <family val="2"/>
    </font>
    <font>
      <sz val="10"/>
      <name val="Arial Narrow"/>
      <family val="2"/>
    </font>
    <font>
      <sz val="11"/>
      <name val="Arial Narrow"/>
      <family val="2"/>
    </font>
    <font>
      <sz val="10"/>
      <color rgb="FFFF0000"/>
      <name val="Arial Narrow"/>
      <family val="2"/>
    </font>
    <font>
      <sz val="10"/>
      <color theme="1" tint="0.249977111117893"/>
      <name val="Arial Narrow"/>
      <family val="2"/>
    </font>
    <font>
      <sz val="11"/>
      <color theme="1" tint="0.249977111117893"/>
      <name val="Arial Narrow"/>
      <family val="2"/>
    </font>
    <font>
      <b/>
      <sz val="10"/>
      <color theme="1" tint="0.249977111117893"/>
      <name val="Arial Narrow"/>
      <family val="2"/>
    </font>
    <font>
      <sz val="10"/>
      <color rgb="FFC00000"/>
      <name val="Arial Narrow"/>
      <family val="2"/>
    </font>
    <font>
      <sz val="11"/>
      <color theme="1"/>
      <name val="Arial Narrow"/>
      <family val="2"/>
    </font>
    <font>
      <b/>
      <sz val="10"/>
      <color rgb="FF0063A6"/>
      <name val="Arial Narrow"/>
      <family val="2"/>
    </font>
    <font>
      <sz val="10"/>
      <color rgb="FF0063A6"/>
      <name val="Arial Narrow"/>
      <family val="2"/>
    </font>
    <font>
      <sz val="11"/>
      <color rgb="FF0063A6"/>
      <name val="Arial Narrow"/>
      <family val="2"/>
    </font>
    <font>
      <sz val="10"/>
      <color rgb="FF000000"/>
      <name val="Arial Narrow"/>
      <family val="2"/>
    </font>
    <font>
      <sz val="10"/>
      <color rgb="FF0063A6"/>
      <name val="Arial Narrow"/>
      <family val="2"/>
    </font>
  </fonts>
  <fills count="13">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3"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0" fontId="3" fillId="0" borderId="0"/>
    <xf numFmtId="9" fontId="7" fillId="0" borderId="0" applyFont="0" applyFill="0" applyBorder="0" applyAlignment="0" applyProtection="0"/>
    <xf numFmtId="166" fontId="7" fillId="0" borderId="0" applyFont="0" applyFill="0" applyBorder="0" applyAlignment="0" applyProtection="0"/>
  </cellStyleXfs>
  <cellXfs count="237">
    <xf numFmtId="0" fontId="0" fillId="0" borderId="0" xfId="0"/>
    <xf numFmtId="0" fontId="1" fillId="0" borderId="0" xfId="0" applyFont="1"/>
    <xf numFmtId="0" fontId="2" fillId="0" borderId="0" xfId="0" applyFont="1"/>
    <xf numFmtId="1" fontId="4" fillId="0" borderId="0" xfId="1" applyNumberFormat="1" applyFont="1"/>
    <xf numFmtId="0" fontId="6" fillId="0" borderId="0" xfId="0" applyFont="1"/>
    <xf numFmtId="0" fontId="8" fillId="0" borderId="0" xfId="0" applyFont="1"/>
    <xf numFmtId="0" fontId="9" fillId="0" borderId="0" xfId="0" applyFont="1"/>
    <xf numFmtId="9" fontId="1" fillId="0" borderId="0" xfId="2" applyFont="1"/>
    <xf numFmtId="0" fontId="10" fillId="0" borderId="0" xfId="0" applyFont="1"/>
    <xf numFmtId="0" fontId="4" fillId="0" borderId="0" xfId="0" applyFont="1"/>
    <xf numFmtId="167" fontId="4" fillId="0" borderId="0" xfId="1" applyNumberFormat="1" applyFont="1"/>
    <xf numFmtId="167" fontId="1" fillId="0" borderId="0" xfId="0" applyNumberFormat="1" applyFont="1"/>
    <xf numFmtId="0" fontId="1" fillId="3" borderId="0" xfId="0" applyFont="1" applyFill="1"/>
    <xf numFmtId="1" fontId="4" fillId="3" borderId="0" xfId="1" applyNumberFormat="1" applyFont="1" applyFill="1"/>
    <xf numFmtId="0" fontId="4" fillId="3" borderId="0" xfId="0" applyFont="1" applyFill="1"/>
    <xf numFmtId="167" fontId="4" fillId="3" borderId="0" xfId="1" applyNumberFormat="1" applyFont="1" applyFill="1"/>
    <xf numFmtId="167" fontId="2" fillId="0" borderId="0" xfId="0" applyNumberFormat="1" applyFont="1"/>
    <xf numFmtId="168" fontId="1" fillId="3" borderId="0" xfId="2" applyNumberFormat="1" applyFont="1" applyFill="1"/>
    <xf numFmtId="9" fontId="2" fillId="0" borderId="0" xfId="2" applyFont="1"/>
    <xf numFmtId="9" fontId="1" fillId="3" borderId="0" xfId="2" applyFont="1" applyFill="1"/>
    <xf numFmtId="9" fontId="1" fillId="0" borderId="0" xfId="2" applyFont="1" applyFill="1"/>
    <xf numFmtId="0" fontId="2" fillId="0" borderId="0" xfId="0" applyFont="1" applyAlignment="1">
      <alignment horizontal="left"/>
    </xf>
    <xf numFmtId="1" fontId="4" fillId="0" borderId="0" xfId="1" applyNumberFormat="1" applyFont="1" applyAlignment="1">
      <alignment horizontal="left"/>
    </xf>
    <xf numFmtId="0" fontId="1" fillId="0" borderId="0" xfId="0" applyFont="1" applyAlignment="1">
      <alignment horizontal="left"/>
    </xf>
    <xf numFmtId="1" fontId="4" fillId="3" borderId="0" xfId="1" applyNumberFormat="1" applyFont="1" applyFill="1" applyAlignment="1">
      <alignment horizontal="left"/>
    </xf>
    <xf numFmtId="0" fontId="6" fillId="3" borderId="0" xfId="0" applyFont="1" applyFill="1"/>
    <xf numFmtId="168" fontId="1" fillId="0" borderId="0" xfId="2" applyNumberFormat="1" applyFont="1"/>
    <xf numFmtId="0" fontId="2"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0" fontId="4" fillId="0" borderId="0" xfId="0" applyFont="1" applyAlignment="1">
      <alignment vertical="center"/>
    </xf>
    <xf numFmtId="1" fontId="4" fillId="0" borderId="0" xfId="1" applyNumberFormat="1" applyFont="1" applyAlignment="1">
      <alignment vertical="center"/>
    </xf>
    <xf numFmtId="167" fontId="4" fillId="0" borderId="0" xfId="1" applyNumberFormat="1" applyFont="1" applyAlignment="1">
      <alignment vertical="center"/>
    </xf>
    <xf numFmtId="1" fontId="4" fillId="0" borderId="0" xfId="1" applyNumberFormat="1" applyFont="1" applyAlignment="1">
      <alignment horizontal="center" vertical="center"/>
    </xf>
    <xf numFmtId="169" fontId="1" fillId="0" borderId="0" xfId="3" applyNumberFormat="1" applyFont="1"/>
    <xf numFmtId="0" fontId="4" fillId="0" borderId="0" xfId="1" applyFont="1" applyAlignment="1">
      <alignment vertical="center"/>
    </xf>
    <xf numFmtId="0" fontId="11" fillId="0" borderId="0" xfId="0" applyFont="1" applyAlignment="1">
      <alignment horizontal="center" vertical="center"/>
    </xf>
    <xf numFmtId="0" fontId="11" fillId="0" borderId="0" xfId="0" applyFont="1" applyAlignment="1">
      <alignment vertical="center"/>
    </xf>
    <xf numFmtId="167" fontId="11" fillId="0" borderId="0" xfId="0" applyNumberFormat="1" applyFont="1" applyAlignment="1">
      <alignment vertical="center"/>
    </xf>
    <xf numFmtId="9" fontId="11" fillId="0" borderId="0" xfId="2" applyFont="1" applyFill="1" applyAlignment="1">
      <alignment vertical="center"/>
    </xf>
    <xf numFmtId="0" fontId="4" fillId="0" borderId="0" xfId="0" applyFont="1" applyAlignment="1">
      <alignment horizontal="center" vertical="center"/>
    </xf>
    <xf numFmtId="168" fontId="4" fillId="0" borderId="0" xfId="2" applyNumberFormat="1" applyFont="1" applyFill="1" applyAlignment="1">
      <alignment vertical="center"/>
    </xf>
    <xf numFmtId="9" fontId="4" fillId="0" borderId="0" xfId="2" applyFont="1" applyFill="1" applyAlignment="1">
      <alignment vertical="center"/>
    </xf>
    <xf numFmtId="167" fontId="4" fillId="0" borderId="0" xfId="0" applyNumberFormat="1" applyFont="1" applyAlignment="1">
      <alignment vertical="center"/>
    </xf>
    <xf numFmtId="1" fontId="4" fillId="0" borderId="0" xfId="0" applyNumberFormat="1" applyFont="1" applyAlignment="1">
      <alignment vertical="center"/>
    </xf>
    <xf numFmtId="1" fontId="16" fillId="0" borderId="0" xfId="1" applyNumberFormat="1" applyFont="1" applyAlignment="1">
      <alignment horizontal="center" vertical="center"/>
    </xf>
    <xf numFmtId="1" fontId="16" fillId="0" borderId="0" xfId="0" applyNumberFormat="1" applyFont="1" applyAlignment="1">
      <alignment vertical="center"/>
    </xf>
    <xf numFmtId="0" fontId="16" fillId="0" borderId="0" xfId="0" applyFont="1" applyAlignment="1">
      <alignment horizontal="center" vertical="center"/>
    </xf>
    <xf numFmtId="0" fontId="16" fillId="0" borderId="0" xfId="0" applyFont="1" applyAlignment="1">
      <alignment vertical="center"/>
    </xf>
    <xf numFmtId="0" fontId="4" fillId="0" borderId="0" xfId="0" applyFont="1" applyAlignment="1">
      <alignment horizontal="left" vertical="center"/>
    </xf>
    <xf numFmtId="169" fontId="6" fillId="0" borderId="0" xfId="3" applyNumberFormat="1" applyFont="1"/>
    <xf numFmtId="170" fontId="4" fillId="0" borderId="0" xfId="0" applyNumberFormat="1" applyFont="1" applyAlignment="1">
      <alignment horizontal="center" vertical="center"/>
    </xf>
    <xf numFmtId="0" fontId="11" fillId="0" borderId="0" xfId="0" applyFont="1" applyAlignment="1">
      <alignment horizontal="left" vertical="center"/>
    </xf>
    <xf numFmtId="0" fontId="4" fillId="0" borderId="0" xfId="0" applyFont="1" applyAlignment="1">
      <alignment horizontal="center"/>
    </xf>
    <xf numFmtId="9" fontId="11" fillId="0" borderId="0" xfId="2" applyFont="1" applyFill="1" applyAlignment="1">
      <alignment horizontal="center" vertical="center"/>
    </xf>
    <xf numFmtId="9" fontId="4" fillId="0" borderId="0" xfId="2" applyFont="1" applyFill="1" applyAlignment="1">
      <alignment horizontal="center" vertical="center"/>
    </xf>
    <xf numFmtId="0" fontId="23" fillId="0" borderId="0" xfId="0" applyFont="1"/>
    <xf numFmtId="0" fontId="23" fillId="0" borderId="0" xfId="0" applyFont="1" applyAlignment="1">
      <alignment horizontal="center" vertical="center"/>
    </xf>
    <xf numFmtId="0" fontId="1" fillId="0" borderId="0" xfId="0" applyFont="1" applyAlignment="1">
      <alignment horizontal="center"/>
    </xf>
    <xf numFmtId="0" fontId="4" fillId="2" borderId="0" xfId="0" applyFont="1" applyFill="1"/>
    <xf numFmtId="0" fontId="11" fillId="3" borderId="0" xfId="0" applyFont="1" applyFill="1"/>
    <xf numFmtId="0" fontId="11" fillId="0" borderId="0" xfId="0" applyFont="1"/>
    <xf numFmtId="0" fontId="11"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left" vertical="center"/>
    </xf>
    <xf numFmtId="0" fontId="6" fillId="0" borderId="0" xfId="1" applyFont="1" applyAlignment="1">
      <alignment vertical="center"/>
    </xf>
    <xf numFmtId="0" fontId="4" fillId="2" borderId="0" xfId="0" applyFont="1" applyFill="1" applyAlignment="1">
      <alignment vertical="center"/>
    </xf>
    <xf numFmtId="164" fontId="4" fillId="0" borderId="0" xfId="0" applyNumberFormat="1" applyFont="1" applyAlignment="1">
      <alignment vertical="center"/>
    </xf>
    <xf numFmtId="3" fontId="4" fillId="0" borderId="0" xfId="0" applyNumberFormat="1" applyFont="1" applyAlignment="1">
      <alignment vertical="center"/>
    </xf>
    <xf numFmtId="0" fontId="1" fillId="2" borderId="0" xfId="0" applyFont="1" applyFill="1"/>
    <xf numFmtId="170" fontId="6" fillId="0" borderId="0" xfId="0" applyNumberFormat="1" applyFont="1" applyAlignment="1">
      <alignment horizontal="center" vertical="center"/>
    </xf>
    <xf numFmtId="1" fontId="6" fillId="0" borderId="0" xfId="1" applyNumberFormat="1" applyFont="1" applyAlignment="1">
      <alignment horizontal="center" vertical="center"/>
    </xf>
    <xf numFmtId="1" fontId="6" fillId="0" borderId="0" xfId="1" applyNumberFormat="1" applyFont="1" applyAlignment="1">
      <alignment vertical="center"/>
    </xf>
    <xf numFmtId="167" fontId="6" fillId="0" borderId="0" xfId="1" applyNumberFormat="1" applyFont="1" applyAlignment="1">
      <alignment vertical="center"/>
    </xf>
    <xf numFmtId="168" fontId="6" fillId="0" borderId="0" xfId="2" applyNumberFormat="1" applyFont="1" applyFill="1" applyAlignment="1">
      <alignment vertical="center"/>
    </xf>
    <xf numFmtId="9" fontId="6" fillId="0" borderId="0" xfId="2" applyFont="1" applyFill="1" applyAlignment="1">
      <alignment horizontal="center" vertical="center"/>
    </xf>
    <xf numFmtId="0" fontId="4" fillId="2" borderId="0" xfId="0" applyFont="1" applyFill="1" applyAlignment="1">
      <alignment horizontal="center" vertical="center"/>
    </xf>
    <xf numFmtId="0" fontId="1" fillId="5" borderId="0" xfId="0" applyFont="1" applyFill="1" applyAlignment="1">
      <alignment horizontal="center" vertical="center"/>
    </xf>
    <xf numFmtId="168" fontId="1" fillId="5" borderId="0" xfId="2" applyNumberFormat="1" applyFont="1" applyFill="1" applyAlignment="1">
      <alignment horizontal="center" vertical="center"/>
    </xf>
    <xf numFmtId="0" fontId="1" fillId="6" borderId="0" xfId="0" applyFont="1" applyFill="1" applyAlignment="1">
      <alignment horizontal="center" vertical="center"/>
    </xf>
    <xf numFmtId="168" fontId="1" fillId="6" borderId="0" xfId="2" applyNumberFormat="1" applyFont="1" applyFill="1" applyAlignment="1">
      <alignment horizontal="center" vertical="center"/>
    </xf>
    <xf numFmtId="0" fontId="1" fillId="7" borderId="0" xfId="0" applyFont="1" applyFill="1" applyAlignment="1">
      <alignment horizontal="center" vertical="center"/>
    </xf>
    <xf numFmtId="168" fontId="1" fillId="7" borderId="0" xfId="2" applyNumberFormat="1" applyFont="1" applyFill="1" applyAlignment="1">
      <alignment horizontal="center" vertical="center"/>
    </xf>
    <xf numFmtId="0" fontId="1" fillId="8" borderId="0" xfId="0" applyFont="1" applyFill="1" applyAlignment="1">
      <alignment horizontal="center" vertical="center"/>
    </xf>
    <xf numFmtId="168" fontId="1" fillId="8" borderId="0" xfId="2" applyNumberFormat="1" applyFont="1" applyFill="1" applyAlignment="1">
      <alignment horizontal="center" vertical="center"/>
    </xf>
    <xf numFmtId="0" fontId="1" fillId="9" borderId="0" xfId="0" applyFont="1" applyFill="1" applyAlignment="1">
      <alignment horizontal="center" vertical="center"/>
    </xf>
    <xf numFmtId="168" fontId="1" fillId="9" borderId="0" xfId="2" applyNumberFormat="1" applyFont="1" applyFill="1" applyAlignment="1">
      <alignment horizontal="center" vertical="center"/>
    </xf>
    <xf numFmtId="0" fontId="2" fillId="6" borderId="0" xfId="0" applyFont="1" applyFill="1" applyAlignment="1">
      <alignment horizontal="center" vertical="center"/>
    </xf>
    <xf numFmtId="168" fontId="2" fillId="6" borderId="0" xfId="2" applyNumberFormat="1" applyFont="1" applyFill="1" applyAlignment="1">
      <alignment horizontal="center" vertical="center"/>
    </xf>
    <xf numFmtId="0" fontId="2" fillId="5" borderId="0" xfId="0" applyFont="1" applyFill="1" applyAlignment="1">
      <alignment horizontal="center" vertical="center"/>
    </xf>
    <xf numFmtId="168" fontId="2" fillId="5" borderId="0" xfId="2" applyNumberFormat="1" applyFont="1" applyFill="1" applyAlignment="1">
      <alignment horizontal="center" vertical="center"/>
    </xf>
    <xf numFmtId="0" fontId="2" fillId="7" borderId="0" xfId="0" applyFont="1" applyFill="1" applyAlignment="1">
      <alignment horizontal="center" vertical="center"/>
    </xf>
    <xf numFmtId="168" fontId="2" fillId="7" borderId="0" xfId="2" applyNumberFormat="1" applyFont="1" applyFill="1" applyAlignment="1">
      <alignment horizontal="center" vertical="center"/>
    </xf>
    <xf numFmtId="0" fontId="2" fillId="8" borderId="0" xfId="0" applyFont="1" applyFill="1" applyAlignment="1">
      <alignment horizontal="center" vertical="center"/>
    </xf>
    <xf numFmtId="168" fontId="2" fillId="8" borderId="0" xfId="2" applyNumberFormat="1" applyFont="1" applyFill="1" applyAlignment="1">
      <alignment horizontal="center" vertical="center"/>
    </xf>
    <xf numFmtId="0" fontId="2" fillId="9" borderId="0" xfId="0" applyFont="1" applyFill="1" applyAlignment="1">
      <alignment horizontal="center" vertical="center"/>
    </xf>
    <xf numFmtId="168" fontId="2" fillId="9" borderId="0" xfId="2" applyNumberFormat="1" applyFont="1" applyFill="1" applyAlignment="1">
      <alignment horizontal="center" vertical="center"/>
    </xf>
    <xf numFmtId="0" fontId="26" fillId="0" borderId="0" xfId="0" applyFont="1" applyAlignment="1">
      <alignment horizontal="center" vertical="center"/>
    </xf>
    <xf numFmtId="0" fontId="26" fillId="6" borderId="0" xfId="0" applyFont="1" applyFill="1" applyAlignment="1">
      <alignment horizontal="center" vertical="center"/>
    </xf>
    <xf numFmtId="0" fontId="26" fillId="5" borderId="0" xfId="0" applyFont="1" applyFill="1" applyAlignment="1">
      <alignment horizontal="center" vertical="center"/>
    </xf>
    <xf numFmtId="0" fontId="26" fillId="7" borderId="0" xfId="0" applyFont="1" applyFill="1" applyAlignment="1">
      <alignment horizontal="center" vertical="center"/>
    </xf>
    <xf numFmtId="0" fontId="26" fillId="8" borderId="0" xfId="0" applyFont="1" applyFill="1" applyAlignment="1">
      <alignment horizontal="center" vertical="center"/>
    </xf>
    <xf numFmtId="0" fontId="26" fillId="9" borderId="0" xfId="0" applyFont="1" applyFill="1" applyAlignment="1">
      <alignment horizontal="center" vertical="center"/>
    </xf>
    <xf numFmtId="0" fontId="1" fillId="0" borderId="1" xfId="0" applyFont="1" applyBorder="1"/>
    <xf numFmtId="0" fontId="2" fillId="0" borderId="1" xfId="0" applyFont="1" applyBorder="1" applyAlignment="1">
      <alignment vertical="center" wrapText="1"/>
    </xf>
    <xf numFmtId="0" fontId="1" fillId="0" borderId="1" xfId="0" applyFont="1" applyBorder="1" applyAlignment="1">
      <alignment horizontal="left" vertical="center"/>
    </xf>
    <xf numFmtId="0" fontId="1" fillId="0" borderId="1" xfId="0" applyFont="1" applyBorder="1" applyAlignment="1">
      <alignment horizontal="center" vertical="center" wrapText="1"/>
    </xf>
    <xf numFmtId="9" fontId="1" fillId="0" borderId="1" xfId="2" applyFont="1" applyFill="1" applyBorder="1"/>
    <xf numFmtId="0" fontId="1" fillId="0" borderId="5" xfId="0" applyFont="1" applyBorder="1" applyAlignment="1">
      <alignment vertical="center" wrapText="1"/>
    </xf>
    <xf numFmtId="0" fontId="0" fillId="10" borderId="1" xfId="0" applyFill="1" applyBorder="1" applyAlignment="1">
      <alignment horizontal="center" vertical="center"/>
    </xf>
    <xf numFmtId="168" fontId="0" fillId="10" borderId="1" xfId="2" applyNumberFormat="1" applyFont="1" applyFill="1" applyBorder="1" applyAlignment="1">
      <alignment horizontal="center" vertical="center"/>
    </xf>
    <xf numFmtId="168" fontId="0" fillId="10" borderId="1" xfId="0" applyNumberFormat="1" applyFill="1" applyBorder="1" applyAlignment="1">
      <alignment horizontal="center" vertical="center"/>
    </xf>
    <xf numFmtId="0" fontId="28" fillId="10" borderId="1" xfId="0" applyFont="1" applyFill="1" applyBorder="1" applyAlignment="1">
      <alignment horizontal="center" vertical="center"/>
    </xf>
    <xf numFmtId="168" fontId="28" fillId="10" borderId="1" xfId="2" applyNumberFormat="1" applyFont="1" applyFill="1" applyBorder="1" applyAlignment="1">
      <alignment horizontal="center" vertical="center"/>
    </xf>
    <xf numFmtId="168" fontId="28" fillId="10" borderId="1" xfId="0" applyNumberFormat="1" applyFont="1" applyFill="1" applyBorder="1" applyAlignment="1">
      <alignment horizontal="center" vertical="center"/>
    </xf>
    <xf numFmtId="0" fontId="27" fillId="10" borderId="1" xfId="0" applyFont="1" applyFill="1" applyBorder="1" applyAlignment="1">
      <alignment horizontal="center" vertical="center" wrapText="1"/>
    </xf>
    <xf numFmtId="165" fontId="0" fillId="10" borderId="1" xfId="0" applyNumberFormat="1" applyFill="1" applyBorder="1"/>
    <xf numFmtId="165" fontId="28" fillId="10" borderId="1" xfId="0" applyNumberFormat="1" applyFont="1" applyFill="1" applyBorder="1" applyAlignment="1">
      <alignment horizontal="left" vertical="center"/>
    </xf>
    <xf numFmtId="1" fontId="4" fillId="11" borderId="0" xfId="1" applyNumberFormat="1" applyFont="1" applyFill="1" applyAlignment="1">
      <alignment vertical="center"/>
    </xf>
    <xf numFmtId="167" fontId="4" fillId="11" borderId="0" xfId="0" applyNumberFormat="1" applyFont="1" applyFill="1" applyAlignment="1">
      <alignment vertical="center"/>
    </xf>
    <xf numFmtId="0" fontId="4" fillId="11" borderId="0" xfId="1" applyFont="1" applyFill="1" applyAlignment="1">
      <alignment vertical="center"/>
    </xf>
    <xf numFmtId="167" fontId="4" fillId="11" borderId="0" xfId="1" applyNumberFormat="1" applyFont="1" applyFill="1" applyAlignment="1">
      <alignment vertical="center"/>
    </xf>
    <xf numFmtId="0" fontId="4" fillId="0" borderId="0" xfId="0" applyFont="1" applyAlignment="1">
      <alignment vertical="center" wrapText="1"/>
    </xf>
    <xf numFmtId="0" fontId="33" fillId="0" borderId="0" xfId="0" applyFont="1" applyAlignment="1">
      <alignment horizontal="center" vertical="center"/>
    </xf>
    <xf numFmtId="1" fontId="33" fillId="0" borderId="0" xfId="1" applyNumberFormat="1" applyFont="1" applyAlignment="1">
      <alignment vertical="center"/>
    </xf>
    <xf numFmtId="0" fontId="33" fillId="0" borderId="0" xfId="0" applyFont="1" applyAlignment="1">
      <alignment vertical="center"/>
    </xf>
    <xf numFmtId="3" fontId="33" fillId="0" borderId="0" xfId="0" applyNumberFormat="1" applyFont="1" applyAlignment="1">
      <alignment vertical="center"/>
    </xf>
    <xf numFmtId="1" fontId="33" fillId="11" borderId="0" xfId="1" applyNumberFormat="1" applyFont="1" applyFill="1" applyAlignment="1">
      <alignment vertical="center"/>
    </xf>
    <xf numFmtId="167" fontId="33" fillId="11" borderId="0" xfId="0" applyNumberFormat="1" applyFont="1" applyFill="1" applyAlignment="1">
      <alignment vertical="center"/>
    </xf>
    <xf numFmtId="167" fontId="33" fillId="0" borderId="0" xfId="1" applyNumberFormat="1" applyFont="1" applyAlignment="1">
      <alignment vertical="center"/>
    </xf>
    <xf numFmtId="168" fontId="33" fillId="0" borderId="0" xfId="2" applyNumberFormat="1" applyFont="1" applyFill="1" applyAlignment="1">
      <alignment vertical="center"/>
    </xf>
    <xf numFmtId="9" fontId="33" fillId="0" borderId="0" xfId="2" applyFont="1" applyFill="1" applyAlignment="1">
      <alignment horizontal="center" vertical="center"/>
    </xf>
    <xf numFmtId="168" fontId="1" fillId="0" borderId="1" xfId="2" applyNumberFormat="1" applyFont="1" applyFill="1" applyBorder="1"/>
    <xf numFmtId="0" fontId="2" fillId="0" borderId="0" xfId="0" applyFont="1" applyAlignment="1">
      <alignment vertical="center"/>
    </xf>
    <xf numFmtId="0" fontId="34" fillId="0" borderId="0" xfId="0" applyFont="1"/>
    <xf numFmtId="0" fontId="13" fillId="0" borderId="0" xfId="0" applyFont="1" applyAlignment="1">
      <alignment horizontal="center" vertical="center"/>
    </xf>
    <xf numFmtId="1" fontId="1" fillId="0" borderId="0" xfId="0" applyNumberFormat="1" applyFont="1" applyAlignment="1">
      <alignment horizontal="center" vertical="center"/>
    </xf>
    <xf numFmtId="9" fontId="1" fillId="0" borderId="0" xfId="2" applyFont="1" applyAlignment="1">
      <alignment horizontal="center" vertical="center"/>
    </xf>
    <xf numFmtId="0" fontId="13" fillId="3" borderId="0" xfId="0" applyFont="1" applyFill="1" applyAlignment="1">
      <alignment horizontal="center" vertical="center"/>
    </xf>
    <xf numFmtId="0" fontId="0" fillId="0" borderId="0" xfId="0" applyAlignment="1">
      <alignment vertical="center"/>
    </xf>
    <xf numFmtId="0" fontId="13" fillId="0" borderId="0" xfId="0" applyFont="1" applyAlignment="1">
      <alignment vertical="center"/>
    </xf>
    <xf numFmtId="0" fontId="12" fillId="0" borderId="0" xfId="0" applyFont="1" applyAlignment="1">
      <alignment vertical="center"/>
    </xf>
    <xf numFmtId="0" fontId="14" fillId="0" borderId="0" xfId="0" applyFont="1" applyAlignment="1">
      <alignment vertical="center"/>
    </xf>
    <xf numFmtId="0" fontId="21" fillId="0" borderId="0" xfId="0" applyFont="1" applyAlignment="1">
      <alignment vertical="center"/>
    </xf>
    <xf numFmtId="9" fontId="13" fillId="0" borderId="0" xfId="0" applyNumberFormat="1" applyFont="1" applyAlignment="1">
      <alignment vertical="center"/>
    </xf>
    <xf numFmtId="9" fontId="15" fillId="0" borderId="0" xfId="0" applyNumberFormat="1" applyFont="1" applyAlignment="1">
      <alignment vertical="center"/>
    </xf>
    <xf numFmtId="164" fontId="13" fillId="0" borderId="0" xfId="0" applyNumberFormat="1" applyFont="1" applyAlignment="1">
      <alignment vertical="center"/>
    </xf>
    <xf numFmtId="9" fontId="22" fillId="0" borderId="0" xfId="0" applyNumberFormat="1" applyFont="1" applyAlignment="1">
      <alignment vertical="center"/>
    </xf>
    <xf numFmtId="1" fontId="13" fillId="0" borderId="0" xfId="0" applyNumberFormat="1" applyFont="1" applyAlignment="1">
      <alignment vertical="center"/>
    </xf>
    <xf numFmtId="9" fontId="22" fillId="0" borderId="0" xfId="2" applyFont="1" applyAlignment="1">
      <alignment vertical="center"/>
    </xf>
    <xf numFmtId="0" fontId="13" fillId="3" borderId="0" xfId="0" applyFont="1" applyFill="1" applyAlignment="1">
      <alignment vertical="center"/>
    </xf>
    <xf numFmtId="9" fontId="13" fillId="3" borderId="0" xfId="0" applyNumberFormat="1" applyFont="1" applyFill="1" applyAlignment="1">
      <alignment vertical="center"/>
    </xf>
    <xf numFmtId="0" fontId="22" fillId="0" borderId="0" xfId="0" applyFont="1" applyAlignment="1">
      <alignment vertical="center"/>
    </xf>
    <xf numFmtId="0" fontId="12" fillId="0" borderId="0" xfId="0" applyFont="1" applyAlignment="1">
      <alignment horizontal="center"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0" applyFont="1" applyAlignment="1">
      <alignment horizontal="center" vertical="center"/>
    </xf>
    <xf numFmtId="9" fontId="35" fillId="0" borderId="0" xfId="2" applyFont="1" applyFill="1" applyAlignment="1">
      <alignment horizontal="center" vertical="center"/>
    </xf>
    <xf numFmtId="0" fontId="36" fillId="0" borderId="0" xfId="0" applyFont="1" applyAlignment="1">
      <alignment horizontal="left" vertical="center"/>
    </xf>
    <xf numFmtId="170" fontId="36" fillId="0" borderId="0" xfId="0" applyNumberFormat="1" applyFont="1" applyAlignment="1">
      <alignment horizontal="left" vertical="center"/>
    </xf>
    <xf numFmtId="1" fontId="36" fillId="0" borderId="0" xfId="1" applyNumberFormat="1" applyFont="1" applyAlignment="1">
      <alignment horizontal="left" vertical="center"/>
    </xf>
    <xf numFmtId="0" fontId="36" fillId="0" borderId="0" xfId="0" applyFont="1" applyAlignment="1">
      <alignment vertical="center"/>
    </xf>
    <xf numFmtId="0" fontId="36" fillId="0" borderId="0" xfId="0" applyFont="1" applyAlignment="1">
      <alignment horizontal="center" vertical="center"/>
    </xf>
    <xf numFmtId="1" fontId="36" fillId="0" borderId="0" xfId="1" applyNumberFormat="1" applyFont="1" applyAlignment="1">
      <alignment vertical="center"/>
    </xf>
    <xf numFmtId="171" fontId="36" fillId="0" borderId="0" xfId="0" applyNumberFormat="1" applyFont="1" applyAlignment="1">
      <alignment horizontal="left" vertical="center"/>
    </xf>
    <xf numFmtId="2" fontId="36" fillId="0" borderId="0" xfId="1" applyNumberFormat="1" applyFont="1" applyAlignment="1">
      <alignment horizontal="center" vertical="center"/>
    </xf>
    <xf numFmtId="9" fontId="36" fillId="0" borderId="0" xfId="2" applyFont="1" applyFill="1" applyAlignment="1">
      <alignment horizontal="center" vertical="center"/>
    </xf>
    <xf numFmtId="0" fontId="37" fillId="0" borderId="0" xfId="0" applyFont="1" applyAlignment="1">
      <alignment horizontal="center"/>
    </xf>
    <xf numFmtId="0" fontId="38" fillId="0" borderId="0" xfId="0" applyFont="1" applyAlignment="1">
      <alignment vertical="center"/>
    </xf>
    <xf numFmtId="170" fontId="39" fillId="0" borderId="0" xfId="0" applyNumberFormat="1" applyFont="1" applyAlignment="1">
      <alignment horizontal="left" vertical="center"/>
    </xf>
    <xf numFmtId="0" fontId="39" fillId="0" borderId="0" xfId="0" applyFont="1" applyAlignment="1">
      <alignment horizontal="left" vertical="center"/>
    </xf>
    <xf numFmtId="1" fontId="39" fillId="0" borderId="0" xfId="1" applyNumberFormat="1" applyFont="1" applyAlignment="1">
      <alignment horizontal="left" vertical="center"/>
    </xf>
    <xf numFmtId="0" fontId="39" fillId="0" borderId="0" xfId="0" applyFont="1" applyAlignment="1">
      <alignment vertical="center"/>
    </xf>
    <xf numFmtId="0" fontId="39" fillId="0" borderId="0" xfId="0" applyFont="1" applyAlignment="1">
      <alignment horizontal="center" vertical="center"/>
    </xf>
    <xf numFmtId="1" fontId="39" fillId="0" borderId="0" xfId="1" applyNumberFormat="1" applyFont="1" applyAlignment="1">
      <alignment vertical="center"/>
    </xf>
    <xf numFmtId="171" fontId="39" fillId="0" borderId="0" xfId="0" applyNumberFormat="1" applyFont="1" applyAlignment="1">
      <alignment horizontal="left" vertical="center"/>
    </xf>
    <xf numFmtId="2" fontId="39" fillId="0" borderId="0" xfId="1" applyNumberFormat="1" applyFont="1" applyAlignment="1">
      <alignment horizontal="center" vertical="center"/>
    </xf>
    <xf numFmtId="0" fontId="40" fillId="0" borderId="0" xfId="0" applyFont="1" applyAlignment="1">
      <alignment horizontal="center"/>
    </xf>
    <xf numFmtId="2" fontId="36" fillId="0" borderId="0" xfId="0" applyNumberFormat="1" applyFont="1" applyAlignment="1">
      <alignment horizontal="center" vertical="center"/>
    </xf>
    <xf numFmtId="1" fontId="36" fillId="0" borderId="0" xfId="0" applyNumberFormat="1" applyFont="1" applyAlignment="1">
      <alignment vertical="center"/>
    </xf>
    <xf numFmtId="0" fontId="41" fillId="0" borderId="0" xfId="0" applyFont="1" applyAlignment="1">
      <alignment vertical="center"/>
    </xf>
    <xf numFmtId="0" fontId="36" fillId="0" borderId="0" xfId="0" applyFont="1"/>
    <xf numFmtId="164" fontId="36" fillId="0" borderId="0" xfId="0" applyNumberFormat="1" applyFont="1" applyAlignment="1">
      <alignment vertical="center"/>
    </xf>
    <xf numFmtId="3" fontId="36" fillId="0" borderId="0" xfId="0" applyNumberFormat="1" applyFont="1" applyAlignment="1">
      <alignment vertical="center"/>
    </xf>
    <xf numFmtId="0" fontId="42" fillId="0" borderId="0" xfId="0" applyFont="1" applyAlignment="1">
      <alignment vertical="center"/>
    </xf>
    <xf numFmtId="167" fontId="36" fillId="0" borderId="0" xfId="0" applyNumberFormat="1" applyFont="1" applyAlignment="1">
      <alignment horizontal="center" vertical="center"/>
    </xf>
    <xf numFmtId="9" fontId="36" fillId="0" borderId="0" xfId="2" applyFont="1" applyFill="1" applyAlignment="1">
      <alignment horizontal="left" vertical="center"/>
    </xf>
    <xf numFmtId="9" fontId="36" fillId="0" borderId="0" xfId="2" applyFont="1" applyFill="1" applyAlignment="1">
      <alignment vertical="center"/>
    </xf>
    <xf numFmtId="0" fontId="43" fillId="0" borderId="0" xfId="0" applyFont="1" applyAlignment="1">
      <alignment horizontal="center"/>
    </xf>
    <xf numFmtId="1" fontId="36" fillId="0" borderId="0" xfId="1" applyNumberFormat="1" applyFont="1" applyAlignment="1">
      <alignment horizontal="center" vertical="center"/>
    </xf>
    <xf numFmtId="171" fontId="36" fillId="0" borderId="0" xfId="0" applyNumberFormat="1" applyFont="1" applyAlignment="1">
      <alignment horizontal="center" vertical="center"/>
    </xf>
    <xf numFmtId="1" fontId="35" fillId="0" borderId="0" xfId="0" applyNumberFormat="1" applyFont="1" applyAlignment="1">
      <alignment horizontal="center" vertical="center"/>
    </xf>
    <xf numFmtId="1" fontId="36" fillId="0" borderId="0" xfId="0" applyNumberFormat="1" applyFont="1" applyAlignment="1">
      <alignment horizontal="center" vertical="center"/>
    </xf>
    <xf numFmtId="0" fontId="44" fillId="0" borderId="0" xfId="0" applyFont="1" applyAlignment="1">
      <alignment horizontal="center" vertical="center"/>
    </xf>
    <xf numFmtId="0" fontId="45" fillId="0" borderId="0" xfId="0" applyFont="1" applyAlignment="1">
      <alignment horizontal="left" vertical="center"/>
    </xf>
    <xf numFmtId="170" fontId="45" fillId="0" borderId="0" xfId="0" applyNumberFormat="1" applyFont="1" applyAlignment="1">
      <alignment horizontal="center" vertical="center"/>
    </xf>
    <xf numFmtId="0" fontId="45" fillId="0" borderId="0" xfId="0" applyFont="1" applyAlignment="1">
      <alignment horizontal="center" vertical="center"/>
    </xf>
    <xf numFmtId="171" fontId="45" fillId="0" borderId="0" xfId="0" applyNumberFormat="1" applyFont="1" applyAlignment="1">
      <alignment horizontal="center" vertical="center"/>
    </xf>
    <xf numFmtId="1" fontId="44" fillId="0" borderId="0" xfId="0" applyNumberFormat="1" applyFont="1" applyAlignment="1">
      <alignment horizontal="center" vertical="center"/>
    </xf>
    <xf numFmtId="1" fontId="45" fillId="0" borderId="0" xfId="1" applyNumberFormat="1" applyFont="1" applyAlignment="1">
      <alignment horizontal="center" vertical="center"/>
    </xf>
    <xf numFmtId="1" fontId="45" fillId="0" borderId="0" xfId="0" applyNumberFormat="1" applyFont="1" applyAlignment="1">
      <alignment horizontal="center" vertical="center"/>
    </xf>
    <xf numFmtId="0" fontId="44" fillId="0" borderId="0" xfId="0" applyFont="1" applyAlignment="1">
      <alignment horizontal="left" vertical="center"/>
    </xf>
    <xf numFmtId="9" fontId="44" fillId="0" borderId="0" xfId="2" applyFont="1" applyFill="1" applyAlignment="1">
      <alignment horizontal="center" vertical="center"/>
    </xf>
    <xf numFmtId="2" fontId="45" fillId="0" borderId="0" xfId="2" applyNumberFormat="1" applyFont="1" applyFill="1" applyAlignment="1">
      <alignment horizontal="center" vertical="center"/>
    </xf>
    <xf numFmtId="172" fontId="45" fillId="0" borderId="0" xfId="2" applyNumberFormat="1" applyFont="1" applyFill="1" applyAlignment="1">
      <alignment horizontal="center" vertical="center"/>
    </xf>
    <xf numFmtId="0" fontId="44" fillId="0" borderId="0" xfId="0" applyFont="1" applyAlignment="1">
      <alignment vertical="center"/>
    </xf>
    <xf numFmtId="0" fontId="45" fillId="0" borderId="0" xfId="0" applyFont="1" applyAlignment="1">
      <alignment vertical="center"/>
    </xf>
    <xf numFmtId="9" fontId="45" fillId="0" borderId="0" xfId="2" applyFont="1" applyFill="1" applyAlignment="1">
      <alignment horizontal="left" vertical="center"/>
    </xf>
    <xf numFmtId="9" fontId="45" fillId="0" borderId="0" xfId="2" applyFont="1" applyFill="1" applyAlignment="1">
      <alignment vertical="center"/>
    </xf>
    <xf numFmtId="0" fontId="46" fillId="0" borderId="0" xfId="0" applyFont="1" applyAlignment="1">
      <alignment horizontal="center"/>
    </xf>
    <xf numFmtId="0" fontId="47" fillId="0" borderId="0" xfId="0" applyFont="1"/>
    <xf numFmtId="171" fontId="48" fillId="0" borderId="0" xfId="0" applyNumberFormat="1" applyFont="1" applyAlignment="1">
      <alignment horizontal="center" vertical="center"/>
    </xf>
    <xf numFmtId="1" fontId="48" fillId="0" borderId="0" xfId="0" applyNumberFormat="1" applyFont="1" applyAlignment="1">
      <alignment horizontal="center" vertical="center"/>
    </xf>
    <xf numFmtId="2" fontId="45" fillId="0" borderId="0" xfId="2" applyNumberFormat="1" applyFont="1" applyAlignment="1">
      <alignment horizontal="center" vertical="center"/>
    </xf>
    <xf numFmtId="172" fontId="45" fillId="0" borderId="0" xfId="2" applyNumberFormat="1" applyFont="1" applyAlignment="1">
      <alignment horizontal="center" vertical="center"/>
    </xf>
    <xf numFmtId="165" fontId="0" fillId="10" borderId="1" xfId="0" applyNumberFormat="1" applyFill="1" applyBorder="1" applyAlignment="1">
      <alignment horizontal="left" vertical="center"/>
    </xf>
    <xf numFmtId="0" fontId="32" fillId="10" borderId="0" xfId="0" applyFont="1" applyFill="1" applyAlignment="1">
      <alignment horizontal="left" vertical="center" wrapText="1"/>
    </xf>
    <xf numFmtId="0" fontId="27" fillId="0" borderId="7" xfId="0" applyFont="1" applyBorder="1" applyAlignment="1">
      <alignment horizontal="left" vertical="center" wrapText="1"/>
    </xf>
    <xf numFmtId="0" fontId="27" fillId="0" borderId="7" xfId="0" applyFont="1" applyBorder="1" applyAlignment="1">
      <alignment horizontal="left" vertical="center"/>
    </xf>
    <xf numFmtId="0" fontId="0" fillId="10" borderId="1" xfId="0" applyFill="1"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0" xfId="0" applyFont="1" applyAlignment="1">
      <alignment horizontal="center"/>
    </xf>
    <xf numFmtId="0" fontId="2" fillId="0" borderId="3" xfId="0" applyFont="1" applyBorder="1" applyAlignment="1">
      <alignment horizontal="center" vertical="center" wrapText="1"/>
    </xf>
    <xf numFmtId="0" fontId="2" fillId="6" borderId="0" xfId="0" applyFont="1" applyFill="1" applyAlignment="1">
      <alignment horizontal="center" vertical="center"/>
    </xf>
    <xf numFmtId="0" fontId="2" fillId="5"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13" fillId="3" borderId="0" xfId="0" applyFont="1" applyFill="1" applyAlignment="1">
      <alignment horizontal="center" vertical="center"/>
    </xf>
    <xf numFmtId="0" fontId="16" fillId="2" borderId="0" xfId="0" applyFont="1" applyFill="1" applyAlignment="1">
      <alignment horizontal="center" vertical="center"/>
    </xf>
    <xf numFmtId="0" fontId="13" fillId="4" borderId="0" xfId="0" applyFont="1" applyFill="1" applyAlignment="1">
      <alignment horizontal="center" vertical="center"/>
    </xf>
    <xf numFmtId="0" fontId="1" fillId="12" borderId="0" xfId="0" applyFont="1" applyFill="1" applyAlignment="1">
      <alignment horizontal="center" vertical="center"/>
    </xf>
    <xf numFmtId="0" fontId="38" fillId="0" borderId="0" xfId="0" applyFont="1" applyAlignment="1">
      <alignment horizontal="center" vertical="center"/>
    </xf>
  </cellXfs>
  <cellStyles count="4">
    <cellStyle name="Comma" xfId="3" builtinId="3"/>
    <cellStyle name="Normal" xfId="0" builtinId="0"/>
    <cellStyle name="Normal 2" xfId="1" xr:uid="{DE3E7738-CE22-4DD7-8A4A-F5926D3F2546}"/>
    <cellStyle name="Per cent" xfId="2" builtinId="5"/>
  </cellStyles>
  <dxfs count="0"/>
  <tableStyles count="0" defaultTableStyle="TableStyleMedium2" defaultPivotStyle="PivotStyleLight16"/>
  <colors>
    <mruColors>
      <color rgb="FF0063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23</xdr:col>
      <xdr:colOff>25400</xdr:colOff>
      <xdr:row>6</xdr:row>
      <xdr:rowOff>77786</xdr:rowOff>
    </xdr:from>
    <xdr:to>
      <xdr:col>37</xdr:col>
      <xdr:colOff>60452</xdr:colOff>
      <xdr:row>39</xdr:row>
      <xdr:rowOff>121919</xdr:rowOff>
    </xdr:to>
    <xdr:pic>
      <xdr:nvPicPr>
        <xdr:cNvPr id="10" name="Picture 1">
          <a:extLst>
            <a:ext uri="{FF2B5EF4-FFF2-40B4-BE49-F238E27FC236}">
              <a16:creationId xmlns:a16="http://schemas.microsoft.com/office/drawing/2014/main" id="{051FBBCE-DFD6-F929-014B-E2041C2B4108}"/>
            </a:ext>
          </a:extLst>
        </xdr:cNvPr>
        <xdr:cNvPicPr>
          <a:picLocks noChangeAspect="1"/>
        </xdr:cNvPicPr>
      </xdr:nvPicPr>
      <xdr:blipFill>
        <a:blip xmlns:r="http://schemas.openxmlformats.org/officeDocument/2006/relationships" r:embed="rId1"/>
        <a:stretch>
          <a:fillRect/>
        </a:stretch>
      </xdr:blipFill>
      <xdr:spPr>
        <a:xfrm>
          <a:off x="14960600" y="1144586"/>
          <a:ext cx="9458452" cy="591153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difofon Akpan" id="{7A8692D9-854D-46E0-85C6-5E293A59DFE2}" userId="Edifofon Akpan" providerId="None"/>
  <person displayName="aderinola3@gmail.com" id="{B95AF5F7-AC33-48EB-8211-B6B404955CB9}" userId="S::urn:spo:guest#aderinola3@gmail.com::" providerId="AD"/>
  <person displayName="Edifofon Akpan" id="{550C7F62-D212-4F60-B2A3-176F2E873CFF}" userId="S::e.akpan@unimelb.edu.au::cea16780-a6e4-441a-89d7-7e9ce4c7f2bf" providerId="AD"/>
  <person displayName="Natalie Carvalho" id="{5181B9F6-6976-6B44-8BA5-513C44B5406A}" userId="S::natalie.carvalho@unimelb.edu.au::c62b05fc-c4b0-409c-9ff0-eae2144a14f2"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4-07-18T10:45:44.62" personId="{550C7F62-D212-4F60-B2A3-176F2E873CFF}" id="{C7892344-7455-E447-BDED-67A6FA67487E}">
    <text>Is it an Asia-Pacific country?</text>
  </threadedComment>
  <threadedComment ref="O1" dT="2022-11-07T04:29:11.92" personId="{5181B9F6-6976-6B44-8BA5-513C44B5406A}" id="{A20217E3-278A-AF4F-8C7A-2AEF2229A601}">
    <text>Who pays for healthcare is important too (OOP) in healthcare /payer perspective</text>
  </threadedComment>
  <threadedComment ref="Z1" dT="2022-10-10T06:34:19.77" personId="{7A8692D9-854D-46E0-85C6-5E293A59DFE2}" id="{D43EACBA-0A03-FD4B-949E-9BCD036E431C}">
    <text xml:space="preserve">bacteremia, sepsis, meningitis, and osteomyelitis </text>
  </threadedComment>
  <threadedComment ref="AJ1" dT="2024-07-18T11:18:23.57" personId="{550C7F62-D212-4F60-B2A3-176F2E873CFF}" id="{D6BF0172-6B6D-2745-AD57-9432FC0647E6}">
    <text>Ochalek (2018) high value</text>
  </threadedComment>
  <threadedComment ref="AL1" dT="2024-07-18T11:18:59.32" personId="{550C7F62-D212-4F60-B2A3-176F2E873CFF}" id="{FFA9F81F-A1A4-114E-88A3-E7461A4AF13A}">
    <text>Ochalek (2018) low value</text>
  </threadedComment>
  <threadedComment ref="AN1" dT="2024-07-18T11:19:18.24" personId="{550C7F62-D212-4F60-B2A3-176F2E873CFF}" id="{5061AE01-6548-B849-BBE8-4E524E81AB4A}">
    <text>Woods (2016) high value</text>
  </threadedComment>
  <threadedComment ref="AP1" dT="2024-07-18T11:19:25.20" personId="{550C7F62-D212-4F60-B2A3-176F2E873CFF}" id="{B2712801-7B3D-1142-B177-345D4E7E28ED}">
    <text>Woods (2016) low value</text>
  </threadedComment>
  <threadedComment ref="S88" dT="2022-10-28T11:46:09.01" personId="{7A8692D9-854D-46E0-85C6-5E293A59DFE2}" id="{FC791BED-CFB7-1E40-B832-07E0FD487DAA}">
    <text>It was assumed that the price would decrease 3% per year</text>
  </threadedComment>
  <threadedComment ref="X102" dT="2022-10-23T16:57:43.71" personId="{7A8692D9-854D-46E0-85C6-5E293A59DFE2}" id="{B126892A-3964-4548-9692-85A0D51EE1C1}">
    <text>See Figure 1</text>
  </threadedComment>
  <threadedComment ref="AC121" dT="2023-03-22T13:00:42.11" personId="{550C7F62-D212-4F60-B2A3-176F2E873CFF}" id="{80141E4C-7FB4-4A4A-866F-3B68CCD4AF32}">
    <text>Guess from the graph</text>
  </threadedComment>
  <threadedComment ref="Z156" dT="2022-10-23T17:35:17.60" personId="{7A8692D9-854D-46E0-85C6-5E293A59DFE2}" id="{EC26F930-4047-A443-97C9-51B8DF205DC5}">
    <text>Only meningitis</text>
  </threadedComment>
  <threadedComment ref="Z157" dT="2022-10-23T17:35:17.60" personId="{7A8692D9-854D-46E0-85C6-5E293A59DFE2}" id="{A4324429-0C41-5446-BAB6-2FB443237E4F}">
    <text>Only meningitis</text>
  </threadedComment>
  <threadedComment ref="Z158" dT="2022-10-23T17:35:17.60" personId="{7A8692D9-854D-46E0-85C6-5E293A59DFE2}" id="{67619DD8-7BFA-AB49-B8E0-B1856982774C}">
    <text>Only meningitis</text>
  </threadedComment>
  <threadedComment ref="Z159" dT="2022-10-23T17:35:17.60" personId="{7A8692D9-854D-46E0-85C6-5E293A59DFE2}" id="{EDD22237-9993-174A-B8F1-6E92AFC05D70}">
    <text>Only meningitis</text>
  </threadedComment>
  <threadedComment ref="Z160" dT="2022-10-23T17:35:17.60" personId="{7A8692D9-854D-46E0-85C6-5E293A59DFE2}" id="{650C23F2-306A-8348-8F62-1132EB49A9FE}">
    <text>Only meningitis</text>
  </threadedComment>
  <threadedComment ref="Z161" dT="2022-10-23T17:35:17.60" personId="{7A8692D9-854D-46E0-85C6-5E293A59DFE2}" id="{FFF762F4-FD09-6C44-A975-F01B3B487ADA}">
    <text>Only meningitis</text>
  </threadedComment>
  <threadedComment ref="L206" dT="2024-07-19T08:57:38.24" personId="{550C7F62-D212-4F60-B2A3-176F2E873CFF}" id="{4DECFACF-5AFC-4015-BA14-9202BD3B6ACA}">
    <text>GSK</text>
  </threadedComment>
  <threadedComment ref="L207" dT="2024-07-19T08:57:45.32" personId="{550C7F62-D212-4F60-B2A3-176F2E873CFF}" id="{0CF42793-05BC-4F48-A8D8-BC609035C24B}">
    <text>SII</text>
  </threadedComment>
  <threadedComment ref="R209" dT="2024-07-19T09:17:22.04" personId="{B95AF5F7-AC33-48EB-8211-B6B404955CB9}" id="{BB57B72C-4F3D-4D61-840C-F745B9B9038C}">
    <text>Costs were reported in Colombian Pesos and Later converted into USD, based on the average exchange rate reported between July 2022 and November 2022 from the Colombian central bank (Banco de la República, in Spanish): COP 4,492 for USD 1 </text>
  </threadedComment>
  <threadedComment ref="S209" dT="2024-07-19T09:21:02.50" personId="{B95AF5F7-AC33-48EB-8211-B6B404955CB9}" id="{63D77FE8-5B77-4A57-9650-966C5EC35B0F}">
    <text>Vaccine costs were reported in USD</text>
  </threadedComment>
  <threadedComment ref="U209" dT="2024-07-19T09:28:15.13" personId="{B95AF5F7-AC33-48EB-8211-B6B404955CB9}" id="{1A891BB5-D2C8-4353-957E-818367BD0103}">
    <text>Vaccine costs were reported in USD</text>
  </threadedComment>
  <threadedComment ref="AV210" dT="2024-07-19T10:16:27.02" personId="{550C7F62-D212-4F60-B2A3-176F2E873CFF}" id="{1956594C-2738-484C-882D-036A79C81218}">
    <text>also used 0.5 GDPpc</text>
  </threadedComment>
  <threadedComment ref="AV211" dT="2024-07-19T10:16:27.02" personId="{550C7F62-D212-4F60-B2A3-176F2E873CFF}" id="{B728F7E8-C024-4CAD-AB29-4376E130B357}">
    <text>also used 0.5 GDPpc</text>
  </threadedComment>
  <threadedComment ref="AV212" dT="2024-07-19T10:16:27.02" personId="{550C7F62-D212-4F60-B2A3-176F2E873CFF}" id="{D1344556-B64E-48E7-A357-110FFE8D50A9}">
    <text>also used 0.5 GDPpc</text>
  </threadedComment>
</ThreadedComments>
</file>

<file path=xl/threadedComments/threadedComment2.xml><?xml version="1.0" encoding="utf-8"?>
<ThreadedComments xmlns="http://schemas.microsoft.com/office/spreadsheetml/2018/threadedcomments" xmlns:x="http://schemas.openxmlformats.org/spreadsheetml/2006/main">
  <threadedComment ref="Q1" dT="2022-11-07T04:29:11.92" personId="{5181B9F6-6976-6B44-8BA5-513C44B5406A}" id="{1704C869-E01B-5743-BBA0-AE8A7B928D5D}">
    <text>Who pays for healthcare is important too (OOP) in healthcare /payer perspective</text>
  </threadedComment>
  <threadedComment ref="AG1" dT="2022-10-10T06:34:19.77" personId="{7A8692D9-854D-46E0-85C6-5E293A59DFE2}" id="{9358BC43-F352-48F4-BD3C-0874C0AA1B5E}">
    <text xml:space="preserve">bacteremia, sepsis, meningitis, and osteomyelitis </text>
  </threadedComment>
  <threadedComment ref="AJ1" dT="2022-10-10T06:38:07.32" personId="{7A8692D9-854D-46E0-85C6-5E293A59DFE2}" id="{B512160C-9FAD-46AA-9BC7-E1A6BE010D3C}">
    <text>Are the efficacy assumptions specific to the types of PCV vaccine used, or just generic</text>
  </threadedComment>
  <threadedComment ref="BO1" dT="2022-10-10T06:32:32.06" personId="{7A8692D9-854D-46E0-85C6-5E293A59DFE2}" id="{347BEFE5-2DE7-4D4A-BE40-B30B6E52F099}">
    <text>Formal, informal, how they presented the results (total $, % health budget, % immunization budget). If they include these %, put them here</text>
  </threadedComment>
  <threadedComment ref="U88" dT="2022-10-28T11:46:09.01" personId="{7A8692D9-854D-46E0-85C6-5E293A59DFE2}" id="{7DBFE5A5-BDEB-40BA-91AB-0FB297AD3DB3}">
    <text>It was assumed that the price would decrease 3% per year</text>
  </threadedComment>
  <threadedComment ref="BO99" dT="2022-10-27T11:39:08.25" personId="{7A8692D9-854D-46E0-85C6-5E293A59DFE2}" id="{F205444B-76DB-4263-B5F2-5E606A0173EE}">
    <text>The undiscounted
annual cost of the vaccine programme is approximately
US$130 000 on average. Incorporating cost savings to the
government from averted outpatient visits and hospitalizations,
however, results in net savings of approximately
US$140 000 per year on average.</text>
  </threadedComment>
  <threadedComment ref="AD102" dT="2022-10-23T16:57:43.71" personId="{7A8692D9-854D-46E0-85C6-5E293A59DFE2}" id="{110A2627-D995-452B-A1EB-433BC7939373}">
    <text>See Figure 1</text>
  </threadedComment>
  <threadedComment ref="AM121" dT="2023-03-22T13:00:42.11" personId="{550C7F62-D212-4F60-B2A3-176F2E873CFF}" id="{1CEDFDD8-52EC-49A8-A475-BA68BB518479}">
    <text>Guess from the graph</text>
  </threadedComment>
  <threadedComment ref="AG156" dT="2022-10-23T17:35:17.60" personId="{7A8692D9-854D-46E0-85C6-5E293A59DFE2}" id="{45525DA3-CA03-45F4-A8DB-12CD9A8DB400}">
    <text>Only meningitis</text>
  </threadedComment>
  <threadedComment ref="AG157" dT="2022-10-23T17:35:17.60" personId="{7A8692D9-854D-46E0-85C6-5E293A59DFE2}" id="{B5FD9FA9-70B1-4CE2-8524-EFEB22E6F0C3}">
    <text>Only meningitis</text>
  </threadedComment>
  <threadedComment ref="AG158" dT="2022-10-23T17:35:17.60" personId="{7A8692D9-854D-46E0-85C6-5E293A59DFE2}" id="{401EC970-6E76-4A74-A4D9-E9AB0F37C8C7}">
    <text>Only meningitis</text>
  </threadedComment>
  <threadedComment ref="AG159" dT="2022-10-23T17:35:17.60" personId="{7A8692D9-854D-46E0-85C6-5E293A59DFE2}" id="{5EDA4237-1AA9-4941-A696-D68E03725ADB}">
    <text>Only meningitis</text>
  </threadedComment>
  <threadedComment ref="AG160" dT="2022-10-23T17:35:17.60" personId="{7A8692D9-854D-46E0-85C6-5E293A59DFE2}" id="{1F43909C-40AB-4717-9082-92740599568D}">
    <text>Only meningitis</text>
  </threadedComment>
  <threadedComment ref="AG161" dT="2022-10-23T17:35:17.60" personId="{7A8692D9-854D-46E0-85C6-5E293A59DFE2}" id="{02B46BAE-7DF0-40ED-B641-E6044FADCDF0}">
    <text>Only meningitis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C072D-8116-4CE4-86E5-07702E7F4E65}">
  <sheetPr codeName="Sheet1"/>
  <dimension ref="A1:Q42"/>
  <sheetViews>
    <sheetView topLeftCell="B1" zoomScaleNormal="100" workbookViewId="0">
      <selection activeCell="B36" sqref="B36"/>
    </sheetView>
  </sheetViews>
  <sheetFormatPr baseColWidth="10" defaultColWidth="8.83203125" defaultRowHeight="13"/>
  <cols>
    <col min="1" max="1" width="8.33203125" style="40" bestFit="1" customWidth="1"/>
    <col min="2" max="2" width="15.83203125" style="9" bestFit="1" customWidth="1"/>
    <col min="3" max="3" width="12.33203125" style="53" bestFit="1" customWidth="1"/>
    <col min="4" max="4" width="62.83203125" style="9" customWidth="1"/>
    <col min="5" max="6" width="28.33203125" style="9" hidden="1" customWidth="1"/>
    <col min="7" max="7" width="30.1640625" style="9" bestFit="1" customWidth="1"/>
    <col min="8" max="8" width="3.1640625" style="9" customWidth="1"/>
    <col min="9" max="9" width="28.33203125" style="9" bestFit="1" customWidth="1"/>
    <col min="10" max="10" width="7.33203125" style="40" bestFit="1" customWidth="1"/>
    <col min="11" max="11" width="10.83203125" style="9" bestFit="1" customWidth="1"/>
    <col min="12" max="14" width="8.83203125" style="9"/>
    <col min="15" max="15" width="15.83203125" style="9" bestFit="1" customWidth="1"/>
    <col min="16" max="16" width="4.83203125" style="9" bestFit="1" customWidth="1"/>
    <col min="17" max="17" width="33.33203125" style="9" bestFit="1" customWidth="1"/>
    <col min="18" max="18" width="20.1640625" style="9" bestFit="1" customWidth="1"/>
    <col min="19" max="19" width="8.83203125" style="9"/>
    <col min="20" max="20" width="20.1640625" style="9" bestFit="1" customWidth="1"/>
    <col min="21" max="16384" width="8.83203125" style="9"/>
  </cols>
  <sheetData>
    <row r="1" spans="1:17">
      <c r="A1" s="36" t="s">
        <v>0</v>
      </c>
      <c r="B1" s="61" t="s">
        <v>1</v>
      </c>
      <c r="C1" s="62" t="s">
        <v>2</v>
      </c>
      <c r="D1" s="61" t="s">
        <v>3</v>
      </c>
      <c r="E1" s="61" t="s">
        <v>4</v>
      </c>
      <c r="F1" s="61" t="s">
        <v>5</v>
      </c>
      <c r="G1" s="61" t="s">
        <v>6</v>
      </c>
      <c r="H1" s="61"/>
      <c r="J1" s="36"/>
    </row>
    <row r="2" spans="1:17">
      <c r="A2" s="40">
        <v>1</v>
      </c>
      <c r="B2" s="9" t="s">
        <v>7</v>
      </c>
      <c r="C2" s="53">
        <v>2011</v>
      </c>
      <c r="D2" s="9" t="s">
        <v>8</v>
      </c>
      <c r="E2" s="9" t="s">
        <v>9</v>
      </c>
      <c r="F2" s="9" t="s">
        <v>9</v>
      </c>
      <c r="G2" s="9" t="s">
        <v>9</v>
      </c>
      <c r="H2" s="61"/>
      <c r="I2" s="60" t="s">
        <v>10</v>
      </c>
      <c r="J2" s="36" t="s">
        <v>11</v>
      </c>
      <c r="Q2" s="70" t="s">
        <v>12</v>
      </c>
    </row>
    <row r="3" spans="1:17">
      <c r="A3" s="40">
        <v>2</v>
      </c>
      <c r="B3" s="9" t="s">
        <v>13</v>
      </c>
      <c r="C3" s="53">
        <v>2011</v>
      </c>
      <c r="D3" s="9" t="s">
        <v>14</v>
      </c>
      <c r="E3" s="9" t="s">
        <v>9</v>
      </c>
      <c r="F3" s="9" t="s">
        <v>9</v>
      </c>
      <c r="G3" s="9" t="s">
        <v>9</v>
      </c>
      <c r="H3" s="61"/>
      <c r="I3" s="14" t="s">
        <v>9</v>
      </c>
      <c r="J3" s="40">
        <f>COUNTIF($G$2:$G$36,I3)</f>
        <v>7</v>
      </c>
    </row>
    <row r="4" spans="1:17">
      <c r="A4" s="40">
        <v>3</v>
      </c>
      <c r="B4" s="9" t="s">
        <v>15</v>
      </c>
      <c r="C4" s="53">
        <v>2011</v>
      </c>
      <c r="D4" s="9" t="s">
        <v>16</v>
      </c>
      <c r="E4" s="9" t="s">
        <v>9</v>
      </c>
      <c r="F4" s="9" t="s">
        <v>9</v>
      </c>
      <c r="G4" s="9" t="s">
        <v>9</v>
      </c>
      <c r="H4" s="61"/>
      <c r="I4" s="14" t="s">
        <v>17</v>
      </c>
      <c r="J4" s="40">
        <f t="shared" ref="J4:J8" si="0">COUNTIF($G$2:$G$36,I4)</f>
        <v>6</v>
      </c>
    </row>
    <row r="5" spans="1:17">
      <c r="A5" s="40">
        <v>4</v>
      </c>
      <c r="B5" s="9" t="s">
        <v>18</v>
      </c>
      <c r="C5" s="53">
        <v>2011</v>
      </c>
      <c r="D5" s="9" t="s">
        <v>19</v>
      </c>
      <c r="E5" s="9" t="s">
        <v>9</v>
      </c>
      <c r="F5" s="9" t="s">
        <v>9</v>
      </c>
      <c r="G5" s="9" t="s">
        <v>9</v>
      </c>
      <c r="H5" s="61"/>
      <c r="I5" s="14" t="s">
        <v>20</v>
      </c>
      <c r="J5" s="40">
        <f t="shared" si="0"/>
        <v>4</v>
      </c>
    </row>
    <row r="6" spans="1:17">
      <c r="A6" s="40">
        <v>5</v>
      </c>
      <c r="B6" s="9" t="s">
        <v>21</v>
      </c>
      <c r="C6" s="53">
        <v>2013</v>
      </c>
      <c r="D6" s="9" t="s">
        <v>22</v>
      </c>
      <c r="E6" s="9" t="s">
        <v>9</v>
      </c>
      <c r="F6" s="9" t="s">
        <v>9</v>
      </c>
      <c r="G6" s="9" t="s">
        <v>9</v>
      </c>
      <c r="H6" s="61"/>
      <c r="I6" s="14" t="s">
        <v>23</v>
      </c>
      <c r="J6" s="40">
        <f t="shared" si="0"/>
        <v>2</v>
      </c>
    </row>
    <row r="7" spans="1:17">
      <c r="A7" s="40">
        <v>6</v>
      </c>
      <c r="B7" s="9" t="s">
        <v>24</v>
      </c>
      <c r="C7" s="53">
        <v>2014</v>
      </c>
      <c r="D7" s="9" t="s">
        <v>25</v>
      </c>
      <c r="E7" s="9" t="s">
        <v>9</v>
      </c>
      <c r="F7" s="9" t="s">
        <v>9</v>
      </c>
      <c r="G7" s="9" t="s">
        <v>9</v>
      </c>
      <c r="H7" s="61"/>
      <c r="I7" s="14" t="s">
        <v>26</v>
      </c>
      <c r="J7" s="40">
        <f t="shared" si="0"/>
        <v>3</v>
      </c>
    </row>
    <row r="8" spans="1:17">
      <c r="A8" s="40">
        <v>7</v>
      </c>
      <c r="B8" s="9" t="s">
        <v>27</v>
      </c>
      <c r="C8" s="53">
        <v>2017</v>
      </c>
      <c r="D8" s="9" t="s">
        <v>28</v>
      </c>
      <c r="E8" s="9" t="s">
        <v>9</v>
      </c>
      <c r="F8" s="9" t="s">
        <v>9</v>
      </c>
      <c r="G8" s="9" t="s">
        <v>9</v>
      </c>
      <c r="H8" s="61"/>
      <c r="I8" s="14" t="s">
        <v>29</v>
      </c>
      <c r="J8" s="40">
        <f t="shared" si="0"/>
        <v>1</v>
      </c>
    </row>
    <row r="9" spans="1:17">
      <c r="A9" s="40">
        <v>8</v>
      </c>
      <c r="B9" s="9" t="s">
        <v>30</v>
      </c>
      <c r="C9" s="53">
        <v>2010</v>
      </c>
      <c r="D9" s="9" t="s">
        <v>31</v>
      </c>
      <c r="E9" s="9" t="s">
        <v>17</v>
      </c>
      <c r="F9" s="9" t="s">
        <v>17</v>
      </c>
      <c r="G9" s="9" t="s">
        <v>17</v>
      </c>
      <c r="H9" s="61"/>
      <c r="I9" s="14" t="s">
        <v>32</v>
      </c>
      <c r="J9" s="40">
        <v>55</v>
      </c>
    </row>
    <row r="10" spans="1:17">
      <c r="A10" s="40">
        <v>9</v>
      </c>
      <c r="B10" s="9" t="s">
        <v>33</v>
      </c>
      <c r="C10" s="53">
        <v>2014</v>
      </c>
      <c r="D10" s="9" t="s">
        <v>34</v>
      </c>
      <c r="E10" s="9" t="s">
        <v>17</v>
      </c>
      <c r="F10" s="9" t="s">
        <v>17</v>
      </c>
      <c r="G10" s="9" t="s">
        <v>17</v>
      </c>
      <c r="H10" s="61"/>
      <c r="J10" s="36">
        <f>SUM(J3:J9)</f>
        <v>78</v>
      </c>
    </row>
    <row r="11" spans="1:17">
      <c r="A11" s="40">
        <v>10</v>
      </c>
      <c r="B11" s="9" t="s">
        <v>13</v>
      </c>
      <c r="C11" s="53">
        <v>2014</v>
      </c>
      <c r="D11" s="9" t="s">
        <v>35</v>
      </c>
      <c r="E11" s="9" t="s">
        <v>17</v>
      </c>
      <c r="F11" s="9" t="s">
        <v>17</v>
      </c>
      <c r="G11" s="9" t="s">
        <v>17</v>
      </c>
      <c r="H11" s="61"/>
      <c r="J11" s="36"/>
    </row>
    <row r="12" spans="1:17">
      <c r="A12" s="40">
        <v>11</v>
      </c>
      <c r="B12" s="9" t="s">
        <v>36</v>
      </c>
      <c r="C12" s="53">
        <v>2018</v>
      </c>
      <c r="D12" s="9" t="s">
        <v>37</v>
      </c>
      <c r="E12" s="9" t="s">
        <v>17</v>
      </c>
      <c r="F12" s="9" t="s">
        <v>17</v>
      </c>
      <c r="G12" s="9" t="s">
        <v>17</v>
      </c>
      <c r="H12" s="61"/>
      <c r="J12" s="36"/>
    </row>
    <row r="13" spans="1:17">
      <c r="A13" s="40">
        <v>12</v>
      </c>
      <c r="B13" s="9" t="s">
        <v>38</v>
      </c>
      <c r="C13" s="53">
        <v>2021</v>
      </c>
      <c r="D13" s="9" t="s">
        <v>39</v>
      </c>
      <c r="E13" s="9" t="s">
        <v>17</v>
      </c>
      <c r="F13" s="9" t="s">
        <v>17</v>
      </c>
      <c r="G13" s="9" t="s">
        <v>17</v>
      </c>
      <c r="H13" s="61"/>
      <c r="J13" s="36"/>
    </row>
    <row r="14" spans="1:17">
      <c r="A14" s="40">
        <v>14</v>
      </c>
      <c r="B14" s="9" t="s">
        <v>40</v>
      </c>
      <c r="C14" s="53">
        <v>2007</v>
      </c>
      <c r="D14" s="9" t="s">
        <v>41</v>
      </c>
      <c r="E14" s="9" t="s">
        <v>20</v>
      </c>
      <c r="G14" s="9" t="s">
        <v>20</v>
      </c>
      <c r="H14" s="61"/>
      <c r="J14" s="36"/>
    </row>
    <row r="15" spans="1:17">
      <c r="A15" s="40">
        <v>15</v>
      </c>
      <c r="B15" s="9" t="s">
        <v>42</v>
      </c>
      <c r="C15" s="53">
        <v>2011</v>
      </c>
      <c r="D15" s="9" t="s">
        <v>43</v>
      </c>
      <c r="E15" s="9" t="s">
        <v>20</v>
      </c>
      <c r="F15" s="9" t="s">
        <v>20</v>
      </c>
      <c r="G15" s="9" t="s">
        <v>20</v>
      </c>
      <c r="H15" s="61"/>
      <c r="J15" s="36"/>
    </row>
    <row r="16" spans="1:17">
      <c r="A16" s="40">
        <v>16</v>
      </c>
      <c r="B16" s="9" t="s">
        <v>44</v>
      </c>
      <c r="C16" s="53">
        <v>2011</v>
      </c>
      <c r="D16" s="9" t="s">
        <v>45</v>
      </c>
      <c r="E16" s="9" t="s">
        <v>20</v>
      </c>
      <c r="F16" s="9" t="s">
        <v>20</v>
      </c>
      <c r="G16" s="9" t="s">
        <v>20</v>
      </c>
      <c r="H16" s="61"/>
      <c r="J16" s="36"/>
    </row>
    <row r="17" spans="1:10">
      <c r="A17" s="40">
        <v>17</v>
      </c>
      <c r="B17" s="9" t="s">
        <v>46</v>
      </c>
      <c r="C17" s="53">
        <v>2019</v>
      </c>
      <c r="D17" s="9" t="s">
        <v>47</v>
      </c>
      <c r="E17" s="9" t="s">
        <v>20</v>
      </c>
      <c r="F17" s="9" t="s">
        <v>20</v>
      </c>
      <c r="G17" s="9" t="s">
        <v>20</v>
      </c>
      <c r="H17" s="61"/>
      <c r="J17" s="36"/>
    </row>
    <row r="18" spans="1:10">
      <c r="A18" s="40">
        <v>18</v>
      </c>
      <c r="B18" s="9" t="s">
        <v>33</v>
      </c>
      <c r="C18" s="53">
        <v>2014</v>
      </c>
      <c r="D18" s="9" t="s">
        <v>48</v>
      </c>
      <c r="E18" s="9" t="s">
        <v>23</v>
      </c>
      <c r="F18" s="9" t="s">
        <v>23</v>
      </c>
      <c r="G18" s="9" t="s">
        <v>23</v>
      </c>
      <c r="H18" s="61"/>
      <c r="J18" s="36"/>
    </row>
    <row r="19" spans="1:10">
      <c r="A19" s="40">
        <v>21</v>
      </c>
      <c r="B19" s="9" t="s">
        <v>49</v>
      </c>
      <c r="C19" s="53">
        <v>2016</v>
      </c>
      <c r="D19" s="9" t="s">
        <v>50</v>
      </c>
      <c r="E19" s="9" t="s">
        <v>23</v>
      </c>
      <c r="F19" s="9" t="s">
        <v>23</v>
      </c>
      <c r="G19" s="9" t="s">
        <v>23</v>
      </c>
      <c r="H19" s="61"/>
      <c r="J19" s="36"/>
    </row>
    <row r="20" spans="1:10">
      <c r="A20" s="40">
        <v>19</v>
      </c>
      <c r="B20" s="9" t="s">
        <v>51</v>
      </c>
      <c r="C20" s="53">
        <v>2015</v>
      </c>
      <c r="D20" s="9" t="s">
        <v>52</v>
      </c>
      <c r="E20" s="9" t="s">
        <v>53</v>
      </c>
      <c r="F20" s="9" t="s">
        <v>26</v>
      </c>
      <c r="G20" s="9" t="s">
        <v>26</v>
      </c>
      <c r="H20" s="61"/>
      <c r="J20" s="36"/>
    </row>
    <row r="21" spans="1:10">
      <c r="A21" s="40">
        <v>20</v>
      </c>
      <c r="B21" s="9" t="s">
        <v>54</v>
      </c>
      <c r="C21" s="53">
        <v>2015</v>
      </c>
      <c r="D21" s="9" t="s">
        <v>55</v>
      </c>
      <c r="E21" s="9" t="s">
        <v>53</v>
      </c>
      <c r="F21" s="9" t="s">
        <v>26</v>
      </c>
      <c r="G21" s="9" t="s">
        <v>26</v>
      </c>
      <c r="H21" s="61"/>
      <c r="J21" s="36"/>
    </row>
    <row r="22" spans="1:10">
      <c r="A22" s="40">
        <v>35</v>
      </c>
      <c r="B22" s="9" t="s">
        <v>56</v>
      </c>
      <c r="C22" s="53">
        <v>2014</v>
      </c>
      <c r="D22" s="9" t="s">
        <v>57</v>
      </c>
      <c r="E22" s="9" t="s">
        <v>26</v>
      </c>
      <c r="G22" s="9" t="s">
        <v>26</v>
      </c>
      <c r="H22" s="61"/>
      <c r="J22" s="36"/>
    </row>
    <row r="23" spans="1:10">
      <c r="A23" s="40">
        <v>22</v>
      </c>
      <c r="B23" s="9" t="s">
        <v>58</v>
      </c>
      <c r="C23" s="53">
        <v>2011</v>
      </c>
      <c r="D23" s="9" t="s">
        <v>59</v>
      </c>
      <c r="E23" s="9" t="s">
        <v>29</v>
      </c>
      <c r="F23" s="9" t="s">
        <v>29</v>
      </c>
      <c r="G23" s="9" t="s">
        <v>29</v>
      </c>
      <c r="H23" s="61"/>
      <c r="J23" s="36"/>
    </row>
    <row r="24" spans="1:10">
      <c r="A24" s="40">
        <v>13</v>
      </c>
      <c r="B24" s="9" t="s">
        <v>60</v>
      </c>
      <c r="C24" s="53">
        <v>2021</v>
      </c>
      <c r="D24" s="9" t="s">
        <v>61</v>
      </c>
      <c r="E24" s="9" t="s">
        <v>62</v>
      </c>
      <c r="F24" s="9" t="s">
        <v>32</v>
      </c>
      <c r="G24" s="9" t="s">
        <v>17</v>
      </c>
      <c r="H24" s="61"/>
      <c r="J24" s="36"/>
    </row>
    <row r="25" spans="1:10">
      <c r="A25" s="40">
        <v>23</v>
      </c>
      <c r="B25" s="9" t="s">
        <v>58</v>
      </c>
      <c r="C25" s="53">
        <v>2010</v>
      </c>
      <c r="D25" s="9" t="s">
        <v>63</v>
      </c>
      <c r="E25" s="9" t="s">
        <v>32</v>
      </c>
      <c r="F25" s="9" t="s">
        <v>32</v>
      </c>
      <c r="G25" s="9" t="s">
        <v>32</v>
      </c>
      <c r="H25" s="61"/>
      <c r="J25" s="36"/>
    </row>
    <row r="26" spans="1:10">
      <c r="A26" s="40">
        <v>24</v>
      </c>
      <c r="B26" s="9" t="s">
        <v>64</v>
      </c>
      <c r="C26" s="53">
        <v>2010</v>
      </c>
      <c r="D26" s="9" t="s">
        <v>65</v>
      </c>
      <c r="E26" s="9" t="s">
        <v>32</v>
      </c>
      <c r="F26" s="9" t="s">
        <v>32</v>
      </c>
      <c r="G26" s="9" t="s">
        <v>32</v>
      </c>
      <c r="H26" s="61"/>
      <c r="J26" s="36"/>
    </row>
    <row r="27" spans="1:10">
      <c r="A27" s="40">
        <v>25</v>
      </c>
      <c r="B27" s="9" t="s">
        <v>66</v>
      </c>
      <c r="C27" s="53">
        <v>2015</v>
      </c>
      <c r="D27" s="9" t="s">
        <v>67</v>
      </c>
      <c r="E27" s="9" t="s">
        <v>68</v>
      </c>
      <c r="F27" s="9" t="s">
        <v>32</v>
      </c>
      <c r="G27" s="9" t="s">
        <v>32</v>
      </c>
      <c r="H27" s="61"/>
      <c r="J27" s="36"/>
    </row>
    <row r="28" spans="1:10">
      <c r="A28" s="40">
        <v>26</v>
      </c>
      <c r="B28" s="9" t="s">
        <v>69</v>
      </c>
      <c r="C28" s="53">
        <v>2018</v>
      </c>
      <c r="D28" s="9" t="s">
        <v>70</v>
      </c>
      <c r="E28" s="9" t="s">
        <v>32</v>
      </c>
      <c r="F28" s="9" t="s">
        <v>32</v>
      </c>
      <c r="G28" s="9" t="s">
        <v>32</v>
      </c>
      <c r="H28" s="61"/>
      <c r="J28" s="36"/>
    </row>
    <row r="29" spans="1:10">
      <c r="A29" s="40">
        <v>27</v>
      </c>
      <c r="B29" s="9" t="s">
        <v>71</v>
      </c>
      <c r="C29" s="53">
        <v>2019</v>
      </c>
      <c r="D29" s="9" t="s">
        <v>72</v>
      </c>
      <c r="E29" s="9" t="s">
        <v>32</v>
      </c>
      <c r="F29" s="9" t="s">
        <v>32</v>
      </c>
      <c r="G29" s="9" t="s">
        <v>32</v>
      </c>
      <c r="H29" s="61"/>
      <c r="J29" s="36"/>
    </row>
    <row r="30" spans="1:10">
      <c r="A30" s="40">
        <v>28</v>
      </c>
      <c r="B30" s="9" t="s">
        <v>73</v>
      </c>
      <c r="C30" s="53">
        <v>2019</v>
      </c>
      <c r="D30" s="9" t="s">
        <v>74</v>
      </c>
      <c r="E30" s="9" t="s">
        <v>32</v>
      </c>
      <c r="F30" s="9" t="s">
        <v>32</v>
      </c>
      <c r="G30" s="9" t="s">
        <v>32</v>
      </c>
      <c r="H30" s="61"/>
      <c r="J30" s="36"/>
    </row>
    <row r="31" spans="1:10">
      <c r="A31" s="40">
        <v>29</v>
      </c>
      <c r="B31" s="9" t="s">
        <v>73</v>
      </c>
      <c r="C31" s="53">
        <v>2020</v>
      </c>
      <c r="D31" s="9" t="s">
        <v>75</v>
      </c>
      <c r="E31" s="9" t="s">
        <v>32</v>
      </c>
      <c r="F31" s="9" t="s">
        <v>32</v>
      </c>
      <c r="G31" s="9" t="s">
        <v>32</v>
      </c>
      <c r="H31" s="61"/>
      <c r="J31" s="36"/>
    </row>
    <row r="32" spans="1:10">
      <c r="A32" s="40">
        <v>30</v>
      </c>
      <c r="B32" s="9" t="s">
        <v>76</v>
      </c>
      <c r="C32" s="53">
        <v>2021</v>
      </c>
      <c r="D32" s="9" t="s">
        <v>77</v>
      </c>
      <c r="E32" s="9" t="s">
        <v>32</v>
      </c>
      <c r="F32" s="9" t="s">
        <v>32</v>
      </c>
      <c r="G32" s="9" t="s">
        <v>32</v>
      </c>
      <c r="H32" s="61"/>
      <c r="J32" s="36"/>
    </row>
    <row r="33" spans="1:10">
      <c r="A33" s="40">
        <v>31</v>
      </c>
      <c r="B33" s="9" t="s">
        <v>78</v>
      </c>
      <c r="C33" s="53">
        <v>2021</v>
      </c>
      <c r="D33" s="9" t="s">
        <v>79</v>
      </c>
      <c r="E33" s="9" t="s">
        <v>32</v>
      </c>
      <c r="F33" s="9" t="s">
        <v>32</v>
      </c>
      <c r="G33" s="9" t="s">
        <v>32</v>
      </c>
      <c r="H33" s="61"/>
      <c r="J33" s="36"/>
    </row>
    <row r="34" spans="1:10">
      <c r="A34" s="40">
        <v>32</v>
      </c>
      <c r="B34" s="9" t="s">
        <v>78</v>
      </c>
      <c r="C34" s="53">
        <v>2021</v>
      </c>
      <c r="D34" s="9" t="s">
        <v>80</v>
      </c>
      <c r="E34" s="9" t="s">
        <v>32</v>
      </c>
      <c r="F34" s="9" t="s">
        <v>32</v>
      </c>
      <c r="G34" s="9" t="s">
        <v>32</v>
      </c>
      <c r="H34" s="61"/>
      <c r="J34" s="36"/>
    </row>
    <row r="35" spans="1:10">
      <c r="A35" s="40">
        <v>33</v>
      </c>
      <c r="B35" s="9" t="s">
        <v>81</v>
      </c>
      <c r="C35" s="53">
        <v>2021</v>
      </c>
      <c r="D35" s="9" t="s">
        <v>82</v>
      </c>
      <c r="E35" s="9" t="s">
        <v>32</v>
      </c>
      <c r="F35" s="9" t="s">
        <v>32</v>
      </c>
      <c r="G35" s="9" t="s">
        <v>32</v>
      </c>
      <c r="H35" s="61"/>
      <c r="J35" s="36"/>
    </row>
    <row r="36" spans="1:10">
      <c r="A36" s="40">
        <v>34</v>
      </c>
      <c r="B36" s="9" t="s">
        <v>83</v>
      </c>
      <c r="C36" s="53">
        <v>2021</v>
      </c>
      <c r="D36" s="9" t="s">
        <v>84</v>
      </c>
      <c r="E36" s="9" t="s">
        <v>32</v>
      </c>
      <c r="F36" s="9" t="s">
        <v>32</v>
      </c>
      <c r="G36" s="9" t="s">
        <v>32</v>
      </c>
      <c r="H36" s="61"/>
      <c r="J36" s="36"/>
    </row>
    <row r="37" spans="1:10">
      <c r="H37" s="61"/>
      <c r="J37" s="36"/>
    </row>
    <row r="38" spans="1:10">
      <c r="H38" s="61"/>
      <c r="J38" s="36"/>
    </row>
    <row r="39" spans="1:10">
      <c r="H39" s="61"/>
      <c r="J39" s="36"/>
    </row>
    <row r="40" spans="1:10">
      <c r="H40" s="61"/>
      <c r="J40" s="36"/>
    </row>
    <row r="41" spans="1:10">
      <c r="H41" s="61"/>
      <c r="J41" s="36"/>
    </row>
    <row r="42" spans="1:10" ht="12.75" customHeight="1">
      <c r="H42" s="61"/>
    </row>
  </sheetData>
  <autoFilter ref="A1:G36" xr:uid="{AD6C072D-8116-4CE4-86E5-07702E7F4E65}"/>
  <dataValidations count="1">
    <dataValidation type="list" allowBlank="1" showInputMessage="1" showErrorMessage="1" sqref="E15:E19 E27:E36 E2:E13 E22:E25 F2:G36" xr:uid="{05C13369-5B44-4758-BB7C-6FD012C9BD7A}">
      <formula1>$I$3:$I$9</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12F5-8E0D-0045-A587-D04E16F26C8F}">
  <sheetPr codeName="Sheet17"/>
  <dimension ref="A1:BF212"/>
  <sheetViews>
    <sheetView tabSelected="1" topLeftCell="G1" zoomScale="150" zoomScaleNormal="150" workbookViewId="0">
      <pane ySplit="1" topLeftCell="A2" activePane="bottomLeft" state="frozen"/>
      <selection pane="bottomLeft" activeCell="M1" sqref="M1:M1048576"/>
    </sheetView>
  </sheetViews>
  <sheetFormatPr baseColWidth="10" defaultColWidth="9.1640625" defaultRowHeight="14"/>
  <cols>
    <col min="1" max="1" width="6.33203125" style="197" bestFit="1" customWidth="1"/>
    <col min="2" max="2" width="5" style="197" bestFit="1" customWidth="1"/>
    <col min="3" max="3" width="7" style="197" bestFit="1" customWidth="1"/>
    <col min="4" max="4" width="8" style="159" customWidth="1"/>
    <col min="5" max="5" width="6.6640625" style="163" bestFit="1" customWidth="1"/>
    <col min="6" max="6" width="43.6640625" style="162" bestFit="1" customWidth="1"/>
    <col min="7" max="7" width="12" style="162" bestFit="1" customWidth="1"/>
    <col min="8" max="8" width="11" style="197" bestFit="1" customWidth="1"/>
    <col min="9" max="9" width="9.6640625" style="163" customWidth="1"/>
    <col min="10" max="10" width="9.1640625" style="162" bestFit="1" customWidth="1"/>
    <col min="11" max="11" width="8.83203125" style="162" bestFit="1" customWidth="1"/>
    <col min="12" max="12" width="14.6640625" style="207" bestFit="1" customWidth="1"/>
    <col min="13" max="13" width="10.5" style="162" bestFit="1" customWidth="1"/>
    <col min="14" max="14" width="8" style="163" bestFit="1" customWidth="1"/>
    <col min="15" max="15" width="12.1640625" style="159" bestFit="1" customWidth="1"/>
    <col min="16" max="16" width="12" style="159" bestFit="1" customWidth="1"/>
    <col min="17" max="17" width="12.5" style="159" bestFit="1" customWidth="1"/>
    <col min="18" max="18" width="7.5" style="163" bestFit="1" customWidth="1"/>
    <col min="19" max="19" width="12.5" style="163" customWidth="1"/>
    <col min="20" max="20" width="14.83203125" style="197" bestFit="1" customWidth="1"/>
    <col min="21" max="21" width="11.33203125" style="163" bestFit="1" customWidth="1"/>
    <col min="22" max="22" width="13.33203125" style="197" customWidth="1"/>
    <col min="23" max="23" width="14" style="163" bestFit="1" customWidth="1"/>
    <col min="24" max="24" width="9.6640625" style="163" bestFit="1" customWidth="1"/>
    <col min="25" max="25" width="11.1640625" style="163" bestFit="1" customWidth="1"/>
    <col min="26" max="26" width="8.83203125" style="163" bestFit="1" customWidth="1"/>
    <col min="27" max="27" width="10.1640625" style="163" bestFit="1" customWidth="1"/>
    <col min="28" max="28" width="9.83203125" style="163" bestFit="1" customWidth="1"/>
    <col min="29" max="29" width="8.83203125" style="193" customWidth="1"/>
    <col min="30" max="30" width="9.5" style="201" bestFit="1" customWidth="1"/>
    <col min="31" max="31" width="13.6640625" style="201" bestFit="1" customWidth="1"/>
    <col min="32" max="32" width="10.33203125" style="201" bestFit="1" customWidth="1"/>
    <col min="33" max="34" width="11.83203125" style="195" bestFit="1" customWidth="1"/>
    <col min="35" max="35" width="11.1640625" style="197" customWidth="1"/>
    <col min="36" max="36" width="12.33203125" style="197" bestFit="1" customWidth="1"/>
    <col min="37" max="37" width="11.83203125" style="208" bestFit="1" customWidth="1"/>
    <col min="38" max="38" width="8" style="197" bestFit="1" customWidth="1"/>
    <col min="39" max="39" width="11.83203125" style="209" bestFit="1" customWidth="1"/>
    <col min="40" max="40" width="8" style="197" bestFit="1" customWidth="1"/>
    <col min="41" max="41" width="11.83203125" style="195" bestFit="1" customWidth="1"/>
    <col min="42" max="42" width="8" style="197" bestFit="1" customWidth="1"/>
    <col min="43" max="43" width="11.83203125" style="195" bestFit="1" customWidth="1"/>
    <col min="44" max="44" width="8" style="197" bestFit="1" customWidth="1"/>
    <col min="45" max="45" width="12.83203125" style="195" bestFit="1" customWidth="1"/>
    <col min="46" max="46" width="8" style="197" bestFit="1" customWidth="1"/>
    <col min="47" max="47" width="12.5" style="195" bestFit="1" customWidth="1"/>
    <col min="48" max="48" width="12" style="162" bestFit="1" customWidth="1"/>
    <col min="49" max="49" width="11.83203125" style="162" bestFit="1" customWidth="1"/>
    <col min="50" max="50" width="12.5" style="210" bestFit="1" customWidth="1"/>
    <col min="51" max="51" width="12.33203125" style="210" bestFit="1" customWidth="1"/>
    <col min="52" max="52" width="7.83203125" style="197" bestFit="1" customWidth="1"/>
    <col min="53" max="53" width="7.6640625" style="197" bestFit="1" customWidth="1"/>
    <col min="54" max="54" width="7.5" style="197" bestFit="1" customWidth="1"/>
    <col min="55" max="55" width="7.33203125" style="197" bestFit="1" customWidth="1"/>
    <col min="56" max="56" width="9.33203125" style="197" customWidth="1"/>
    <col min="57" max="57" width="10.33203125" style="163" bestFit="1" customWidth="1"/>
    <col min="58" max="58" width="9" style="162" bestFit="1" customWidth="1"/>
    <col min="59" max="16384" width="9.1640625" style="162"/>
  </cols>
  <sheetData>
    <row r="1" spans="1:58" s="156" customFormat="1" ht="13">
      <c r="A1" s="194" t="s">
        <v>85</v>
      </c>
      <c r="B1" s="194" t="s">
        <v>86</v>
      </c>
      <c r="C1" s="194" t="s">
        <v>87</v>
      </c>
      <c r="D1" s="155" t="s">
        <v>88</v>
      </c>
      <c r="E1" s="157" t="s">
        <v>89</v>
      </c>
      <c r="F1" s="156" t="s">
        <v>90</v>
      </c>
      <c r="G1" s="156" t="s">
        <v>91</v>
      </c>
      <c r="H1" s="194" t="s">
        <v>92</v>
      </c>
      <c r="I1" s="157" t="s">
        <v>93</v>
      </c>
      <c r="J1" s="156" t="s">
        <v>94</v>
      </c>
      <c r="K1" s="156" t="s">
        <v>95</v>
      </c>
      <c r="L1" s="206" t="s">
        <v>96</v>
      </c>
      <c r="M1" s="156" t="s">
        <v>97</v>
      </c>
      <c r="N1" s="157" t="s">
        <v>98</v>
      </c>
      <c r="O1" s="156" t="s">
        <v>99</v>
      </c>
      <c r="P1" s="156" t="s">
        <v>100</v>
      </c>
      <c r="Q1" s="156" t="s">
        <v>101</v>
      </c>
      <c r="R1" s="157" t="s">
        <v>102</v>
      </c>
      <c r="S1" s="157" t="s">
        <v>103</v>
      </c>
      <c r="T1" s="194" t="s">
        <v>104</v>
      </c>
      <c r="U1" s="157" t="s">
        <v>105</v>
      </c>
      <c r="V1" s="194" t="s">
        <v>106</v>
      </c>
      <c r="W1" s="157" t="s">
        <v>107</v>
      </c>
      <c r="X1" s="157" t="s">
        <v>108</v>
      </c>
      <c r="Y1" s="157" t="s">
        <v>109</v>
      </c>
      <c r="Z1" s="157" t="s">
        <v>110</v>
      </c>
      <c r="AA1" s="157" t="s">
        <v>111</v>
      </c>
      <c r="AB1" s="157" t="s">
        <v>112</v>
      </c>
      <c r="AC1" s="192" t="s">
        <v>113</v>
      </c>
      <c r="AD1" s="199" t="s">
        <v>114</v>
      </c>
      <c r="AE1" s="199" t="s">
        <v>115</v>
      </c>
      <c r="AF1" s="199" t="s">
        <v>116</v>
      </c>
      <c r="AG1" s="202" t="s">
        <v>117</v>
      </c>
      <c r="AH1" s="202" t="s">
        <v>118</v>
      </c>
      <c r="AI1" s="203" t="s">
        <v>119</v>
      </c>
      <c r="AJ1" s="203" t="s">
        <v>120</v>
      </c>
      <c r="AK1" s="202" t="s">
        <v>121</v>
      </c>
      <c r="AL1" s="203" t="s">
        <v>122</v>
      </c>
      <c r="AM1" s="206" t="s">
        <v>123</v>
      </c>
      <c r="AN1" s="203" t="s">
        <v>124</v>
      </c>
      <c r="AO1" s="202" t="s">
        <v>125</v>
      </c>
      <c r="AP1" s="203" t="s">
        <v>126</v>
      </c>
      <c r="AQ1" s="202" t="s">
        <v>127</v>
      </c>
      <c r="AR1" s="203" t="s">
        <v>128</v>
      </c>
      <c r="AS1" s="202" t="s">
        <v>129</v>
      </c>
      <c r="AT1" s="203" t="s">
        <v>130</v>
      </c>
      <c r="AU1" s="202" t="s">
        <v>131</v>
      </c>
      <c r="AV1" s="156" t="s">
        <v>132</v>
      </c>
      <c r="AW1" s="156" t="s">
        <v>133</v>
      </c>
      <c r="AX1" s="194" t="s">
        <v>134</v>
      </c>
      <c r="AY1" s="194" t="s">
        <v>135</v>
      </c>
      <c r="AZ1" s="194" t="s">
        <v>136</v>
      </c>
      <c r="BA1" s="194" t="s">
        <v>137</v>
      </c>
      <c r="BB1" s="194" t="s">
        <v>138</v>
      </c>
      <c r="BC1" s="194" t="s">
        <v>139</v>
      </c>
      <c r="BD1" s="194" t="s">
        <v>140</v>
      </c>
      <c r="BE1" s="157" t="s">
        <v>141</v>
      </c>
      <c r="BF1" s="156" t="s">
        <v>142</v>
      </c>
    </row>
    <row r="2" spans="1:58">
      <c r="A2" s="195">
        <v>1</v>
      </c>
      <c r="B2" s="195">
        <v>1</v>
      </c>
      <c r="C2" s="196" t="str">
        <f t="shared" ref="C2:C65" si="0">_xlfn.CONCAT(TEXT(A2,"00"),TEXT(B2,"00"))</f>
        <v>0101</v>
      </c>
      <c r="D2" s="159" t="s">
        <v>143</v>
      </c>
      <c r="E2" s="190">
        <v>2014</v>
      </c>
      <c r="F2" s="162" t="s">
        <v>144</v>
      </c>
      <c r="G2" s="162" t="s">
        <v>145</v>
      </c>
      <c r="H2" s="197" t="str">
        <f>IF(VLOOKUP(G2,income,R2-1985,FALSE)="UM","Upper-middle",IF(VLOOKUP(G2,income,R2-1985,FALSE)="LM","Lower-middle",IF(VLOOKUP(G2,income,R2-1985,FALSE)="L","Low")))</f>
        <v>Upper-middle</v>
      </c>
      <c r="I2" s="163">
        <v>1</v>
      </c>
      <c r="J2" s="162" t="s">
        <v>146</v>
      </c>
      <c r="K2" s="162" t="s">
        <v>147</v>
      </c>
      <c r="L2" s="207" t="str">
        <f>IF(OR(_xlfn.CONCAT(J2," vs ",K2)="PCV7 vs NoVax",_xlfn.CONCAT(J2," vs ",K2)="PCV10 vs NoVax",_xlfn.CONCAT(J2," vs ",K2)="PCV13 vs NoVax",_xlfn.CONCAT(J2," vs ",K2)="PCV13 vs PCV10"),_xlfn.CONCAT(J2," vs ",K2),"Others")</f>
        <v>PCV7 vs NoVax</v>
      </c>
      <c r="M2" s="162" t="s">
        <v>1551</v>
      </c>
      <c r="N2" s="163" t="s">
        <v>148</v>
      </c>
      <c r="O2" s="164" t="s">
        <v>149</v>
      </c>
      <c r="P2" s="162" t="s">
        <v>150</v>
      </c>
      <c r="Q2" s="162" t="s">
        <v>151</v>
      </c>
      <c r="R2" s="190">
        <v>2011</v>
      </c>
      <c r="S2" s="191">
        <v>127</v>
      </c>
      <c r="T2" s="198">
        <f>IF(ISNUMBER(S2),S2/VLOOKUP($Q2,xRates!$A$1:$BL$267,studies!$R2-xRates!$B$1+2,FALSE),"")</f>
        <v>127</v>
      </c>
      <c r="V2" s="198" t="str">
        <f>IF(ISNUMBER(U2),U2/VLOOKUP($Q2,xRates!$A$1:$BL$267,studies!$R2-xRates!$B$1+2,FALSE),"")</f>
        <v/>
      </c>
      <c r="W2" s="163">
        <v>0</v>
      </c>
      <c r="X2" s="163">
        <v>0</v>
      </c>
      <c r="Y2" s="163">
        <v>1</v>
      </c>
      <c r="Z2" s="163">
        <v>1</v>
      </c>
      <c r="AA2" s="163">
        <v>1</v>
      </c>
      <c r="AB2" s="163" t="s">
        <v>152</v>
      </c>
      <c r="AC2" s="190">
        <v>530354</v>
      </c>
      <c r="AD2" s="213">
        <f>IF(ISNUMBER(AC2),AC2/VLOOKUP($Q2,xRates!$A$1:$BL$267,studies!$R2-xRates!$B$1+2,FALSE),"")</f>
        <v>530354</v>
      </c>
      <c r="AE2" s="200">
        <f>IF(AD2&lt;0, 1, 0)</f>
        <v>0</v>
      </c>
      <c r="AF2" s="200">
        <f>VLOOKUP(G2,gdppc,R2-1958,FALSE)</f>
        <v>5614.4</v>
      </c>
      <c r="AG2" s="195" t="str">
        <f>IF(AD2="NA", ".", IF(AD2&lt;0,"Cost-saving",IF(AD2&lt;=AF2,"Cost-effective",IF(AD2&gt;AF2&amp;AD2&lt;&gt;"NA","Not cost-effective","Missing"))))</f>
        <v>Not cost-effective</v>
      </c>
      <c r="AH2" s="195" t="str">
        <f>IF(AD2="NA", ".", IF(AD2&lt;0,"Cost-saving",IF(AD2&lt;=AF2*3,"Cost-effective",IF(AD2&gt;AF2*3&amp;AD2&lt;&gt;"NA","Not cost-effective","Missing"))))</f>
        <v>Not cost-effective</v>
      </c>
      <c r="AI2" s="204">
        <f>IFERROR(AD2/AF2,"")</f>
        <v>94.463166144200628</v>
      </c>
      <c r="AJ2" s="205">
        <f>IFERROR(VLOOKUP(G2,ochalek,11,FALSE),"")</f>
        <v>0.71</v>
      </c>
      <c r="AK2" s="195" t="str">
        <f>IF(AI2&lt;0,"Cost-saving", IF(AJ2="", "NA", IF(AI2&lt;AJ2, "Cost-effective", "Not cost-effective")))</f>
        <v>Not cost-effective</v>
      </c>
      <c r="AL2" s="205">
        <f>IFERROR(VLOOKUP(G2,ochalek,10,FALSE),"")</f>
        <v>0.45</v>
      </c>
      <c r="AM2" s="207" t="str">
        <f>IF(AI2&lt;0,"Cost-saving", IF(AL2="", "NA", IF(AI2&lt;AL2, "Cost-effective", "Not cost-effective")))</f>
        <v>Not cost-effective</v>
      </c>
      <c r="AN2" s="205">
        <f>IFERROR(VLOOKUP(G2,woods,6,FALSE),"")</f>
        <v>0.64811121873397526</v>
      </c>
      <c r="AO2" s="195" t="str">
        <f>IF(AI2&lt;0,"Cost-saving", IF(AN2="", "NA", IF(AI2&lt;AN2, "Cost-effective", "Not cost-effective")))</f>
        <v>Not cost-effective</v>
      </c>
      <c r="AP2" s="205">
        <f>IFERROR(VLOOKUP(G2,woods,5,FALSE),"")</f>
        <v>0.16395077203578146</v>
      </c>
      <c r="AQ2" s="195" t="str">
        <f>IF(AI2&lt;0,"Cost-saving", IF(AP2="", "NA", IF(AI2&lt;AP2, "Cost-effective", "Not cost-effective")))</f>
        <v>Not cost-effective</v>
      </c>
      <c r="AR2" s="205">
        <f>IFERROR(VLOOKUP(G2,riviere,8,FALSE),"")</f>
        <v>0.90271000305602389</v>
      </c>
      <c r="AS2" s="195" t="str">
        <f>IF(AI2&lt;0,"Cost-saving", IF(AR2="", "NA", IF(AI2&lt;AR2, "Cost-effective", "Not cost-effective")))</f>
        <v>Not cost-effective</v>
      </c>
      <c r="AT2" s="205">
        <f>IFERROR(VLOOKUP(G2,riviere,7,FALSE),"")</f>
        <v>0.374116464081862</v>
      </c>
      <c r="AU2" s="195" t="str">
        <f>IF(AI2&lt;0,"Cost-saving", IF(AT2="", "NA", IF(AI2&lt;AT2, "Cost-effective", "Not cost-effective")))</f>
        <v>Not cost-effective</v>
      </c>
      <c r="AV2" s="162" t="s">
        <v>153</v>
      </c>
      <c r="AW2" s="162" t="s">
        <v>154</v>
      </c>
      <c r="AX2" s="210" t="str">
        <f>IF(AW2="Cost-Effective",IF(AK2="Not Cost-Effective",1,0),"")</f>
        <v/>
      </c>
      <c r="AY2" s="210" t="str">
        <f>IF(AW2="Cost-Effective",IF(AM2="Not Cost-Effective",1,0),"")</f>
        <v/>
      </c>
      <c r="AZ2" s="197" t="str">
        <f>IF(AW2="Cost-Effective",IF(AO2="Not Cost-Effective",1,0),"")</f>
        <v/>
      </c>
      <c r="BA2" s="197" t="str">
        <f>IF(AW2="Cost-Effective",IF(AQ2="Not Cost-Effective",1,0),"")</f>
        <v/>
      </c>
      <c r="BB2" s="197" t="str">
        <f>IF(AW2="Cost-Effective",IF(AS2="Not Cost-Effective",1,0),"")</f>
        <v/>
      </c>
      <c r="BC2" s="197" t="str">
        <f>IF(AW2="Cost-Effective",IF(AU2="Not Cost-Effective",1,0),"")</f>
        <v/>
      </c>
      <c r="BD2" s="197">
        <f>SUM(AX2:BC2)</f>
        <v>0</v>
      </c>
      <c r="BE2" s="163" t="s">
        <v>155</v>
      </c>
      <c r="BF2" s="162" t="s">
        <v>156</v>
      </c>
    </row>
    <row r="3" spans="1:58">
      <c r="A3" s="195">
        <f t="shared" ref="A3:A34" si="1">IF(F3=F2,A2,A2+1)</f>
        <v>1</v>
      </c>
      <c r="B3" s="195">
        <f t="shared" ref="B3:B34" si="2">IF(F3=F2,B2+1,1)</f>
        <v>2</v>
      </c>
      <c r="C3" s="196" t="str">
        <f t="shared" si="0"/>
        <v>0102</v>
      </c>
      <c r="D3" s="159" t="s">
        <v>143</v>
      </c>
      <c r="E3" s="190">
        <v>2014</v>
      </c>
      <c r="F3" s="162" t="s">
        <v>144</v>
      </c>
      <c r="G3" s="162" t="s">
        <v>145</v>
      </c>
      <c r="H3" s="197" t="str">
        <f>IF(VLOOKUP(G3,income,R3-1985,FALSE)="UM","Upper-middle",IF(VLOOKUP(G3,income,R3-1985,FALSE)="LM","Lower-middle",IF(VLOOKUP(G3,income,R3-1985,FALSE)="L","Low")))</f>
        <v>Upper-middle</v>
      </c>
      <c r="I3" s="163">
        <v>1</v>
      </c>
      <c r="J3" s="162" t="s">
        <v>146</v>
      </c>
      <c r="K3" s="162" t="s">
        <v>147</v>
      </c>
      <c r="L3" s="207" t="str">
        <f t="shared" ref="L3:L66" si="3">IF(OR(_xlfn.CONCAT(J3," vs ",K3)="PCV7 vs NoVax",_xlfn.CONCAT(J3," vs ",K3)="PCV10 vs NoVax",_xlfn.CONCAT(J3," vs ",K3)="PCV13 vs NoVax",_xlfn.CONCAT(J3," vs ",K3)="PCV13 vs PCV10"),_xlfn.CONCAT(J3," vs ",K3),"Others")</f>
        <v>PCV7 vs NoVax</v>
      </c>
      <c r="M3" s="162" t="s">
        <v>1551</v>
      </c>
      <c r="N3" s="163" t="s">
        <v>155</v>
      </c>
      <c r="O3" s="164" t="s">
        <v>149</v>
      </c>
      <c r="P3" s="162" t="s">
        <v>150</v>
      </c>
      <c r="Q3" s="162" t="s">
        <v>151</v>
      </c>
      <c r="R3" s="190">
        <v>2011</v>
      </c>
      <c r="S3" s="191">
        <v>127</v>
      </c>
      <c r="T3" s="198">
        <f>IF(ISNUMBER(S3),S3/VLOOKUP($Q3,xRates!$A$1:$BL$267,studies!$R3-xRates!$B$1+2,FALSE),"")</f>
        <v>127</v>
      </c>
      <c r="V3" s="198" t="str">
        <f>IF(ISNUMBER(U3),U3/VLOOKUP($Q3,xRates!$A$1:$BL$267,studies!$R3-xRates!$B$1+2,FALSE),"")</f>
        <v/>
      </c>
      <c r="W3" s="163">
        <v>1</v>
      </c>
      <c r="X3" s="163">
        <v>0</v>
      </c>
      <c r="Y3" s="163">
        <v>1</v>
      </c>
      <c r="Z3" s="163">
        <v>1</v>
      </c>
      <c r="AA3" s="163">
        <v>1</v>
      </c>
      <c r="AB3" s="163" t="s">
        <v>152</v>
      </c>
      <c r="AC3" s="190">
        <v>95319</v>
      </c>
      <c r="AD3" s="213">
        <f>IF(ISNUMBER(AC3),AC3/VLOOKUP($Q3,xRates!$A$1:$BL$267,studies!$R3-xRates!$B$1+2,FALSE),"")</f>
        <v>95319</v>
      </c>
      <c r="AE3" s="200">
        <f t="shared" ref="AE3:AE66" si="4">IF(AD3&lt;0, 1, 0)</f>
        <v>0</v>
      </c>
      <c r="AF3" s="200">
        <f>VLOOKUP(G3,gdppc,R3-1958,FALSE)</f>
        <v>5614.4</v>
      </c>
      <c r="AG3" s="195" t="str">
        <f t="shared" ref="AG3:AG66" si="5">IF(AD3="NA", ".", IF(AD3&lt;0,"Cost-saving",IF(AD3&lt;=AF3,"Cost-effective",IF(AD3&gt;AF3&amp;AD3&lt;&gt;"NA","Not cost-effective","Missing"))))</f>
        <v>Not cost-effective</v>
      </c>
      <c r="AH3" s="195" t="str">
        <f t="shared" ref="AH3:AH66" si="6">IF(AD3="NA", ".", IF(AD3&lt;0,"Cost-saving",IF(AD3&lt;=AF3*3,"Cost-effective",IF(AD3&gt;AF3*3&amp;AD3&lt;&gt;"NA","Not cost-effective","Missing"))))</f>
        <v>Not cost-effective</v>
      </c>
      <c r="AI3" s="204">
        <f t="shared" ref="AI3:AI66" si="7">IFERROR(AD3/AF3,"")</f>
        <v>16.977593331433457</v>
      </c>
      <c r="AJ3" s="205">
        <f>IFERROR(VLOOKUP(G3,ochalek,11,FALSE),"")</f>
        <v>0.71</v>
      </c>
      <c r="AK3" s="195" t="str">
        <f t="shared" ref="AK3:AK66" si="8">IF(AI3&lt;0,"Cost-saving", IF(AJ3="", "NA", IF(AI3&lt;AJ3, "Cost-effective", "Not cost-effective")))</f>
        <v>Not cost-effective</v>
      </c>
      <c r="AL3" s="205">
        <f>IFERROR(VLOOKUP(G3,ochalek,10,FALSE),"")</f>
        <v>0.45</v>
      </c>
      <c r="AM3" s="207" t="str">
        <f t="shared" ref="AM3:AM66" si="9">IF(AI3&lt;0,"Cost-saving", IF(AL3="", "NA", IF(AI3&lt;AL3, "Cost-effective", "Not cost-effective")))</f>
        <v>Not cost-effective</v>
      </c>
      <c r="AN3" s="205">
        <f>IFERROR(VLOOKUP(G3,woods,6,FALSE),"")</f>
        <v>0.64811121873397526</v>
      </c>
      <c r="AO3" s="195" t="str">
        <f t="shared" ref="AO3:AO66" si="10">IF(AI3&lt;0,"Cost-saving", IF(AN3="", "NA", IF(AI3&lt;AN3, "Cost-effective", "Not cost-effective")))</f>
        <v>Not cost-effective</v>
      </c>
      <c r="AP3" s="205">
        <f>IFERROR(VLOOKUP(G3,woods,5,FALSE),"")</f>
        <v>0.16395077203578146</v>
      </c>
      <c r="AQ3" s="195" t="str">
        <f t="shared" ref="AQ3:AQ66" si="11">IF(AI3&lt;0,"Cost-saving", IF(AP3="", "NA", IF(AI3&lt;AP3, "Cost-effective", "Not cost-effective")))</f>
        <v>Not cost-effective</v>
      </c>
      <c r="AR3" s="205">
        <f>IFERROR(VLOOKUP(G3,riviere,8,FALSE),"")</f>
        <v>0.90271000305602389</v>
      </c>
      <c r="AS3" s="195" t="str">
        <f t="shared" ref="AS3:AS66" si="12">IF(AI3&lt;0,"Cost-saving", IF(AR3="", "NA", IF(AI3&lt;AR3, "Cost-effective", "Not cost-effective")))</f>
        <v>Not cost-effective</v>
      </c>
      <c r="AT3" s="205">
        <f>IFERROR(VLOOKUP(G3,riviere,7,FALSE),"")</f>
        <v>0.374116464081862</v>
      </c>
      <c r="AU3" s="195" t="str">
        <f t="shared" ref="AU3:AU66" si="13">IF(AI3&lt;0,"Cost-saving", IF(AT3="", "NA", IF(AI3&lt;AT3, "Cost-effective", "Not cost-effective")))</f>
        <v>Not cost-effective</v>
      </c>
      <c r="AV3" s="162" t="s">
        <v>153</v>
      </c>
      <c r="AW3" s="162" t="s">
        <v>154</v>
      </c>
      <c r="AX3" s="210" t="str">
        <f t="shared" ref="AX3:AX66" si="14">IF(AW3="Cost-Effective",IF(AK3="Not Cost-Effective",1,0),"")</f>
        <v/>
      </c>
      <c r="AY3" s="210" t="str">
        <f t="shared" ref="AY3:AY66" si="15">IF(AW3="Cost-Effective",IF(AM3="Not Cost-Effective",1,0),"")</f>
        <v/>
      </c>
      <c r="AZ3" s="197" t="str">
        <f t="shared" ref="AZ3:AZ66" si="16">IF(AW3="Cost-Effective",IF(AO3="Not Cost-Effective",1,0),"")</f>
        <v/>
      </c>
      <c r="BA3" s="197" t="str">
        <f t="shared" ref="BA3:BA66" si="17">IF(AW3="Cost-Effective",IF(AQ3="Not Cost-Effective",1,0),"")</f>
        <v/>
      </c>
      <c r="BB3" s="197" t="str">
        <f t="shared" ref="BB3:BB66" si="18">IF(AW3="Cost-Effective",IF(AS3="Not Cost-Effective",1,0),"")</f>
        <v/>
      </c>
      <c r="BC3" s="197" t="str">
        <f t="shared" ref="BC3:BC66" si="19">IF(AW3="Cost-Effective",IF(AU3="Not Cost-Effective",1,0),"")</f>
        <v/>
      </c>
      <c r="BD3" s="197">
        <f t="shared" ref="BD3:BD66" si="20">SUM(AX3:BC3)</f>
        <v>0</v>
      </c>
      <c r="BE3" s="163" t="s">
        <v>155</v>
      </c>
      <c r="BF3" s="162" t="s">
        <v>156</v>
      </c>
    </row>
    <row r="4" spans="1:58">
      <c r="A4" s="195">
        <f t="shared" si="1"/>
        <v>2</v>
      </c>
      <c r="B4" s="195">
        <f t="shared" si="2"/>
        <v>1</v>
      </c>
      <c r="C4" s="196" t="str">
        <f t="shared" si="0"/>
        <v>0201</v>
      </c>
      <c r="D4" s="159" t="s">
        <v>157</v>
      </c>
      <c r="E4" s="190">
        <v>2015</v>
      </c>
      <c r="F4" s="162" t="s">
        <v>158</v>
      </c>
      <c r="G4" s="162" t="s">
        <v>145</v>
      </c>
      <c r="H4" s="197" t="str">
        <f>IF(VLOOKUP(G4,income,R4-1985,FALSE)="UM","Upper-middle",IF(VLOOKUP(G4,income,R4-1985,FALSE)="LM","Lower-middle",IF(VLOOKUP(G4,income,R4-1985,FALSE)="L","Low")))</f>
        <v>Upper-middle</v>
      </c>
      <c r="I4" s="163">
        <v>1</v>
      </c>
      <c r="J4" s="162" t="s">
        <v>146</v>
      </c>
      <c r="K4" s="162" t="s">
        <v>147</v>
      </c>
      <c r="L4" s="207" t="str">
        <f t="shared" si="3"/>
        <v>PCV7 vs NoVax</v>
      </c>
      <c r="M4" s="162" t="s">
        <v>1552</v>
      </c>
      <c r="N4" s="163" t="s">
        <v>148</v>
      </c>
      <c r="O4" s="164" t="s">
        <v>159</v>
      </c>
      <c r="P4" s="162" t="s">
        <v>160</v>
      </c>
      <c r="Q4" s="162" t="s">
        <v>145</v>
      </c>
      <c r="R4" s="190">
        <v>2011</v>
      </c>
      <c r="S4" s="191">
        <v>860</v>
      </c>
      <c r="T4" s="198">
        <f>IF(ISNUMBER(S4),S4/VLOOKUP($Q4,xRates!$A$1:$BL$267,studies!$R4-xRates!$B$1+2,FALSE),"")</f>
        <v>133.12693498452012</v>
      </c>
      <c r="V4" s="198" t="str">
        <f>IF(ISNUMBER(U4),U4/VLOOKUP($Q4,xRates!$A$1:$BL$267,studies!$R4-xRates!$B$1+2,FALSE),"")</f>
        <v/>
      </c>
      <c r="W4" s="163">
        <v>1</v>
      </c>
      <c r="X4" s="163">
        <v>0</v>
      </c>
      <c r="Y4" s="163">
        <v>1</v>
      </c>
      <c r="Z4" s="163">
        <v>1</v>
      </c>
      <c r="AA4" s="163">
        <v>1</v>
      </c>
      <c r="AB4" s="163" t="s">
        <v>152</v>
      </c>
      <c r="AC4" s="190">
        <v>13737</v>
      </c>
      <c r="AD4" s="213">
        <f>IF(ISNUMBER(AC4),AC4/VLOOKUP($Q4,xRates!$A$1:$BL$267,studies!$R4-xRates!$B$1+2,FALSE),"")</f>
        <v>2126.4705882352941</v>
      </c>
      <c r="AE4" s="200">
        <f t="shared" si="4"/>
        <v>0</v>
      </c>
      <c r="AF4" s="200">
        <f>VLOOKUP(G4,gdppc,R4-1958,FALSE)</f>
        <v>5614.4</v>
      </c>
      <c r="AG4" s="195" t="str">
        <f t="shared" si="5"/>
        <v>Cost-effective</v>
      </c>
      <c r="AH4" s="195" t="str">
        <f t="shared" si="6"/>
        <v>Cost-effective</v>
      </c>
      <c r="AI4" s="204">
        <f t="shared" si="7"/>
        <v>0.37875295458736363</v>
      </c>
      <c r="AJ4" s="205">
        <f>IFERROR(VLOOKUP(G4,ochalek,11,FALSE),"")</f>
        <v>0.71</v>
      </c>
      <c r="AK4" s="195" t="str">
        <f t="shared" si="8"/>
        <v>Cost-effective</v>
      </c>
      <c r="AL4" s="205">
        <f>IFERROR(VLOOKUP(G4,ochalek,10,FALSE),"")</f>
        <v>0.45</v>
      </c>
      <c r="AM4" s="207" t="str">
        <f t="shared" si="9"/>
        <v>Cost-effective</v>
      </c>
      <c r="AN4" s="205">
        <f>IFERROR(VLOOKUP(G4,woods,6,FALSE),"")</f>
        <v>0.64811121873397526</v>
      </c>
      <c r="AO4" s="195" t="str">
        <f t="shared" si="10"/>
        <v>Cost-effective</v>
      </c>
      <c r="AP4" s="205">
        <f>IFERROR(VLOOKUP(G4,woods,5,FALSE),"")</f>
        <v>0.16395077203578146</v>
      </c>
      <c r="AQ4" s="195" t="str">
        <f t="shared" si="11"/>
        <v>Not cost-effective</v>
      </c>
      <c r="AR4" s="205">
        <f>IFERROR(VLOOKUP(G4,riviere,8,FALSE),"")</f>
        <v>0.90271000305602389</v>
      </c>
      <c r="AS4" s="195" t="str">
        <f t="shared" si="12"/>
        <v>Cost-effective</v>
      </c>
      <c r="AT4" s="205">
        <f>IFERROR(VLOOKUP(G4,riviere,7,FALSE),"")</f>
        <v>0.374116464081862</v>
      </c>
      <c r="AU4" s="195" t="str">
        <f t="shared" si="13"/>
        <v>Not cost-effective</v>
      </c>
      <c r="AV4" s="162" t="s">
        <v>161</v>
      </c>
      <c r="AW4" s="162" t="s">
        <v>162</v>
      </c>
      <c r="AX4" s="210">
        <f t="shared" si="14"/>
        <v>0</v>
      </c>
      <c r="AY4" s="210">
        <f t="shared" si="15"/>
        <v>0</v>
      </c>
      <c r="AZ4" s="197">
        <f t="shared" si="16"/>
        <v>0</v>
      </c>
      <c r="BA4" s="197">
        <f t="shared" si="17"/>
        <v>1</v>
      </c>
      <c r="BB4" s="197">
        <f t="shared" si="18"/>
        <v>0</v>
      </c>
      <c r="BC4" s="197">
        <f t="shared" si="19"/>
        <v>1</v>
      </c>
      <c r="BD4" s="197">
        <f t="shared" si="20"/>
        <v>2</v>
      </c>
      <c r="BE4" s="163" t="s">
        <v>155</v>
      </c>
      <c r="BF4" s="162" t="s">
        <v>163</v>
      </c>
    </row>
    <row r="5" spans="1:58">
      <c r="A5" s="195">
        <f t="shared" si="1"/>
        <v>3</v>
      </c>
      <c r="B5" s="195">
        <f t="shared" si="2"/>
        <v>1</v>
      </c>
      <c r="C5" s="196" t="str">
        <f t="shared" si="0"/>
        <v>0301</v>
      </c>
      <c r="D5" s="159" t="s">
        <v>164</v>
      </c>
      <c r="E5" s="190">
        <v>2016</v>
      </c>
      <c r="F5" s="162" t="s">
        <v>165</v>
      </c>
      <c r="G5" s="162" t="s">
        <v>145</v>
      </c>
      <c r="H5" s="197" t="str">
        <f>IF(VLOOKUP(G5,income,R5-1985,FALSE)="UM","Upper-middle",IF(VLOOKUP(G5,income,R5-1985,FALSE)="LM","Lower-middle",IF(VLOOKUP(G5,income,R5-1985,FALSE)="L","Low")))</f>
        <v>Upper-middle</v>
      </c>
      <c r="I5" s="163">
        <v>1</v>
      </c>
      <c r="J5" s="162" t="s">
        <v>146</v>
      </c>
      <c r="K5" s="162" t="s">
        <v>147</v>
      </c>
      <c r="L5" s="207" t="str">
        <f t="shared" si="3"/>
        <v>PCV7 vs NoVax</v>
      </c>
      <c r="M5" s="162" t="s">
        <v>1554</v>
      </c>
      <c r="N5" s="163" t="s">
        <v>148</v>
      </c>
      <c r="O5" s="164" t="s">
        <v>149</v>
      </c>
      <c r="P5" s="162" t="s">
        <v>150</v>
      </c>
      <c r="Q5" s="162" t="s">
        <v>151</v>
      </c>
      <c r="R5" s="190">
        <v>2014</v>
      </c>
      <c r="S5" s="191">
        <v>146</v>
      </c>
      <c r="T5" s="198">
        <f>IF(ISNUMBER(S5),S5/VLOOKUP($Q5,xRates!$A$1:$BL$267,studies!$R5-xRates!$B$1+2,FALSE),"")</f>
        <v>146</v>
      </c>
      <c r="V5" s="198" t="str">
        <f>IF(ISNUMBER(U5),U5/VLOOKUP($Q5,xRates!$A$1:$BL$267,studies!$R5-xRates!$B$1+2,FALSE),"")</f>
        <v/>
      </c>
      <c r="W5" s="163">
        <v>0</v>
      </c>
      <c r="X5" s="163">
        <v>0</v>
      </c>
      <c r="Y5" s="163">
        <v>1</v>
      </c>
      <c r="Z5" s="163">
        <v>1</v>
      </c>
      <c r="AA5" s="163">
        <v>1</v>
      </c>
      <c r="AB5" s="163" t="s">
        <v>152</v>
      </c>
      <c r="AC5" s="190">
        <v>18224</v>
      </c>
      <c r="AD5" s="213">
        <f>IF(ISNUMBER(AC5),AC5/VLOOKUP($Q5,xRates!$A$1:$BL$267,studies!$R5-xRates!$B$1+2,FALSE),"")</f>
        <v>18224</v>
      </c>
      <c r="AE5" s="200">
        <f t="shared" si="4"/>
        <v>0</v>
      </c>
      <c r="AF5" s="200">
        <f>VLOOKUP(G5,gdppc,R5-1958,FALSE)</f>
        <v>7636.1</v>
      </c>
      <c r="AG5" s="195" t="str">
        <f t="shared" si="5"/>
        <v>Not cost-effective</v>
      </c>
      <c r="AH5" s="195" t="str">
        <f t="shared" si="6"/>
        <v>Cost-effective</v>
      </c>
      <c r="AI5" s="204">
        <f t="shared" si="7"/>
        <v>2.3865585835701468</v>
      </c>
      <c r="AJ5" s="205">
        <f>IFERROR(VLOOKUP(G5,ochalek,11,FALSE),"")</f>
        <v>0.71</v>
      </c>
      <c r="AK5" s="195" t="str">
        <f t="shared" si="8"/>
        <v>Not cost-effective</v>
      </c>
      <c r="AL5" s="205">
        <f>IFERROR(VLOOKUP(G5,ochalek,10,FALSE),"")</f>
        <v>0.45</v>
      </c>
      <c r="AM5" s="207" t="str">
        <f t="shared" si="9"/>
        <v>Not cost-effective</v>
      </c>
      <c r="AN5" s="205">
        <f>IFERROR(VLOOKUP(G5,woods,6,FALSE),"")</f>
        <v>0.64811121873397526</v>
      </c>
      <c r="AO5" s="195" t="str">
        <f t="shared" si="10"/>
        <v>Not cost-effective</v>
      </c>
      <c r="AP5" s="205">
        <f>IFERROR(VLOOKUP(G5,woods,5,FALSE),"")</f>
        <v>0.16395077203578146</v>
      </c>
      <c r="AQ5" s="195" t="str">
        <f t="shared" si="11"/>
        <v>Not cost-effective</v>
      </c>
      <c r="AR5" s="205">
        <f>IFERROR(VLOOKUP(G5,riviere,8,FALSE),"")</f>
        <v>0.90271000305602389</v>
      </c>
      <c r="AS5" s="195" t="str">
        <f t="shared" si="12"/>
        <v>Not cost-effective</v>
      </c>
      <c r="AT5" s="205">
        <f>IFERROR(VLOOKUP(G5,riviere,7,FALSE),"")</f>
        <v>0.374116464081862</v>
      </c>
      <c r="AU5" s="195" t="str">
        <f t="shared" si="13"/>
        <v>Not cost-effective</v>
      </c>
      <c r="AV5" s="162" t="s">
        <v>161</v>
      </c>
      <c r="AW5" s="162" t="s">
        <v>162</v>
      </c>
      <c r="AX5" s="210">
        <f t="shared" si="14"/>
        <v>1</v>
      </c>
      <c r="AY5" s="210">
        <f t="shared" si="15"/>
        <v>1</v>
      </c>
      <c r="AZ5" s="197">
        <f t="shared" si="16"/>
        <v>1</v>
      </c>
      <c r="BA5" s="197">
        <f t="shared" si="17"/>
        <v>1</v>
      </c>
      <c r="BB5" s="197">
        <f t="shared" si="18"/>
        <v>1</v>
      </c>
      <c r="BC5" s="197">
        <f t="shared" si="19"/>
        <v>1</v>
      </c>
      <c r="BD5" s="197">
        <f t="shared" si="20"/>
        <v>6</v>
      </c>
      <c r="BE5" s="163" t="s">
        <v>155</v>
      </c>
      <c r="BF5" s="162" t="s">
        <v>156</v>
      </c>
    </row>
    <row r="6" spans="1:58">
      <c r="A6" s="195">
        <f t="shared" si="1"/>
        <v>3</v>
      </c>
      <c r="B6" s="195">
        <f t="shared" si="2"/>
        <v>2</v>
      </c>
      <c r="C6" s="196" t="str">
        <f t="shared" si="0"/>
        <v>0302</v>
      </c>
      <c r="D6" s="159" t="s">
        <v>164</v>
      </c>
      <c r="E6" s="190">
        <v>2016</v>
      </c>
      <c r="F6" s="162" t="s">
        <v>165</v>
      </c>
      <c r="G6" s="162" t="s">
        <v>145</v>
      </c>
      <c r="H6" s="197" t="str">
        <f>IF(VLOOKUP(G6,income,R6-1985,FALSE)="UM","Upper-middle",IF(VLOOKUP(G6,income,R6-1985,FALSE)="LM","Lower-middle",IF(VLOOKUP(G6,income,R6-1985,FALSE)="L","Low")))</f>
        <v>Upper-middle</v>
      </c>
      <c r="I6" s="163">
        <v>1</v>
      </c>
      <c r="J6" s="162" t="s">
        <v>166</v>
      </c>
      <c r="K6" s="162" t="s">
        <v>147</v>
      </c>
      <c r="L6" s="207" t="str">
        <f t="shared" si="3"/>
        <v>PCV10 vs NoVax</v>
      </c>
      <c r="M6" s="162" t="s">
        <v>1554</v>
      </c>
      <c r="N6" s="163" t="s">
        <v>148</v>
      </c>
      <c r="O6" s="164" t="s">
        <v>149</v>
      </c>
      <c r="P6" s="162" t="s">
        <v>150</v>
      </c>
      <c r="Q6" s="162" t="s">
        <v>151</v>
      </c>
      <c r="R6" s="190">
        <v>2014</v>
      </c>
      <c r="S6" s="191">
        <v>146</v>
      </c>
      <c r="T6" s="198">
        <f>IF(ISNUMBER(S6),S6/VLOOKUP($Q6,xRates!$A$1:$BL$267,studies!$R6-xRates!$B$1+2,FALSE),"")</f>
        <v>146</v>
      </c>
      <c r="V6" s="198" t="str">
        <f>IF(ISNUMBER(U6),U6/VLOOKUP($Q6,xRates!$A$1:$BL$267,studies!$R6-xRates!$B$1+2,FALSE),"")</f>
        <v/>
      </c>
      <c r="W6" s="163">
        <v>0</v>
      </c>
      <c r="X6" s="163">
        <v>0</v>
      </c>
      <c r="Y6" s="163">
        <v>1</v>
      </c>
      <c r="Z6" s="163">
        <v>1</v>
      </c>
      <c r="AA6" s="163">
        <v>1</v>
      </c>
      <c r="AB6" s="163" t="s">
        <v>152</v>
      </c>
      <c r="AC6" s="190">
        <v>16664</v>
      </c>
      <c r="AD6" s="213">
        <f>IF(ISNUMBER(AC6),AC6/VLOOKUP($Q6,xRates!$A$1:$BL$267,studies!$R6-xRates!$B$1+2,FALSE),"")</f>
        <v>16664</v>
      </c>
      <c r="AE6" s="200">
        <f t="shared" si="4"/>
        <v>0</v>
      </c>
      <c r="AF6" s="200">
        <f>VLOOKUP(G6,gdppc,R6-1958,FALSE)</f>
        <v>7636.1</v>
      </c>
      <c r="AG6" s="195" t="str">
        <f t="shared" si="5"/>
        <v>Not cost-effective</v>
      </c>
      <c r="AH6" s="195" t="str">
        <f t="shared" si="6"/>
        <v>Cost-effective</v>
      </c>
      <c r="AI6" s="204">
        <f t="shared" si="7"/>
        <v>2.1822658163198492</v>
      </c>
      <c r="AJ6" s="205">
        <f>IFERROR(VLOOKUP(G6,ochalek,11,FALSE),"")</f>
        <v>0.71</v>
      </c>
      <c r="AK6" s="195" t="str">
        <f t="shared" si="8"/>
        <v>Not cost-effective</v>
      </c>
      <c r="AL6" s="205">
        <f>IFERROR(VLOOKUP(G6,ochalek,10,FALSE),"")</f>
        <v>0.45</v>
      </c>
      <c r="AM6" s="207" t="str">
        <f t="shared" si="9"/>
        <v>Not cost-effective</v>
      </c>
      <c r="AN6" s="205">
        <f>IFERROR(VLOOKUP(G6,woods,6,FALSE),"")</f>
        <v>0.64811121873397526</v>
      </c>
      <c r="AO6" s="195" t="str">
        <f t="shared" si="10"/>
        <v>Not cost-effective</v>
      </c>
      <c r="AP6" s="205">
        <f>IFERROR(VLOOKUP(G6,woods,5,FALSE),"")</f>
        <v>0.16395077203578146</v>
      </c>
      <c r="AQ6" s="195" t="str">
        <f t="shared" si="11"/>
        <v>Not cost-effective</v>
      </c>
      <c r="AR6" s="205">
        <f>IFERROR(VLOOKUP(G6,riviere,8,FALSE),"")</f>
        <v>0.90271000305602389</v>
      </c>
      <c r="AS6" s="195" t="str">
        <f t="shared" si="12"/>
        <v>Not cost-effective</v>
      </c>
      <c r="AT6" s="205">
        <f>IFERROR(VLOOKUP(G6,riviere,7,FALSE),"")</f>
        <v>0.374116464081862</v>
      </c>
      <c r="AU6" s="195" t="str">
        <f t="shared" si="13"/>
        <v>Not cost-effective</v>
      </c>
      <c r="AV6" s="162" t="s">
        <v>161</v>
      </c>
      <c r="AW6" s="162" t="s">
        <v>162</v>
      </c>
      <c r="AX6" s="210">
        <f t="shared" si="14"/>
        <v>1</v>
      </c>
      <c r="AY6" s="210">
        <f t="shared" si="15"/>
        <v>1</v>
      </c>
      <c r="AZ6" s="197">
        <f t="shared" si="16"/>
        <v>1</v>
      </c>
      <c r="BA6" s="197">
        <f t="shared" si="17"/>
        <v>1</v>
      </c>
      <c r="BB6" s="197">
        <f t="shared" si="18"/>
        <v>1</v>
      </c>
      <c r="BC6" s="197">
        <f t="shared" si="19"/>
        <v>1</v>
      </c>
      <c r="BD6" s="197">
        <f t="shared" si="20"/>
        <v>6</v>
      </c>
      <c r="BE6" s="163" t="s">
        <v>155</v>
      </c>
      <c r="BF6" s="162" t="s">
        <v>156</v>
      </c>
    </row>
    <row r="7" spans="1:58">
      <c r="A7" s="195">
        <f t="shared" si="1"/>
        <v>3</v>
      </c>
      <c r="B7" s="195">
        <f t="shared" si="2"/>
        <v>3</v>
      </c>
      <c r="C7" s="196" t="str">
        <f t="shared" si="0"/>
        <v>0303</v>
      </c>
      <c r="D7" s="159" t="s">
        <v>164</v>
      </c>
      <c r="E7" s="190">
        <v>2016</v>
      </c>
      <c r="F7" s="162" t="s">
        <v>165</v>
      </c>
      <c r="G7" s="162" t="s">
        <v>145</v>
      </c>
      <c r="H7" s="197" t="str">
        <f>IF(VLOOKUP(G7,income,R7-1985,FALSE)="UM","Upper-middle",IF(VLOOKUP(G7,income,R7-1985,FALSE)="LM","Lower-middle",IF(VLOOKUP(G7,income,R7-1985,FALSE)="L","Low")))</f>
        <v>Upper-middle</v>
      </c>
      <c r="I7" s="163">
        <v>1</v>
      </c>
      <c r="J7" s="162" t="s">
        <v>167</v>
      </c>
      <c r="K7" s="162" t="s">
        <v>147</v>
      </c>
      <c r="L7" s="207" t="str">
        <f t="shared" si="3"/>
        <v>PCV13 vs NoVax</v>
      </c>
      <c r="M7" s="162" t="s">
        <v>1554</v>
      </c>
      <c r="N7" s="163" t="s">
        <v>148</v>
      </c>
      <c r="O7" s="164" t="s">
        <v>149</v>
      </c>
      <c r="P7" s="162" t="s">
        <v>150</v>
      </c>
      <c r="Q7" s="162" t="s">
        <v>151</v>
      </c>
      <c r="R7" s="190">
        <v>2014</v>
      </c>
      <c r="S7" s="191">
        <v>146</v>
      </c>
      <c r="T7" s="198">
        <f>IF(ISNUMBER(S7),S7/VLOOKUP($Q7,xRates!$A$1:$BL$267,studies!$R7-xRates!$B$1+2,FALSE),"")</f>
        <v>146</v>
      </c>
      <c r="V7" s="198" t="str">
        <f>IF(ISNUMBER(U7),U7/VLOOKUP($Q7,xRates!$A$1:$BL$267,studies!$R7-xRates!$B$1+2,FALSE),"")</f>
        <v/>
      </c>
      <c r="W7" s="163">
        <v>0</v>
      </c>
      <c r="X7" s="163">
        <v>0</v>
      </c>
      <c r="Y7" s="163">
        <v>1</v>
      </c>
      <c r="Z7" s="163">
        <v>1</v>
      </c>
      <c r="AA7" s="163">
        <v>1</v>
      </c>
      <c r="AB7" s="163" t="s">
        <v>152</v>
      </c>
      <c r="AC7" s="190">
        <v>11436</v>
      </c>
      <c r="AD7" s="213">
        <f>IF(ISNUMBER(AC7),AC7/VLOOKUP($Q7,xRates!$A$1:$BL$267,studies!$R7-xRates!$B$1+2,FALSE),"")</f>
        <v>11436</v>
      </c>
      <c r="AE7" s="200">
        <f t="shared" si="4"/>
        <v>0</v>
      </c>
      <c r="AF7" s="200">
        <f>VLOOKUP(G7,gdppc,R7-1958,FALSE)</f>
        <v>7636.1</v>
      </c>
      <c r="AG7" s="195" t="str">
        <f t="shared" si="5"/>
        <v>Not cost-effective</v>
      </c>
      <c r="AH7" s="195" t="str">
        <f t="shared" si="6"/>
        <v>Cost-effective</v>
      </c>
      <c r="AI7" s="204">
        <f t="shared" si="7"/>
        <v>1.497623132227184</v>
      </c>
      <c r="AJ7" s="205">
        <f>IFERROR(VLOOKUP(G7,ochalek,11,FALSE),"")</f>
        <v>0.71</v>
      </c>
      <c r="AK7" s="195" t="str">
        <f t="shared" si="8"/>
        <v>Not cost-effective</v>
      </c>
      <c r="AL7" s="205">
        <f>IFERROR(VLOOKUP(G7,ochalek,10,FALSE),"")</f>
        <v>0.45</v>
      </c>
      <c r="AM7" s="207" t="str">
        <f t="shared" si="9"/>
        <v>Not cost-effective</v>
      </c>
      <c r="AN7" s="205">
        <f>IFERROR(VLOOKUP(G7,woods,6,FALSE),"")</f>
        <v>0.64811121873397526</v>
      </c>
      <c r="AO7" s="195" t="str">
        <f t="shared" si="10"/>
        <v>Not cost-effective</v>
      </c>
      <c r="AP7" s="205">
        <f>IFERROR(VLOOKUP(G7,woods,5,FALSE),"")</f>
        <v>0.16395077203578146</v>
      </c>
      <c r="AQ7" s="195" t="str">
        <f t="shared" si="11"/>
        <v>Not cost-effective</v>
      </c>
      <c r="AR7" s="205">
        <f>IFERROR(VLOOKUP(G7,riviere,8,FALSE),"")</f>
        <v>0.90271000305602389</v>
      </c>
      <c r="AS7" s="195" t="str">
        <f t="shared" si="12"/>
        <v>Not cost-effective</v>
      </c>
      <c r="AT7" s="205">
        <f>IFERROR(VLOOKUP(G7,riviere,7,FALSE),"")</f>
        <v>0.374116464081862</v>
      </c>
      <c r="AU7" s="195" t="str">
        <f t="shared" si="13"/>
        <v>Not cost-effective</v>
      </c>
      <c r="AV7" s="162" t="s">
        <v>161</v>
      </c>
      <c r="AW7" s="162" t="s">
        <v>162</v>
      </c>
      <c r="AX7" s="210">
        <f t="shared" si="14"/>
        <v>1</v>
      </c>
      <c r="AY7" s="210">
        <f t="shared" si="15"/>
        <v>1</v>
      </c>
      <c r="AZ7" s="197">
        <f t="shared" si="16"/>
        <v>1</v>
      </c>
      <c r="BA7" s="197">
        <f t="shared" si="17"/>
        <v>1</v>
      </c>
      <c r="BB7" s="197">
        <f t="shared" si="18"/>
        <v>1</v>
      </c>
      <c r="BC7" s="197">
        <f t="shared" si="19"/>
        <v>1</v>
      </c>
      <c r="BD7" s="197">
        <f t="shared" si="20"/>
        <v>6</v>
      </c>
      <c r="BE7" s="163" t="s">
        <v>155</v>
      </c>
      <c r="BF7" s="162" t="s">
        <v>156</v>
      </c>
    </row>
    <row r="8" spans="1:58">
      <c r="A8" s="195">
        <f t="shared" si="1"/>
        <v>4</v>
      </c>
      <c r="B8" s="195">
        <f t="shared" si="2"/>
        <v>1</v>
      </c>
      <c r="C8" s="196" t="str">
        <f t="shared" si="0"/>
        <v>0401</v>
      </c>
      <c r="D8" s="159" t="s">
        <v>168</v>
      </c>
      <c r="E8" s="190">
        <v>2016</v>
      </c>
      <c r="F8" s="162" t="s">
        <v>169</v>
      </c>
      <c r="G8" s="162" t="s">
        <v>145</v>
      </c>
      <c r="H8" s="197" t="str">
        <f>IF(VLOOKUP(G8,income,R8-1985,FALSE)="UM","Upper-middle",IF(VLOOKUP(G8,income,R8-1985,FALSE)="LM","Lower-middle",IF(VLOOKUP(G8,income,R8-1985,FALSE)="L","Low")))</f>
        <v>Upper-middle</v>
      </c>
      <c r="I8" s="163">
        <v>1</v>
      </c>
      <c r="J8" s="162" t="s">
        <v>146</v>
      </c>
      <c r="K8" s="162" t="s">
        <v>147</v>
      </c>
      <c r="L8" s="207" t="str">
        <f t="shared" si="3"/>
        <v>PCV7 vs NoVax</v>
      </c>
      <c r="M8" s="162" t="s">
        <v>1552</v>
      </c>
      <c r="N8" s="163" t="s">
        <v>148</v>
      </c>
      <c r="O8" s="164" t="s">
        <v>149</v>
      </c>
      <c r="P8" s="162" t="s">
        <v>150</v>
      </c>
      <c r="Q8" s="162" t="s">
        <v>151</v>
      </c>
      <c r="R8" s="190">
        <v>2015</v>
      </c>
      <c r="S8" s="191">
        <v>58</v>
      </c>
      <c r="T8" s="198">
        <f>IF(ISNUMBER(S8),S8/VLOOKUP($Q8,xRates!$A$1:$BL$267,studies!$R8-xRates!$B$1+2,FALSE),"")</f>
        <v>58</v>
      </c>
      <c r="V8" s="198" t="str">
        <f>IF(ISNUMBER(U8),U8/VLOOKUP($Q8,xRates!$A$1:$BL$267,studies!$R8-xRates!$B$1+2,FALSE),"")</f>
        <v/>
      </c>
      <c r="W8" s="163">
        <v>1</v>
      </c>
      <c r="X8" s="163">
        <v>0</v>
      </c>
      <c r="Y8" s="163">
        <v>1</v>
      </c>
      <c r="Z8" s="163">
        <v>1</v>
      </c>
      <c r="AA8" s="163">
        <v>1</v>
      </c>
      <c r="AB8" s="163" t="s">
        <v>152</v>
      </c>
      <c r="AC8" s="190">
        <v>104094</v>
      </c>
      <c r="AD8" s="213">
        <f>IF(ISNUMBER(AC8),AC8/VLOOKUP($Q8,xRates!$A$1:$BL$267,studies!$R8-xRates!$B$1+2,FALSE),"")</f>
        <v>104094</v>
      </c>
      <c r="AE8" s="200">
        <f t="shared" si="4"/>
        <v>0</v>
      </c>
      <c r="AF8" s="200">
        <f>VLOOKUP(G8,gdppc,R8-1958,FALSE)</f>
        <v>8016.4</v>
      </c>
      <c r="AG8" s="195" t="str">
        <f t="shared" si="5"/>
        <v>Not cost-effective</v>
      </c>
      <c r="AH8" s="195" t="str">
        <f t="shared" si="6"/>
        <v>Not cost-effective</v>
      </c>
      <c r="AI8" s="204">
        <f t="shared" si="7"/>
        <v>12.985130482510854</v>
      </c>
      <c r="AJ8" s="205">
        <f>IFERROR(VLOOKUP(G8,ochalek,11,FALSE),"")</f>
        <v>0.71</v>
      </c>
      <c r="AK8" s="195" t="str">
        <f t="shared" si="8"/>
        <v>Not cost-effective</v>
      </c>
      <c r="AL8" s="205">
        <f>IFERROR(VLOOKUP(G8,ochalek,10,FALSE),"")</f>
        <v>0.45</v>
      </c>
      <c r="AM8" s="207" t="str">
        <f t="shared" si="9"/>
        <v>Not cost-effective</v>
      </c>
      <c r="AN8" s="205">
        <f>IFERROR(VLOOKUP(G8,woods,6,FALSE),"")</f>
        <v>0.64811121873397526</v>
      </c>
      <c r="AO8" s="195" t="str">
        <f t="shared" si="10"/>
        <v>Not cost-effective</v>
      </c>
      <c r="AP8" s="205">
        <f>IFERROR(VLOOKUP(G8,woods,5,FALSE),"")</f>
        <v>0.16395077203578146</v>
      </c>
      <c r="AQ8" s="195" t="str">
        <f t="shared" si="11"/>
        <v>Not cost-effective</v>
      </c>
      <c r="AR8" s="205">
        <f>IFERROR(VLOOKUP(G8,riviere,8,FALSE),"")</f>
        <v>0.90271000305602389</v>
      </c>
      <c r="AS8" s="195" t="str">
        <f t="shared" si="12"/>
        <v>Not cost-effective</v>
      </c>
      <c r="AT8" s="205">
        <f>IFERROR(VLOOKUP(G8,riviere,7,FALSE),"")</f>
        <v>0.374116464081862</v>
      </c>
      <c r="AU8" s="195" t="str">
        <f t="shared" si="13"/>
        <v>Not cost-effective</v>
      </c>
      <c r="AV8" s="162" t="s">
        <v>161</v>
      </c>
      <c r="AW8" s="162" t="s">
        <v>154</v>
      </c>
      <c r="AX8" s="210" t="str">
        <f t="shared" si="14"/>
        <v/>
      </c>
      <c r="AY8" s="210" t="str">
        <f t="shared" si="15"/>
        <v/>
      </c>
      <c r="AZ8" s="197" t="str">
        <f t="shared" si="16"/>
        <v/>
      </c>
      <c r="BA8" s="197" t="str">
        <f t="shared" si="17"/>
        <v/>
      </c>
      <c r="BB8" s="197" t="str">
        <f t="shared" si="18"/>
        <v/>
      </c>
      <c r="BC8" s="197" t="str">
        <f t="shared" si="19"/>
        <v/>
      </c>
      <c r="BD8" s="197">
        <f t="shared" si="20"/>
        <v>0</v>
      </c>
      <c r="BE8" s="163" t="s">
        <v>155</v>
      </c>
      <c r="BF8" s="162" t="s">
        <v>170</v>
      </c>
    </row>
    <row r="9" spans="1:58">
      <c r="A9" s="195">
        <f t="shared" si="1"/>
        <v>4</v>
      </c>
      <c r="B9" s="195">
        <f t="shared" si="2"/>
        <v>2</v>
      </c>
      <c r="C9" s="196" t="str">
        <f t="shared" si="0"/>
        <v>0402</v>
      </c>
      <c r="D9" s="159" t="s">
        <v>168</v>
      </c>
      <c r="E9" s="190">
        <v>2016</v>
      </c>
      <c r="F9" s="162" t="s">
        <v>169</v>
      </c>
      <c r="G9" s="162" t="s">
        <v>145</v>
      </c>
      <c r="H9" s="197" t="str">
        <f>IF(VLOOKUP(G9,income,R9-1985,FALSE)="UM","Upper-middle",IF(VLOOKUP(G9,income,R9-1985,FALSE)="LM","Lower-middle",IF(VLOOKUP(G9,income,R9-1985,FALSE)="L","Low")))</f>
        <v>Upper-middle</v>
      </c>
      <c r="I9" s="163">
        <v>1</v>
      </c>
      <c r="J9" s="162" t="s">
        <v>167</v>
      </c>
      <c r="K9" s="162" t="s">
        <v>147</v>
      </c>
      <c r="L9" s="207" t="str">
        <f t="shared" si="3"/>
        <v>PCV13 vs NoVax</v>
      </c>
      <c r="M9" s="162" t="s">
        <v>1552</v>
      </c>
      <c r="N9" s="163" t="s">
        <v>148</v>
      </c>
      <c r="O9" s="164" t="s">
        <v>149</v>
      </c>
      <c r="P9" s="162" t="s">
        <v>150</v>
      </c>
      <c r="Q9" s="162" t="s">
        <v>151</v>
      </c>
      <c r="R9" s="190">
        <v>2015</v>
      </c>
      <c r="S9" s="191">
        <v>58</v>
      </c>
      <c r="T9" s="198">
        <f>IF(ISNUMBER(S9),S9/VLOOKUP($Q9,xRates!$A$1:$BL$267,studies!$R9-xRates!$B$1+2,FALSE),"")</f>
        <v>58</v>
      </c>
      <c r="V9" s="198" t="str">
        <f>IF(ISNUMBER(U9),U9/VLOOKUP($Q9,xRates!$A$1:$BL$267,studies!$R9-xRates!$B$1+2,FALSE),"")</f>
        <v/>
      </c>
      <c r="W9" s="163">
        <v>1</v>
      </c>
      <c r="X9" s="163">
        <v>0</v>
      </c>
      <c r="Y9" s="163">
        <v>1</v>
      </c>
      <c r="Z9" s="163">
        <v>1</v>
      </c>
      <c r="AA9" s="163">
        <v>1</v>
      </c>
      <c r="AB9" s="163" t="s">
        <v>152</v>
      </c>
      <c r="AC9" s="190">
        <v>29460</v>
      </c>
      <c r="AD9" s="213">
        <f>IF(ISNUMBER(AC9),AC9/VLOOKUP($Q9,xRates!$A$1:$BL$267,studies!$R9-xRates!$B$1+2,FALSE),"")</f>
        <v>29460</v>
      </c>
      <c r="AE9" s="200">
        <f t="shared" si="4"/>
        <v>0</v>
      </c>
      <c r="AF9" s="200">
        <f>VLOOKUP(G9,gdppc,R9-1958,FALSE)</f>
        <v>8016.4</v>
      </c>
      <c r="AG9" s="195" t="str">
        <f t="shared" si="5"/>
        <v>Not cost-effective</v>
      </c>
      <c r="AH9" s="195" t="str">
        <f t="shared" si="6"/>
        <v>Not cost-effective</v>
      </c>
      <c r="AI9" s="204">
        <f t="shared" si="7"/>
        <v>3.6749663190459558</v>
      </c>
      <c r="AJ9" s="205">
        <f>IFERROR(VLOOKUP(G9,ochalek,11,FALSE),"")</f>
        <v>0.71</v>
      </c>
      <c r="AK9" s="195" t="str">
        <f t="shared" si="8"/>
        <v>Not cost-effective</v>
      </c>
      <c r="AL9" s="205">
        <f>IFERROR(VLOOKUP(G9,ochalek,10,FALSE),"")</f>
        <v>0.45</v>
      </c>
      <c r="AM9" s="207" t="str">
        <f t="shared" si="9"/>
        <v>Not cost-effective</v>
      </c>
      <c r="AN9" s="205">
        <f>IFERROR(VLOOKUP(G9,woods,6,FALSE),"")</f>
        <v>0.64811121873397526</v>
      </c>
      <c r="AO9" s="195" t="str">
        <f t="shared" si="10"/>
        <v>Not cost-effective</v>
      </c>
      <c r="AP9" s="205">
        <f>IFERROR(VLOOKUP(G9,woods,5,FALSE),"")</f>
        <v>0.16395077203578146</v>
      </c>
      <c r="AQ9" s="195" t="str">
        <f t="shared" si="11"/>
        <v>Not cost-effective</v>
      </c>
      <c r="AR9" s="205">
        <f>IFERROR(VLOOKUP(G9,riviere,8,FALSE),"")</f>
        <v>0.90271000305602389</v>
      </c>
      <c r="AS9" s="195" t="str">
        <f t="shared" si="12"/>
        <v>Not cost-effective</v>
      </c>
      <c r="AT9" s="205">
        <f>IFERROR(VLOOKUP(G9,riviere,7,FALSE),"")</f>
        <v>0.374116464081862</v>
      </c>
      <c r="AU9" s="195" t="str">
        <f t="shared" si="13"/>
        <v>Not cost-effective</v>
      </c>
      <c r="AV9" s="162" t="s">
        <v>161</v>
      </c>
      <c r="AW9" s="162" t="s">
        <v>154</v>
      </c>
      <c r="AX9" s="210" t="str">
        <f t="shared" si="14"/>
        <v/>
      </c>
      <c r="AY9" s="210" t="str">
        <f t="shared" si="15"/>
        <v/>
      </c>
      <c r="AZ9" s="197" t="str">
        <f t="shared" si="16"/>
        <v/>
      </c>
      <c r="BA9" s="197" t="str">
        <f t="shared" si="17"/>
        <v/>
      </c>
      <c r="BB9" s="197" t="str">
        <f t="shared" si="18"/>
        <v/>
      </c>
      <c r="BC9" s="197" t="str">
        <f t="shared" si="19"/>
        <v/>
      </c>
      <c r="BD9" s="197">
        <f t="shared" si="20"/>
        <v>0</v>
      </c>
      <c r="BE9" s="163" t="s">
        <v>155</v>
      </c>
      <c r="BF9" s="162" t="s">
        <v>170</v>
      </c>
    </row>
    <row r="10" spans="1:58">
      <c r="A10" s="195">
        <f t="shared" si="1"/>
        <v>5</v>
      </c>
      <c r="B10" s="195">
        <f t="shared" si="2"/>
        <v>1</v>
      </c>
      <c r="C10" s="196" t="str">
        <f t="shared" si="0"/>
        <v>0501</v>
      </c>
      <c r="D10" s="159" t="s">
        <v>171</v>
      </c>
      <c r="E10" s="190">
        <v>2018</v>
      </c>
      <c r="F10" s="162" t="s">
        <v>172</v>
      </c>
      <c r="G10" s="162" t="s">
        <v>145</v>
      </c>
      <c r="H10" s="197" t="str">
        <f>IF(VLOOKUP(G10,income,R10-1985,FALSE)="UM","Upper-middle",IF(VLOOKUP(G10,income,R10-1985,FALSE)="LM","Lower-middle",IF(VLOOKUP(G10,income,R10-1985,FALSE)="L","Low")))</f>
        <v>Upper-middle</v>
      </c>
      <c r="I10" s="163">
        <v>1</v>
      </c>
      <c r="J10" s="162" t="s">
        <v>167</v>
      </c>
      <c r="K10" s="162" t="s">
        <v>147</v>
      </c>
      <c r="L10" s="207" t="str">
        <f t="shared" si="3"/>
        <v>PCV13 vs NoVax</v>
      </c>
      <c r="M10" s="162" t="s">
        <v>1552</v>
      </c>
      <c r="N10" s="163" t="s">
        <v>148</v>
      </c>
      <c r="O10" s="164" t="s">
        <v>159</v>
      </c>
      <c r="P10" s="162" t="s">
        <v>160</v>
      </c>
      <c r="Q10" s="162" t="s">
        <v>145</v>
      </c>
      <c r="R10" s="190">
        <v>2015</v>
      </c>
      <c r="S10" s="191">
        <v>698</v>
      </c>
      <c r="T10" s="198">
        <f>IF(ISNUMBER(S10),S10/VLOOKUP($Q10,xRates!$A$1:$BL$267,studies!$R10-xRates!$B$1+2,FALSE),"")</f>
        <v>112.03852327447832</v>
      </c>
      <c r="V10" s="198" t="str">
        <f>IF(ISNUMBER(U10),U10/VLOOKUP($Q10,xRates!$A$1:$BL$267,studies!$R10-xRates!$B$1+2,FALSE),"")</f>
        <v/>
      </c>
      <c r="W10" s="163">
        <v>0</v>
      </c>
      <c r="X10" s="163">
        <v>0</v>
      </c>
      <c r="Y10" s="163">
        <v>1</v>
      </c>
      <c r="Z10" s="163">
        <v>1</v>
      </c>
      <c r="AA10" s="163">
        <v>1</v>
      </c>
      <c r="AB10" s="163" t="s">
        <v>152</v>
      </c>
      <c r="AC10" s="190">
        <v>79304</v>
      </c>
      <c r="AD10" s="213">
        <f>IF(ISNUMBER(AC10),AC10/VLOOKUP($Q10,xRates!$A$1:$BL$267,studies!$R10-xRates!$B$1+2,FALSE),"")</f>
        <v>12729.373996789725</v>
      </c>
      <c r="AE10" s="200">
        <f t="shared" si="4"/>
        <v>0</v>
      </c>
      <c r="AF10" s="200">
        <f>VLOOKUP(G10,gdppc,R10-1958,FALSE)</f>
        <v>8016.4</v>
      </c>
      <c r="AG10" s="195" t="str">
        <f t="shared" si="5"/>
        <v>Not cost-effective</v>
      </c>
      <c r="AH10" s="195" t="str">
        <f t="shared" si="6"/>
        <v>Cost-effective</v>
      </c>
      <c r="AI10" s="204">
        <f t="shared" si="7"/>
        <v>1.5879165207312167</v>
      </c>
      <c r="AJ10" s="205">
        <f>IFERROR(VLOOKUP(G10,ochalek,11,FALSE),"")</f>
        <v>0.71</v>
      </c>
      <c r="AK10" s="195" t="str">
        <f t="shared" si="8"/>
        <v>Not cost-effective</v>
      </c>
      <c r="AL10" s="205">
        <f>IFERROR(VLOOKUP(G10,ochalek,10,FALSE),"")</f>
        <v>0.45</v>
      </c>
      <c r="AM10" s="207" t="str">
        <f t="shared" si="9"/>
        <v>Not cost-effective</v>
      </c>
      <c r="AN10" s="205">
        <f>IFERROR(VLOOKUP(G10,woods,6,FALSE),"")</f>
        <v>0.64811121873397526</v>
      </c>
      <c r="AO10" s="195" t="str">
        <f t="shared" si="10"/>
        <v>Not cost-effective</v>
      </c>
      <c r="AP10" s="205">
        <f>IFERROR(VLOOKUP(G10,woods,5,FALSE),"")</f>
        <v>0.16395077203578146</v>
      </c>
      <c r="AQ10" s="195" t="str">
        <f t="shared" si="11"/>
        <v>Not cost-effective</v>
      </c>
      <c r="AR10" s="205">
        <f>IFERROR(VLOOKUP(G10,riviere,8,FALSE),"")</f>
        <v>0.90271000305602389</v>
      </c>
      <c r="AS10" s="195" t="str">
        <f t="shared" si="12"/>
        <v>Not cost-effective</v>
      </c>
      <c r="AT10" s="205">
        <f>IFERROR(VLOOKUP(G10,riviere,7,FALSE),"")</f>
        <v>0.374116464081862</v>
      </c>
      <c r="AU10" s="195" t="str">
        <f t="shared" si="13"/>
        <v>Not cost-effective</v>
      </c>
      <c r="AV10" s="162" t="s">
        <v>173</v>
      </c>
      <c r="AW10" s="162" t="s">
        <v>162</v>
      </c>
      <c r="AX10" s="210">
        <f t="shared" si="14"/>
        <v>1</v>
      </c>
      <c r="AY10" s="210">
        <f t="shared" si="15"/>
        <v>1</v>
      </c>
      <c r="AZ10" s="197">
        <f t="shared" si="16"/>
        <v>1</v>
      </c>
      <c r="BA10" s="197">
        <f t="shared" si="17"/>
        <v>1</v>
      </c>
      <c r="BB10" s="197">
        <f t="shared" si="18"/>
        <v>1</v>
      </c>
      <c r="BC10" s="197">
        <f t="shared" si="19"/>
        <v>1</v>
      </c>
      <c r="BD10" s="197">
        <f t="shared" si="20"/>
        <v>6</v>
      </c>
      <c r="BE10" s="163" t="s">
        <v>155</v>
      </c>
      <c r="BF10" s="162" t="s">
        <v>163</v>
      </c>
    </row>
    <row r="11" spans="1:58">
      <c r="A11" s="195">
        <f t="shared" si="1"/>
        <v>5</v>
      </c>
      <c r="B11" s="195">
        <f t="shared" si="2"/>
        <v>2</v>
      </c>
      <c r="C11" s="196" t="str">
        <f t="shared" si="0"/>
        <v>0502</v>
      </c>
      <c r="D11" s="159" t="s">
        <v>171</v>
      </c>
      <c r="E11" s="163">
        <v>2018</v>
      </c>
      <c r="F11" s="162" t="s">
        <v>172</v>
      </c>
      <c r="G11" s="162" t="s">
        <v>145</v>
      </c>
      <c r="H11" s="197" t="str">
        <f>IF(VLOOKUP(G11,income,R11-1985,FALSE)="UM","Upper-middle",IF(VLOOKUP(G11,income,R11-1985,FALSE)="LM","Lower-middle",IF(VLOOKUP(G11,income,R11-1985,FALSE)="L","Low")))</f>
        <v>Upper-middle</v>
      </c>
      <c r="I11" s="163">
        <v>1</v>
      </c>
      <c r="J11" s="162" t="s">
        <v>167</v>
      </c>
      <c r="K11" s="162" t="s">
        <v>147</v>
      </c>
      <c r="L11" s="207" t="str">
        <f t="shared" si="3"/>
        <v>PCV13 vs NoVax</v>
      </c>
      <c r="M11" s="162" t="s">
        <v>1552</v>
      </c>
      <c r="N11" s="163" t="s">
        <v>148</v>
      </c>
      <c r="O11" s="162" t="s">
        <v>159</v>
      </c>
      <c r="P11" s="162" t="s">
        <v>160</v>
      </c>
      <c r="Q11" s="162" t="s">
        <v>145</v>
      </c>
      <c r="R11" s="163">
        <v>2015</v>
      </c>
      <c r="S11" s="191">
        <v>698</v>
      </c>
      <c r="T11" s="198">
        <f>IF(ISNUMBER(S11),S11/VLOOKUP($Q11,xRates!$A$1:$BL$267,studies!$R11-xRates!$B$1+2,FALSE),"")</f>
        <v>112.03852327447832</v>
      </c>
      <c r="V11" s="198" t="str">
        <f>IF(ISNUMBER(U11),U11/VLOOKUP($Q11,xRates!$A$1:$BL$267,studies!$R11-xRates!$B$1+2,FALSE),"")</f>
        <v/>
      </c>
      <c r="W11" s="163">
        <v>1</v>
      </c>
      <c r="X11" s="163">
        <v>0</v>
      </c>
      <c r="Y11" s="163">
        <v>1</v>
      </c>
      <c r="Z11" s="163">
        <v>1</v>
      </c>
      <c r="AA11" s="163">
        <v>1</v>
      </c>
      <c r="AB11" s="163" t="s">
        <v>152</v>
      </c>
      <c r="AC11" s="190">
        <v>76551</v>
      </c>
      <c r="AD11" s="213">
        <f>IF(ISNUMBER(AC11),AC11/VLOOKUP($Q11,xRates!$A$1:$BL$267,studies!$R11-xRates!$B$1+2,FALSE),"")</f>
        <v>12287.479935794541</v>
      </c>
      <c r="AE11" s="200">
        <f t="shared" si="4"/>
        <v>0</v>
      </c>
      <c r="AF11" s="200">
        <f>VLOOKUP(G11,gdppc,R11-1958,FALSE)</f>
        <v>8016.4</v>
      </c>
      <c r="AG11" s="195" t="str">
        <f t="shared" si="5"/>
        <v>Not cost-effective</v>
      </c>
      <c r="AH11" s="195" t="str">
        <f t="shared" si="6"/>
        <v>Cost-effective</v>
      </c>
      <c r="AI11" s="204">
        <f t="shared" si="7"/>
        <v>1.5327927668023729</v>
      </c>
      <c r="AJ11" s="205">
        <f>IFERROR(VLOOKUP(G11,ochalek,11,FALSE),"")</f>
        <v>0.71</v>
      </c>
      <c r="AK11" s="195" t="str">
        <f t="shared" si="8"/>
        <v>Not cost-effective</v>
      </c>
      <c r="AL11" s="205">
        <f>IFERROR(VLOOKUP(G11,ochalek,10,FALSE),"")</f>
        <v>0.45</v>
      </c>
      <c r="AM11" s="207" t="str">
        <f t="shared" si="9"/>
        <v>Not cost-effective</v>
      </c>
      <c r="AN11" s="205">
        <f>IFERROR(VLOOKUP(G11,woods,6,FALSE),"")</f>
        <v>0.64811121873397526</v>
      </c>
      <c r="AO11" s="195" t="str">
        <f t="shared" si="10"/>
        <v>Not cost-effective</v>
      </c>
      <c r="AP11" s="205">
        <f>IFERROR(VLOOKUP(G11,woods,5,FALSE),"")</f>
        <v>0.16395077203578146</v>
      </c>
      <c r="AQ11" s="195" t="str">
        <f t="shared" si="11"/>
        <v>Not cost-effective</v>
      </c>
      <c r="AR11" s="205">
        <f>IFERROR(VLOOKUP(G11,riviere,8,FALSE),"")</f>
        <v>0.90271000305602389</v>
      </c>
      <c r="AS11" s="195" t="str">
        <f t="shared" si="12"/>
        <v>Not cost-effective</v>
      </c>
      <c r="AT11" s="205">
        <f>IFERROR(VLOOKUP(G11,riviere,7,FALSE),"")</f>
        <v>0.374116464081862</v>
      </c>
      <c r="AU11" s="195" t="str">
        <f t="shared" si="13"/>
        <v>Not cost-effective</v>
      </c>
      <c r="AV11" s="162" t="s">
        <v>173</v>
      </c>
      <c r="AW11" s="162" t="s">
        <v>162</v>
      </c>
      <c r="AX11" s="210">
        <f t="shared" si="14"/>
        <v>1</v>
      </c>
      <c r="AY11" s="210">
        <f t="shared" si="15"/>
        <v>1</v>
      </c>
      <c r="AZ11" s="197">
        <f t="shared" si="16"/>
        <v>1</v>
      </c>
      <c r="BA11" s="197">
        <f t="shared" si="17"/>
        <v>1</v>
      </c>
      <c r="BB11" s="197">
        <f t="shared" si="18"/>
        <v>1</v>
      </c>
      <c r="BC11" s="197">
        <f t="shared" si="19"/>
        <v>1</v>
      </c>
      <c r="BD11" s="197">
        <f t="shared" si="20"/>
        <v>6</v>
      </c>
      <c r="BE11" s="163" t="s">
        <v>155</v>
      </c>
      <c r="BF11" s="162" t="s">
        <v>163</v>
      </c>
    </row>
    <row r="12" spans="1:58">
      <c r="A12" s="195">
        <f t="shared" si="1"/>
        <v>5</v>
      </c>
      <c r="B12" s="195">
        <f t="shared" si="2"/>
        <v>3</v>
      </c>
      <c r="C12" s="196" t="str">
        <f t="shared" si="0"/>
        <v>0503</v>
      </c>
      <c r="D12" s="159" t="s">
        <v>171</v>
      </c>
      <c r="E12" s="190">
        <v>2018</v>
      </c>
      <c r="F12" s="162" t="s">
        <v>172</v>
      </c>
      <c r="G12" s="162" t="s">
        <v>145</v>
      </c>
      <c r="H12" s="197" t="str">
        <f>IF(VLOOKUP(G12,income,R12-1985,FALSE)="UM","Upper-middle",IF(VLOOKUP(G12,income,R12-1985,FALSE)="LM","Lower-middle",IF(VLOOKUP(G12,income,R12-1985,FALSE)="L","Low")))</f>
        <v>Upper-middle</v>
      </c>
      <c r="I12" s="163">
        <v>1</v>
      </c>
      <c r="J12" s="162" t="s">
        <v>167</v>
      </c>
      <c r="K12" s="162" t="s">
        <v>147</v>
      </c>
      <c r="L12" s="207" t="str">
        <f t="shared" si="3"/>
        <v>PCV13 vs NoVax</v>
      </c>
      <c r="M12" s="162" t="s">
        <v>1552</v>
      </c>
      <c r="N12" s="163" t="s">
        <v>148</v>
      </c>
      <c r="O12" s="164" t="s">
        <v>159</v>
      </c>
      <c r="P12" s="162" t="s">
        <v>160</v>
      </c>
      <c r="Q12" s="162" t="s">
        <v>145</v>
      </c>
      <c r="R12" s="190">
        <v>2015</v>
      </c>
      <c r="S12" s="191">
        <v>698</v>
      </c>
      <c r="T12" s="198">
        <f>IF(ISNUMBER(S12),S12/VLOOKUP($Q12,xRates!$A$1:$BL$267,studies!$R12-xRates!$B$1+2,FALSE),"")</f>
        <v>112.03852327447832</v>
      </c>
      <c r="V12" s="198" t="str">
        <f>IF(ISNUMBER(U12),U12/VLOOKUP($Q12,xRates!$A$1:$BL$267,studies!$R12-xRates!$B$1+2,FALSE),"")</f>
        <v/>
      </c>
      <c r="W12" s="163">
        <v>1</v>
      </c>
      <c r="X12" s="163">
        <v>0</v>
      </c>
      <c r="Y12" s="163">
        <v>1</v>
      </c>
      <c r="Z12" s="163">
        <v>1</v>
      </c>
      <c r="AA12" s="163">
        <v>1</v>
      </c>
      <c r="AB12" s="163" t="s">
        <v>152</v>
      </c>
      <c r="AC12" s="190">
        <v>3777</v>
      </c>
      <c r="AD12" s="213">
        <f>IF(ISNUMBER(AC12),AC12/VLOOKUP($Q12,xRates!$A$1:$BL$267,studies!$R12-xRates!$B$1+2,FALSE),"")</f>
        <v>606.2600321027287</v>
      </c>
      <c r="AE12" s="200">
        <f t="shared" si="4"/>
        <v>0</v>
      </c>
      <c r="AF12" s="200">
        <f>VLOOKUP(G12,gdppc,R12-1958,FALSE)</f>
        <v>8016.4</v>
      </c>
      <c r="AG12" s="195" t="str">
        <f t="shared" si="5"/>
        <v>Cost-effective</v>
      </c>
      <c r="AH12" s="195" t="str">
        <f t="shared" si="6"/>
        <v>Cost-effective</v>
      </c>
      <c r="AI12" s="204">
        <f t="shared" si="7"/>
        <v>7.5627467704047796E-2</v>
      </c>
      <c r="AJ12" s="205">
        <f>IFERROR(VLOOKUP(G12,ochalek,11,FALSE),"")</f>
        <v>0.71</v>
      </c>
      <c r="AK12" s="195" t="str">
        <f t="shared" si="8"/>
        <v>Cost-effective</v>
      </c>
      <c r="AL12" s="205">
        <f>IFERROR(VLOOKUP(G12,ochalek,10,FALSE),"")</f>
        <v>0.45</v>
      </c>
      <c r="AM12" s="207" t="str">
        <f t="shared" si="9"/>
        <v>Cost-effective</v>
      </c>
      <c r="AN12" s="205">
        <f>IFERROR(VLOOKUP(G12,woods,6,FALSE),"")</f>
        <v>0.64811121873397526</v>
      </c>
      <c r="AO12" s="195" t="str">
        <f t="shared" si="10"/>
        <v>Cost-effective</v>
      </c>
      <c r="AP12" s="205">
        <f>IFERROR(VLOOKUP(G12,woods,5,FALSE),"")</f>
        <v>0.16395077203578146</v>
      </c>
      <c r="AQ12" s="195" t="str">
        <f t="shared" si="11"/>
        <v>Cost-effective</v>
      </c>
      <c r="AR12" s="205">
        <f>IFERROR(VLOOKUP(G12,riviere,8,FALSE),"")</f>
        <v>0.90271000305602389</v>
      </c>
      <c r="AS12" s="195" t="str">
        <f t="shared" si="12"/>
        <v>Cost-effective</v>
      </c>
      <c r="AT12" s="205">
        <f>IFERROR(VLOOKUP(G12,riviere,7,FALSE),"")</f>
        <v>0.374116464081862</v>
      </c>
      <c r="AU12" s="195" t="str">
        <f t="shared" si="13"/>
        <v>Cost-effective</v>
      </c>
      <c r="AV12" s="162" t="s">
        <v>173</v>
      </c>
      <c r="AW12" s="162" t="s">
        <v>162</v>
      </c>
      <c r="AX12" s="210">
        <f t="shared" si="14"/>
        <v>0</v>
      </c>
      <c r="AY12" s="210">
        <f t="shared" si="15"/>
        <v>0</v>
      </c>
      <c r="AZ12" s="197">
        <f t="shared" si="16"/>
        <v>0</v>
      </c>
      <c r="BA12" s="197">
        <f t="shared" si="17"/>
        <v>0</v>
      </c>
      <c r="BB12" s="197">
        <f t="shared" si="18"/>
        <v>0</v>
      </c>
      <c r="BC12" s="197">
        <f t="shared" si="19"/>
        <v>0</v>
      </c>
      <c r="BD12" s="197">
        <f t="shared" si="20"/>
        <v>0</v>
      </c>
      <c r="BE12" s="163" t="s">
        <v>155</v>
      </c>
      <c r="BF12" s="162" t="s">
        <v>163</v>
      </c>
    </row>
    <row r="13" spans="1:58">
      <c r="A13" s="195">
        <f t="shared" si="1"/>
        <v>6</v>
      </c>
      <c r="B13" s="195">
        <f t="shared" si="2"/>
        <v>1</v>
      </c>
      <c r="C13" s="196" t="str">
        <f t="shared" si="0"/>
        <v>0601</v>
      </c>
      <c r="D13" s="159" t="s">
        <v>174</v>
      </c>
      <c r="E13" s="190">
        <v>2018</v>
      </c>
      <c r="F13" s="162" t="s">
        <v>175</v>
      </c>
      <c r="G13" s="162" t="s">
        <v>145</v>
      </c>
      <c r="H13" s="197" t="str">
        <f>IF(VLOOKUP(G13,income,R13-1985,FALSE)="UM","Upper-middle",IF(VLOOKUP(G13,income,R13-1985,FALSE)="LM","Lower-middle",IF(VLOOKUP(G13,income,R13-1985,FALSE)="L","Low")))</f>
        <v>Upper-middle</v>
      </c>
      <c r="I13" s="163">
        <v>1</v>
      </c>
      <c r="J13" s="162" t="s">
        <v>167</v>
      </c>
      <c r="K13" s="162" t="s">
        <v>147</v>
      </c>
      <c r="L13" s="207" t="str">
        <f t="shared" si="3"/>
        <v>PCV13 vs NoVax</v>
      </c>
      <c r="M13" s="162" t="s">
        <v>1552</v>
      </c>
      <c r="N13" s="163" t="s">
        <v>155</v>
      </c>
      <c r="O13" s="164" t="s">
        <v>159</v>
      </c>
      <c r="P13" s="162" t="s">
        <v>150</v>
      </c>
      <c r="Q13" s="162" t="s">
        <v>151</v>
      </c>
      <c r="R13" s="190">
        <v>2016</v>
      </c>
      <c r="S13" s="191">
        <v>138.72</v>
      </c>
      <c r="T13" s="198">
        <f>IF(ISNUMBER(S13),S13/VLOOKUP($Q13,xRates!$A$1:$BL$267,studies!$R13-xRates!$B$1+2,FALSE),"")</f>
        <v>138.72</v>
      </c>
      <c r="V13" s="198" t="str">
        <f>IF(ISNUMBER(U13),U13/VLOOKUP($Q13,xRates!$A$1:$BL$267,studies!$R13-xRates!$B$1+2,FALSE),"")</f>
        <v/>
      </c>
      <c r="W13" s="163">
        <v>0</v>
      </c>
      <c r="X13" s="163">
        <v>1</v>
      </c>
      <c r="Y13" s="163">
        <v>1</v>
      </c>
      <c r="Z13" s="163">
        <v>1</v>
      </c>
      <c r="AA13" s="163">
        <v>1</v>
      </c>
      <c r="AB13" s="163" t="s">
        <v>152</v>
      </c>
      <c r="AC13" s="190">
        <v>20709</v>
      </c>
      <c r="AD13" s="213">
        <f>IF(ISNUMBER(AC13),AC13/VLOOKUP($Q13,xRates!$A$1:$BL$267,studies!$R13-xRates!$B$1+2,FALSE),"")</f>
        <v>20709</v>
      </c>
      <c r="AE13" s="200">
        <f t="shared" si="4"/>
        <v>0</v>
      </c>
      <c r="AF13" s="200">
        <f>VLOOKUP(G13,gdppc,R13-1958,FALSE)</f>
        <v>8094.4</v>
      </c>
      <c r="AG13" s="195" t="str">
        <f t="shared" si="5"/>
        <v>Not cost-effective</v>
      </c>
      <c r="AH13" s="195" t="str">
        <f t="shared" si="6"/>
        <v>Cost-effective</v>
      </c>
      <c r="AI13" s="204">
        <f t="shared" si="7"/>
        <v>2.5584354615536666</v>
      </c>
      <c r="AJ13" s="205">
        <f>IFERROR(VLOOKUP(G13,ochalek,11,FALSE),"")</f>
        <v>0.71</v>
      </c>
      <c r="AK13" s="195" t="str">
        <f t="shared" si="8"/>
        <v>Not cost-effective</v>
      </c>
      <c r="AL13" s="205">
        <f>IFERROR(VLOOKUP(G13,ochalek,10,FALSE),"")</f>
        <v>0.45</v>
      </c>
      <c r="AM13" s="207" t="str">
        <f t="shared" si="9"/>
        <v>Not cost-effective</v>
      </c>
      <c r="AN13" s="205">
        <f>IFERROR(VLOOKUP(G13,woods,6,FALSE),"")</f>
        <v>0.64811121873397526</v>
      </c>
      <c r="AO13" s="195" t="str">
        <f t="shared" si="10"/>
        <v>Not cost-effective</v>
      </c>
      <c r="AP13" s="205">
        <f>IFERROR(VLOOKUP(G13,woods,5,FALSE),"")</f>
        <v>0.16395077203578146</v>
      </c>
      <c r="AQ13" s="195" t="str">
        <f t="shared" si="11"/>
        <v>Not cost-effective</v>
      </c>
      <c r="AR13" s="205">
        <f>IFERROR(VLOOKUP(G13,riviere,8,FALSE),"")</f>
        <v>0.90271000305602389</v>
      </c>
      <c r="AS13" s="195" t="str">
        <f t="shared" si="12"/>
        <v>Not cost-effective</v>
      </c>
      <c r="AT13" s="205">
        <f>IFERROR(VLOOKUP(G13,riviere,7,FALSE),"")</f>
        <v>0.374116464081862</v>
      </c>
      <c r="AU13" s="195" t="str">
        <f t="shared" si="13"/>
        <v>Not cost-effective</v>
      </c>
      <c r="AV13" s="162" t="s">
        <v>176</v>
      </c>
      <c r="AW13" s="162" t="s">
        <v>162</v>
      </c>
      <c r="AX13" s="210">
        <f t="shared" si="14"/>
        <v>1</v>
      </c>
      <c r="AY13" s="210">
        <f t="shared" si="15"/>
        <v>1</v>
      </c>
      <c r="AZ13" s="197">
        <f t="shared" si="16"/>
        <v>1</v>
      </c>
      <c r="BA13" s="197">
        <f t="shared" si="17"/>
        <v>1</v>
      </c>
      <c r="BB13" s="197">
        <f t="shared" si="18"/>
        <v>1</v>
      </c>
      <c r="BC13" s="197">
        <f t="shared" si="19"/>
        <v>1</v>
      </c>
      <c r="BD13" s="197">
        <f t="shared" si="20"/>
        <v>6</v>
      </c>
      <c r="BE13" s="163" t="s">
        <v>155</v>
      </c>
      <c r="BF13" s="162" t="s">
        <v>177</v>
      </c>
    </row>
    <row r="14" spans="1:58">
      <c r="A14" s="195">
        <f t="shared" si="1"/>
        <v>6</v>
      </c>
      <c r="B14" s="195">
        <f t="shared" si="2"/>
        <v>2</v>
      </c>
      <c r="C14" s="196" t="str">
        <f t="shared" si="0"/>
        <v>0602</v>
      </c>
      <c r="D14" s="159" t="s">
        <v>174</v>
      </c>
      <c r="E14" s="190">
        <v>2018</v>
      </c>
      <c r="F14" s="162" t="s">
        <v>175</v>
      </c>
      <c r="G14" s="162" t="s">
        <v>145</v>
      </c>
      <c r="H14" s="197" t="str">
        <f>IF(VLOOKUP(G14,income,R14-1985,FALSE)="UM","Upper-middle",IF(VLOOKUP(G14,income,R14-1985,FALSE)="LM","Lower-middle",IF(VLOOKUP(G14,income,R14-1985,FALSE)="L","Low")))</f>
        <v>Upper-middle</v>
      </c>
      <c r="I14" s="163">
        <v>1</v>
      </c>
      <c r="J14" s="162" t="s">
        <v>167</v>
      </c>
      <c r="K14" s="162" t="s">
        <v>147</v>
      </c>
      <c r="L14" s="207" t="str">
        <f t="shared" si="3"/>
        <v>PCV13 vs NoVax</v>
      </c>
      <c r="M14" s="162" t="s">
        <v>1552</v>
      </c>
      <c r="N14" s="163" t="s">
        <v>148</v>
      </c>
      <c r="O14" s="164" t="s">
        <v>149</v>
      </c>
      <c r="P14" s="162" t="s">
        <v>150</v>
      </c>
      <c r="Q14" s="162" t="s">
        <v>151</v>
      </c>
      <c r="R14" s="190">
        <v>2016</v>
      </c>
      <c r="S14" s="191">
        <v>138.72</v>
      </c>
      <c r="T14" s="198">
        <f>IF(ISNUMBER(S14),S14/VLOOKUP($Q14,xRates!$A$1:$BL$267,studies!$R14-xRates!$B$1+2,FALSE),"")</f>
        <v>138.72</v>
      </c>
      <c r="V14" s="198" t="str">
        <f>IF(ISNUMBER(U14),U14/VLOOKUP($Q14,xRates!$A$1:$BL$267,studies!$R14-xRates!$B$1+2,FALSE),"")</f>
        <v/>
      </c>
      <c r="W14" s="163">
        <v>0</v>
      </c>
      <c r="X14" s="163">
        <v>1</v>
      </c>
      <c r="Y14" s="163">
        <v>1</v>
      </c>
      <c r="Z14" s="163">
        <v>1</v>
      </c>
      <c r="AA14" s="163">
        <v>1</v>
      </c>
      <c r="AB14" s="163" t="s">
        <v>152</v>
      </c>
      <c r="AC14" s="190">
        <v>18483</v>
      </c>
      <c r="AD14" s="213">
        <f>IF(ISNUMBER(AC14),AC14/VLOOKUP($Q14,xRates!$A$1:$BL$267,studies!$R14-xRates!$B$1+2,FALSE),"")</f>
        <v>18483</v>
      </c>
      <c r="AE14" s="200">
        <f t="shared" si="4"/>
        <v>0</v>
      </c>
      <c r="AF14" s="200">
        <f>VLOOKUP(G14,gdppc,R14-1958,FALSE)</f>
        <v>8094.4</v>
      </c>
      <c r="AG14" s="195" t="str">
        <f t="shared" si="5"/>
        <v>Not cost-effective</v>
      </c>
      <c r="AH14" s="195" t="str">
        <f t="shared" si="6"/>
        <v>Cost-effective</v>
      </c>
      <c r="AI14" s="204">
        <f t="shared" si="7"/>
        <v>2.2834305198655862</v>
      </c>
      <c r="AJ14" s="205">
        <f>IFERROR(VLOOKUP(G14,ochalek,11,FALSE),"")</f>
        <v>0.71</v>
      </c>
      <c r="AK14" s="195" t="str">
        <f t="shared" si="8"/>
        <v>Not cost-effective</v>
      </c>
      <c r="AL14" s="205">
        <f>IFERROR(VLOOKUP(G14,ochalek,10,FALSE),"")</f>
        <v>0.45</v>
      </c>
      <c r="AM14" s="207" t="str">
        <f t="shared" si="9"/>
        <v>Not cost-effective</v>
      </c>
      <c r="AN14" s="205">
        <f>IFERROR(VLOOKUP(G14,woods,6,FALSE),"")</f>
        <v>0.64811121873397526</v>
      </c>
      <c r="AO14" s="195" t="str">
        <f t="shared" si="10"/>
        <v>Not cost-effective</v>
      </c>
      <c r="AP14" s="205">
        <f>IFERROR(VLOOKUP(G14,woods,5,FALSE),"")</f>
        <v>0.16395077203578146</v>
      </c>
      <c r="AQ14" s="195" t="str">
        <f t="shared" si="11"/>
        <v>Not cost-effective</v>
      </c>
      <c r="AR14" s="205">
        <f>IFERROR(VLOOKUP(G14,riviere,8,FALSE),"")</f>
        <v>0.90271000305602389</v>
      </c>
      <c r="AS14" s="195" t="str">
        <f t="shared" si="12"/>
        <v>Not cost-effective</v>
      </c>
      <c r="AT14" s="205">
        <f>IFERROR(VLOOKUP(G14,riviere,7,FALSE),"")</f>
        <v>0.374116464081862</v>
      </c>
      <c r="AU14" s="195" t="str">
        <f t="shared" si="13"/>
        <v>Not cost-effective</v>
      </c>
      <c r="AV14" s="162" t="s">
        <v>176</v>
      </c>
      <c r="AW14" s="162" t="s">
        <v>162</v>
      </c>
      <c r="AX14" s="210">
        <f t="shared" si="14"/>
        <v>1</v>
      </c>
      <c r="AY14" s="210">
        <f t="shared" si="15"/>
        <v>1</v>
      </c>
      <c r="AZ14" s="197">
        <f t="shared" si="16"/>
        <v>1</v>
      </c>
      <c r="BA14" s="197">
        <f t="shared" si="17"/>
        <v>1</v>
      </c>
      <c r="BB14" s="197">
        <f t="shared" si="18"/>
        <v>1</v>
      </c>
      <c r="BC14" s="197">
        <f t="shared" si="19"/>
        <v>1</v>
      </c>
      <c r="BD14" s="197">
        <f t="shared" si="20"/>
        <v>6</v>
      </c>
      <c r="BE14" s="163" t="s">
        <v>155</v>
      </c>
      <c r="BF14" s="162" t="s">
        <v>177</v>
      </c>
    </row>
    <row r="15" spans="1:58">
      <c r="A15" s="195">
        <f t="shared" si="1"/>
        <v>7</v>
      </c>
      <c r="B15" s="195">
        <f t="shared" si="2"/>
        <v>1</v>
      </c>
      <c r="C15" s="196" t="str">
        <f t="shared" si="0"/>
        <v>0701</v>
      </c>
      <c r="D15" s="159" t="s">
        <v>178</v>
      </c>
      <c r="E15" s="190">
        <v>2011</v>
      </c>
      <c r="F15" s="162" t="s">
        <v>179</v>
      </c>
      <c r="G15" s="162" t="s">
        <v>180</v>
      </c>
      <c r="H15" s="197" t="str">
        <f>IF(VLOOKUP(G15,income,R15-1985,FALSE)="UM","Upper-middle",IF(VLOOKUP(G15,income,R15-1985,FALSE)="LM","Lower-middle",IF(VLOOKUP(G15,income,R15-1985,FALSE)="L","Low")))</f>
        <v>Upper-middle</v>
      </c>
      <c r="I15" s="163">
        <v>1</v>
      </c>
      <c r="J15" s="162" t="s">
        <v>146</v>
      </c>
      <c r="K15" s="162" t="s">
        <v>147</v>
      </c>
      <c r="L15" s="207" t="str">
        <f t="shared" si="3"/>
        <v>PCV7 vs NoVax</v>
      </c>
      <c r="M15" s="162" t="s">
        <v>1552</v>
      </c>
      <c r="N15" s="163" t="s">
        <v>148</v>
      </c>
      <c r="O15" s="164" t="s">
        <v>159</v>
      </c>
      <c r="P15" s="162" t="s">
        <v>181</v>
      </c>
      <c r="Q15" s="162" t="s">
        <v>180</v>
      </c>
      <c r="R15" s="190">
        <v>2007</v>
      </c>
      <c r="S15" s="191">
        <v>222</v>
      </c>
      <c r="T15" s="198">
        <f>IF(ISNUMBER(S15),S15/VLOOKUP($Q15,xRates!$A$1:$BL$267,studies!$R15-xRates!$B$1+2,FALSE),"")</f>
        <v>64.534883720930239</v>
      </c>
      <c r="V15" s="198" t="str">
        <f>IF(ISNUMBER(U15),U15/VLOOKUP($Q15,xRates!$A$1:$BL$267,studies!$R15-xRates!$B$1+2,FALSE),"")</f>
        <v/>
      </c>
      <c r="W15" s="163">
        <v>1</v>
      </c>
      <c r="X15" s="163">
        <v>0</v>
      </c>
      <c r="Y15" s="163">
        <v>1</v>
      </c>
      <c r="Z15" s="163">
        <v>1</v>
      </c>
      <c r="AA15" s="163">
        <v>1</v>
      </c>
      <c r="AB15" s="163" t="s">
        <v>152</v>
      </c>
      <c r="AC15" s="190">
        <v>35196</v>
      </c>
      <c r="AD15" s="213">
        <f>IF(ISNUMBER(AC15),AC15/VLOOKUP($Q15,xRates!$A$1:$BL$267,studies!$R15-xRates!$B$1+2,FALSE),"")</f>
        <v>10231.39534883721</v>
      </c>
      <c r="AE15" s="200">
        <f t="shared" si="4"/>
        <v>0</v>
      </c>
      <c r="AF15" s="200">
        <f>VLOOKUP(G15,gdppc,R15-1958,FALSE)</f>
        <v>7144</v>
      </c>
      <c r="AG15" s="195" t="str">
        <f t="shared" si="5"/>
        <v>Not cost-effective</v>
      </c>
      <c r="AH15" s="195" t="str">
        <f t="shared" si="6"/>
        <v>Cost-effective</v>
      </c>
      <c r="AI15" s="204">
        <f t="shared" si="7"/>
        <v>1.4321662022448503</v>
      </c>
      <c r="AJ15" s="205">
        <f>IFERROR(VLOOKUP(G15,ochalek,11,FALSE),"")</f>
        <v>0.75</v>
      </c>
      <c r="AK15" s="195" t="str">
        <f t="shared" si="8"/>
        <v>Not cost-effective</v>
      </c>
      <c r="AL15" s="205">
        <f>IFERROR(VLOOKUP(G15,ochalek,10,FALSE),"")</f>
        <v>0.45</v>
      </c>
      <c r="AM15" s="207" t="str">
        <f t="shared" si="9"/>
        <v>Not cost-effective</v>
      </c>
      <c r="AN15" s="205">
        <f>IFERROR(VLOOKUP(G15,woods,6,FALSE),"")</f>
        <v>0.5771973489191532</v>
      </c>
      <c r="AO15" s="195" t="str">
        <f t="shared" si="10"/>
        <v>Not cost-effective</v>
      </c>
      <c r="AP15" s="205">
        <f>IFERROR(VLOOKUP(G15,woods,5,FALSE),"")</f>
        <v>0.32448707551478878</v>
      </c>
      <c r="AQ15" s="195" t="str">
        <f t="shared" si="11"/>
        <v>Not cost-effective</v>
      </c>
      <c r="AR15" s="205">
        <f>IFERROR(VLOOKUP(G15,riviere,8,FALSE),"")</f>
        <v>0.68675272410416721</v>
      </c>
      <c r="AS15" s="195" t="str">
        <f t="shared" si="12"/>
        <v>Not cost-effective</v>
      </c>
      <c r="AT15" s="205">
        <f>IFERROR(VLOOKUP(G15,riviere,7,FALSE),"")</f>
        <v>0.28467225411198244</v>
      </c>
      <c r="AU15" s="195" t="str">
        <f t="shared" si="13"/>
        <v>Not cost-effective</v>
      </c>
      <c r="AV15" s="162" t="s">
        <v>161</v>
      </c>
      <c r="AW15" s="162" t="s">
        <v>162</v>
      </c>
      <c r="AX15" s="210">
        <f t="shared" si="14"/>
        <v>1</v>
      </c>
      <c r="AY15" s="210">
        <f t="shared" si="15"/>
        <v>1</v>
      </c>
      <c r="AZ15" s="197">
        <f t="shared" si="16"/>
        <v>1</v>
      </c>
      <c r="BA15" s="197">
        <f t="shared" si="17"/>
        <v>1</v>
      </c>
      <c r="BB15" s="197">
        <f t="shared" si="18"/>
        <v>1</v>
      </c>
      <c r="BC15" s="197">
        <f t="shared" si="19"/>
        <v>1</v>
      </c>
      <c r="BD15" s="197">
        <f t="shared" si="20"/>
        <v>6</v>
      </c>
      <c r="BE15" s="163" t="s">
        <v>155</v>
      </c>
      <c r="BF15" s="162" t="s">
        <v>163</v>
      </c>
    </row>
    <row r="16" spans="1:58">
      <c r="A16" s="195">
        <f t="shared" si="1"/>
        <v>8</v>
      </c>
      <c r="B16" s="195">
        <f t="shared" si="2"/>
        <v>1</v>
      </c>
      <c r="C16" s="196" t="str">
        <f t="shared" si="0"/>
        <v>0801</v>
      </c>
      <c r="D16" s="159" t="s">
        <v>178</v>
      </c>
      <c r="E16" s="190">
        <v>2014</v>
      </c>
      <c r="F16" s="162" t="s">
        <v>182</v>
      </c>
      <c r="G16" s="162" t="s">
        <v>180</v>
      </c>
      <c r="H16" s="197" t="str">
        <f>IF(VLOOKUP(G16,income,R16-1985,FALSE)="UM","Upper-middle",IF(VLOOKUP(G16,income,R16-1985,FALSE)="LM","Lower-middle",IF(VLOOKUP(G16,income,R16-1985,FALSE)="L","Low")))</f>
        <v>Upper-middle</v>
      </c>
      <c r="I16" s="163">
        <v>1</v>
      </c>
      <c r="J16" s="162" t="s">
        <v>166</v>
      </c>
      <c r="K16" s="162" t="s">
        <v>147</v>
      </c>
      <c r="L16" s="207" t="str">
        <f t="shared" si="3"/>
        <v>PCV10 vs NoVax</v>
      </c>
      <c r="M16" s="162" t="s">
        <v>1552</v>
      </c>
      <c r="N16" s="163" t="s">
        <v>148</v>
      </c>
      <c r="O16" s="164" t="s">
        <v>159</v>
      </c>
      <c r="P16" s="162" t="s">
        <v>150</v>
      </c>
      <c r="Q16" s="162" t="s">
        <v>151</v>
      </c>
      <c r="R16" s="190">
        <v>2010</v>
      </c>
      <c r="S16" s="191"/>
      <c r="T16" s="198" t="str">
        <f>IF(ISNUMBER(S16),S16/VLOOKUP($Q16,xRates!$A$1:$BL$267,studies!$R16-xRates!$B$1+2,FALSE),"")</f>
        <v/>
      </c>
      <c r="V16" s="198" t="str">
        <f>IF(ISNUMBER(U16),U16/VLOOKUP($Q16,xRates!$A$1:$BL$267,studies!$R16-xRates!$B$1+2,FALSE),"")</f>
        <v/>
      </c>
      <c r="W16" s="163">
        <v>1</v>
      </c>
      <c r="X16" s="163">
        <v>0</v>
      </c>
      <c r="Y16" s="163">
        <v>1</v>
      </c>
      <c r="Z16" s="163">
        <v>1</v>
      </c>
      <c r="AA16" s="163">
        <v>1</v>
      </c>
      <c r="AB16" s="163" t="s">
        <v>152</v>
      </c>
      <c r="AC16" s="190">
        <v>9406</v>
      </c>
      <c r="AD16" s="213">
        <f>IF(ISNUMBER(AC16),AC16/VLOOKUP($Q16,xRates!$A$1:$BL$267,studies!$R16-xRates!$B$1+2,FALSE),"")</f>
        <v>9406</v>
      </c>
      <c r="AE16" s="200">
        <f t="shared" si="4"/>
        <v>0</v>
      </c>
      <c r="AF16" s="200">
        <f>VLOOKUP(G16,gdppc,R16-1958,FALSE)</f>
        <v>8880.1</v>
      </c>
      <c r="AG16" s="195" t="str">
        <f t="shared" si="5"/>
        <v>Not cost-effective</v>
      </c>
      <c r="AH16" s="195" t="str">
        <f t="shared" si="6"/>
        <v>Cost-effective</v>
      </c>
      <c r="AI16" s="204">
        <f t="shared" si="7"/>
        <v>1.059222306055112</v>
      </c>
      <c r="AJ16" s="205">
        <f>IFERROR(VLOOKUP(G16,ochalek,11,FALSE),"")</f>
        <v>0.75</v>
      </c>
      <c r="AK16" s="195" t="str">
        <f t="shared" si="8"/>
        <v>Not cost-effective</v>
      </c>
      <c r="AL16" s="205">
        <f>IFERROR(VLOOKUP(G16,ochalek,10,FALSE),"")</f>
        <v>0.45</v>
      </c>
      <c r="AM16" s="207" t="str">
        <f t="shared" si="9"/>
        <v>Not cost-effective</v>
      </c>
      <c r="AN16" s="205">
        <f>IFERROR(VLOOKUP(G16,woods,6,FALSE),"")</f>
        <v>0.5771973489191532</v>
      </c>
      <c r="AO16" s="195" t="str">
        <f t="shared" si="10"/>
        <v>Not cost-effective</v>
      </c>
      <c r="AP16" s="205">
        <f>IFERROR(VLOOKUP(G16,woods,5,FALSE),"")</f>
        <v>0.32448707551478878</v>
      </c>
      <c r="AQ16" s="195" t="str">
        <f t="shared" si="11"/>
        <v>Not cost-effective</v>
      </c>
      <c r="AR16" s="205">
        <f>IFERROR(VLOOKUP(G16,riviere,8,FALSE),"")</f>
        <v>0.68675272410416721</v>
      </c>
      <c r="AS16" s="195" t="str">
        <f t="shared" si="12"/>
        <v>Not cost-effective</v>
      </c>
      <c r="AT16" s="205">
        <f>IFERROR(VLOOKUP(G16,riviere,7,FALSE),"")</f>
        <v>0.28467225411198244</v>
      </c>
      <c r="AU16" s="195" t="str">
        <f t="shared" si="13"/>
        <v>Not cost-effective</v>
      </c>
      <c r="AV16" s="162" t="s">
        <v>161</v>
      </c>
      <c r="AW16" s="162" t="s">
        <v>162</v>
      </c>
      <c r="AX16" s="210">
        <f t="shared" si="14"/>
        <v>1</v>
      </c>
      <c r="AY16" s="210">
        <f t="shared" si="15"/>
        <v>1</v>
      </c>
      <c r="AZ16" s="197">
        <f t="shared" si="16"/>
        <v>1</v>
      </c>
      <c r="BA16" s="197">
        <f t="shared" si="17"/>
        <v>1</v>
      </c>
      <c r="BB16" s="197">
        <f t="shared" si="18"/>
        <v>1</v>
      </c>
      <c r="BC16" s="197">
        <f t="shared" si="19"/>
        <v>1</v>
      </c>
      <c r="BD16" s="197">
        <f t="shared" si="20"/>
        <v>6</v>
      </c>
      <c r="BE16" s="163" t="s">
        <v>155</v>
      </c>
      <c r="BF16" s="162" t="s">
        <v>163</v>
      </c>
    </row>
    <row r="17" spans="1:58">
      <c r="A17" s="195">
        <f t="shared" si="1"/>
        <v>8</v>
      </c>
      <c r="B17" s="195">
        <f t="shared" si="2"/>
        <v>2</v>
      </c>
      <c r="C17" s="196" t="str">
        <f t="shared" si="0"/>
        <v>0802</v>
      </c>
      <c r="D17" s="159" t="s">
        <v>178</v>
      </c>
      <c r="E17" s="190">
        <v>2014</v>
      </c>
      <c r="F17" s="162" t="s">
        <v>182</v>
      </c>
      <c r="G17" s="162" t="s">
        <v>180</v>
      </c>
      <c r="H17" s="197" t="str">
        <f>IF(VLOOKUP(G17,income,R17-1985,FALSE)="UM","Upper-middle",IF(VLOOKUP(G17,income,R17-1985,FALSE)="LM","Lower-middle",IF(VLOOKUP(G17,income,R17-1985,FALSE)="L","Low")))</f>
        <v>Upper-middle</v>
      </c>
      <c r="I17" s="163">
        <v>1</v>
      </c>
      <c r="J17" s="162" t="s">
        <v>167</v>
      </c>
      <c r="K17" s="162" t="s">
        <v>166</v>
      </c>
      <c r="L17" s="207" t="str">
        <f t="shared" si="3"/>
        <v>PCV13 vs PCV10</v>
      </c>
      <c r="M17" s="162" t="s">
        <v>1552</v>
      </c>
      <c r="N17" s="163" t="s">
        <v>148</v>
      </c>
      <c r="O17" s="164" t="s">
        <v>159</v>
      </c>
      <c r="P17" s="162" t="s">
        <v>150</v>
      </c>
      <c r="Q17" s="162" t="s">
        <v>151</v>
      </c>
      <c r="R17" s="190">
        <v>2010</v>
      </c>
      <c r="S17" s="191"/>
      <c r="T17" s="198" t="str">
        <f>IF(ISNUMBER(S17),S17/VLOOKUP($Q17,xRates!$A$1:$BL$267,studies!$R17-xRates!$B$1+2,FALSE),"")</f>
        <v/>
      </c>
      <c r="V17" s="198" t="str">
        <f>IF(ISNUMBER(U17),U17/VLOOKUP($Q17,xRates!$A$1:$BL$267,studies!$R17-xRates!$B$1+2,FALSE),"")</f>
        <v/>
      </c>
      <c r="W17" s="163">
        <v>1</v>
      </c>
      <c r="X17" s="163">
        <v>0</v>
      </c>
      <c r="Y17" s="163">
        <v>1</v>
      </c>
      <c r="Z17" s="163">
        <v>1</v>
      </c>
      <c r="AA17" s="163">
        <v>1</v>
      </c>
      <c r="AB17" s="163" t="s">
        <v>152</v>
      </c>
      <c r="AC17" s="190">
        <v>61061.49</v>
      </c>
      <c r="AD17" s="213">
        <f>IF(ISNUMBER(AC17),AC17/VLOOKUP($Q17,xRates!$A$1:$BL$267,studies!$R17-xRates!$B$1+2,FALSE),"")</f>
        <v>61061.49</v>
      </c>
      <c r="AE17" s="200">
        <f t="shared" si="4"/>
        <v>0</v>
      </c>
      <c r="AF17" s="200">
        <f>VLOOKUP(G17,gdppc,R17-1958,FALSE)</f>
        <v>8880.1</v>
      </c>
      <c r="AG17" s="195" t="str">
        <f t="shared" si="5"/>
        <v>Not cost-effective</v>
      </c>
      <c r="AH17" s="195" t="str">
        <f t="shared" si="6"/>
        <v>Not cost-effective</v>
      </c>
      <c r="AI17" s="204">
        <f t="shared" si="7"/>
        <v>6.8762164840486024</v>
      </c>
      <c r="AJ17" s="205">
        <f>IFERROR(VLOOKUP(G17,ochalek,11,FALSE),"")</f>
        <v>0.75</v>
      </c>
      <c r="AK17" s="195" t="str">
        <f t="shared" si="8"/>
        <v>Not cost-effective</v>
      </c>
      <c r="AL17" s="205">
        <f>IFERROR(VLOOKUP(G17,ochalek,10,FALSE),"")</f>
        <v>0.45</v>
      </c>
      <c r="AM17" s="207" t="str">
        <f t="shared" si="9"/>
        <v>Not cost-effective</v>
      </c>
      <c r="AN17" s="205">
        <f>IFERROR(VLOOKUP(G17,woods,6,FALSE),"")</f>
        <v>0.5771973489191532</v>
      </c>
      <c r="AO17" s="195" t="str">
        <f t="shared" si="10"/>
        <v>Not cost-effective</v>
      </c>
      <c r="AP17" s="205">
        <f>IFERROR(VLOOKUP(G17,woods,5,FALSE),"")</f>
        <v>0.32448707551478878</v>
      </c>
      <c r="AQ17" s="195" t="str">
        <f t="shared" si="11"/>
        <v>Not cost-effective</v>
      </c>
      <c r="AR17" s="205">
        <f>IFERROR(VLOOKUP(G17,riviere,8,FALSE),"")</f>
        <v>0.68675272410416721</v>
      </c>
      <c r="AS17" s="195" t="str">
        <f t="shared" si="12"/>
        <v>Not cost-effective</v>
      </c>
      <c r="AT17" s="205">
        <f>IFERROR(VLOOKUP(G17,riviere,7,FALSE),"")</f>
        <v>0.28467225411198244</v>
      </c>
      <c r="AU17" s="195" t="str">
        <f t="shared" si="13"/>
        <v>Not cost-effective</v>
      </c>
      <c r="AV17" s="162" t="s">
        <v>161</v>
      </c>
      <c r="AW17" s="162" t="s">
        <v>154</v>
      </c>
      <c r="AX17" s="210" t="str">
        <f t="shared" si="14"/>
        <v/>
      </c>
      <c r="AY17" s="210" t="str">
        <f t="shared" si="15"/>
        <v/>
      </c>
      <c r="AZ17" s="197" t="str">
        <f t="shared" si="16"/>
        <v/>
      </c>
      <c r="BA17" s="197" t="str">
        <f t="shared" si="17"/>
        <v/>
      </c>
      <c r="BB17" s="197" t="str">
        <f t="shared" si="18"/>
        <v/>
      </c>
      <c r="BC17" s="197" t="str">
        <f t="shared" si="19"/>
        <v/>
      </c>
      <c r="BD17" s="197">
        <f t="shared" si="20"/>
        <v>0</v>
      </c>
      <c r="BE17" s="163" t="s">
        <v>155</v>
      </c>
      <c r="BF17" s="162" t="s">
        <v>163</v>
      </c>
    </row>
    <row r="18" spans="1:58">
      <c r="A18" s="195">
        <f t="shared" si="1"/>
        <v>9</v>
      </c>
      <c r="B18" s="195">
        <f t="shared" si="2"/>
        <v>1</v>
      </c>
      <c r="C18" s="196" t="str">
        <f t="shared" si="0"/>
        <v>0901</v>
      </c>
      <c r="D18" s="159" t="s">
        <v>83</v>
      </c>
      <c r="E18" s="190">
        <v>2017</v>
      </c>
      <c r="F18" s="162" t="s">
        <v>183</v>
      </c>
      <c r="G18" s="162" t="s">
        <v>180</v>
      </c>
      <c r="H18" s="197" t="str">
        <f>IF(VLOOKUP(G18,income,R18-1985,FALSE)="UM","Upper-middle",IF(VLOOKUP(G18,income,R18-1985,FALSE)="LM","Lower-middle",IF(VLOOKUP(G18,income,R18-1985,FALSE)="L","Low")))</f>
        <v>Upper-middle</v>
      </c>
      <c r="I18" s="163">
        <v>1</v>
      </c>
      <c r="J18" s="162" t="s">
        <v>166</v>
      </c>
      <c r="K18" s="162" t="s">
        <v>147</v>
      </c>
      <c r="L18" s="207" t="str">
        <f t="shared" si="3"/>
        <v>PCV10 vs NoVax</v>
      </c>
      <c r="M18" s="162" t="s">
        <v>1551</v>
      </c>
      <c r="N18" s="163" t="s">
        <v>148</v>
      </c>
      <c r="O18" s="164" t="s">
        <v>159</v>
      </c>
      <c r="P18" s="162" t="s">
        <v>150</v>
      </c>
      <c r="Q18" s="162" t="s">
        <v>151</v>
      </c>
      <c r="R18" s="190">
        <v>2014</v>
      </c>
      <c r="S18" s="191">
        <v>34.25</v>
      </c>
      <c r="T18" s="198">
        <f>IF(ISNUMBER(S18),S18/VLOOKUP($Q18,xRates!$A$1:$BL$267,studies!$R18-xRates!$B$1+2,FALSE),"")</f>
        <v>34.25</v>
      </c>
      <c r="V18" s="198" t="str">
        <f>IF(ISNUMBER(U18),U18/VLOOKUP($Q18,xRates!$A$1:$BL$267,studies!$R18-xRates!$B$1+2,FALSE),"")</f>
        <v/>
      </c>
      <c r="W18" s="163">
        <v>0</v>
      </c>
      <c r="X18" s="163">
        <v>0</v>
      </c>
      <c r="Y18" s="163">
        <v>1</v>
      </c>
      <c r="Z18" s="163">
        <v>1</v>
      </c>
      <c r="AA18" s="163">
        <v>1</v>
      </c>
      <c r="AB18" s="163" t="s">
        <v>152</v>
      </c>
      <c r="AC18" s="190">
        <v>28497</v>
      </c>
      <c r="AD18" s="213">
        <f>IF(ISNUMBER(AC18),AC18/VLOOKUP($Q18,xRates!$A$1:$BL$267,studies!$R18-xRates!$B$1+2,FALSE),"")</f>
        <v>28497</v>
      </c>
      <c r="AE18" s="200">
        <f t="shared" si="4"/>
        <v>0</v>
      </c>
      <c r="AF18" s="200">
        <f>VLOOKUP(G18,gdppc,R18-1958,FALSE)</f>
        <v>11045.6</v>
      </c>
      <c r="AG18" s="195" t="str">
        <f t="shared" si="5"/>
        <v>Not cost-effective</v>
      </c>
      <c r="AH18" s="195" t="str">
        <f t="shared" si="6"/>
        <v>Cost-effective</v>
      </c>
      <c r="AI18" s="204">
        <f t="shared" si="7"/>
        <v>2.5799413341058881</v>
      </c>
      <c r="AJ18" s="205">
        <f>IFERROR(VLOOKUP(G18,ochalek,11,FALSE),"")</f>
        <v>0.75</v>
      </c>
      <c r="AK18" s="195" t="str">
        <f t="shared" si="8"/>
        <v>Not cost-effective</v>
      </c>
      <c r="AL18" s="205">
        <f>IFERROR(VLOOKUP(G18,ochalek,10,FALSE),"")</f>
        <v>0.45</v>
      </c>
      <c r="AM18" s="207" t="str">
        <f t="shared" si="9"/>
        <v>Not cost-effective</v>
      </c>
      <c r="AN18" s="205">
        <f>IFERROR(VLOOKUP(G18,woods,6,FALSE),"")</f>
        <v>0.5771973489191532</v>
      </c>
      <c r="AO18" s="195" t="str">
        <f t="shared" si="10"/>
        <v>Not cost-effective</v>
      </c>
      <c r="AP18" s="205">
        <f>IFERROR(VLOOKUP(G18,woods,5,FALSE),"")</f>
        <v>0.32448707551478878</v>
      </c>
      <c r="AQ18" s="195" t="str">
        <f t="shared" si="11"/>
        <v>Not cost-effective</v>
      </c>
      <c r="AR18" s="205">
        <f>IFERROR(VLOOKUP(G18,riviere,8,FALSE),"")</f>
        <v>0.68675272410416721</v>
      </c>
      <c r="AS18" s="195" t="str">
        <f t="shared" si="12"/>
        <v>Not cost-effective</v>
      </c>
      <c r="AT18" s="205">
        <f>IFERROR(VLOOKUP(G18,riviere,7,FALSE),"")</f>
        <v>0.28467225411198244</v>
      </c>
      <c r="AU18" s="195" t="str">
        <f t="shared" si="13"/>
        <v>Not cost-effective</v>
      </c>
      <c r="AV18" s="162" t="s">
        <v>161</v>
      </c>
      <c r="AW18" s="162" t="s">
        <v>162</v>
      </c>
      <c r="AX18" s="210">
        <f t="shared" si="14"/>
        <v>1</v>
      </c>
      <c r="AY18" s="210">
        <f t="shared" si="15"/>
        <v>1</v>
      </c>
      <c r="AZ18" s="197">
        <f t="shared" si="16"/>
        <v>1</v>
      </c>
      <c r="BA18" s="197">
        <f t="shared" si="17"/>
        <v>1</v>
      </c>
      <c r="BB18" s="197">
        <f t="shared" si="18"/>
        <v>1</v>
      </c>
      <c r="BC18" s="197">
        <f t="shared" si="19"/>
        <v>1</v>
      </c>
      <c r="BD18" s="197">
        <f t="shared" si="20"/>
        <v>6</v>
      </c>
      <c r="BE18" s="163" t="s">
        <v>155</v>
      </c>
      <c r="BF18" s="162" t="s">
        <v>163</v>
      </c>
    </row>
    <row r="19" spans="1:58">
      <c r="A19" s="195">
        <f t="shared" si="1"/>
        <v>9</v>
      </c>
      <c r="B19" s="195">
        <f t="shared" si="2"/>
        <v>2</v>
      </c>
      <c r="C19" s="196" t="str">
        <f t="shared" si="0"/>
        <v>0902</v>
      </c>
      <c r="D19" s="159" t="s">
        <v>83</v>
      </c>
      <c r="E19" s="190">
        <v>2017</v>
      </c>
      <c r="F19" s="162" t="s">
        <v>183</v>
      </c>
      <c r="G19" s="162" t="s">
        <v>180</v>
      </c>
      <c r="H19" s="197" t="str">
        <f>IF(VLOOKUP(G19,income,R19-1985,FALSE)="UM","Upper-middle",IF(VLOOKUP(G19,income,R19-1985,FALSE)="LM","Lower-middle",IF(VLOOKUP(G19,income,R19-1985,FALSE)="L","Low")))</f>
        <v>Upper-middle</v>
      </c>
      <c r="I19" s="163">
        <v>1</v>
      </c>
      <c r="J19" s="162" t="s">
        <v>167</v>
      </c>
      <c r="K19" s="162" t="s">
        <v>166</v>
      </c>
      <c r="L19" s="207" t="str">
        <f t="shared" si="3"/>
        <v>PCV13 vs PCV10</v>
      </c>
      <c r="M19" s="162" t="s">
        <v>1551</v>
      </c>
      <c r="N19" s="163" t="s">
        <v>155</v>
      </c>
      <c r="O19" s="164" t="s">
        <v>159</v>
      </c>
      <c r="P19" s="162" t="s">
        <v>150</v>
      </c>
      <c r="Q19" s="162" t="s">
        <v>151</v>
      </c>
      <c r="R19" s="190">
        <v>2014</v>
      </c>
      <c r="S19" s="191">
        <v>34.25</v>
      </c>
      <c r="T19" s="198">
        <f>IF(ISNUMBER(S19),S19/VLOOKUP($Q19,xRates!$A$1:$BL$267,studies!$R19-xRates!$B$1+2,FALSE),"")</f>
        <v>34.25</v>
      </c>
      <c r="U19" s="163">
        <v>34.25</v>
      </c>
      <c r="V19" s="198">
        <f>IF(ISNUMBER(U19),U19/VLOOKUP($Q19,xRates!$A$1:$BL$267,studies!$R19-xRates!$B$1+2,FALSE),"")</f>
        <v>34.25</v>
      </c>
      <c r="W19" s="163">
        <v>0</v>
      </c>
      <c r="X19" s="163">
        <v>0</v>
      </c>
      <c r="Y19" s="163">
        <v>1</v>
      </c>
      <c r="Z19" s="163">
        <v>1</v>
      </c>
      <c r="AA19" s="163">
        <v>1</v>
      </c>
      <c r="AB19" s="163" t="s">
        <v>152</v>
      </c>
      <c r="AC19" s="190">
        <v>44907.6</v>
      </c>
      <c r="AD19" s="213">
        <f>IF(ISNUMBER(AC19),AC19/VLOOKUP($Q19,xRates!$A$1:$BL$267,studies!$R19-xRates!$B$1+2,FALSE),"")</f>
        <v>44907.6</v>
      </c>
      <c r="AE19" s="200">
        <f t="shared" si="4"/>
        <v>0</v>
      </c>
      <c r="AF19" s="200">
        <f>VLOOKUP(G19,gdppc,R19-1958,FALSE)</f>
        <v>11045.6</v>
      </c>
      <c r="AG19" s="195" t="str">
        <f t="shared" si="5"/>
        <v>Not cost-effective</v>
      </c>
      <c r="AH19" s="195" t="str">
        <f t="shared" si="6"/>
        <v>Not cost-effective</v>
      </c>
      <c r="AI19" s="204">
        <f t="shared" si="7"/>
        <v>4.0656551024842464</v>
      </c>
      <c r="AJ19" s="205">
        <f>IFERROR(VLOOKUP(G19,ochalek,11,FALSE),"")</f>
        <v>0.75</v>
      </c>
      <c r="AK19" s="195" t="str">
        <f t="shared" si="8"/>
        <v>Not cost-effective</v>
      </c>
      <c r="AL19" s="205">
        <f>IFERROR(VLOOKUP(G19,ochalek,10,FALSE),"")</f>
        <v>0.45</v>
      </c>
      <c r="AM19" s="207" t="str">
        <f t="shared" si="9"/>
        <v>Not cost-effective</v>
      </c>
      <c r="AN19" s="205">
        <f>IFERROR(VLOOKUP(G19,woods,6,FALSE),"")</f>
        <v>0.5771973489191532</v>
      </c>
      <c r="AO19" s="195" t="str">
        <f t="shared" si="10"/>
        <v>Not cost-effective</v>
      </c>
      <c r="AP19" s="205">
        <f>IFERROR(VLOOKUP(G19,woods,5,FALSE),"")</f>
        <v>0.32448707551478878</v>
      </c>
      <c r="AQ19" s="195" t="str">
        <f t="shared" si="11"/>
        <v>Not cost-effective</v>
      </c>
      <c r="AR19" s="205">
        <f>IFERROR(VLOOKUP(G19,riviere,8,FALSE),"")</f>
        <v>0.68675272410416721</v>
      </c>
      <c r="AS19" s="195" t="str">
        <f t="shared" si="12"/>
        <v>Not cost-effective</v>
      </c>
      <c r="AT19" s="205">
        <f>IFERROR(VLOOKUP(G19,riviere,7,FALSE),"")</f>
        <v>0.28467225411198244</v>
      </c>
      <c r="AU19" s="195" t="str">
        <f t="shared" si="13"/>
        <v>Not cost-effective</v>
      </c>
      <c r="AV19" s="162" t="s">
        <v>161</v>
      </c>
      <c r="AW19" s="162" t="s">
        <v>154</v>
      </c>
      <c r="AX19" s="210" t="str">
        <f t="shared" si="14"/>
        <v/>
      </c>
      <c r="AY19" s="210" t="str">
        <f t="shared" si="15"/>
        <v/>
      </c>
      <c r="AZ19" s="197" t="str">
        <f t="shared" si="16"/>
        <v/>
      </c>
      <c r="BA19" s="197" t="str">
        <f t="shared" si="17"/>
        <v/>
      </c>
      <c r="BB19" s="197" t="str">
        <f t="shared" si="18"/>
        <v/>
      </c>
      <c r="BC19" s="197" t="str">
        <f t="shared" si="19"/>
        <v/>
      </c>
      <c r="BD19" s="197">
        <f t="shared" si="20"/>
        <v>0</v>
      </c>
      <c r="BE19" s="163" t="s">
        <v>155</v>
      </c>
      <c r="BF19" s="162" t="s">
        <v>163</v>
      </c>
    </row>
    <row r="20" spans="1:58">
      <c r="A20" s="195">
        <f t="shared" si="1"/>
        <v>10</v>
      </c>
      <c r="B20" s="195">
        <f t="shared" si="2"/>
        <v>1</v>
      </c>
      <c r="C20" s="196" t="str">
        <f t="shared" si="0"/>
        <v>1001</v>
      </c>
      <c r="D20" s="159" t="s">
        <v>184</v>
      </c>
      <c r="E20" s="190">
        <v>2016</v>
      </c>
      <c r="F20" s="162" t="s">
        <v>185</v>
      </c>
      <c r="G20" s="162" t="s">
        <v>180</v>
      </c>
      <c r="H20" s="197" t="str">
        <f>IF(VLOOKUP(G20,income,R20-1985,FALSE)="UM","Upper-middle",IF(VLOOKUP(G20,income,R20-1985,FALSE)="LM","Lower-middle",IF(VLOOKUP(G20,income,R20-1985,FALSE)="L","Low")))</f>
        <v>Upper-middle</v>
      </c>
      <c r="I20" s="163">
        <v>1</v>
      </c>
      <c r="J20" s="162" t="s">
        <v>166</v>
      </c>
      <c r="K20" s="162" t="s">
        <v>147</v>
      </c>
      <c r="L20" s="207" t="str">
        <f t="shared" si="3"/>
        <v>PCV10 vs NoVax</v>
      </c>
      <c r="M20" s="162" t="s">
        <v>1552</v>
      </c>
      <c r="N20" s="163" t="s">
        <v>148</v>
      </c>
      <c r="O20" s="164" t="s">
        <v>159</v>
      </c>
      <c r="P20" s="162" t="s">
        <v>150</v>
      </c>
      <c r="Q20" s="162" t="s">
        <v>151</v>
      </c>
      <c r="R20" s="190">
        <v>2014</v>
      </c>
      <c r="S20" s="191">
        <v>55</v>
      </c>
      <c r="T20" s="198">
        <f>IF(ISNUMBER(S20),S20/VLOOKUP($Q20,xRates!$A$1:$BL$267,studies!$R20-xRates!$B$1+2,FALSE),"")</f>
        <v>55</v>
      </c>
      <c r="V20" s="198" t="str">
        <f>IF(ISNUMBER(U20),U20/VLOOKUP($Q20,xRates!$A$1:$BL$267,studies!$R20-xRates!$B$1+2,FALSE),"")</f>
        <v/>
      </c>
      <c r="W20" s="163">
        <v>1</v>
      </c>
      <c r="X20" s="163">
        <v>0</v>
      </c>
      <c r="Y20" s="163">
        <v>1</v>
      </c>
      <c r="Z20" s="163">
        <v>1</v>
      </c>
      <c r="AA20" s="163">
        <v>1</v>
      </c>
      <c r="AB20" s="163" t="s">
        <v>152</v>
      </c>
      <c r="AC20" s="190">
        <v>21438</v>
      </c>
      <c r="AD20" s="213">
        <f>IF(ISNUMBER(AC20),AC20/VLOOKUP($Q20,xRates!$A$1:$BL$267,studies!$R20-xRates!$B$1+2,FALSE),"")</f>
        <v>21438</v>
      </c>
      <c r="AE20" s="200">
        <f t="shared" si="4"/>
        <v>0</v>
      </c>
      <c r="AF20" s="200">
        <f>VLOOKUP(G20,gdppc,R20-1958,FALSE)</f>
        <v>11045.6</v>
      </c>
      <c r="AG20" s="195" t="str">
        <f t="shared" si="5"/>
        <v>Not cost-effective</v>
      </c>
      <c r="AH20" s="195" t="str">
        <f t="shared" si="6"/>
        <v>Cost-effective</v>
      </c>
      <c r="AI20" s="204">
        <f t="shared" si="7"/>
        <v>1.9408633301948286</v>
      </c>
      <c r="AJ20" s="205">
        <f>IFERROR(VLOOKUP(G20,ochalek,11,FALSE),"")</f>
        <v>0.75</v>
      </c>
      <c r="AK20" s="195" t="str">
        <f t="shared" si="8"/>
        <v>Not cost-effective</v>
      </c>
      <c r="AL20" s="205">
        <f>IFERROR(VLOOKUP(G20,ochalek,10,FALSE),"")</f>
        <v>0.45</v>
      </c>
      <c r="AM20" s="207" t="str">
        <f t="shared" si="9"/>
        <v>Not cost-effective</v>
      </c>
      <c r="AN20" s="205">
        <f>IFERROR(VLOOKUP(G20,woods,6,FALSE),"")</f>
        <v>0.5771973489191532</v>
      </c>
      <c r="AO20" s="195" t="str">
        <f t="shared" si="10"/>
        <v>Not cost-effective</v>
      </c>
      <c r="AP20" s="205">
        <f>IFERROR(VLOOKUP(G20,woods,5,FALSE),"")</f>
        <v>0.32448707551478878</v>
      </c>
      <c r="AQ20" s="195" t="str">
        <f t="shared" si="11"/>
        <v>Not cost-effective</v>
      </c>
      <c r="AR20" s="205">
        <f>IFERROR(VLOOKUP(G20,riviere,8,FALSE),"")</f>
        <v>0.68675272410416721</v>
      </c>
      <c r="AS20" s="195" t="str">
        <f t="shared" si="12"/>
        <v>Not cost-effective</v>
      </c>
      <c r="AT20" s="205">
        <f>IFERROR(VLOOKUP(G20,riviere,7,FALSE),"")</f>
        <v>0.28467225411198244</v>
      </c>
      <c r="AU20" s="195" t="str">
        <f t="shared" si="13"/>
        <v>Not cost-effective</v>
      </c>
      <c r="AV20" s="162" t="s">
        <v>176</v>
      </c>
      <c r="AW20" s="162" t="s">
        <v>154</v>
      </c>
      <c r="AX20" s="210" t="str">
        <f t="shared" si="14"/>
        <v/>
      </c>
      <c r="AY20" s="210" t="str">
        <f t="shared" si="15"/>
        <v/>
      </c>
      <c r="AZ20" s="197" t="str">
        <f t="shared" si="16"/>
        <v/>
      </c>
      <c r="BA20" s="197" t="str">
        <f t="shared" si="17"/>
        <v/>
      </c>
      <c r="BB20" s="197" t="str">
        <f t="shared" si="18"/>
        <v/>
      </c>
      <c r="BC20" s="197" t="str">
        <f t="shared" si="19"/>
        <v/>
      </c>
      <c r="BD20" s="197">
        <f t="shared" si="20"/>
        <v>0</v>
      </c>
      <c r="BE20" s="163" t="s">
        <v>155</v>
      </c>
      <c r="BF20" s="162" t="s">
        <v>163</v>
      </c>
    </row>
    <row r="21" spans="1:58">
      <c r="A21" s="195">
        <f t="shared" si="1"/>
        <v>10</v>
      </c>
      <c r="B21" s="195">
        <f t="shared" si="2"/>
        <v>2</v>
      </c>
      <c r="C21" s="196" t="str">
        <f t="shared" si="0"/>
        <v>1002</v>
      </c>
      <c r="D21" s="159" t="s">
        <v>184</v>
      </c>
      <c r="E21" s="190">
        <v>2016</v>
      </c>
      <c r="F21" s="162" t="s">
        <v>185</v>
      </c>
      <c r="G21" s="162" t="s">
        <v>180</v>
      </c>
      <c r="H21" s="197" t="str">
        <f>IF(VLOOKUP(G21,income,R21-1985,FALSE)="UM","Upper-middle",IF(VLOOKUP(G21,income,R21-1985,FALSE)="LM","Lower-middle",IF(VLOOKUP(G21,income,R21-1985,FALSE)="L","Low")))</f>
        <v>Upper-middle</v>
      </c>
      <c r="I21" s="163">
        <v>1</v>
      </c>
      <c r="J21" s="162" t="s">
        <v>166</v>
      </c>
      <c r="K21" s="162" t="s">
        <v>147</v>
      </c>
      <c r="L21" s="207" t="str">
        <f t="shared" si="3"/>
        <v>PCV10 vs NoVax</v>
      </c>
      <c r="M21" s="162" t="s">
        <v>1552</v>
      </c>
      <c r="N21" s="163" t="s">
        <v>148</v>
      </c>
      <c r="O21" s="164" t="s">
        <v>149</v>
      </c>
      <c r="P21" s="162" t="s">
        <v>150</v>
      </c>
      <c r="Q21" s="162" t="s">
        <v>151</v>
      </c>
      <c r="R21" s="190">
        <v>2014</v>
      </c>
      <c r="S21" s="191">
        <v>55</v>
      </c>
      <c r="T21" s="198">
        <f>IF(ISNUMBER(S21),S21/VLOOKUP($Q21,xRates!$A$1:$BL$267,studies!$R21-xRates!$B$1+2,FALSE),"")</f>
        <v>55</v>
      </c>
      <c r="V21" s="198" t="str">
        <f>IF(ISNUMBER(U21),U21/VLOOKUP($Q21,xRates!$A$1:$BL$267,studies!$R21-xRates!$B$1+2,FALSE),"")</f>
        <v/>
      </c>
      <c r="W21" s="163">
        <v>1</v>
      </c>
      <c r="X21" s="163">
        <v>0</v>
      </c>
      <c r="Y21" s="163">
        <v>1</v>
      </c>
      <c r="Z21" s="163">
        <v>1</v>
      </c>
      <c r="AA21" s="163">
        <v>1</v>
      </c>
      <c r="AB21" s="163" t="s">
        <v>152</v>
      </c>
      <c r="AC21" s="190">
        <v>20667</v>
      </c>
      <c r="AD21" s="213">
        <f>IF(ISNUMBER(AC21),AC21/VLOOKUP($Q21,xRates!$A$1:$BL$267,studies!$R21-xRates!$B$1+2,FALSE),"")</f>
        <v>20667</v>
      </c>
      <c r="AE21" s="200">
        <f t="shared" si="4"/>
        <v>0</v>
      </c>
      <c r="AF21" s="200">
        <f>VLOOKUP(G21,gdppc,R21-1958,FALSE)</f>
        <v>11045.6</v>
      </c>
      <c r="AG21" s="195" t="str">
        <f t="shared" si="5"/>
        <v>Not cost-effective</v>
      </c>
      <c r="AH21" s="195" t="str">
        <f t="shared" si="6"/>
        <v>Cost-effective</v>
      </c>
      <c r="AI21" s="204">
        <f t="shared" si="7"/>
        <v>1.8710617802563916</v>
      </c>
      <c r="AJ21" s="205">
        <f>IFERROR(VLOOKUP(G21,ochalek,11,FALSE),"")</f>
        <v>0.75</v>
      </c>
      <c r="AK21" s="195" t="str">
        <f t="shared" si="8"/>
        <v>Not cost-effective</v>
      </c>
      <c r="AL21" s="205">
        <f>IFERROR(VLOOKUP(G21,ochalek,10,FALSE),"")</f>
        <v>0.45</v>
      </c>
      <c r="AM21" s="207" t="str">
        <f t="shared" si="9"/>
        <v>Not cost-effective</v>
      </c>
      <c r="AN21" s="205">
        <f>IFERROR(VLOOKUP(G21,woods,6,FALSE),"")</f>
        <v>0.5771973489191532</v>
      </c>
      <c r="AO21" s="195" t="str">
        <f t="shared" si="10"/>
        <v>Not cost-effective</v>
      </c>
      <c r="AP21" s="205">
        <f>IFERROR(VLOOKUP(G21,woods,5,FALSE),"")</f>
        <v>0.32448707551478878</v>
      </c>
      <c r="AQ21" s="195" t="str">
        <f t="shared" si="11"/>
        <v>Not cost-effective</v>
      </c>
      <c r="AR21" s="205">
        <f>IFERROR(VLOOKUP(G21,riviere,8,FALSE),"")</f>
        <v>0.68675272410416721</v>
      </c>
      <c r="AS21" s="195" t="str">
        <f t="shared" si="12"/>
        <v>Not cost-effective</v>
      </c>
      <c r="AT21" s="205">
        <f>IFERROR(VLOOKUP(G21,riviere,7,FALSE),"")</f>
        <v>0.28467225411198244</v>
      </c>
      <c r="AU21" s="195" t="str">
        <f t="shared" si="13"/>
        <v>Not cost-effective</v>
      </c>
      <c r="AV21" s="162" t="s">
        <v>176</v>
      </c>
      <c r="AW21" s="162" t="s">
        <v>154</v>
      </c>
      <c r="AX21" s="210" t="str">
        <f t="shared" si="14"/>
        <v/>
      </c>
      <c r="AY21" s="210" t="str">
        <f t="shared" si="15"/>
        <v/>
      </c>
      <c r="AZ21" s="197" t="str">
        <f t="shared" si="16"/>
        <v/>
      </c>
      <c r="BA21" s="197" t="str">
        <f t="shared" si="17"/>
        <v/>
      </c>
      <c r="BB21" s="197" t="str">
        <f t="shared" si="18"/>
        <v/>
      </c>
      <c r="BC21" s="197" t="str">
        <f t="shared" si="19"/>
        <v/>
      </c>
      <c r="BD21" s="197">
        <f t="shared" si="20"/>
        <v>0</v>
      </c>
      <c r="BE21" s="163" t="s">
        <v>155</v>
      </c>
      <c r="BF21" s="162" t="s">
        <v>163</v>
      </c>
    </row>
    <row r="22" spans="1:58">
      <c r="A22" s="195">
        <f t="shared" si="1"/>
        <v>10</v>
      </c>
      <c r="B22" s="195">
        <f t="shared" si="2"/>
        <v>3</v>
      </c>
      <c r="C22" s="196" t="str">
        <f t="shared" si="0"/>
        <v>1003</v>
      </c>
      <c r="D22" s="159" t="s">
        <v>184</v>
      </c>
      <c r="E22" s="190">
        <v>2016</v>
      </c>
      <c r="F22" s="162" t="s">
        <v>185</v>
      </c>
      <c r="G22" s="162" t="s">
        <v>180</v>
      </c>
      <c r="H22" s="197" t="str">
        <f>IF(VLOOKUP(G22,income,R22-1985,FALSE)="UM","Upper-middle",IF(VLOOKUP(G22,income,R22-1985,FALSE)="LM","Lower-middle",IF(VLOOKUP(G22,income,R22-1985,FALSE)="L","Low")))</f>
        <v>Upper-middle</v>
      </c>
      <c r="I22" s="163">
        <v>1</v>
      </c>
      <c r="J22" s="162" t="s">
        <v>167</v>
      </c>
      <c r="K22" s="162" t="s">
        <v>147</v>
      </c>
      <c r="L22" s="207" t="str">
        <f t="shared" si="3"/>
        <v>PCV13 vs NoVax</v>
      </c>
      <c r="M22" s="162" t="s">
        <v>1552</v>
      </c>
      <c r="N22" s="163" t="s">
        <v>148</v>
      </c>
      <c r="O22" s="164" t="s">
        <v>159</v>
      </c>
      <c r="P22" s="162" t="s">
        <v>150</v>
      </c>
      <c r="Q22" s="162" t="s">
        <v>151</v>
      </c>
      <c r="R22" s="190">
        <v>2014</v>
      </c>
      <c r="S22" s="191">
        <v>55</v>
      </c>
      <c r="T22" s="198">
        <f>IF(ISNUMBER(S22),S22/VLOOKUP($Q22,xRates!$A$1:$BL$267,studies!$R22-xRates!$B$1+2,FALSE),"")</f>
        <v>55</v>
      </c>
      <c r="V22" s="198" t="str">
        <f>IF(ISNUMBER(U22),U22/VLOOKUP($Q22,xRates!$A$1:$BL$267,studies!$R22-xRates!$B$1+2,FALSE),"")</f>
        <v/>
      </c>
      <c r="W22" s="163">
        <v>1</v>
      </c>
      <c r="X22" s="163">
        <v>0</v>
      </c>
      <c r="Y22" s="163">
        <v>1</v>
      </c>
      <c r="Z22" s="163">
        <v>1</v>
      </c>
      <c r="AA22" s="163">
        <v>1</v>
      </c>
      <c r="AB22" s="163" t="s">
        <v>152</v>
      </c>
      <c r="AC22" s="190">
        <v>6389</v>
      </c>
      <c r="AD22" s="213">
        <f>IF(ISNUMBER(AC22),AC22/VLOOKUP($Q22,xRates!$A$1:$BL$267,studies!$R22-xRates!$B$1+2,FALSE),"")</f>
        <v>6389</v>
      </c>
      <c r="AE22" s="200">
        <f t="shared" si="4"/>
        <v>0</v>
      </c>
      <c r="AF22" s="200">
        <f>VLOOKUP(G22,gdppc,R22-1958,FALSE)</f>
        <v>11045.6</v>
      </c>
      <c r="AG22" s="195" t="str">
        <f t="shared" si="5"/>
        <v>Cost-effective</v>
      </c>
      <c r="AH22" s="195" t="str">
        <f t="shared" si="6"/>
        <v>Cost-effective</v>
      </c>
      <c r="AI22" s="204">
        <f t="shared" si="7"/>
        <v>0.57842036648077055</v>
      </c>
      <c r="AJ22" s="205">
        <f>IFERROR(VLOOKUP(G22,ochalek,11,FALSE),"")</f>
        <v>0.75</v>
      </c>
      <c r="AK22" s="195" t="str">
        <f t="shared" si="8"/>
        <v>Cost-effective</v>
      </c>
      <c r="AL22" s="205">
        <f>IFERROR(VLOOKUP(G22,ochalek,10,FALSE),"")</f>
        <v>0.45</v>
      </c>
      <c r="AM22" s="207" t="str">
        <f t="shared" si="9"/>
        <v>Not cost-effective</v>
      </c>
      <c r="AN22" s="205">
        <f>IFERROR(VLOOKUP(G22,woods,6,FALSE),"")</f>
        <v>0.5771973489191532</v>
      </c>
      <c r="AO22" s="195" t="str">
        <f t="shared" si="10"/>
        <v>Not cost-effective</v>
      </c>
      <c r="AP22" s="205">
        <f>IFERROR(VLOOKUP(G22,woods,5,FALSE),"")</f>
        <v>0.32448707551478878</v>
      </c>
      <c r="AQ22" s="195" t="str">
        <f t="shared" si="11"/>
        <v>Not cost-effective</v>
      </c>
      <c r="AR22" s="205">
        <f>IFERROR(VLOOKUP(G22,riviere,8,FALSE),"")</f>
        <v>0.68675272410416721</v>
      </c>
      <c r="AS22" s="195" t="str">
        <f t="shared" si="12"/>
        <v>Cost-effective</v>
      </c>
      <c r="AT22" s="205">
        <f>IFERROR(VLOOKUP(G22,riviere,7,FALSE),"")</f>
        <v>0.28467225411198244</v>
      </c>
      <c r="AU22" s="195" t="str">
        <f t="shared" si="13"/>
        <v>Not cost-effective</v>
      </c>
      <c r="AV22" s="162" t="s">
        <v>176</v>
      </c>
      <c r="AW22" s="162" t="s">
        <v>162</v>
      </c>
      <c r="AX22" s="210">
        <f t="shared" si="14"/>
        <v>0</v>
      </c>
      <c r="AY22" s="210">
        <f t="shared" si="15"/>
        <v>1</v>
      </c>
      <c r="AZ22" s="197">
        <f t="shared" si="16"/>
        <v>1</v>
      </c>
      <c r="BA22" s="197">
        <f t="shared" si="17"/>
        <v>1</v>
      </c>
      <c r="BB22" s="197">
        <f t="shared" si="18"/>
        <v>0</v>
      </c>
      <c r="BC22" s="197">
        <f t="shared" si="19"/>
        <v>1</v>
      </c>
      <c r="BD22" s="197">
        <f t="shared" si="20"/>
        <v>4</v>
      </c>
      <c r="BE22" s="163" t="s">
        <v>155</v>
      </c>
      <c r="BF22" s="162" t="s">
        <v>163</v>
      </c>
    </row>
    <row r="23" spans="1:58">
      <c r="A23" s="195">
        <f t="shared" si="1"/>
        <v>10</v>
      </c>
      <c r="B23" s="195">
        <f t="shared" si="2"/>
        <v>4</v>
      </c>
      <c r="C23" s="196" t="str">
        <f t="shared" si="0"/>
        <v>1004</v>
      </c>
      <c r="D23" s="159" t="s">
        <v>184</v>
      </c>
      <c r="E23" s="190">
        <v>2016</v>
      </c>
      <c r="F23" s="162" t="s">
        <v>185</v>
      </c>
      <c r="G23" s="162" t="s">
        <v>180</v>
      </c>
      <c r="H23" s="197" t="str">
        <f>IF(VLOOKUP(G23,income,R23-1985,FALSE)="UM","Upper-middle",IF(VLOOKUP(G23,income,R23-1985,FALSE)="LM","Lower-middle",IF(VLOOKUP(G23,income,R23-1985,FALSE)="L","Low")))</f>
        <v>Upper-middle</v>
      </c>
      <c r="I23" s="163">
        <v>1</v>
      </c>
      <c r="J23" s="162" t="s">
        <v>167</v>
      </c>
      <c r="K23" s="162" t="s">
        <v>147</v>
      </c>
      <c r="L23" s="207" t="str">
        <f t="shared" si="3"/>
        <v>PCV13 vs NoVax</v>
      </c>
      <c r="M23" s="162" t="s">
        <v>1552</v>
      </c>
      <c r="N23" s="163" t="s">
        <v>148</v>
      </c>
      <c r="O23" s="164" t="s">
        <v>149</v>
      </c>
      <c r="P23" s="162" t="s">
        <v>150</v>
      </c>
      <c r="Q23" s="162" t="s">
        <v>151</v>
      </c>
      <c r="R23" s="190">
        <v>2014</v>
      </c>
      <c r="S23" s="191">
        <v>55</v>
      </c>
      <c r="T23" s="198">
        <f>IF(ISNUMBER(S23),S23/VLOOKUP($Q23,xRates!$A$1:$BL$267,studies!$R23-xRates!$B$1+2,FALSE),"")</f>
        <v>55</v>
      </c>
      <c r="V23" s="198" t="str">
        <f>IF(ISNUMBER(U23),U23/VLOOKUP($Q23,xRates!$A$1:$BL$267,studies!$R23-xRates!$B$1+2,FALSE),"")</f>
        <v/>
      </c>
      <c r="W23" s="163">
        <v>1</v>
      </c>
      <c r="X23" s="163">
        <v>0</v>
      </c>
      <c r="Y23" s="163">
        <v>1</v>
      </c>
      <c r="Z23" s="163">
        <v>1</v>
      </c>
      <c r="AA23" s="163">
        <v>1</v>
      </c>
      <c r="AB23" s="163" t="s">
        <v>152</v>
      </c>
      <c r="AC23" s="190">
        <v>4883</v>
      </c>
      <c r="AD23" s="213">
        <f>IF(ISNUMBER(AC23),AC23/VLOOKUP($Q23,xRates!$A$1:$BL$267,studies!$R23-xRates!$B$1+2,FALSE),"")</f>
        <v>4883</v>
      </c>
      <c r="AE23" s="200">
        <f t="shared" si="4"/>
        <v>0</v>
      </c>
      <c r="AF23" s="200">
        <f>VLOOKUP(G23,gdppc,R23-1958,FALSE)</f>
        <v>11045.6</v>
      </c>
      <c r="AG23" s="195" t="str">
        <f t="shared" si="5"/>
        <v>Cost-effective</v>
      </c>
      <c r="AH23" s="195" t="str">
        <f t="shared" si="6"/>
        <v>Cost-effective</v>
      </c>
      <c r="AI23" s="204">
        <f t="shared" si="7"/>
        <v>0.44207648294343449</v>
      </c>
      <c r="AJ23" s="205">
        <f>IFERROR(VLOOKUP(G23,ochalek,11,FALSE),"")</f>
        <v>0.75</v>
      </c>
      <c r="AK23" s="195" t="str">
        <f t="shared" si="8"/>
        <v>Cost-effective</v>
      </c>
      <c r="AL23" s="205">
        <f>IFERROR(VLOOKUP(G23,ochalek,10,FALSE),"")</f>
        <v>0.45</v>
      </c>
      <c r="AM23" s="207" t="str">
        <f t="shared" si="9"/>
        <v>Cost-effective</v>
      </c>
      <c r="AN23" s="205">
        <f>IFERROR(VLOOKUP(G23,woods,6,FALSE),"")</f>
        <v>0.5771973489191532</v>
      </c>
      <c r="AO23" s="195" t="str">
        <f t="shared" si="10"/>
        <v>Cost-effective</v>
      </c>
      <c r="AP23" s="205">
        <f>IFERROR(VLOOKUP(G23,woods,5,FALSE),"")</f>
        <v>0.32448707551478878</v>
      </c>
      <c r="AQ23" s="195" t="str">
        <f t="shared" si="11"/>
        <v>Not cost-effective</v>
      </c>
      <c r="AR23" s="205">
        <f>IFERROR(VLOOKUP(G23,riviere,8,FALSE),"")</f>
        <v>0.68675272410416721</v>
      </c>
      <c r="AS23" s="195" t="str">
        <f t="shared" si="12"/>
        <v>Cost-effective</v>
      </c>
      <c r="AT23" s="205">
        <f>IFERROR(VLOOKUP(G23,riviere,7,FALSE),"")</f>
        <v>0.28467225411198244</v>
      </c>
      <c r="AU23" s="195" t="str">
        <f t="shared" si="13"/>
        <v>Not cost-effective</v>
      </c>
      <c r="AV23" s="162" t="s">
        <v>176</v>
      </c>
      <c r="AW23" s="162" t="s">
        <v>162</v>
      </c>
      <c r="AX23" s="210">
        <f t="shared" si="14"/>
        <v>0</v>
      </c>
      <c r="AY23" s="210">
        <f t="shared" si="15"/>
        <v>0</v>
      </c>
      <c r="AZ23" s="197">
        <f t="shared" si="16"/>
        <v>0</v>
      </c>
      <c r="BA23" s="197">
        <f t="shared" si="17"/>
        <v>1</v>
      </c>
      <c r="BB23" s="197">
        <f t="shared" si="18"/>
        <v>0</v>
      </c>
      <c r="BC23" s="197">
        <f t="shared" si="19"/>
        <v>1</v>
      </c>
      <c r="BD23" s="197">
        <f t="shared" si="20"/>
        <v>2</v>
      </c>
      <c r="BE23" s="163" t="s">
        <v>155</v>
      </c>
      <c r="BF23" s="162" t="s">
        <v>163</v>
      </c>
    </row>
    <row r="24" spans="1:58">
      <c r="A24" s="195">
        <f t="shared" si="1"/>
        <v>10</v>
      </c>
      <c r="B24" s="195">
        <f t="shared" si="2"/>
        <v>5</v>
      </c>
      <c r="C24" s="196" t="str">
        <f t="shared" si="0"/>
        <v>1005</v>
      </c>
      <c r="D24" s="159" t="s">
        <v>184</v>
      </c>
      <c r="E24" s="190">
        <v>2016</v>
      </c>
      <c r="F24" s="162" t="s">
        <v>185</v>
      </c>
      <c r="G24" s="162" t="s">
        <v>180</v>
      </c>
      <c r="H24" s="197" t="str">
        <f>IF(VLOOKUP(G24,income,R24-1985,FALSE)="UM","Upper-middle",IF(VLOOKUP(G24,income,R24-1985,FALSE)="LM","Lower-middle",IF(VLOOKUP(G24,income,R24-1985,FALSE)="L","Low")))</f>
        <v>Upper-middle</v>
      </c>
      <c r="I24" s="163">
        <v>1</v>
      </c>
      <c r="J24" s="162" t="s">
        <v>167</v>
      </c>
      <c r="K24" s="162" t="s">
        <v>166</v>
      </c>
      <c r="L24" s="207" t="str">
        <f t="shared" si="3"/>
        <v>PCV13 vs PCV10</v>
      </c>
      <c r="M24" s="162" t="s">
        <v>1552</v>
      </c>
      <c r="N24" s="163" t="s">
        <v>148</v>
      </c>
      <c r="O24" s="164" t="s">
        <v>159</v>
      </c>
      <c r="P24" s="162" t="s">
        <v>150</v>
      </c>
      <c r="Q24" s="162" t="s">
        <v>151</v>
      </c>
      <c r="R24" s="190">
        <v>2014</v>
      </c>
      <c r="S24" s="191">
        <v>55</v>
      </c>
      <c r="T24" s="198">
        <f>IF(ISNUMBER(S24),S24/VLOOKUP($Q24,xRates!$A$1:$BL$267,studies!$R24-xRates!$B$1+2,FALSE),"")</f>
        <v>55</v>
      </c>
      <c r="U24" s="163">
        <v>55</v>
      </c>
      <c r="V24" s="198">
        <f>IF(ISNUMBER(U24),U24/VLOOKUP($Q24,xRates!$A$1:$BL$267,studies!$R24-xRates!$B$1+2,FALSE),"")</f>
        <v>55</v>
      </c>
      <c r="W24" s="163">
        <v>1</v>
      </c>
      <c r="X24" s="163">
        <v>0</v>
      </c>
      <c r="Y24" s="163">
        <v>1</v>
      </c>
      <c r="Z24" s="163">
        <v>1</v>
      </c>
      <c r="AA24" s="163">
        <v>1</v>
      </c>
      <c r="AB24" s="163" t="s">
        <v>152</v>
      </c>
      <c r="AC24" s="190">
        <v>-3059</v>
      </c>
      <c r="AD24" s="213">
        <f>IF(ISNUMBER(AC24),AC24/VLOOKUP($Q24,xRates!$A$1:$BL$267,studies!$R24-xRates!$B$1+2,FALSE),"")</f>
        <v>-3059</v>
      </c>
      <c r="AE24" s="200">
        <f t="shared" si="4"/>
        <v>1</v>
      </c>
      <c r="AF24" s="200">
        <f>VLOOKUP(G24,gdppc,R24-1958,FALSE)</f>
        <v>11045.6</v>
      </c>
      <c r="AG24" s="195" t="str">
        <f t="shared" si="5"/>
        <v>Cost-saving</v>
      </c>
      <c r="AH24" s="195" t="str">
        <f t="shared" si="6"/>
        <v>Cost-saving</v>
      </c>
      <c r="AI24" s="204">
        <f t="shared" si="7"/>
        <v>-0.27694285507351341</v>
      </c>
      <c r="AJ24" s="205">
        <f>IFERROR(VLOOKUP(G24,ochalek,11,FALSE),"")</f>
        <v>0.75</v>
      </c>
      <c r="AK24" s="195" t="str">
        <f t="shared" si="8"/>
        <v>Cost-saving</v>
      </c>
      <c r="AL24" s="205">
        <f>IFERROR(VLOOKUP(G24,ochalek,10,FALSE),"")</f>
        <v>0.45</v>
      </c>
      <c r="AM24" s="207" t="str">
        <f t="shared" si="9"/>
        <v>Cost-saving</v>
      </c>
      <c r="AN24" s="205">
        <f>IFERROR(VLOOKUP(G24,woods,6,FALSE),"")</f>
        <v>0.5771973489191532</v>
      </c>
      <c r="AO24" s="195" t="str">
        <f t="shared" si="10"/>
        <v>Cost-saving</v>
      </c>
      <c r="AP24" s="205">
        <f>IFERROR(VLOOKUP(G24,woods,5,FALSE),"")</f>
        <v>0.32448707551478878</v>
      </c>
      <c r="AQ24" s="195" t="str">
        <f t="shared" si="11"/>
        <v>Cost-saving</v>
      </c>
      <c r="AR24" s="205">
        <f>IFERROR(VLOOKUP(G24,riviere,8,FALSE),"")</f>
        <v>0.68675272410416721</v>
      </c>
      <c r="AS24" s="195" t="str">
        <f t="shared" si="12"/>
        <v>Cost-saving</v>
      </c>
      <c r="AT24" s="205">
        <f>IFERROR(VLOOKUP(G24,riviere,7,FALSE),"")</f>
        <v>0.28467225411198244</v>
      </c>
      <c r="AU24" s="195" t="str">
        <f t="shared" si="13"/>
        <v>Cost-saving</v>
      </c>
      <c r="AV24" s="162" t="s">
        <v>176</v>
      </c>
      <c r="AW24" s="162" t="s">
        <v>186</v>
      </c>
      <c r="AX24" s="210" t="str">
        <f t="shared" si="14"/>
        <v/>
      </c>
      <c r="AY24" s="210" t="str">
        <f t="shared" si="15"/>
        <v/>
      </c>
      <c r="AZ24" s="197" t="str">
        <f t="shared" si="16"/>
        <v/>
      </c>
      <c r="BA24" s="197" t="str">
        <f t="shared" si="17"/>
        <v/>
      </c>
      <c r="BB24" s="197" t="str">
        <f t="shared" si="18"/>
        <v/>
      </c>
      <c r="BC24" s="197" t="str">
        <f t="shared" si="19"/>
        <v/>
      </c>
      <c r="BD24" s="197">
        <f t="shared" si="20"/>
        <v>0</v>
      </c>
      <c r="BE24" s="163" t="s">
        <v>155</v>
      </c>
      <c r="BF24" s="162" t="s">
        <v>163</v>
      </c>
    </row>
    <row r="25" spans="1:58">
      <c r="A25" s="195">
        <f t="shared" si="1"/>
        <v>10</v>
      </c>
      <c r="B25" s="195">
        <f t="shared" si="2"/>
        <v>6</v>
      </c>
      <c r="C25" s="196" t="str">
        <f t="shared" si="0"/>
        <v>1006</v>
      </c>
      <c r="D25" s="159" t="s">
        <v>184</v>
      </c>
      <c r="E25" s="190">
        <v>2016</v>
      </c>
      <c r="F25" s="162" t="s">
        <v>185</v>
      </c>
      <c r="G25" s="162" t="s">
        <v>180</v>
      </c>
      <c r="H25" s="197" t="str">
        <f>IF(VLOOKUP(G25,income,R25-1985,FALSE)="UM","Upper-middle",IF(VLOOKUP(G25,income,R25-1985,FALSE)="LM","Lower-middle",IF(VLOOKUP(G25,income,R25-1985,FALSE)="L","Low")))</f>
        <v>Upper-middle</v>
      </c>
      <c r="I25" s="163">
        <v>1</v>
      </c>
      <c r="J25" s="162" t="s">
        <v>167</v>
      </c>
      <c r="K25" s="162" t="s">
        <v>166</v>
      </c>
      <c r="L25" s="207" t="str">
        <f t="shared" si="3"/>
        <v>PCV13 vs PCV10</v>
      </c>
      <c r="M25" s="162" t="s">
        <v>1552</v>
      </c>
      <c r="N25" s="163" t="s">
        <v>148</v>
      </c>
      <c r="O25" s="164" t="s">
        <v>149</v>
      </c>
      <c r="P25" s="162" t="s">
        <v>150</v>
      </c>
      <c r="Q25" s="162" t="s">
        <v>151</v>
      </c>
      <c r="R25" s="190">
        <v>2014</v>
      </c>
      <c r="S25" s="191">
        <v>55</v>
      </c>
      <c r="T25" s="198">
        <f>IF(ISNUMBER(S25),S25/VLOOKUP($Q25,xRates!$A$1:$BL$267,studies!$R25-xRates!$B$1+2,FALSE),"")</f>
        <v>55</v>
      </c>
      <c r="U25" s="163">
        <v>55</v>
      </c>
      <c r="V25" s="198">
        <f>IF(ISNUMBER(U25),U25/VLOOKUP($Q25,xRates!$A$1:$BL$267,studies!$R25-xRates!$B$1+2,FALSE),"")</f>
        <v>55</v>
      </c>
      <c r="W25" s="163">
        <v>1</v>
      </c>
      <c r="X25" s="163">
        <v>0</v>
      </c>
      <c r="Y25" s="163">
        <v>1</v>
      </c>
      <c r="Z25" s="163">
        <v>1</v>
      </c>
      <c r="AA25" s="163">
        <v>1</v>
      </c>
      <c r="AB25" s="163" t="s">
        <v>152</v>
      </c>
      <c r="AC25" s="190">
        <v>-5027</v>
      </c>
      <c r="AD25" s="213">
        <f>IF(ISNUMBER(AC25),AC25/VLOOKUP($Q25,xRates!$A$1:$BL$267,studies!$R25-xRates!$B$1+2,FALSE),"")</f>
        <v>-5027</v>
      </c>
      <c r="AE25" s="200">
        <f t="shared" si="4"/>
        <v>1</v>
      </c>
      <c r="AF25" s="200">
        <f>VLOOKUP(G25,gdppc,R25-1958,FALSE)</f>
        <v>11045.6</v>
      </c>
      <c r="AG25" s="195" t="str">
        <f t="shared" si="5"/>
        <v>Cost-saving</v>
      </c>
      <c r="AH25" s="195" t="str">
        <f t="shared" si="6"/>
        <v>Cost-saving</v>
      </c>
      <c r="AI25" s="204">
        <f t="shared" si="7"/>
        <v>-0.45511334830158612</v>
      </c>
      <c r="AJ25" s="205">
        <f>IFERROR(VLOOKUP(G25,ochalek,11,FALSE),"")</f>
        <v>0.75</v>
      </c>
      <c r="AK25" s="195" t="str">
        <f t="shared" si="8"/>
        <v>Cost-saving</v>
      </c>
      <c r="AL25" s="205">
        <f>IFERROR(VLOOKUP(G25,ochalek,10,FALSE),"")</f>
        <v>0.45</v>
      </c>
      <c r="AM25" s="207" t="str">
        <f t="shared" si="9"/>
        <v>Cost-saving</v>
      </c>
      <c r="AN25" s="205">
        <f>IFERROR(VLOOKUP(G25,woods,6,FALSE),"")</f>
        <v>0.5771973489191532</v>
      </c>
      <c r="AO25" s="195" t="str">
        <f t="shared" si="10"/>
        <v>Cost-saving</v>
      </c>
      <c r="AP25" s="205">
        <f>IFERROR(VLOOKUP(G25,woods,5,FALSE),"")</f>
        <v>0.32448707551478878</v>
      </c>
      <c r="AQ25" s="195" t="str">
        <f t="shared" si="11"/>
        <v>Cost-saving</v>
      </c>
      <c r="AR25" s="205">
        <f>IFERROR(VLOOKUP(G25,riviere,8,FALSE),"")</f>
        <v>0.68675272410416721</v>
      </c>
      <c r="AS25" s="195" t="str">
        <f t="shared" si="12"/>
        <v>Cost-saving</v>
      </c>
      <c r="AT25" s="205">
        <f>IFERROR(VLOOKUP(G25,riviere,7,FALSE),"")</f>
        <v>0.28467225411198244</v>
      </c>
      <c r="AU25" s="195" t="str">
        <f t="shared" si="13"/>
        <v>Cost-saving</v>
      </c>
      <c r="AV25" s="162" t="s">
        <v>176</v>
      </c>
      <c r="AW25" s="162" t="s">
        <v>186</v>
      </c>
      <c r="AX25" s="210" t="str">
        <f t="shared" si="14"/>
        <v/>
      </c>
      <c r="AY25" s="210" t="str">
        <f t="shared" si="15"/>
        <v/>
      </c>
      <c r="AZ25" s="197" t="str">
        <f t="shared" si="16"/>
        <v/>
      </c>
      <c r="BA25" s="197" t="str">
        <f t="shared" si="17"/>
        <v/>
      </c>
      <c r="BB25" s="197" t="str">
        <f t="shared" si="18"/>
        <v/>
      </c>
      <c r="BC25" s="197" t="str">
        <f t="shared" si="19"/>
        <v/>
      </c>
      <c r="BD25" s="197">
        <f t="shared" si="20"/>
        <v>0</v>
      </c>
      <c r="BE25" s="163" t="s">
        <v>155</v>
      </c>
      <c r="BF25" s="162" t="s">
        <v>163</v>
      </c>
    </row>
    <row r="26" spans="1:58">
      <c r="A26" s="195">
        <f t="shared" si="1"/>
        <v>10</v>
      </c>
      <c r="B26" s="195">
        <f t="shared" si="2"/>
        <v>7</v>
      </c>
      <c r="C26" s="196" t="str">
        <f t="shared" si="0"/>
        <v>1007</v>
      </c>
      <c r="D26" s="159" t="s">
        <v>184</v>
      </c>
      <c r="E26" s="190">
        <v>2016</v>
      </c>
      <c r="F26" s="162" t="s">
        <v>185</v>
      </c>
      <c r="G26" s="162" t="s">
        <v>180</v>
      </c>
      <c r="H26" s="197" t="str">
        <f>IF(VLOOKUP(G26,income,R26-1985,FALSE)="UM","Upper-middle",IF(VLOOKUP(G26,income,R26-1985,FALSE)="LM","Lower-middle",IF(VLOOKUP(G26,income,R26-1985,FALSE)="L","Low")))</f>
        <v>Upper-middle</v>
      </c>
      <c r="I26" s="163">
        <v>1</v>
      </c>
      <c r="J26" s="162" t="s">
        <v>167</v>
      </c>
      <c r="K26" s="162" t="s">
        <v>147</v>
      </c>
      <c r="L26" s="207" t="str">
        <f t="shared" si="3"/>
        <v>PCV13 vs NoVax</v>
      </c>
      <c r="M26" s="162" t="s">
        <v>1552</v>
      </c>
      <c r="N26" s="163" t="s">
        <v>155</v>
      </c>
      <c r="O26" s="164" t="s">
        <v>159</v>
      </c>
      <c r="P26" s="162" t="s">
        <v>150</v>
      </c>
      <c r="Q26" s="162" t="s">
        <v>151</v>
      </c>
      <c r="R26" s="190">
        <v>2014</v>
      </c>
      <c r="S26" s="191">
        <v>55</v>
      </c>
      <c r="T26" s="198">
        <f>IF(ISNUMBER(S26),S26/VLOOKUP($Q26,xRates!$A$1:$BL$267,studies!$R26-xRates!$B$1+2,FALSE),"")</f>
        <v>55</v>
      </c>
      <c r="V26" s="198" t="str">
        <f>IF(ISNUMBER(U26),U26/VLOOKUP($Q26,xRates!$A$1:$BL$267,studies!$R26-xRates!$B$1+2,FALSE),"")</f>
        <v/>
      </c>
      <c r="W26" s="163">
        <v>0</v>
      </c>
      <c r="X26" s="163">
        <v>0</v>
      </c>
      <c r="Y26" s="163">
        <v>1</v>
      </c>
      <c r="Z26" s="163">
        <v>1</v>
      </c>
      <c r="AA26" s="163">
        <v>1</v>
      </c>
      <c r="AB26" s="163" t="s">
        <v>152</v>
      </c>
      <c r="AC26" s="190">
        <v>15752</v>
      </c>
      <c r="AD26" s="213">
        <f>IF(ISNUMBER(AC26),AC26/VLOOKUP($Q26,xRates!$A$1:$BL$267,studies!$R26-xRates!$B$1+2,FALSE),"")</f>
        <v>15752</v>
      </c>
      <c r="AE26" s="200">
        <f t="shared" si="4"/>
        <v>0</v>
      </c>
      <c r="AF26" s="200">
        <f>VLOOKUP(G26,gdppc,R26-1958,FALSE)</f>
        <v>11045.6</v>
      </c>
      <c r="AG26" s="195" t="str">
        <f t="shared" si="5"/>
        <v>Not cost-effective</v>
      </c>
      <c r="AH26" s="195" t="str">
        <f t="shared" si="6"/>
        <v>Cost-effective</v>
      </c>
      <c r="AI26" s="204">
        <f t="shared" si="7"/>
        <v>1.4260882161222568</v>
      </c>
      <c r="AJ26" s="205">
        <f>IFERROR(VLOOKUP(G26,ochalek,11,FALSE),"")</f>
        <v>0.75</v>
      </c>
      <c r="AK26" s="195" t="str">
        <f t="shared" si="8"/>
        <v>Not cost-effective</v>
      </c>
      <c r="AL26" s="205">
        <f>IFERROR(VLOOKUP(G26,ochalek,10,FALSE),"")</f>
        <v>0.45</v>
      </c>
      <c r="AM26" s="207" t="str">
        <f t="shared" si="9"/>
        <v>Not cost-effective</v>
      </c>
      <c r="AN26" s="205">
        <f>IFERROR(VLOOKUP(G26,woods,6,FALSE),"")</f>
        <v>0.5771973489191532</v>
      </c>
      <c r="AO26" s="195" t="str">
        <f t="shared" si="10"/>
        <v>Not cost-effective</v>
      </c>
      <c r="AP26" s="205">
        <f>IFERROR(VLOOKUP(G26,woods,5,FALSE),"")</f>
        <v>0.32448707551478878</v>
      </c>
      <c r="AQ26" s="195" t="str">
        <f t="shared" si="11"/>
        <v>Not cost-effective</v>
      </c>
      <c r="AR26" s="205">
        <f>IFERROR(VLOOKUP(G26,riviere,8,FALSE),"")</f>
        <v>0.68675272410416721</v>
      </c>
      <c r="AS26" s="195" t="str">
        <f t="shared" si="12"/>
        <v>Not cost-effective</v>
      </c>
      <c r="AT26" s="205">
        <f>IFERROR(VLOOKUP(G26,riviere,7,FALSE),"")</f>
        <v>0.28467225411198244</v>
      </c>
      <c r="AU26" s="195" t="str">
        <f t="shared" si="13"/>
        <v>Not cost-effective</v>
      </c>
      <c r="AV26" s="162" t="s">
        <v>176</v>
      </c>
      <c r="AW26" s="162" t="s">
        <v>154</v>
      </c>
      <c r="AX26" s="210" t="str">
        <f t="shared" si="14"/>
        <v/>
      </c>
      <c r="AY26" s="210" t="str">
        <f t="shared" si="15"/>
        <v/>
      </c>
      <c r="AZ26" s="197" t="str">
        <f t="shared" si="16"/>
        <v/>
      </c>
      <c r="BA26" s="197" t="str">
        <f t="shared" si="17"/>
        <v/>
      </c>
      <c r="BB26" s="197" t="str">
        <f t="shared" si="18"/>
        <v/>
      </c>
      <c r="BC26" s="197" t="str">
        <f t="shared" si="19"/>
        <v/>
      </c>
      <c r="BD26" s="197">
        <f t="shared" si="20"/>
        <v>0</v>
      </c>
      <c r="BE26" s="163" t="s">
        <v>155</v>
      </c>
      <c r="BF26" s="162" t="s">
        <v>163</v>
      </c>
    </row>
    <row r="27" spans="1:58">
      <c r="A27" s="195">
        <f t="shared" si="1"/>
        <v>10</v>
      </c>
      <c r="B27" s="195">
        <f t="shared" si="2"/>
        <v>8</v>
      </c>
      <c r="C27" s="196" t="str">
        <f t="shared" si="0"/>
        <v>1008</v>
      </c>
      <c r="D27" s="159" t="s">
        <v>184</v>
      </c>
      <c r="E27" s="190">
        <v>2016</v>
      </c>
      <c r="F27" s="162" t="s">
        <v>185</v>
      </c>
      <c r="G27" s="162" t="s">
        <v>180</v>
      </c>
      <c r="H27" s="197" t="str">
        <f>IF(VLOOKUP(G27,income,R27-1985,FALSE)="UM","Upper-middle",IF(VLOOKUP(G27,income,R27-1985,FALSE)="LM","Lower-middle",IF(VLOOKUP(G27,income,R27-1985,FALSE)="L","Low")))</f>
        <v>Upper-middle</v>
      </c>
      <c r="I27" s="163">
        <v>1</v>
      </c>
      <c r="J27" s="162" t="s">
        <v>167</v>
      </c>
      <c r="K27" s="162" t="s">
        <v>147</v>
      </c>
      <c r="L27" s="207" t="str">
        <f t="shared" si="3"/>
        <v>PCV13 vs NoVax</v>
      </c>
      <c r="M27" s="162" t="s">
        <v>1552</v>
      </c>
      <c r="N27" s="163" t="s">
        <v>155</v>
      </c>
      <c r="O27" s="164" t="s">
        <v>149</v>
      </c>
      <c r="P27" s="162" t="s">
        <v>150</v>
      </c>
      <c r="Q27" s="162" t="s">
        <v>151</v>
      </c>
      <c r="R27" s="190">
        <v>2014</v>
      </c>
      <c r="S27" s="191">
        <v>55</v>
      </c>
      <c r="T27" s="198">
        <f>IF(ISNUMBER(S27),S27/VLOOKUP($Q27,xRates!$A$1:$BL$267,studies!$R27-xRates!$B$1+2,FALSE),"")</f>
        <v>55</v>
      </c>
      <c r="V27" s="198" t="str">
        <f>IF(ISNUMBER(U27),U27/VLOOKUP($Q27,xRates!$A$1:$BL$267,studies!$R27-xRates!$B$1+2,FALSE),"")</f>
        <v/>
      </c>
      <c r="W27" s="163">
        <v>0</v>
      </c>
      <c r="X27" s="163">
        <v>0</v>
      </c>
      <c r="Y27" s="163">
        <v>1</v>
      </c>
      <c r="Z27" s="163">
        <v>1</v>
      </c>
      <c r="AA27" s="163">
        <v>1</v>
      </c>
      <c r="AB27" s="163" t="s">
        <v>152</v>
      </c>
      <c r="AC27" s="190">
        <v>14981</v>
      </c>
      <c r="AD27" s="213">
        <f>IF(ISNUMBER(AC27),AC27/VLOOKUP($Q27,xRates!$A$1:$BL$267,studies!$R27-xRates!$B$1+2,FALSE),"")</f>
        <v>14981</v>
      </c>
      <c r="AE27" s="200">
        <f t="shared" si="4"/>
        <v>0</v>
      </c>
      <c r="AF27" s="200">
        <f>VLOOKUP(G27,gdppc,R27-1958,FALSE)</f>
        <v>11045.6</v>
      </c>
      <c r="AG27" s="195" t="str">
        <f t="shared" si="5"/>
        <v>Not cost-effective</v>
      </c>
      <c r="AH27" s="195" t="str">
        <f t="shared" si="6"/>
        <v>Cost-effective</v>
      </c>
      <c r="AI27" s="204">
        <f t="shared" si="7"/>
        <v>1.3562866661838198</v>
      </c>
      <c r="AJ27" s="205">
        <f>IFERROR(VLOOKUP(G27,ochalek,11,FALSE),"")</f>
        <v>0.75</v>
      </c>
      <c r="AK27" s="195" t="str">
        <f t="shared" si="8"/>
        <v>Not cost-effective</v>
      </c>
      <c r="AL27" s="205">
        <f>IFERROR(VLOOKUP(G27,ochalek,10,FALSE),"")</f>
        <v>0.45</v>
      </c>
      <c r="AM27" s="207" t="str">
        <f t="shared" si="9"/>
        <v>Not cost-effective</v>
      </c>
      <c r="AN27" s="205">
        <f>IFERROR(VLOOKUP(G27,woods,6,FALSE),"")</f>
        <v>0.5771973489191532</v>
      </c>
      <c r="AO27" s="195" t="str">
        <f t="shared" si="10"/>
        <v>Not cost-effective</v>
      </c>
      <c r="AP27" s="205">
        <f>IFERROR(VLOOKUP(G27,woods,5,FALSE),"")</f>
        <v>0.32448707551478878</v>
      </c>
      <c r="AQ27" s="195" t="str">
        <f t="shared" si="11"/>
        <v>Not cost-effective</v>
      </c>
      <c r="AR27" s="205">
        <f>IFERROR(VLOOKUP(G27,riviere,8,FALSE),"")</f>
        <v>0.68675272410416721</v>
      </c>
      <c r="AS27" s="195" t="str">
        <f t="shared" si="12"/>
        <v>Not cost-effective</v>
      </c>
      <c r="AT27" s="205">
        <f>IFERROR(VLOOKUP(G27,riviere,7,FALSE),"")</f>
        <v>0.28467225411198244</v>
      </c>
      <c r="AU27" s="195" t="str">
        <f t="shared" si="13"/>
        <v>Not cost-effective</v>
      </c>
      <c r="AV27" s="162" t="s">
        <v>176</v>
      </c>
      <c r="AW27" s="162" t="s">
        <v>154</v>
      </c>
      <c r="AX27" s="210" t="str">
        <f t="shared" si="14"/>
        <v/>
      </c>
      <c r="AY27" s="210" t="str">
        <f t="shared" si="15"/>
        <v/>
      </c>
      <c r="AZ27" s="197" t="str">
        <f t="shared" si="16"/>
        <v/>
      </c>
      <c r="BA27" s="197" t="str">
        <f t="shared" si="17"/>
        <v/>
      </c>
      <c r="BB27" s="197" t="str">
        <f t="shared" si="18"/>
        <v/>
      </c>
      <c r="BC27" s="197" t="str">
        <f t="shared" si="19"/>
        <v/>
      </c>
      <c r="BD27" s="197">
        <f t="shared" si="20"/>
        <v>0</v>
      </c>
      <c r="BE27" s="163" t="s">
        <v>155</v>
      </c>
      <c r="BF27" s="162" t="s">
        <v>163</v>
      </c>
    </row>
    <row r="28" spans="1:58">
      <c r="A28" s="195">
        <f t="shared" si="1"/>
        <v>11</v>
      </c>
      <c r="B28" s="195">
        <f t="shared" si="2"/>
        <v>1</v>
      </c>
      <c r="C28" s="196" t="str">
        <f t="shared" si="0"/>
        <v>1101</v>
      </c>
      <c r="D28" s="159" t="s">
        <v>187</v>
      </c>
      <c r="E28" s="190">
        <v>2019</v>
      </c>
      <c r="F28" s="162" t="s">
        <v>188</v>
      </c>
      <c r="G28" s="162" t="s">
        <v>189</v>
      </c>
      <c r="H28" s="197" t="str">
        <f>IF(VLOOKUP(G28,income,R28-1985,FALSE)="UM","Upper-middle",IF(VLOOKUP(G28,income,R28-1985,FALSE)="LM","Lower-middle",IF(VLOOKUP(G28,income,R28-1985,FALSE)="L","Low")))</f>
        <v>Lower-middle</v>
      </c>
      <c r="I28" s="163">
        <v>1</v>
      </c>
      <c r="J28" s="162" t="s">
        <v>167</v>
      </c>
      <c r="K28" s="162" t="s">
        <v>147</v>
      </c>
      <c r="L28" s="207" t="str">
        <f t="shared" si="3"/>
        <v>PCV13 vs NoVax</v>
      </c>
      <c r="M28" s="162" t="s">
        <v>1551</v>
      </c>
      <c r="N28" s="163" t="s">
        <v>148</v>
      </c>
      <c r="O28" s="162" t="s">
        <v>159</v>
      </c>
      <c r="P28" s="162" t="s">
        <v>150</v>
      </c>
      <c r="Q28" s="162" t="s">
        <v>151</v>
      </c>
      <c r="R28" s="190">
        <v>2017</v>
      </c>
      <c r="S28" s="191">
        <v>3.3</v>
      </c>
      <c r="T28" s="198">
        <f>IF(ISNUMBER(S28),S28/VLOOKUP($Q28,xRates!$A$1:$BL$267,studies!$R28-xRates!$B$1+2,FALSE),"")</f>
        <v>3.3</v>
      </c>
      <c r="V28" s="198" t="str">
        <f>IF(ISNUMBER(U28),U28/VLOOKUP($Q28,xRates!$A$1:$BL$267,studies!$R28-xRates!$B$1+2,FALSE),"")</f>
        <v/>
      </c>
      <c r="W28" s="163">
        <v>0</v>
      </c>
      <c r="X28" s="163">
        <v>0</v>
      </c>
      <c r="Y28" s="163">
        <v>1</v>
      </c>
      <c r="Z28" s="163">
        <v>1</v>
      </c>
      <c r="AA28" s="163">
        <v>1</v>
      </c>
      <c r="AB28" s="163" t="s">
        <v>190</v>
      </c>
      <c r="AC28" s="190">
        <v>467</v>
      </c>
      <c r="AD28" s="213">
        <f>IF(ISNUMBER(AC28),AC28/VLOOKUP($Q28,xRates!$A$1:$BL$267,studies!$R28-xRates!$B$1+2,FALSE),"")</f>
        <v>467</v>
      </c>
      <c r="AE28" s="200">
        <f t="shared" si="4"/>
        <v>0</v>
      </c>
      <c r="AF28" s="200">
        <f>VLOOKUP(G28,gdppc,R28-1958,FALSE)</f>
        <v>1958</v>
      </c>
      <c r="AG28" s="195" t="str">
        <f t="shared" si="5"/>
        <v>Cost-effective</v>
      </c>
      <c r="AH28" s="195" t="str">
        <f t="shared" si="6"/>
        <v>Cost-effective</v>
      </c>
      <c r="AI28" s="204">
        <f t="shared" si="7"/>
        <v>0.23850868232890704</v>
      </c>
      <c r="AJ28" s="205">
        <f>IFERROR(VLOOKUP(G28,ochalek,11,FALSE),"")</f>
        <v>0.23</v>
      </c>
      <c r="AK28" s="195" t="str">
        <f t="shared" si="8"/>
        <v>Not cost-effective</v>
      </c>
      <c r="AL28" s="205">
        <f>IFERROR(VLOOKUP(G28,ochalek,10,FALSE),"")</f>
        <v>0.17</v>
      </c>
      <c r="AM28" s="207" t="str">
        <f t="shared" si="9"/>
        <v>Not cost-effective</v>
      </c>
      <c r="AN28" s="205">
        <f>IFERROR(VLOOKUP(G28,woods,6,FALSE),"")</f>
        <v>0.53542869063347476</v>
      </c>
      <c r="AO28" s="195" t="str">
        <f t="shared" si="10"/>
        <v>Cost-effective</v>
      </c>
      <c r="AP28" s="205">
        <f>IFERROR(VLOOKUP(G28,woods,5,FALSE),"")</f>
        <v>7.9966622627077405E-2</v>
      </c>
      <c r="AQ28" s="195" t="str">
        <f t="shared" si="11"/>
        <v>Not cost-effective</v>
      </c>
      <c r="AR28" s="205">
        <f>IFERROR(VLOOKUP(G28,riviere,8,FALSE),"")</f>
        <v>0.3014340064383963</v>
      </c>
      <c r="AS28" s="195" t="str">
        <f t="shared" si="12"/>
        <v>Cost-effective</v>
      </c>
      <c r="AT28" s="205">
        <f>IFERROR(VLOOKUP(G28,riviere,7,FALSE),"")</f>
        <v>0.12145156570090723</v>
      </c>
      <c r="AU28" s="195" t="str">
        <f t="shared" si="13"/>
        <v>Not cost-effective</v>
      </c>
      <c r="AV28" s="162" t="s">
        <v>176</v>
      </c>
      <c r="AW28" s="162" t="s">
        <v>162</v>
      </c>
      <c r="AX28" s="210">
        <f t="shared" si="14"/>
        <v>1</v>
      </c>
      <c r="AY28" s="210">
        <f t="shared" si="15"/>
        <v>1</v>
      </c>
      <c r="AZ28" s="197">
        <f t="shared" si="16"/>
        <v>0</v>
      </c>
      <c r="BA28" s="197">
        <f t="shared" si="17"/>
        <v>1</v>
      </c>
      <c r="BB28" s="197">
        <f t="shared" si="18"/>
        <v>0</v>
      </c>
      <c r="BC28" s="197">
        <f t="shared" si="19"/>
        <v>1</v>
      </c>
      <c r="BD28" s="197">
        <f t="shared" si="20"/>
        <v>4</v>
      </c>
      <c r="BE28" s="163" t="s">
        <v>148</v>
      </c>
      <c r="BF28" s="162" t="s">
        <v>170</v>
      </c>
    </row>
    <row r="29" spans="1:58">
      <c r="A29" s="195">
        <f t="shared" si="1"/>
        <v>12</v>
      </c>
      <c r="B29" s="195">
        <f t="shared" si="2"/>
        <v>1</v>
      </c>
      <c r="C29" s="196" t="str">
        <f t="shared" si="0"/>
        <v>1201</v>
      </c>
      <c r="D29" s="159" t="s">
        <v>191</v>
      </c>
      <c r="E29" s="190">
        <v>2019</v>
      </c>
      <c r="F29" s="162" t="s">
        <v>192</v>
      </c>
      <c r="G29" s="162" t="s">
        <v>193</v>
      </c>
      <c r="H29" s="197" t="str">
        <f>IF(VLOOKUP(G29,income,R29-1985,FALSE)="UM","Upper-middle",IF(VLOOKUP(G29,income,R29-1985,FALSE)="LM","Lower-middle",IF(VLOOKUP(G29,income,R29-1985,FALSE)="L","Low")))</f>
        <v>Upper-middle</v>
      </c>
      <c r="I29" s="163">
        <v>1</v>
      </c>
      <c r="J29" s="162" t="s">
        <v>166</v>
      </c>
      <c r="K29" s="162" t="s">
        <v>147</v>
      </c>
      <c r="L29" s="207" t="str">
        <f t="shared" si="3"/>
        <v>PCV10 vs NoVax</v>
      </c>
      <c r="M29" s="162" t="s">
        <v>1552</v>
      </c>
      <c r="N29" s="163" t="s">
        <v>155</v>
      </c>
      <c r="O29" s="162" t="s">
        <v>149</v>
      </c>
      <c r="P29" s="162" t="s">
        <v>194</v>
      </c>
      <c r="Q29" s="162" t="s">
        <v>193</v>
      </c>
      <c r="R29" s="190">
        <v>2018</v>
      </c>
      <c r="S29" s="191">
        <v>1440</v>
      </c>
      <c r="T29" s="198">
        <f>IF(ISNUMBER(S29),S29/VLOOKUP($Q29,xRates!$A$1:$BL$267,studies!$R29-xRates!$B$1+2,FALSE),"")</f>
        <v>44.568245125348184</v>
      </c>
      <c r="V29" s="198" t="str">
        <f>IF(ISNUMBER(U29),U29/VLOOKUP($Q29,xRates!$A$1:$BL$267,studies!$R29-xRates!$B$1+2,FALSE),"")</f>
        <v/>
      </c>
      <c r="W29" s="163">
        <v>1</v>
      </c>
      <c r="X29" s="163">
        <v>0</v>
      </c>
      <c r="Y29" s="163">
        <v>1</v>
      </c>
      <c r="Z29" s="163">
        <v>1</v>
      </c>
      <c r="AA29" s="163">
        <v>1</v>
      </c>
      <c r="AB29" s="163" t="s">
        <v>152</v>
      </c>
      <c r="AC29" s="190">
        <v>-46918</v>
      </c>
      <c r="AD29" s="213">
        <f>IF(ISNUMBER(AC29),AC29/VLOOKUP($Q29,xRates!$A$1:$BL$267,studies!$R29-xRates!$B$1+2,FALSE),"")</f>
        <v>-1452.1200866604765</v>
      </c>
      <c r="AE29" s="200">
        <f t="shared" si="4"/>
        <v>1</v>
      </c>
      <c r="AF29" s="200">
        <f>VLOOKUP(G29,gdppc,R29-1958,FALSE)</f>
        <v>7124.6</v>
      </c>
      <c r="AG29" s="195" t="str">
        <f t="shared" si="5"/>
        <v>Cost-saving</v>
      </c>
      <c r="AH29" s="195" t="str">
        <f t="shared" si="6"/>
        <v>Cost-saving</v>
      </c>
      <c r="AI29" s="204">
        <f t="shared" si="7"/>
        <v>-0.20381777035349022</v>
      </c>
      <c r="AJ29" s="205">
        <f>IFERROR(VLOOKUP(G29,ochalek,11,FALSE),"")</f>
        <v>1.1200000000000001</v>
      </c>
      <c r="AK29" s="195" t="str">
        <f t="shared" si="8"/>
        <v>Cost-saving</v>
      </c>
      <c r="AL29" s="205">
        <f>IFERROR(VLOOKUP(G29,ochalek,10,FALSE),"")</f>
        <v>0.7</v>
      </c>
      <c r="AM29" s="207" t="str">
        <f t="shared" si="9"/>
        <v>Cost-saving</v>
      </c>
      <c r="AN29" s="205">
        <f>IFERROR(VLOOKUP(G29,woods,6,FALSE),"")</f>
        <v>0.65269570111403552</v>
      </c>
      <c r="AO29" s="195" t="str">
        <f t="shared" si="10"/>
        <v>Cost-saving</v>
      </c>
      <c r="AP29" s="205">
        <f>IFERROR(VLOOKUP(G29,woods,5,FALSE),"")</f>
        <v>0.19549419807650922</v>
      </c>
      <c r="AQ29" s="195" t="str">
        <f t="shared" si="11"/>
        <v>Cost-saving</v>
      </c>
      <c r="AR29" s="205">
        <f>IFERROR(VLOOKUP(G29,riviere,8,FALSE),"")</f>
        <v>0.67102744933539571</v>
      </c>
      <c r="AS29" s="195" t="str">
        <f t="shared" si="12"/>
        <v>Cost-saving</v>
      </c>
      <c r="AT29" s="205">
        <f>IFERROR(VLOOKUP(G29,riviere,7,FALSE),"")</f>
        <v>0.27816375219568462</v>
      </c>
      <c r="AU29" s="195" t="str">
        <f t="shared" si="13"/>
        <v>Cost-saving</v>
      </c>
      <c r="AV29" s="162" t="s">
        <v>195</v>
      </c>
      <c r="AW29" s="162" t="s">
        <v>186</v>
      </c>
      <c r="AX29" s="210" t="str">
        <f t="shared" si="14"/>
        <v/>
      </c>
      <c r="AY29" s="210" t="str">
        <f t="shared" si="15"/>
        <v/>
      </c>
      <c r="AZ29" s="197" t="str">
        <f t="shared" si="16"/>
        <v/>
      </c>
      <c r="BA29" s="197" t="str">
        <f t="shared" si="17"/>
        <v/>
      </c>
      <c r="BB29" s="197" t="str">
        <f t="shared" si="18"/>
        <v/>
      </c>
      <c r="BC29" s="197" t="str">
        <f t="shared" si="19"/>
        <v/>
      </c>
      <c r="BD29" s="197">
        <f t="shared" si="20"/>
        <v>0</v>
      </c>
      <c r="BE29" s="163" t="s">
        <v>148</v>
      </c>
      <c r="BF29" s="162" t="s">
        <v>163</v>
      </c>
    </row>
    <row r="30" spans="1:58">
      <c r="A30" s="195">
        <f t="shared" si="1"/>
        <v>12</v>
      </c>
      <c r="B30" s="195">
        <f t="shared" si="2"/>
        <v>2</v>
      </c>
      <c r="C30" s="196" t="str">
        <f t="shared" si="0"/>
        <v>1202</v>
      </c>
      <c r="D30" s="159" t="s">
        <v>191</v>
      </c>
      <c r="E30" s="190">
        <v>2019</v>
      </c>
      <c r="F30" s="162" t="s">
        <v>192</v>
      </c>
      <c r="G30" s="162" t="s">
        <v>193</v>
      </c>
      <c r="H30" s="197" t="str">
        <f>IF(VLOOKUP(G30,income,R30-1985,FALSE)="UM","Upper-middle",IF(VLOOKUP(G30,income,R30-1985,FALSE)="LM","Lower-middle",IF(VLOOKUP(G30,income,R30-1985,FALSE)="L","Low")))</f>
        <v>Upper-middle</v>
      </c>
      <c r="I30" s="163">
        <v>1</v>
      </c>
      <c r="J30" s="162" t="s">
        <v>166</v>
      </c>
      <c r="K30" s="162" t="s">
        <v>147</v>
      </c>
      <c r="L30" s="207" t="str">
        <f t="shared" si="3"/>
        <v>PCV10 vs NoVax</v>
      </c>
      <c r="M30" s="162" t="s">
        <v>1551</v>
      </c>
      <c r="N30" s="163" t="s">
        <v>155</v>
      </c>
      <c r="O30" s="162" t="s">
        <v>149</v>
      </c>
      <c r="P30" s="162" t="s">
        <v>194</v>
      </c>
      <c r="Q30" s="162" t="s">
        <v>193</v>
      </c>
      <c r="R30" s="190">
        <v>2018</v>
      </c>
      <c r="S30" s="191">
        <v>1440</v>
      </c>
      <c r="T30" s="198">
        <f>IF(ISNUMBER(S30),S30/VLOOKUP($Q30,xRates!$A$1:$BL$267,studies!$R30-xRates!$B$1+2,FALSE),"")</f>
        <v>44.568245125348184</v>
      </c>
      <c r="V30" s="198" t="str">
        <f>IF(ISNUMBER(U30),U30/VLOOKUP($Q30,xRates!$A$1:$BL$267,studies!$R30-xRates!$B$1+2,FALSE),"")</f>
        <v/>
      </c>
      <c r="W30" s="163">
        <v>1</v>
      </c>
      <c r="X30" s="163">
        <v>0</v>
      </c>
      <c r="Y30" s="163">
        <v>1</v>
      </c>
      <c r="Z30" s="163">
        <v>1</v>
      </c>
      <c r="AA30" s="163">
        <v>1</v>
      </c>
      <c r="AB30" s="163" t="s">
        <v>152</v>
      </c>
      <c r="AC30" s="190">
        <v>-70854</v>
      </c>
      <c r="AD30" s="213">
        <f>IF(ISNUMBER(AC30),AC30/VLOOKUP($Q30,xRates!$A$1:$BL$267,studies!$R30-xRates!$B$1+2,FALSE),"")</f>
        <v>-2192.9433611884865</v>
      </c>
      <c r="AE30" s="200">
        <f t="shared" si="4"/>
        <v>1</v>
      </c>
      <c r="AF30" s="200">
        <f>VLOOKUP(G30,gdppc,R30-1958,FALSE)</f>
        <v>7124.6</v>
      </c>
      <c r="AG30" s="195" t="str">
        <f t="shared" si="5"/>
        <v>Cost-saving</v>
      </c>
      <c r="AH30" s="195" t="str">
        <f t="shared" si="6"/>
        <v>Cost-saving</v>
      </c>
      <c r="AI30" s="204">
        <f t="shared" si="7"/>
        <v>-0.30779880431020495</v>
      </c>
      <c r="AJ30" s="205">
        <f>IFERROR(VLOOKUP(G30,ochalek,11,FALSE),"")</f>
        <v>1.1200000000000001</v>
      </c>
      <c r="AK30" s="195" t="str">
        <f t="shared" si="8"/>
        <v>Cost-saving</v>
      </c>
      <c r="AL30" s="205">
        <f>IFERROR(VLOOKUP(G30,ochalek,10,FALSE),"")</f>
        <v>0.7</v>
      </c>
      <c r="AM30" s="207" t="str">
        <f t="shared" si="9"/>
        <v>Cost-saving</v>
      </c>
      <c r="AN30" s="205">
        <f>IFERROR(VLOOKUP(G30,woods,6,FALSE),"")</f>
        <v>0.65269570111403552</v>
      </c>
      <c r="AO30" s="195" t="str">
        <f t="shared" si="10"/>
        <v>Cost-saving</v>
      </c>
      <c r="AP30" s="205">
        <f>IFERROR(VLOOKUP(G30,woods,5,FALSE),"")</f>
        <v>0.19549419807650922</v>
      </c>
      <c r="AQ30" s="195" t="str">
        <f t="shared" si="11"/>
        <v>Cost-saving</v>
      </c>
      <c r="AR30" s="205">
        <f>IFERROR(VLOOKUP(G30,riviere,8,FALSE),"")</f>
        <v>0.67102744933539571</v>
      </c>
      <c r="AS30" s="195" t="str">
        <f t="shared" si="12"/>
        <v>Cost-saving</v>
      </c>
      <c r="AT30" s="205">
        <f>IFERROR(VLOOKUP(G30,riviere,7,FALSE),"")</f>
        <v>0.27816375219568462</v>
      </c>
      <c r="AU30" s="195" t="str">
        <f t="shared" si="13"/>
        <v>Cost-saving</v>
      </c>
      <c r="AV30" s="162" t="s">
        <v>195</v>
      </c>
      <c r="AW30" s="162" t="s">
        <v>186</v>
      </c>
      <c r="AX30" s="210" t="str">
        <f t="shared" si="14"/>
        <v/>
      </c>
      <c r="AY30" s="210" t="str">
        <f t="shared" si="15"/>
        <v/>
      </c>
      <c r="AZ30" s="197" t="str">
        <f t="shared" si="16"/>
        <v/>
      </c>
      <c r="BA30" s="197" t="str">
        <f t="shared" si="17"/>
        <v/>
      </c>
      <c r="BB30" s="197" t="str">
        <f t="shared" si="18"/>
        <v/>
      </c>
      <c r="BC30" s="197" t="str">
        <f t="shared" si="19"/>
        <v/>
      </c>
      <c r="BD30" s="197">
        <f t="shared" si="20"/>
        <v>0</v>
      </c>
      <c r="BE30" s="163" t="s">
        <v>148</v>
      </c>
      <c r="BF30" s="162" t="s">
        <v>163</v>
      </c>
    </row>
    <row r="31" spans="1:58">
      <c r="A31" s="195">
        <f t="shared" si="1"/>
        <v>12</v>
      </c>
      <c r="B31" s="195">
        <f t="shared" si="2"/>
        <v>3</v>
      </c>
      <c r="C31" s="196" t="str">
        <f t="shared" si="0"/>
        <v>1203</v>
      </c>
      <c r="D31" s="159" t="s">
        <v>191</v>
      </c>
      <c r="E31" s="190">
        <v>2019</v>
      </c>
      <c r="F31" s="162" t="s">
        <v>192</v>
      </c>
      <c r="G31" s="162" t="s">
        <v>193</v>
      </c>
      <c r="H31" s="197" t="str">
        <f>IF(VLOOKUP(G31,income,R31-1985,FALSE)="UM","Upper-middle",IF(VLOOKUP(G31,income,R31-1985,FALSE)="LM","Lower-middle",IF(VLOOKUP(G31,income,R31-1985,FALSE)="L","Low")))</f>
        <v>Upper-middle</v>
      </c>
      <c r="I31" s="163">
        <v>1</v>
      </c>
      <c r="J31" s="162" t="s">
        <v>167</v>
      </c>
      <c r="K31" s="162" t="s">
        <v>147</v>
      </c>
      <c r="L31" s="207" t="str">
        <f t="shared" si="3"/>
        <v>PCV13 vs NoVax</v>
      </c>
      <c r="M31" s="162" t="s">
        <v>1552</v>
      </c>
      <c r="N31" s="163" t="s">
        <v>155</v>
      </c>
      <c r="O31" s="162" t="s">
        <v>149</v>
      </c>
      <c r="P31" s="162" t="s">
        <v>194</v>
      </c>
      <c r="Q31" s="162" t="s">
        <v>193</v>
      </c>
      <c r="R31" s="190">
        <v>2018</v>
      </c>
      <c r="S31" s="191">
        <v>1146</v>
      </c>
      <c r="T31" s="198">
        <f>IF(ISNUMBER(S31),S31/VLOOKUP($Q31,xRates!$A$1:$BL$267,studies!$R31-xRates!$B$1+2,FALSE),"")</f>
        <v>35.468895078922934</v>
      </c>
      <c r="V31" s="198" t="str">
        <f>IF(ISNUMBER(U31),U31/VLOOKUP($Q31,xRates!$A$1:$BL$267,studies!$R31-xRates!$B$1+2,FALSE),"")</f>
        <v/>
      </c>
      <c r="W31" s="163">
        <v>1</v>
      </c>
      <c r="X31" s="163">
        <v>0</v>
      </c>
      <c r="Y31" s="163">
        <v>1</v>
      </c>
      <c r="Z31" s="163">
        <v>1</v>
      </c>
      <c r="AA31" s="163">
        <v>1</v>
      </c>
      <c r="AB31" s="163" t="s">
        <v>152</v>
      </c>
      <c r="AC31" s="190">
        <v>-84770</v>
      </c>
      <c r="AD31" s="213">
        <f>IF(ISNUMBER(AC31),AC31/VLOOKUP($Q31,xRates!$A$1:$BL$267,studies!$R31-xRates!$B$1+2,FALSE),"")</f>
        <v>-2623.6459300526153</v>
      </c>
      <c r="AE31" s="200">
        <f t="shared" si="4"/>
        <v>1</v>
      </c>
      <c r="AF31" s="200">
        <f>VLOOKUP(G31,gdppc,R31-1958,FALSE)</f>
        <v>7124.6</v>
      </c>
      <c r="AG31" s="195" t="str">
        <f t="shared" si="5"/>
        <v>Cost-saving</v>
      </c>
      <c r="AH31" s="195" t="str">
        <f t="shared" si="6"/>
        <v>Cost-saving</v>
      </c>
      <c r="AI31" s="204">
        <f t="shared" si="7"/>
        <v>-0.36825168150529364</v>
      </c>
      <c r="AJ31" s="205">
        <f>IFERROR(VLOOKUP(G31,ochalek,11,FALSE),"")</f>
        <v>1.1200000000000001</v>
      </c>
      <c r="AK31" s="195" t="str">
        <f t="shared" si="8"/>
        <v>Cost-saving</v>
      </c>
      <c r="AL31" s="205">
        <f>IFERROR(VLOOKUP(G31,ochalek,10,FALSE),"")</f>
        <v>0.7</v>
      </c>
      <c r="AM31" s="207" t="str">
        <f t="shared" si="9"/>
        <v>Cost-saving</v>
      </c>
      <c r="AN31" s="205">
        <f>IFERROR(VLOOKUP(G31,woods,6,FALSE),"")</f>
        <v>0.65269570111403552</v>
      </c>
      <c r="AO31" s="195" t="str">
        <f t="shared" si="10"/>
        <v>Cost-saving</v>
      </c>
      <c r="AP31" s="205">
        <f>IFERROR(VLOOKUP(G31,woods,5,FALSE),"")</f>
        <v>0.19549419807650922</v>
      </c>
      <c r="AQ31" s="195" t="str">
        <f t="shared" si="11"/>
        <v>Cost-saving</v>
      </c>
      <c r="AR31" s="205">
        <f>IFERROR(VLOOKUP(G31,riviere,8,FALSE),"")</f>
        <v>0.67102744933539571</v>
      </c>
      <c r="AS31" s="195" t="str">
        <f t="shared" si="12"/>
        <v>Cost-saving</v>
      </c>
      <c r="AT31" s="205">
        <f>IFERROR(VLOOKUP(G31,riviere,7,FALSE),"")</f>
        <v>0.27816375219568462</v>
      </c>
      <c r="AU31" s="195" t="str">
        <f t="shared" si="13"/>
        <v>Cost-saving</v>
      </c>
      <c r="AV31" s="162" t="s">
        <v>195</v>
      </c>
      <c r="AW31" s="162" t="s">
        <v>186</v>
      </c>
      <c r="AX31" s="210" t="str">
        <f t="shared" si="14"/>
        <v/>
      </c>
      <c r="AY31" s="210" t="str">
        <f t="shared" si="15"/>
        <v/>
      </c>
      <c r="AZ31" s="197" t="str">
        <f t="shared" si="16"/>
        <v/>
      </c>
      <c r="BA31" s="197" t="str">
        <f t="shared" si="17"/>
        <v/>
      </c>
      <c r="BB31" s="197" t="str">
        <f t="shared" si="18"/>
        <v/>
      </c>
      <c r="BC31" s="197" t="str">
        <f t="shared" si="19"/>
        <v/>
      </c>
      <c r="BD31" s="197">
        <f t="shared" si="20"/>
        <v>0</v>
      </c>
      <c r="BE31" s="163" t="s">
        <v>148</v>
      </c>
      <c r="BF31" s="162" t="s">
        <v>163</v>
      </c>
    </row>
    <row r="32" spans="1:58">
      <c r="A32" s="195">
        <f t="shared" si="1"/>
        <v>12</v>
      </c>
      <c r="B32" s="195">
        <f t="shared" si="2"/>
        <v>4</v>
      </c>
      <c r="C32" s="196" t="str">
        <f t="shared" si="0"/>
        <v>1204</v>
      </c>
      <c r="D32" s="159" t="s">
        <v>191</v>
      </c>
      <c r="E32" s="190">
        <v>2019</v>
      </c>
      <c r="F32" s="162" t="s">
        <v>192</v>
      </c>
      <c r="G32" s="162" t="s">
        <v>193</v>
      </c>
      <c r="H32" s="197" t="str">
        <f>IF(VLOOKUP(G32,income,R32-1985,FALSE)="UM","Upper-middle",IF(VLOOKUP(G32,income,R32-1985,FALSE)="LM","Lower-middle",IF(VLOOKUP(G32,income,R32-1985,FALSE)="L","Low")))</f>
        <v>Upper-middle</v>
      </c>
      <c r="I32" s="163">
        <v>1</v>
      </c>
      <c r="J32" s="162" t="s">
        <v>167</v>
      </c>
      <c r="K32" s="162" t="s">
        <v>147</v>
      </c>
      <c r="L32" s="207" t="str">
        <f t="shared" si="3"/>
        <v>PCV13 vs NoVax</v>
      </c>
      <c r="M32" s="162" t="s">
        <v>1551</v>
      </c>
      <c r="N32" s="163" t="s">
        <v>155</v>
      </c>
      <c r="O32" s="162" t="s">
        <v>149</v>
      </c>
      <c r="P32" s="162" t="s">
        <v>194</v>
      </c>
      <c r="Q32" s="162" t="s">
        <v>193</v>
      </c>
      <c r="R32" s="190">
        <v>2018</v>
      </c>
      <c r="S32" s="191">
        <v>1146</v>
      </c>
      <c r="T32" s="198">
        <f>IF(ISNUMBER(S32),S32/VLOOKUP($Q32,xRates!$A$1:$BL$267,studies!$R32-xRates!$B$1+2,FALSE),"")</f>
        <v>35.468895078922934</v>
      </c>
      <c r="V32" s="198" t="str">
        <f>IF(ISNUMBER(U32),U32/VLOOKUP($Q32,xRates!$A$1:$BL$267,studies!$R32-xRates!$B$1+2,FALSE),"")</f>
        <v/>
      </c>
      <c r="W32" s="163">
        <v>1</v>
      </c>
      <c r="X32" s="163">
        <v>0</v>
      </c>
      <c r="Y32" s="163">
        <v>1</v>
      </c>
      <c r="Z32" s="163">
        <v>1</v>
      </c>
      <c r="AA32" s="163">
        <v>1</v>
      </c>
      <c r="AB32" s="163" t="s">
        <v>152</v>
      </c>
      <c r="AC32" s="190">
        <v>-99394</v>
      </c>
      <c r="AD32" s="213">
        <f>IF(ISNUMBER(AC32),AC32/VLOOKUP($Q32,xRates!$A$1:$BL$267,studies!$R32-xRates!$B$1+2,FALSE),"")</f>
        <v>-3076.2612194367066</v>
      </c>
      <c r="AE32" s="200">
        <f t="shared" si="4"/>
        <v>1</v>
      </c>
      <c r="AF32" s="200">
        <f>VLOOKUP(G32,gdppc,R32-1958,FALSE)</f>
        <v>7124.6</v>
      </c>
      <c r="AG32" s="195" t="str">
        <f t="shared" si="5"/>
        <v>Cost-saving</v>
      </c>
      <c r="AH32" s="195" t="str">
        <f t="shared" si="6"/>
        <v>Cost-saving</v>
      </c>
      <c r="AI32" s="204">
        <f t="shared" si="7"/>
        <v>-0.43178020091467684</v>
      </c>
      <c r="AJ32" s="205">
        <f>IFERROR(VLOOKUP(G32,ochalek,11,FALSE),"")</f>
        <v>1.1200000000000001</v>
      </c>
      <c r="AK32" s="195" t="str">
        <f t="shared" si="8"/>
        <v>Cost-saving</v>
      </c>
      <c r="AL32" s="205">
        <f>IFERROR(VLOOKUP(G32,ochalek,10,FALSE),"")</f>
        <v>0.7</v>
      </c>
      <c r="AM32" s="207" t="str">
        <f t="shared" si="9"/>
        <v>Cost-saving</v>
      </c>
      <c r="AN32" s="205">
        <f>IFERROR(VLOOKUP(G32,woods,6,FALSE),"")</f>
        <v>0.65269570111403552</v>
      </c>
      <c r="AO32" s="195" t="str">
        <f t="shared" si="10"/>
        <v>Cost-saving</v>
      </c>
      <c r="AP32" s="205">
        <f>IFERROR(VLOOKUP(G32,woods,5,FALSE),"")</f>
        <v>0.19549419807650922</v>
      </c>
      <c r="AQ32" s="195" t="str">
        <f t="shared" si="11"/>
        <v>Cost-saving</v>
      </c>
      <c r="AR32" s="205">
        <f>IFERROR(VLOOKUP(G32,riviere,8,FALSE),"")</f>
        <v>0.67102744933539571</v>
      </c>
      <c r="AS32" s="195" t="str">
        <f t="shared" si="12"/>
        <v>Cost-saving</v>
      </c>
      <c r="AT32" s="205">
        <f>IFERROR(VLOOKUP(G32,riviere,7,FALSE),"")</f>
        <v>0.27816375219568462</v>
      </c>
      <c r="AU32" s="195" t="str">
        <f t="shared" si="13"/>
        <v>Cost-saving</v>
      </c>
      <c r="AV32" s="162" t="s">
        <v>195</v>
      </c>
      <c r="AW32" s="162" t="s">
        <v>186</v>
      </c>
      <c r="AX32" s="210" t="str">
        <f t="shared" si="14"/>
        <v/>
      </c>
      <c r="AY32" s="210" t="str">
        <f t="shared" si="15"/>
        <v/>
      </c>
      <c r="AZ32" s="197" t="str">
        <f t="shared" si="16"/>
        <v/>
      </c>
      <c r="BA32" s="197" t="str">
        <f t="shared" si="17"/>
        <v/>
      </c>
      <c r="BB32" s="197" t="str">
        <f t="shared" si="18"/>
        <v/>
      </c>
      <c r="BC32" s="197" t="str">
        <f t="shared" si="19"/>
        <v/>
      </c>
      <c r="BD32" s="197">
        <f t="shared" si="20"/>
        <v>0</v>
      </c>
      <c r="BE32" s="163" t="s">
        <v>148</v>
      </c>
      <c r="BF32" s="162" t="s">
        <v>163</v>
      </c>
    </row>
    <row r="33" spans="1:58">
      <c r="A33" s="195">
        <f t="shared" si="1"/>
        <v>12</v>
      </c>
      <c r="B33" s="195">
        <f t="shared" si="2"/>
        <v>5</v>
      </c>
      <c r="C33" s="196" t="str">
        <f t="shared" si="0"/>
        <v>1205</v>
      </c>
      <c r="D33" s="159" t="s">
        <v>191</v>
      </c>
      <c r="E33" s="190">
        <v>2019</v>
      </c>
      <c r="F33" s="162" t="s">
        <v>192</v>
      </c>
      <c r="G33" s="162" t="s">
        <v>193</v>
      </c>
      <c r="H33" s="197" t="str">
        <f>IF(VLOOKUP(G33,income,R33-1985,FALSE)="UM","Upper-middle",IF(VLOOKUP(G33,income,R33-1985,FALSE)="LM","Lower-middle",IF(VLOOKUP(G33,income,R33-1985,FALSE)="L","Low")))</f>
        <v>Upper-middle</v>
      </c>
      <c r="I33" s="163">
        <v>1</v>
      </c>
      <c r="J33" s="162" t="s">
        <v>166</v>
      </c>
      <c r="K33" s="162" t="s">
        <v>147</v>
      </c>
      <c r="L33" s="207" t="str">
        <f t="shared" si="3"/>
        <v>PCV10 vs NoVax</v>
      </c>
      <c r="M33" s="162" t="s">
        <v>1552</v>
      </c>
      <c r="N33" s="163" t="s">
        <v>155</v>
      </c>
      <c r="O33" s="162" t="s">
        <v>149</v>
      </c>
      <c r="P33" s="162" t="s">
        <v>194</v>
      </c>
      <c r="Q33" s="162" t="s">
        <v>193</v>
      </c>
      <c r="R33" s="190">
        <v>2018</v>
      </c>
      <c r="S33" s="191">
        <v>1440</v>
      </c>
      <c r="T33" s="198">
        <f>IF(ISNUMBER(S33),S33/VLOOKUP($Q33,xRates!$A$1:$BL$267,studies!$R33-xRates!$B$1+2,FALSE),"")</f>
        <v>44.568245125348184</v>
      </c>
      <c r="V33" s="198" t="str">
        <f>IF(ISNUMBER(U33),U33/VLOOKUP($Q33,xRates!$A$1:$BL$267,studies!$R33-xRates!$B$1+2,FALSE),"")</f>
        <v/>
      </c>
      <c r="W33" s="163">
        <v>0</v>
      </c>
      <c r="X33" s="163">
        <v>0</v>
      </c>
      <c r="Y33" s="163">
        <v>1</v>
      </c>
      <c r="Z33" s="163">
        <v>1</v>
      </c>
      <c r="AA33" s="163">
        <v>1</v>
      </c>
      <c r="AB33" s="163" t="s">
        <v>152</v>
      </c>
      <c r="AC33" s="190">
        <v>215948</v>
      </c>
      <c r="AD33" s="213">
        <f>IF(ISNUMBER(AC33),AC33/VLOOKUP($Q33,xRates!$A$1:$BL$267,studies!$R33-xRates!$B$1+2,FALSE),"")</f>
        <v>6683.6273599504793</v>
      </c>
      <c r="AE33" s="200">
        <f t="shared" si="4"/>
        <v>0</v>
      </c>
      <c r="AF33" s="200">
        <f>VLOOKUP(G33,gdppc,R33-1958,FALSE)</f>
        <v>7124.6</v>
      </c>
      <c r="AG33" s="195" t="str">
        <f t="shared" si="5"/>
        <v>Cost-effective</v>
      </c>
      <c r="AH33" s="195" t="str">
        <f t="shared" si="6"/>
        <v>Cost-effective</v>
      </c>
      <c r="AI33" s="204">
        <f t="shared" si="7"/>
        <v>0.9381056283792043</v>
      </c>
      <c r="AJ33" s="205">
        <f>IFERROR(VLOOKUP(G33,ochalek,11,FALSE),"")</f>
        <v>1.1200000000000001</v>
      </c>
      <c r="AK33" s="195" t="str">
        <f t="shared" si="8"/>
        <v>Cost-effective</v>
      </c>
      <c r="AL33" s="205">
        <f>IFERROR(VLOOKUP(G33,ochalek,10,FALSE),"")</f>
        <v>0.7</v>
      </c>
      <c r="AM33" s="207" t="str">
        <f t="shared" si="9"/>
        <v>Not cost-effective</v>
      </c>
      <c r="AN33" s="205">
        <f>IFERROR(VLOOKUP(G33,woods,6,FALSE),"")</f>
        <v>0.65269570111403552</v>
      </c>
      <c r="AO33" s="195" t="str">
        <f t="shared" si="10"/>
        <v>Not cost-effective</v>
      </c>
      <c r="AP33" s="205">
        <f>IFERROR(VLOOKUP(G33,woods,5,FALSE),"")</f>
        <v>0.19549419807650922</v>
      </c>
      <c r="AQ33" s="195" t="str">
        <f t="shared" si="11"/>
        <v>Not cost-effective</v>
      </c>
      <c r="AR33" s="205">
        <f>IFERROR(VLOOKUP(G33,riviere,8,FALSE),"")</f>
        <v>0.67102744933539571</v>
      </c>
      <c r="AS33" s="195" t="str">
        <f t="shared" si="12"/>
        <v>Not cost-effective</v>
      </c>
      <c r="AT33" s="205">
        <f>IFERROR(VLOOKUP(G33,riviere,7,FALSE),"")</f>
        <v>0.27816375219568462</v>
      </c>
      <c r="AU33" s="195" t="str">
        <f t="shared" si="13"/>
        <v>Not cost-effective</v>
      </c>
      <c r="AV33" s="162" t="s">
        <v>195</v>
      </c>
      <c r="AW33" s="162" t="s">
        <v>154</v>
      </c>
      <c r="AX33" s="210" t="str">
        <f t="shared" si="14"/>
        <v/>
      </c>
      <c r="AY33" s="210" t="str">
        <f t="shared" si="15"/>
        <v/>
      </c>
      <c r="AZ33" s="197" t="str">
        <f t="shared" si="16"/>
        <v/>
      </c>
      <c r="BA33" s="197" t="str">
        <f t="shared" si="17"/>
        <v/>
      </c>
      <c r="BB33" s="197" t="str">
        <f t="shared" si="18"/>
        <v/>
      </c>
      <c r="BC33" s="197" t="str">
        <f t="shared" si="19"/>
        <v/>
      </c>
      <c r="BD33" s="197">
        <f t="shared" si="20"/>
        <v>0</v>
      </c>
      <c r="BE33" s="163" t="s">
        <v>148</v>
      </c>
      <c r="BF33" s="162" t="s">
        <v>163</v>
      </c>
    </row>
    <row r="34" spans="1:58">
      <c r="A34" s="195">
        <f t="shared" si="1"/>
        <v>12</v>
      </c>
      <c r="B34" s="195">
        <f t="shared" si="2"/>
        <v>6</v>
      </c>
      <c r="C34" s="196" t="str">
        <f t="shared" si="0"/>
        <v>1206</v>
      </c>
      <c r="D34" s="159" t="s">
        <v>191</v>
      </c>
      <c r="E34" s="190">
        <v>2019</v>
      </c>
      <c r="F34" s="162" t="s">
        <v>192</v>
      </c>
      <c r="G34" s="162" t="s">
        <v>193</v>
      </c>
      <c r="H34" s="197" t="str">
        <f>IF(VLOOKUP(G34,income,R34-1985,FALSE)="UM","Upper-middle",IF(VLOOKUP(G34,income,R34-1985,FALSE)="LM","Lower-middle",IF(VLOOKUP(G34,income,R34-1985,FALSE)="L","Low")))</f>
        <v>Upper-middle</v>
      </c>
      <c r="I34" s="163">
        <v>1</v>
      </c>
      <c r="J34" s="162" t="s">
        <v>166</v>
      </c>
      <c r="K34" s="162" t="s">
        <v>147</v>
      </c>
      <c r="L34" s="207" t="str">
        <f t="shared" si="3"/>
        <v>PCV10 vs NoVax</v>
      </c>
      <c r="M34" s="162" t="s">
        <v>1551</v>
      </c>
      <c r="N34" s="163" t="s">
        <v>148</v>
      </c>
      <c r="O34" s="162" t="s">
        <v>149</v>
      </c>
      <c r="P34" s="162" t="s">
        <v>194</v>
      </c>
      <c r="Q34" s="162" t="s">
        <v>193</v>
      </c>
      <c r="R34" s="190">
        <v>2018</v>
      </c>
      <c r="S34" s="191">
        <v>1440</v>
      </c>
      <c r="T34" s="198">
        <f>IF(ISNUMBER(S34),S34/VLOOKUP($Q34,xRates!$A$1:$BL$267,studies!$R34-xRates!$B$1+2,FALSE),"")</f>
        <v>44.568245125348184</v>
      </c>
      <c r="V34" s="198" t="str">
        <f>IF(ISNUMBER(U34),U34/VLOOKUP($Q34,xRates!$A$1:$BL$267,studies!$R34-xRates!$B$1+2,FALSE),"")</f>
        <v/>
      </c>
      <c r="W34" s="163">
        <v>0</v>
      </c>
      <c r="X34" s="163">
        <v>0</v>
      </c>
      <c r="Y34" s="163">
        <v>1</v>
      </c>
      <c r="Z34" s="163">
        <v>1</v>
      </c>
      <c r="AA34" s="163">
        <v>1</v>
      </c>
      <c r="AB34" s="163" t="s">
        <v>152</v>
      </c>
      <c r="AC34" s="190">
        <v>170437</v>
      </c>
      <c r="AD34" s="213">
        <f>IF(ISNUMBER(AC34),AC34/VLOOKUP($Q34,xRates!$A$1:$BL$267,studies!$R34-xRates!$B$1+2,FALSE),"")</f>
        <v>5275.0541627978946</v>
      </c>
      <c r="AE34" s="200">
        <f t="shared" si="4"/>
        <v>0</v>
      </c>
      <c r="AF34" s="200">
        <f>VLOOKUP(G34,gdppc,R34-1958,FALSE)</f>
        <v>7124.6</v>
      </c>
      <c r="AG34" s="195" t="str">
        <f t="shared" si="5"/>
        <v>Cost-effective</v>
      </c>
      <c r="AH34" s="195" t="str">
        <f t="shared" si="6"/>
        <v>Cost-effective</v>
      </c>
      <c r="AI34" s="204">
        <f t="shared" si="7"/>
        <v>0.74040004530751125</v>
      </c>
      <c r="AJ34" s="205">
        <f>IFERROR(VLOOKUP(G34,ochalek,11,FALSE),"")</f>
        <v>1.1200000000000001</v>
      </c>
      <c r="AK34" s="195" t="str">
        <f t="shared" si="8"/>
        <v>Cost-effective</v>
      </c>
      <c r="AL34" s="205">
        <f>IFERROR(VLOOKUP(G34,ochalek,10,FALSE),"")</f>
        <v>0.7</v>
      </c>
      <c r="AM34" s="207" t="str">
        <f t="shared" si="9"/>
        <v>Not cost-effective</v>
      </c>
      <c r="AN34" s="205">
        <f>IFERROR(VLOOKUP(G34,woods,6,FALSE),"")</f>
        <v>0.65269570111403552</v>
      </c>
      <c r="AO34" s="195" t="str">
        <f t="shared" si="10"/>
        <v>Not cost-effective</v>
      </c>
      <c r="AP34" s="205">
        <f>IFERROR(VLOOKUP(G34,woods,5,FALSE),"")</f>
        <v>0.19549419807650922</v>
      </c>
      <c r="AQ34" s="195" t="str">
        <f t="shared" si="11"/>
        <v>Not cost-effective</v>
      </c>
      <c r="AR34" s="205">
        <f>IFERROR(VLOOKUP(G34,riviere,8,FALSE),"")</f>
        <v>0.67102744933539571</v>
      </c>
      <c r="AS34" s="195" t="str">
        <f t="shared" si="12"/>
        <v>Not cost-effective</v>
      </c>
      <c r="AT34" s="205">
        <f>IFERROR(VLOOKUP(G34,riviere,7,FALSE),"")</f>
        <v>0.27816375219568462</v>
      </c>
      <c r="AU34" s="195" t="str">
        <f t="shared" si="13"/>
        <v>Not cost-effective</v>
      </c>
      <c r="AV34" s="162" t="s">
        <v>195</v>
      </c>
      <c r="AW34" s="162" t="s">
        <v>154</v>
      </c>
      <c r="AX34" s="210" t="str">
        <f t="shared" si="14"/>
        <v/>
      </c>
      <c r="AY34" s="210" t="str">
        <f t="shared" si="15"/>
        <v/>
      </c>
      <c r="AZ34" s="197" t="str">
        <f t="shared" si="16"/>
        <v/>
      </c>
      <c r="BA34" s="197" t="str">
        <f t="shared" si="17"/>
        <v/>
      </c>
      <c r="BB34" s="197" t="str">
        <f t="shared" si="18"/>
        <v/>
      </c>
      <c r="BC34" s="197" t="str">
        <f t="shared" si="19"/>
        <v/>
      </c>
      <c r="BD34" s="197">
        <f t="shared" si="20"/>
        <v>0</v>
      </c>
      <c r="BE34" s="163" t="s">
        <v>148</v>
      </c>
      <c r="BF34" s="162" t="s">
        <v>163</v>
      </c>
    </row>
    <row r="35" spans="1:58">
      <c r="A35" s="195">
        <f t="shared" ref="A35:A66" si="21">IF(F35=F34,A34,A34+1)</f>
        <v>12</v>
      </c>
      <c r="B35" s="195">
        <f t="shared" ref="B35:B66" si="22">IF(F35=F34,B34+1,1)</f>
        <v>7</v>
      </c>
      <c r="C35" s="196" t="str">
        <f t="shared" si="0"/>
        <v>1207</v>
      </c>
      <c r="D35" s="159" t="s">
        <v>191</v>
      </c>
      <c r="E35" s="190">
        <v>2019</v>
      </c>
      <c r="F35" s="162" t="s">
        <v>192</v>
      </c>
      <c r="G35" s="162" t="s">
        <v>193</v>
      </c>
      <c r="H35" s="197" t="str">
        <f>IF(VLOOKUP(G35,income,R35-1985,FALSE)="UM","Upper-middle",IF(VLOOKUP(G35,income,R35-1985,FALSE)="LM","Lower-middle",IF(VLOOKUP(G35,income,R35-1985,FALSE)="L","Low")))</f>
        <v>Upper-middle</v>
      </c>
      <c r="I35" s="163">
        <v>1</v>
      </c>
      <c r="J35" s="162" t="s">
        <v>167</v>
      </c>
      <c r="K35" s="162" t="s">
        <v>147</v>
      </c>
      <c r="L35" s="207" t="str">
        <f t="shared" si="3"/>
        <v>PCV13 vs NoVax</v>
      </c>
      <c r="M35" s="162" t="s">
        <v>1552</v>
      </c>
      <c r="N35" s="163" t="s">
        <v>155</v>
      </c>
      <c r="O35" s="162" t="s">
        <v>149</v>
      </c>
      <c r="P35" s="162" t="s">
        <v>194</v>
      </c>
      <c r="Q35" s="162" t="s">
        <v>193</v>
      </c>
      <c r="R35" s="190">
        <v>2018</v>
      </c>
      <c r="S35" s="191">
        <v>1146</v>
      </c>
      <c r="T35" s="198">
        <f>IF(ISNUMBER(S35),S35/VLOOKUP($Q35,xRates!$A$1:$BL$267,studies!$R35-xRates!$B$1+2,FALSE),"")</f>
        <v>35.468895078922934</v>
      </c>
      <c r="V35" s="198" t="str">
        <f>IF(ISNUMBER(U35),U35/VLOOKUP($Q35,xRates!$A$1:$BL$267,studies!$R35-xRates!$B$1+2,FALSE),"")</f>
        <v/>
      </c>
      <c r="W35" s="163">
        <v>0</v>
      </c>
      <c r="X35" s="163">
        <v>0</v>
      </c>
      <c r="Y35" s="163">
        <v>1</v>
      </c>
      <c r="Z35" s="163">
        <v>1</v>
      </c>
      <c r="AA35" s="163">
        <v>1</v>
      </c>
      <c r="AB35" s="163" t="s">
        <v>152</v>
      </c>
      <c r="AC35" s="190">
        <v>97269</v>
      </c>
      <c r="AD35" s="213">
        <f>IF(ISNUMBER(AC35),AC35/VLOOKUP($Q35,xRates!$A$1:$BL$267,studies!$R35-xRates!$B$1+2,FALSE),"")</f>
        <v>3010.4921077065924</v>
      </c>
      <c r="AE35" s="200">
        <f t="shared" si="4"/>
        <v>0</v>
      </c>
      <c r="AF35" s="200">
        <f>VLOOKUP(G35,gdppc,R35-1958,FALSE)</f>
        <v>7124.6</v>
      </c>
      <c r="AG35" s="195" t="str">
        <f t="shared" si="5"/>
        <v>Cost-effective</v>
      </c>
      <c r="AH35" s="195" t="str">
        <f t="shared" si="6"/>
        <v>Cost-effective</v>
      </c>
      <c r="AI35" s="204">
        <f t="shared" si="7"/>
        <v>0.42254893014437195</v>
      </c>
      <c r="AJ35" s="205">
        <f>IFERROR(VLOOKUP(G35,ochalek,11,FALSE),"")</f>
        <v>1.1200000000000001</v>
      </c>
      <c r="AK35" s="195" t="str">
        <f t="shared" si="8"/>
        <v>Cost-effective</v>
      </c>
      <c r="AL35" s="205">
        <f>IFERROR(VLOOKUP(G35,ochalek,10,FALSE),"")</f>
        <v>0.7</v>
      </c>
      <c r="AM35" s="207" t="str">
        <f t="shared" si="9"/>
        <v>Cost-effective</v>
      </c>
      <c r="AN35" s="205">
        <f>IFERROR(VLOOKUP(G35,woods,6,FALSE),"")</f>
        <v>0.65269570111403552</v>
      </c>
      <c r="AO35" s="195" t="str">
        <f t="shared" si="10"/>
        <v>Cost-effective</v>
      </c>
      <c r="AP35" s="205">
        <f>IFERROR(VLOOKUP(G35,woods,5,FALSE),"")</f>
        <v>0.19549419807650922</v>
      </c>
      <c r="AQ35" s="195" t="str">
        <f t="shared" si="11"/>
        <v>Not cost-effective</v>
      </c>
      <c r="AR35" s="205">
        <f>IFERROR(VLOOKUP(G35,riviere,8,FALSE),"")</f>
        <v>0.67102744933539571</v>
      </c>
      <c r="AS35" s="195" t="str">
        <f t="shared" si="12"/>
        <v>Cost-effective</v>
      </c>
      <c r="AT35" s="205">
        <f>IFERROR(VLOOKUP(G35,riviere,7,FALSE),"")</f>
        <v>0.27816375219568462</v>
      </c>
      <c r="AU35" s="195" t="str">
        <f t="shared" si="13"/>
        <v>Not cost-effective</v>
      </c>
      <c r="AV35" s="162" t="s">
        <v>195</v>
      </c>
      <c r="AW35" s="162" t="s">
        <v>162</v>
      </c>
      <c r="AX35" s="210">
        <f t="shared" si="14"/>
        <v>0</v>
      </c>
      <c r="AY35" s="210">
        <f t="shared" si="15"/>
        <v>0</v>
      </c>
      <c r="AZ35" s="197">
        <f t="shared" si="16"/>
        <v>0</v>
      </c>
      <c r="BA35" s="197">
        <f t="shared" si="17"/>
        <v>1</v>
      </c>
      <c r="BB35" s="197">
        <f t="shared" si="18"/>
        <v>0</v>
      </c>
      <c r="BC35" s="197">
        <f t="shared" si="19"/>
        <v>1</v>
      </c>
      <c r="BD35" s="197">
        <f t="shared" si="20"/>
        <v>2</v>
      </c>
      <c r="BE35" s="163" t="s">
        <v>148</v>
      </c>
      <c r="BF35" s="162" t="s">
        <v>163</v>
      </c>
    </row>
    <row r="36" spans="1:58">
      <c r="A36" s="195">
        <f t="shared" si="21"/>
        <v>12</v>
      </c>
      <c r="B36" s="195">
        <f t="shared" si="22"/>
        <v>8</v>
      </c>
      <c r="C36" s="196" t="str">
        <f t="shared" si="0"/>
        <v>1208</v>
      </c>
      <c r="D36" s="159" t="s">
        <v>191</v>
      </c>
      <c r="E36" s="190">
        <v>2019</v>
      </c>
      <c r="F36" s="162" t="s">
        <v>192</v>
      </c>
      <c r="G36" s="162" t="s">
        <v>193</v>
      </c>
      <c r="H36" s="197" t="str">
        <f>IF(VLOOKUP(G36,income,R36-1985,FALSE)="UM","Upper-middle",IF(VLOOKUP(G36,income,R36-1985,FALSE)="LM","Lower-middle",IF(VLOOKUP(G36,income,R36-1985,FALSE)="L","Low")))</f>
        <v>Upper-middle</v>
      </c>
      <c r="I36" s="163">
        <v>1</v>
      </c>
      <c r="J36" s="162" t="s">
        <v>167</v>
      </c>
      <c r="K36" s="162" t="s">
        <v>147</v>
      </c>
      <c r="L36" s="207" t="str">
        <f t="shared" si="3"/>
        <v>PCV13 vs NoVax</v>
      </c>
      <c r="M36" s="162" t="s">
        <v>1551</v>
      </c>
      <c r="N36" s="163" t="s">
        <v>148</v>
      </c>
      <c r="O36" s="162" t="s">
        <v>149</v>
      </c>
      <c r="P36" s="162" t="s">
        <v>194</v>
      </c>
      <c r="Q36" s="162" t="s">
        <v>193</v>
      </c>
      <c r="R36" s="190">
        <v>2018</v>
      </c>
      <c r="S36" s="191">
        <v>1146</v>
      </c>
      <c r="T36" s="198">
        <f>IF(ISNUMBER(S36),S36/VLOOKUP($Q36,xRates!$A$1:$BL$267,studies!$R36-xRates!$B$1+2,FALSE),"")</f>
        <v>35.468895078922934</v>
      </c>
      <c r="V36" s="198" t="str">
        <f>IF(ISNUMBER(U36),U36/VLOOKUP($Q36,xRates!$A$1:$BL$267,studies!$R36-xRates!$B$1+2,FALSE),"")</f>
        <v/>
      </c>
      <c r="W36" s="163">
        <v>0</v>
      </c>
      <c r="X36" s="163">
        <v>0</v>
      </c>
      <c r="Y36" s="163">
        <v>1</v>
      </c>
      <c r="Z36" s="163">
        <v>1</v>
      </c>
      <c r="AA36" s="163">
        <v>1</v>
      </c>
      <c r="AB36" s="163" t="s">
        <v>152</v>
      </c>
      <c r="AC36" s="190">
        <v>73674</v>
      </c>
      <c r="AD36" s="213">
        <f>IF(ISNUMBER(AC36),AC36/VLOOKUP($Q36,xRates!$A$1:$BL$267,studies!$R36-xRates!$B$1+2,FALSE),"")</f>
        <v>2280.2228412256268</v>
      </c>
      <c r="AE36" s="200">
        <f t="shared" si="4"/>
        <v>0</v>
      </c>
      <c r="AF36" s="200">
        <f>VLOOKUP(G36,gdppc,R36-1958,FALSE)</f>
        <v>7124.6</v>
      </c>
      <c r="AG36" s="195" t="str">
        <f t="shared" si="5"/>
        <v>Cost-effective</v>
      </c>
      <c r="AH36" s="195" t="str">
        <f t="shared" si="6"/>
        <v>Cost-effective</v>
      </c>
      <c r="AI36" s="204">
        <f t="shared" si="7"/>
        <v>0.32004924363832732</v>
      </c>
      <c r="AJ36" s="205">
        <f>IFERROR(VLOOKUP(G36,ochalek,11,FALSE),"")</f>
        <v>1.1200000000000001</v>
      </c>
      <c r="AK36" s="195" t="str">
        <f t="shared" si="8"/>
        <v>Cost-effective</v>
      </c>
      <c r="AL36" s="205">
        <f>IFERROR(VLOOKUP(G36,ochalek,10,FALSE),"")</f>
        <v>0.7</v>
      </c>
      <c r="AM36" s="207" t="str">
        <f t="shared" si="9"/>
        <v>Cost-effective</v>
      </c>
      <c r="AN36" s="205">
        <f>IFERROR(VLOOKUP(G36,woods,6,FALSE),"")</f>
        <v>0.65269570111403552</v>
      </c>
      <c r="AO36" s="195" t="str">
        <f t="shared" si="10"/>
        <v>Cost-effective</v>
      </c>
      <c r="AP36" s="205">
        <f>IFERROR(VLOOKUP(G36,woods,5,FALSE),"")</f>
        <v>0.19549419807650922</v>
      </c>
      <c r="AQ36" s="195" t="str">
        <f t="shared" si="11"/>
        <v>Not cost-effective</v>
      </c>
      <c r="AR36" s="205">
        <f>IFERROR(VLOOKUP(G36,riviere,8,FALSE),"")</f>
        <v>0.67102744933539571</v>
      </c>
      <c r="AS36" s="195" t="str">
        <f t="shared" si="12"/>
        <v>Cost-effective</v>
      </c>
      <c r="AT36" s="205">
        <f>IFERROR(VLOOKUP(G36,riviere,7,FALSE),"")</f>
        <v>0.27816375219568462</v>
      </c>
      <c r="AU36" s="195" t="str">
        <f t="shared" si="13"/>
        <v>Not cost-effective</v>
      </c>
      <c r="AV36" s="162" t="s">
        <v>195</v>
      </c>
      <c r="AW36" s="162" t="s">
        <v>162</v>
      </c>
      <c r="AX36" s="210">
        <f t="shared" si="14"/>
        <v>0</v>
      </c>
      <c r="AY36" s="210">
        <f t="shared" si="15"/>
        <v>0</v>
      </c>
      <c r="AZ36" s="197">
        <f t="shared" si="16"/>
        <v>0</v>
      </c>
      <c r="BA36" s="197">
        <f t="shared" si="17"/>
        <v>1</v>
      </c>
      <c r="BB36" s="197">
        <f t="shared" si="18"/>
        <v>0</v>
      </c>
      <c r="BC36" s="197">
        <f t="shared" si="19"/>
        <v>1</v>
      </c>
      <c r="BD36" s="197">
        <f t="shared" si="20"/>
        <v>2</v>
      </c>
      <c r="BE36" s="163" t="s">
        <v>148</v>
      </c>
      <c r="BF36" s="162" t="s">
        <v>163</v>
      </c>
    </row>
    <row r="37" spans="1:58">
      <c r="A37" s="195">
        <f t="shared" si="21"/>
        <v>13</v>
      </c>
      <c r="B37" s="195">
        <f t="shared" si="22"/>
        <v>1</v>
      </c>
      <c r="C37" s="196" t="str">
        <f t="shared" si="0"/>
        <v>1301</v>
      </c>
      <c r="D37" s="159" t="s">
        <v>196</v>
      </c>
      <c r="E37" s="190">
        <v>2013</v>
      </c>
      <c r="F37" s="162" t="s">
        <v>197</v>
      </c>
      <c r="G37" s="162" t="s">
        <v>193</v>
      </c>
      <c r="H37" s="197" t="str">
        <f>IF(VLOOKUP(G37,income,R37-1985,FALSE)="UM","Upper-middle",IF(VLOOKUP(G37,income,R37-1985,FALSE)="LM","Lower-middle",IF(VLOOKUP(G37,income,R37-1985,FALSE)="L","Low")))</f>
        <v>Upper-middle</v>
      </c>
      <c r="I37" s="163">
        <v>1</v>
      </c>
      <c r="J37" s="162" t="s">
        <v>166</v>
      </c>
      <c r="K37" s="162" t="s">
        <v>147</v>
      </c>
      <c r="L37" s="207" t="str">
        <f t="shared" si="3"/>
        <v>PCV10 vs NoVax</v>
      </c>
      <c r="M37" s="162" t="s">
        <v>1551</v>
      </c>
      <c r="N37" s="163" t="s">
        <v>155</v>
      </c>
      <c r="O37" s="162" t="s">
        <v>149</v>
      </c>
      <c r="P37" s="162" t="s">
        <v>194</v>
      </c>
      <c r="Q37" s="162" t="s">
        <v>193</v>
      </c>
      <c r="R37" s="190">
        <v>2010</v>
      </c>
      <c r="S37" s="191">
        <v>1440</v>
      </c>
      <c r="T37" s="198">
        <f>IF(ISNUMBER(S37),S37/VLOOKUP($Q37,xRates!$A$1:$BL$267,studies!$R37-xRates!$B$1+2,FALSE),"")</f>
        <v>45.440201956453137</v>
      </c>
      <c r="V37" s="198" t="str">
        <f>IF(ISNUMBER(U37),U37/VLOOKUP($Q37,xRates!$A$1:$BL$267,studies!$R37-xRates!$B$1+2,FALSE),"")</f>
        <v/>
      </c>
      <c r="W37" s="163">
        <v>1</v>
      </c>
      <c r="X37" s="163">
        <v>1</v>
      </c>
      <c r="Y37" s="163">
        <v>1</v>
      </c>
      <c r="Z37" s="163">
        <v>1</v>
      </c>
      <c r="AA37" s="163">
        <v>1</v>
      </c>
      <c r="AB37" s="163" t="s">
        <v>152</v>
      </c>
      <c r="AC37" s="190">
        <v>519399</v>
      </c>
      <c r="AD37" s="213">
        <f>IF(ISNUMBER(AC37),AC37/VLOOKUP($Q37,xRates!$A$1:$BL$267,studies!$R37-xRates!$B$1+2,FALSE),"")</f>
        <v>16389.996844430418</v>
      </c>
      <c r="AE37" s="200">
        <f t="shared" si="4"/>
        <v>0</v>
      </c>
      <c r="AF37" s="200">
        <f>VLOOKUP(G37,gdppc,R37-1958,FALSE)</f>
        <v>4996.3999999999996</v>
      </c>
      <c r="AG37" s="195" t="str">
        <f t="shared" si="5"/>
        <v>Not cost-effective</v>
      </c>
      <c r="AH37" s="195" t="str">
        <f t="shared" si="6"/>
        <v>Not cost-effective</v>
      </c>
      <c r="AI37" s="204">
        <f t="shared" si="7"/>
        <v>3.2803612289709427</v>
      </c>
      <c r="AJ37" s="205">
        <f>IFERROR(VLOOKUP(G37,ochalek,11,FALSE),"")</f>
        <v>1.1200000000000001</v>
      </c>
      <c r="AK37" s="195" t="str">
        <f t="shared" si="8"/>
        <v>Not cost-effective</v>
      </c>
      <c r="AL37" s="205">
        <f>IFERROR(VLOOKUP(G37,ochalek,10,FALSE),"")</f>
        <v>0.7</v>
      </c>
      <c r="AM37" s="207" t="str">
        <f t="shared" si="9"/>
        <v>Not cost-effective</v>
      </c>
      <c r="AN37" s="205">
        <f>IFERROR(VLOOKUP(G37,woods,6,FALSE),"")</f>
        <v>0.65269570111403552</v>
      </c>
      <c r="AO37" s="195" t="str">
        <f t="shared" si="10"/>
        <v>Not cost-effective</v>
      </c>
      <c r="AP37" s="205">
        <f>IFERROR(VLOOKUP(G37,woods,5,FALSE),"")</f>
        <v>0.19549419807650922</v>
      </c>
      <c r="AQ37" s="195" t="str">
        <f t="shared" si="11"/>
        <v>Not cost-effective</v>
      </c>
      <c r="AR37" s="205">
        <f>IFERROR(VLOOKUP(G37,riviere,8,FALSE),"")</f>
        <v>0.67102744933539571</v>
      </c>
      <c r="AS37" s="195" t="str">
        <f t="shared" si="12"/>
        <v>Not cost-effective</v>
      </c>
      <c r="AT37" s="205">
        <f>IFERROR(VLOOKUP(G37,riviere,7,FALSE),"")</f>
        <v>0.27816375219568462</v>
      </c>
      <c r="AU37" s="195" t="str">
        <f t="shared" si="13"/>
        <v>Not cost-effective</v>
      </c>
      <c r="AV37" s="162" t="s">
        <v>198</v>
      </c>
      <c r="AW37" s="162" t="s">
        <v>154</v>
      </c>
      <c r="AX37" s="210" t="str">
        <f t="shared" si="14"/>
        <v/>
      </c>
      <c r="AY37" s="210" t="str">
        <f t="shared" si="15"/>
        <v/>
      </c>
      <c r="AZ37" s="197" t="str">
        <f t="shared" si="16"/>
        <v/>
      </c>
      <c r="BA37" s="197" t="str">
        <f t="shared" si="17"/>
        <v/>
      </c>
      <c r="BB37" s="197" t="str">
        <f t="shared" si="18"/>
        <v/>
      </c>
      <c r="BC37" s="197" t="str">
        <f t="shared" si="19"/>
        <v/>
      </c>
      <c r="BD37" s="197">
        <f t="shared" si="20"/>
        <v>0</v>
      </c>
      <c r="BE37" s="163" t="s">
        <v>155</v>
      </c>
      <c r="BF37" s="162" t="s">
        <v>156</v>
      </c>
    </row>
    <row r="38" spans="1:58">
      <c r="A38" s="195">
        <f t="shared" si="21"/>
        <v>13</v>
      </c>
      <c r="B38" s="195">
        <f t="shared" si="22"/>
        <v>2</v>
      </c>
      <c r="C38" s="196" t="str">
        <f t="shared" si="0"/>
        <v>1302</v>
      </c>
      <c r="D38" s="159" t="s">
        <v>196</v>
      </c>
      <c r="E38" s="190">
        <v>2013</v>
      </c>
      <c r="F38" s="162" t="s">
        <v>197</v>
      </c>
      <c r="G38" s="162" t="s">
        <v>193</v>
      </c>
      <c r="H38" s="197" t="str">
        <f>IF(VLOOKUP(G38,income,R38-1985,FALSE)="UM","Upper-middle",IF(VLOOKUP(G38,income,R38-1985,FALSE)="LM","Lower-middle",IF(VLOOKUP(G38,income,R38-1985,FALSE)="L","Low")))</f>
        <v>Upper-middle</v>
      </c>
      <c r="I38" s="163">
        <v>1</v>
      </c>
      <c r="J38" s="162" t="s">
        <v>166</v>
      </c>
      <c r="K38" s="162" t="s">
        <v>147</v>
      </c>
      <c r="L38" s="207" t="str">
        <f t="shared" si="3"/>
        <v>PCV10 vs NoVax</v>
      </c>
      <c r="M38" s="162" t="s">
        <v>1552</v>
      </c>
      <c r="N38" s="163" t="s">
        <v>155</v>
      </c>
      <c r="O38" s="162" t="s">
        <v>149</v>
      </c>
      <c r="P38" s="162" t="s">
        <v>194</v>
      </c>
      <c r="Q38" s="162" t="s">
        <v>193</v>
      </c>
      <c r="R38" s="190">
        <v>2010</v>
      </c>
      <c r="S38" s="191">
        <v>1440</v>
      </c>
      <c r="T38" s="198">
        <f>IF(ISNUMBER(S38),S38/VLOOKUP($Q38,xRates!$A$1:$BL$267,studies!$R38-xRates!$B$1+2,FALSE),"")</f>
        <v>45.440201956453137</v>
      </c>
      <c r="V38" s="198" t="str">
        <f>IF(ISNUMBER(U38),U38/VLOOKUP($Q38,xRates!$A$1:$BL$267,studies!$R38-xRates!$B$1+2,FALSE),"")</f>
        <v/>
      </c>
      <c r="W38" s="163">
        <v>1</v>
      </c>
      <c r="X38" s="163">
        <v>1</v>
      </c>
      <c r="Y38" s="163">
        <v>1</v>
      </c>
      <c r="Z38" s="163">
        <v>1</v>
      </c>
      <c r="AA38" s="163">
        <v>1</v>
      </c>
      <c r="AB38" s="163" t="s">
        <v>152</v>
      </c>
      <c r="AC38" s="190">
        <v>650087</v>
      </c>
      <c r="AD38" s="213">
        <f>IF(ISNUMBER(AC38),AC38/VLOOKUP($Q38,xRates!$A$1:$BL$267,studies!$R38-xRates!$B$1+2,FALSE),"")</f>
        <v>20513.947617544967</v>
      </c>
      <c r="AE38" s="200">
        <f t="shared" si="4"/>
        <v>0</v>
      </c>
      <c r="AF38" s="200">
        <f>VLOOKUP(G38,gdppc,R38-1958,FALSE)</f>
        <v>4996.3999999999996</v>
      </c>
      <c r="AG38" s="195" t="str">
        <f t="shared" si="5"/>
        <v>Not cost-effective</v>
      </c>
      <c r="AH38" s="195" t="str">
        <f t="shared" si="6"/>
        <v>Not cost-effective</v>
      </c>
      <c r="AI38" s="204">
        <f t="shared" si="7"/>
        <v>4.1057456603844704</v>
      </c>
      <c r="AJ38" s="205">
        <f>IFERROR(VLOOKUP(G38,ochalek,11,FALSE),"")</f>
        <v>1.1200000000000001</v>
      </c>
      <c r="AK38" s="195" t="str">
        <f t="shared" si="8"/>
        <v>Not cost-effective</v>
      </c>
      <c r="AL38" s="205">
        <f>IFERROR(VLOOKUP(G38,ochalek,10,FALSE),"")</f>
        <v>0.7</v>
      </c>
      <c r="AM38" s="207" t="str">
        <f t="shared" si="9"/>
        <v>Not cost-effective</v>
      </c>
      <c r="AN38" s="205">
        <f>IFERROR(VLOOKUP(G38,woods,6,FALSE),"")</f>
        <v>0.65269570111403552</v>
      </c>
      <c r="AO38" s="195" t="str">
        <f t="shared" si="10"/>
        <v>Not cost-effective</v>
      </c>
      <c r="AP38" s="205">
        <f>IFERROR(VLOOKUP(G38,woods,5,FALSE),"")</f>
        <v>0.19549419807650922</v>
      </c>
      <c r="AQ38" s="195" t="str">
        <f t="shared" si="11"/>
        <v>Not cost-effective</v>
      </c>
      <c r="AR38" s="205">
        <f>IFERROR(VLOOKUP(G38,riviere,8,FALSE),"")</f>
        <v>0.67102744933539571</v>
      </c>
      <c r="AS38" s="195" t="str">
        <f t="shared" si="12"/>
        <v>Not cost-effective</v>
      </c>
      <c r="AT38" s="205">
        <f>IFERROR(VLOOKUP(G38,riviere,7,FALSE),"")</f>
        <v>0.27816375219568462</v>
      </c>
      <c r="AU38" s="195" t="str">
        <f t="shared" si="13"/>
        <v>Not cost-effective</v>
      </c>
      <c r="AV38" s="162" t="s">
        <v>198</v>
      </c>
      <c r="AW38" s="162" t="s">
        <v>154</v>
      </c>
      <c r="AX38" s="210" t="str">
        <f t="shared" si="14"/>
        <v/>
      </c>
      <c r="AY38" s="210" t="str">
        <f t="shared" si="15"/>
        <v/>
      </c>
      <c r="AZ38" s="197" t="str">
        <f t="shared" si="16"/>
        <v/>
      </c>
      <c r="BA38" s="197" t="str">
        <f t="shared" si="17"/>
        <v/>
      </c>
      <c r="BB38" s="197" t="str">
        <f t="shared" si="18"/>
        <v/>
      </c>
      <c r="BC38" s="197" t="str">
        <f t="shared" si="19"/>
        <v/>
      </c>
      <c r="BD38" s="197">
        <f t="shared" si="20"/>
        <v>0</v>
      </c>
      <c r="BE38" s="163" t="s">
        <v>155</v>
      </c>
      <c r="BF38" s="162" t="s">
        <v>156</v>
      </c>
    </row>
    <row r="39" spans="1:58">
      <c r="A39" s="195">
        <f t="shared" si="21"/>
        <v>13</v>
      </c>
      <c r="B39" s="195">
        <f t="shared" si="22"/>
        <v>3</v>
      </c>
      <c r="C39" s="196" t="str">
        <f t="shared" si="0"/>
        <v>1303</v>
      </c>
      <c r="D39" s="159" t="s">
        <v>196</v>
      </c>
      <c r="E39" s="190">
        <v>2013</v>
      </c>
      <c r="F39" s="162" t="s">
        <v>197</v>
      </c>
      <c r="G39" s="162" t="s">
        <v>193</v>
      </c>
      <c r="H39" s="197" t="str">
        <f>IF(VLOOKUP(G39,income,R39-1985,FALSE)="UM","Upper-middle",IF(VLOOKUP(G39,income,R39-1985,FALSE)="LM","Lower-middle",IF(VLOOKUP(G39,income,R39-1985,FALSE)="L","Low")))</f>
        <v>Upper-middle</v>
      </c>
      <c r="I39" s="163">
        <v>1</v>
      </c>
      <c r="J39" s="162" t="s">
        <v>166</v>
      </c>
      <c r="K39" s="162" t="s">
        <v>147</v>
      </c>
      <c r="L39" s="207" t="str">
        <f t="shared" si="3"/>
        <v>PCV10 vs NoVax</v>
      </c>
      <c r="M39" s="162" t="s">
        <v>1551</v>
      </c>
      <c r="N39" s="163" t="s">
        <v>148</v>
      </c>
      <c r="O39" s="162" t="s">
        <v>149</v>
      </c>
      <c r="P39" s="162" t="s">
        <v>194</v>
      </c>
      <c r="Q39" s="162" t="s">
        <v>193</v>
      </c>
      <c r="R39" s="190">
        <v>2010</v>
      </c>
      <c r="S39" s="191">
        <v>1440</v>
      </c>
      <c r="T39" s="198">
        <f>IF(ISNUMBER(S39),S39/VLOOKUP($Q39,xRates!$A$1:$BL$267,studies!$R39-xRates!$B$1+2,FALSE),"")</f>
        <v>45.440201956453137</v>
      </c>
      <c r="V39" s="198" t="str">
        <f>IF(ISNUMBER(U39),U39/VLOOKUP($Q39,xRates!$A$1:$BL$267,studies!$R39-xRates!$B$1+2,FALSE),"")</f>
        <v/>
      </c>
      <c r="W39" s="163">
        <v>0</v>
      </c>
      <c r="X39" s="163">
        <v>0</v>
      </c>
      <c r="Y39" s="163">
        <v>1</v>
      </c>
      <c r="Z39" s="163">
        <v>1</v>
      </c>
      <c r="AA39" s="163">
        <v>1</v>
      </c>
      <c r="AB39" s="163" t="s">
        <v>152</v>
      </c>
      <c r="AC39" s="190">
        <v>1368072</v>
      </c>
      <c r="AD39" s="213">
        <f>IF(ISNUMBER(AC39),AC39/VLOOKUP($Q39,xRates!$A$1:$BL$267,studies!$R39-xRates!$B$1+2,FALSE),"")</f>
        <v>43170.4638687283</v>
      </c>
      <c r="AE39" s="200">
        <f t="shared" si="4"/>
        <v>0</v>
      </c>
      <c r="AF39" s="200">
        <f>VLOOKUP(G39,gdppc,R39-1958,FALSE)</f>
        <v>4996.3999999999996</v>
      </c>
      <c r="AG39" s="195" t="str">
        <f t="shared" si="5"/>
        <v>Not cost-effective</v>
      </c>
      <c r="AH39" s="195" t="str">
        <f t="shared" si="6"/>
        <v>Not cost-effective</v>
      </c>
      <c r="AI39" s="204">
        <f t="shared" si="7"/>
        <v>8.6403137996814312</v>
      </c>
      <c r="AJ39" s="205">
        <f>IFERROR(VLOOKUP(G39,ochalek,11,FALSE),"")</f>
        <v>1.1200000000000001</v>
      </c>
      <c r="AK39" s="195" t="str">
        <f t="shared" si="8"/>
        <v>Not cost-effective</v>
      </c>
      <c r="AL39" s="205">
        <f>IFERROR(VLOOKUP(G39,ochalek,10,FALSE),"")</f>
        <v>0.7</v>
      </c>
      <c r="AM39" s="207" t="str">
        <f t="shared" si="9"/>
        <v>Not cost-effective</v>
      </c>
      <c r="AN39" s="205">
        <f>IFERROR(VLOOKUP(G39,woods,6,FALSE),"")</f>
        <v>0.65269570111403552</v>
      </c>
      <c r="AO39" s="195" t="str">
        <f t="shared" si="10"/>
        <v>Not cost-effective</v>
      </c>
      <c r="AP39" s="205">
        <f>IFERROR(VLOOKUP(G39,woods,5,FALSE),"")</f>
        <v>0.19549419807650922</v>
      </c>
      <c r="AQ39" s="195" t="str">
        <f t="shared" si="11"/>
        <v>Not cost-effective</v>
      </c>
      <c r="AR39" s="205">
        <f>IFERROR(VLOOKUP(G39,riviere,8,FALSE),"")</f>
        <v>0.67102744933539571</v>
      </c>
      <c r="AS39" s="195" t="str">
        <f t="shared" si="12"/>
        <v>Not cost-effective</v>
      </c>
      <c r="AT39" s="205">
        <f>IFERROR(VLOOKUP(G39,riviere,7,FALSE),"")</f>
        <v>0.27816375219568462</v>
      </c>
      <c r="AU39" s="195" t="str">
        <f t="shared" si="13"/>
        <v>Not cost-effective</v>
      </c>
      <c r="AV39" s="162" t="s">
        <v>198</v>
      </c>
      <c r="AW39" s="162" t="s">
        <v>154</v>
      </c>
      <c r="AX39" s="210" t="str">
        <f t="shared" si="14"/>
        <v/>
      </c>
      <c r="AY39" s="210" t="str">
        <f t="shared" si="15"/>
        <v/>
      </c>
      <c r="AZ39" s="197" t="str">
        <f t="shared" si="16"/>
        <v/>
      </c>
      <c r="BA39" s="197" t="str">
        <f t="shared" si="17"/>
        <v/>
      </c>
      <c r="BB39" s="197" t="str">
        <f t="shared" si="18"/>
        <v/>
      </c>
      <c r="BC39" s="197" t="str">
        <f t="shared" si="19"/>
        <v/>
      </c>
      <c r="BD39" s="197">
        <f t="shared" si="20"/>
        <v>0</v>
      </c>
      <c r="BE39" s="163" t="s">
        <v>155</v>
      </c>
      <c r="BF39" s="162" t="s">
        <v>156</v>
      </c>
    </row>
    <row r="40" spans="1:58">
      <c r="A40" s="195">
        <f t="shared" si="21"/>
        <v>13</v>
      </c>
      <c r="B40" s="195">
        <f t="shared" si="22"/>
        <v>4</v>
      </c>
      <c r="C40" s="196" t="str">
        <f t="shared" si="0"/>
        <v>1304</v>
      </c>
      <c r="D40" s="159" t="s">
        <v>196</v>
      </c>
      <c r="E40" s="190">
        <v>2013</v>
      </c>
      <c r="F40" s="162" t="s">
        <v>197</v>
      </c>
      <c r="G40" s="162" t="s">
        <v>193</v>
      </c>
      <c r="H40" s="197" t="str">
        <f>IF(VLOOKUP(G40,income,R40-1985,FALSE)="UM","Upper-middle",IF(VLOOKUP(G40,income,R40-1985,FALSE)="LM","Lower-middle",IF(VLOOKUP(G40,income,R40-1985,FALSE)="L","Low")))</f>
        <v>Upper-middle</v>
      </c>
      <c r="I40" s="163">
        <v>1</v>
      </c>
      <c r="J40" s="162" t="s">
        <v>166</v>
      </c>
      <c r="K40" s="162" t="s">
        <v>147</v>
      </c>
      <c r="L40" s="207" t="str">
        <f t="shared" si="3"/>
        <v>PCV10 vs NoVax</v>
      </c>
      <c r="M40" s="162" t="s">
        <v>1552</v>
      </c>
      <c r="N40" s="163" t="s">
        <v>155</v>
      </c>
      <c r="O40" s="162" t="s">
        <v>149</v>
      </c>
      <c r="P40" s="162" t="s">
        <v>194</v>
      </c>
      <c r="Q40" s="162" t="s">
        <v>193</v>
      </c>
      <c r="R40" s="190">
        <v>2010</v>
      </c>
      <c r="S40" s="191">
        <v>1440</v>
      </c>
      <c r="T40" s="198">
        <f>IF(ISNUMBER(S40),S40/VLOOKUP($Q40,xRates!$A$1:$BL$267,studies!$R40-xRates!$B$1+2,FALSE),"")</f>
        <v>45.440201956453137</v>
      </c>
      <c r="V40" s="198" t="str">
        <f>IF(ISNUMBER(U40),U40/VLOOKUP($Q40,xRates!$A$1:$BL$267,studies!$R40-xRates!$B$1+2,FALSE),"")</f>
        <v/>
      </c>
      <c r="W40" s="163">
        <v>0</v>
      </c>
      <c r="X40" s="163">
        <v>0</v>
      </c>
      <c r="Y40" s="163">
        <v>1</v>
      </c>
      <c r="Z40" s="163">
        <v>1</v>
      </c>
      <c r="AA40" s="163">
        <v>1</v>
      </c>
      <c r="AB40" s="163" t="s">
        <v>152</v>
      </c>
      <c r="AC40" s="190">
        <v>1677379</v>
      </c>
      <c r="AD40" s="213">
        <f>IF(ISNUMBER(AC40),AC40/VLOOKUP($Q40,xRates!$A$1:$BL$267,studies!$R40-xRates!$B$1+2,FALSE),"")</f>
        <v>52930.861470495423</v>
      </c>
      <c r="AE40" s="200">
        <f t="shared" si="4"/>
        <v>0</v>
      </c>
      <c r="AF40" s="200">
        <f>VLOOKUP(G40,gdppc,R40-1958,FALSE)</f>
        <v>4996.3999999999996</v>
      </c>
      <c r="AG40" s="195" t="str">
        <f t="shared" si="5"/>
        <v>Not cost-effective</v>
      </c>
      <c r="AH40" s="195" t="str">
        <f t="shared" si="6"/>
        <v>Not cost-effective</v>
      </c>
      <c r="AI40" s="204">
        <f t="shared" si="7"/>
        <v>10.593799829976669</v>
      </c>
      <c r="AJ40" s="205">
        <f>IFERROR(VLOOKUP(G40,ochalek,11,FALSE),"")</f>
        <v>1.1200000000000001</v>
      </c>
      <c r="AK40" s="195" t="str">
        <f t="shared" si="8"/>
        <v>Not cost-effective</v>
      </c>
      <c r="AL40" s="205">
        <f>IFERROR(VLOOKUP(G40,ochalek,10,FALSE),"")</f>
        <v>0.7</v>
      </c>
      <c r="AM40" s="207" t="str">
        <f t="shared" si="9"/>
        <v>Not cost-effective</v>
      </c>
      <c r="AN40" s="205">
        <f>IFERROR(VLOOKUP(G40,woods,6,FALSE),"")</f>
        <v>0.65269570111403552</v>
      </c>
      <c r="AO40" s="195" t="str">
        <f t="shared" si="10"/>
        <v>Not cost-effective</v>
      </c>
      <c r="AP40" s="205">
        <f>IFERROR(VLOOKUP(G40,woods,5,FALSE),"")</f>
        <v>0.19549419807650922</v>
      </c>
      <c r="AQ40" s="195" t="str">
        <f t="shared" si="11"/>
        <v>Not cost-effective</v>
      </c>
      <c r="AR40" s="205">
        <f>IFERROR(VLOOKUP(G40,riviere,8,FALSE),"")</f>
        <v>0.67102744933539571</v>
      </c>
      <c r="AS40" s="195" t="str">
        <f t="shared" si="12"/>
        <v>Not cost-effective</v>
      </c>
      <c r="AT40" s="205">
        <f>IFERROR(VLOOKUP(G40,riviere,7,FALSE),"")</f>
        <v>0.27816375219568462</v>
      </c>
      <c r="AU40" s="195" t="str">
        <f t="shared" si="13"/>
        <v>Not cost-effective</v>
      </c>
      <c r="AV40" s="162" t="s">
        <v>198</v>
      </c>
      <c r="AW40" s="162" t="s">
        <v>154</v>
      </c>
      <c r="AX40" s="210" t="str">
        <f t="shared" si="14"/>
        <v/>
      </c>
      <c r="AY40" s="210" t="str">
        <f t="shared" si="15"/>
        <v/>
      </c>
      <c r="AZ40" s="197" t="str">
        <f t="shared" si="16"/>
        <v/>
      </c>
      <c r="BA40" s="197" t="str">
        <f t="shared" si="17"/>
        <v/>
      </c>
      <c r="BB40" s="197" t="str">
        <f t="shared" si="18"/>
        <v/>
      </c>
      <c r="BC40" s="197" t="str">
        <f t="shared" si="19"/>
        <v/>
      </c>
      <c r="BD40" s="197">
        <f t="shared" si="20"/>
        <v>0</v>
      </c>
      <c r="BE40" s="163" t="s">
        <v>155</v>
      </c>
      <c r="BF40" s="162" t="s">
        <v>156</v>
      </c>
    </row>
    <row r="41" spans="1:58">
      <c r="A41" s="195">
        <f t="shared" si="21"/>
        <v>13</v>
      </c>
      <c r="B41" s="195">
        <f t="shared" si="22"/>
        <v>5</v>
      </c>
      <c r="C41" s="196" t="str">
        <f t="shared" si="0"/>
        <v>1305</v>
      </c>
      <c r="D41" s="159" t="s">
        <v>196</v>
      </c>
      <c r="E41" s="190">
        <v>2013</v>
      </c>
      <c r="F41" s="162" t="s">
        <v>197</v>
      </c>
      <c r="G41" s="162" t="s">
        <v>193</v>
      </c>
      <c r="H41" s="197" t="str">
        <f>IF(VLOOKUP(G41,income,R41-1985,FALSE)="UM","Upper-middle",IF(VLOOKUP(G41,income,R41-1985,FALSE)="LM","Lower-middle",IF(VLOOKUP(G41,income,R41-1985,FALSE)="L","Low")))</f>
        <v>Upper-middle</v>
      </c>
      <c r="I41" s="163">
        <v>1</v>
      </c>
      <c r="J41" s="162" t="s">
        <v>167</v>
      </c>
      <c r="K41" s="162" t="s">
        <v>147</v>
      </c>
      <c r="L41" s="207" t="str">
        <f t="shared" si="3"/>
        <v>PCV13 vs NoVax</v>
      </c>
      <c r="M41" s="162" t="s">
        <v>1551</v>
      </c>
      <c r="N41" s="163" t="s">
        <v>155</v>
      </c>
      <c r="O41" s="162" t="s">
        <v>149</v>
      </c>
      <c r="P41" s="162" t="s">
        <v>194</v>
      </c>
      <c r="Q41" s="162" t="s">
        <v>193</v>
      </c>
      <c r="R41" s="190">
        <v>2010</v>
      </c>
      <c r="S41" s="191">
        <v>1930</v>
      </c>
      <c r="T41" s="198">
        <f>IF(ISNUMBER(S41),S41/VLOOKUP($Q41,xRates!$A$1:$BL$267,studies!$R41-xRates!$B$1+2,FALSE),"")</f>
        <v>60.902492899968443</v>
      </c>
      <c r="V41" s="198" t="str">
        <f>IF(ISNUMBER(U41),U41/VLOOKUP($Q41,xRates!$A$1:$BL$267,studies!$R41-xRates!$B$1+2,FALSE),"")</f>
        <v/>
      </c>
      <c r="W41" s="163">
        <v>1</v>
      </c>
      <c r="X41" s="163">
        <v>1</v>
      </c>
      <c r="Y41" s="163">
        <v>1</v>
      </c>
      <c r="Z41" s="163">
        <v>1</v>
      </c>
      <c r="AA41" s="163">
        <v>1</v>
      </c>
      <c r="AB41" s="163" t="s">
        <v>152</v>
      </c>
      <c r="AC41" s="190">
        <v>527378</v>
      </c>
      <c r="AD41" s="213">
        <f>IF(ISNUMBER(AC41),AC41/VLOOKUP($Q41,xRates!$A$1:$BL$267,studies!$R41-xRates!$B$1+2,FALSE),"")</f>
        <v>16641.779741243292</v>
      </c>
      <c r="AE41" s="200">
        <f t="shared" si="4"/>
        <v>0</v>
      </c>
      <c r="AF41" s="200">
        <f>VLOOKUP(G41,gdppc,R41-1958,FALSE)</f>
        <v>4996.3999999999996</v>
      </c>
      <c r="AG41" s="195" t="str">
        <f t="shared" si="5"/>
        <v>Not cost-effective</v>
      </c>
      <c r="AH41" s="195" t="str">
        <f t="shared" si="6"/>
        <v>Not cost-effective</v>
      </c>
      <c r="AI41" s="204">
        <f t="shared" si="7"/>
        <v>3.3307540911943185</v>
      </c>
      <c r="AJ41" s="205">
        <f>IFERROR(VLOOKUP(G41,ochalek,11,FALSE),"")</f>
        <v>1.1200000000000001</v>
      </c>
      <c r="AK41" s="195" t="str">
        <f t="shared" si="8"/>
        <v>Not cost-effective</v>
      </c>
      <c r="AL41" s="205">
        <f>IFERROR(VLOOKUP(G41,ochalek,10,FALSE),"")</f>
        <v>0.7</v>
      </c>
      <c r="AM41" s="207" t="str">
        <f t="shared" si="9"/>
        <v>Not cost-effective</v>
      </c>
      <c r="AN41" s="205">
        <f>IFERROR(VLOOKUP(G41,woods,6,FALSE),"")</f>
        <v>0.65269570111403552</v>
      </c>
      <c r="AO41" s="195" t="str">
        <f t="shared" si="10"/>
        <v>Not cost-effective</v>
      </c>
      <c r="AP41" s="205">
        <f>IFERROR(VLOOKUP(G41,woods,5,FALSE),"")</f>
        <v>0.19549419807650922</v>
      </c>
      <c r="AQ41" s="195" t="str">
        <f t="shared" si="11"/>
        <v>Not cost-effective</v>
      </c>
      <c r="AR41" s="205">
        <f>IFERROR(VLOOKUP(G41,riviere,8,FALSE),"")</f>
        <v>0.67102744933539571</v>
      </c>
      <c r="AS41" s="195" t="str">
        <f t="shared" si="12"/>
        <v>Not cost-effective</v>
      </c>
      <c r="AT41" s="205">
        <f>IFERROR(VLOOKUP(G41,riviere,7,FALSE),"")</f>
        <v>0.27816375219568462</v>
      </c>
      <c r="AU41" s="195" t="str">
        <f t="shared" si="13"/>
        <v>Not cost-effective</v>
      </c>
      <c r="AV41" s="162" t="s">
        <v>198</v>
      </c>
      <c r="AW41" s="162" t="s">
        <v>154</v>
      </c>
      <c r="AX41" s="210" t="str">
        <f t="shared" si="14"/>
        <v/>
      </c>
      <c r="AY41" s="210" t="str">
        <f t="shared" si="15"/>
        <v/>
      </c>
      <c r="AZ41" s="197" t="str">
        <f t="shared" si="16"/>
        <v/>
      </c>
      <c r="BA41" s="197" t="str">
        <f t="shared" si="17"/>
        <v/>
      </c>
      <c r="BB41" s="197" t="str">
        <f t="shared" si="18"/>
        <v/>
      </c>
      <c r="BC41" s="197" t="str">
        <f t="shared" si="19"/>
        <v/>
      </c>
      <c r="BD41" s="197">
        <f t="shared" si="20"/>
        <v>0</v>
      </c>
      <c r="BE41" s="163" t="s">
        <v>155</v>
      </c>
      <c r="BF41" s="162" t="s">
        <v>156</v>
      </c>
    </row>
    <row r="42" spans="1:58">
      <c r="A42" s="195">
        <f t="shared" si="21"/>
        <v>13</v>
      </c>
      <c r="B42" s="195">
        <f t="shared" si="22"/>
        <v>6</v>
      </c>
      <c r="C42" s="196" t="str">
        <f t="shared" si="0"/>
        <v>1306</v>
      </c>
      <c r="D42" s="159" t="s">
        <v>196</v>
      </c>
      <c r="E42" s="190">
        <v>2013</v>
      </c>
      <c r="F42" s="162" t="s">
        <v>197</v>
      </c>
      <c r="G42" s="162" t="s">
        <v>193</v>
      </c>
      <c r="H42" s="197" t="str">
        <f>IF(VLOOKUP(G42,income,R42-1985,FALSE)="UM","Upper-middle",IF(VLOOKUP(G42,income,R42-1985,FALSE)="LM","Lower-middle",IF(VLOOKUP(G42,income,R42-1985,FALSE)="L","Low")))</f>
        <v>Upper-middle</v>
      </c>
      <c r="I42" s="163">
        <v>1</v>
      </c>
      <c r="J42" s="162" t="s">
        <v>167</v>
      </c>
      <c r="K42" s="162" t="s">
        <v>147</v>
      </c>
      <c r="L42" s="207" t="str">
        <f t="shared" si="3"/>
        <v>PCV13 vs NoVax</v>
      </c>
      <c r="M42" s="162" t="s">
        <v>1552</v>
      </c>
      <c r="N42" s="163" t="s">
        <v>155</v>
      </c>
      <c r="O42" s="162" t="s">
        <v>149</v>
      </c>
      <c r="P42" s="162" t="s">
        <v>194</v>
      </c>
      <c r="Q42" s="162" t="s">
        <v>193</v>
      </c>
      <c r="R42" s="190">
        <v>2010</v>
      </c>
      <c r="S42" s="191">
        <v>1930</v>
      </c>
      <c r="T42" s="198">
        <f>IF(ISNUMBER(S42),S42/VLOOKUP($Q42,xRates!$A$1:$BL$267,studies!$R42-xRates!$B$1+2,FALSE),"")</f>
        <v>60.902492899968443</v>
      </c>
      <c r="V42" s="198" t="str">
        <f>IF(ISNUMBER(U42),U42/VLOOKUP($Q42,xRates!$A$1:$BL$267,studies!$R42-xRates!$B$1+2,FALSE),"")</f>
        <v/>
      </c>
      <c r="W42" s="163">
        <v>1</v>
      </c>
      <c r="X42" s="163">
        <v>1</v>
      </c>
      <c r="Y42" s="163">
        <v>1</v>
      </c>
      <c r="Z42" s="163">
        <v>1</v>
      </c>
      <c r="AA42" s="163">
        <v>1</v>
      </c>
      <c r="AB42" s="163" t="s">
        <v>152</v>
      </c>
      <c r="AC42" s="190">
        <v>660662</v>
      </c>
      <c r="AD42" s="213">
        <f>IF(ISNUMBER(AC42),AC42/VLOOKUP($Q42,xRates!$A$1:$BL$267,studies!$R42-xRates!$B$1+2,FALSE),"")</f>
        <v>20847.649100662667</v>
      </c>
      <c r="AE42" s="200">
        <f t="shared" si="4"/>
        <v>0</v>
      </c>
      <c r="AF42" s="200">
        <f>VLOOKUP(G42,gdppc,R42-1958,FALSE)</f>
        <v>4996.3999999999996</v>
      </c>
      <c r="AG42" s="195" t="str">
        <f t="shared" si="5"/>
        <v>Not cost-effective</v>
      </c>
      <c r="AH42" s="195" t="str">
        <f t="shared" si="6"/>
        <v>Not cost-effective</v>
      </c>
      <c r="AI42" s="204">
        <f t="shared" si="7"/>
        <v>4.1725340446446779</v>
      </c>
      <c r="AJ42" s="205">
        <f>IFERROR(VLOOKUP(G42,ochalek,11,FALSE),"")</f>
        <v>1.1200000000000001</v>
      </c>
      <c r="AK42" s="195" t="str">
        <f t="shared" si="8"/>
        <v>Not cost-effective</v>
      </c>
      <c r="AL42" s="205">
        <f>IFERROR(VLOOKUP(G42,ochalek,10,FALSE),"")</f>
        <v>0.7</v>
      </c>
      <c r="AM42" s="207" t="str">
        <f t="shared" si="9"/>
        <v>Not cost-effective</v>
      </c>
      <c r="AN42" s="205">
        <f>IFERROR(VLOOKUP(G42,woods,6,FALSE),"")</f>
        <v>0.65269570111403552</v>
      </c>
      <c r="AO42" s="195" t="str">
        <f t="shared" si="10"/>
        <v>Not cost-effective</v>
      </c>
      <c r="AP42" s="205">
        <f>IFERROR(VLOOKUP(G42,woods,5,FALSE),"")</f>
        <v>0.19549419807650922</v>
      </c>
      <c r="AQ42" s="195" t="str">
        <f t="shared" si="11"/>
        <v>Not cost-effective</v>
      </c>
      <c r="AR42" s="205">
        <f>IFERROR(VLOOKUP(G42,riviere,8,FALSE),"")</f>
        <v>0.67102744933539571</v>
      </c>
      <c r="AS42" s="195" t="str">
        <f t="shared" si="12"/>
        <v>Not cost-effective</v>
      </c>
      <c r="AT42" s="205">
        <f>IFERROR(VLOOKUP(G42,riviere,7,FALSE),"")</f>
        <v>0.27816375219568462</v>
      </c>
      <c r="AU42" s="195" t="str">
        <f t="shared" si="13"/>
        <v>Not cost-effective</v>
      </c>
      <c r="AV42" s="162" t="s">
        <v>198</v>
      </c>
      <c r="AW42" s="162" t="s">
        <v>154</v>
      </c>
      <c r="AX42" s="210" t="str">
        <f t="shared" si="14"/>
        <v/>
      </c>
      <c r="AY42" s="210" t="str">
        <f t="shared" si="15"/>
        <v/>
      </c>
      <c r="AZ42" s="197" t="str">
        <f t="shared" si="16"/>
        <v/>
      </c>
      <c r="BA42" s="197" t="str">
        <f t="shared" si="17"/>
        <v/>
      </c>
      <c r="BB42" s="197" t="str">
        <f t="shared" si="18"/>
        <v/>
      </c>
      <c r="BC42" s="197" t="str">
        <f t="shared" si="19"/>
        <v/>
      </c>
      <c r="BD42" s="197">
        <f t="shared" si="20"/>
        <v>0</v>
      </c>
      <c r="BE42" s="163" t="s">
        <v>155</v>
      </c>
      <c r="BF42" s="162" t="s">
        <v>156</v>
      </c>
    </row>
    <row r="43" spans="1:58">
      <c r="A43" s="195">
        <f t="shared" si="21"/>
        <v>13</v>
      </c>
      <c r="B43" s="195">
        <f t="shared" si="22"/>
        <v>7</v>
      </c>
      <c r="C43" s="196" t="str">
        <f t="shared" si="0"/>
        <v>1307</v>
      </c>
      <c r="D43" s="159" t="s">
        <v>196</v>
      </c>
      <c r="E43" s="190">
        <v>2013</v>
      </c>
      <c r="F43" s="162" t="s">
        <v>197</v>
      </c>
      <c r="G43" s="162" t="s">
        <v>193</v>
      </c>
      <c r="H43" s="197" t="str">
        <f>IF(VLOOKUP(G43,income,R43-1985,FALSE)="UM","Upper-middle",IF(VLOOKUP(G43,income,R43-1985,FALSE)="LM","Lower-middle",IF(VLOOKUP(G43,income,R43-1985,FALSE)="L","Low")))</f>
        <v>Upper-middle</v>
      </c>
      <c r="I43" s="163">
        <v>1</v>
      </c>
      <c r="J43" s="162" t="s">
        <v>167</v>
      </c>
      <c r="K43" s="162" t="s">
        <v>147</v>
      </c>
      <c r="L43" s="207" t="str">
        <f t="shared" si="3"/>
        <v>PCV13 vs NoVax</v>
      </c>
      <c r="M43" s="162" t="s">
        <v>1551</v>
      </c>
      <c r="N43" s="163" t="s">
        <v>148</v>
      </c>
      <c r="O43" s="162" t="s">
        <v>149</v>
      </c>
      <c r="P43" s="162" t="s">
        <v>194</v>
      </c>
      <c r="Q43" s="162" t="s">
        <v>193</v>
      </c>
      <c r="R43" s="190">
        <v>2010</v>
      </c>
      <c r="S43" s="191">
        <v>1930</v>
      </c>
      <c r="T43" s="198">
        <f>IF(ISNUMBER(S43),S43/VLOOKUP($Q43,xRates!$A$1:$BL$267,studies!$R43-xRates!$B$1+2,FALSE),"")</f>
        <v>60.902492899968443</v>
      </c>
      <c r="V43" s="198" t="str">
        <f>IF(ISNUMBER(U43),U43/VLOOKUP($Q43,xRates!$A$1:$BL$267,studies!$R43-xRates!$B$1+2,FALSE),"")</f>
        <v/>
      </c>
      <c r="W43" s="163">
        <v>0</v>
      </c>
      <c r="X43" s="163">
        <v>0</v>
      </c>
      <c r="Y43" s="163">
        <v>1</v>
      </c>
      <c r="Z43" s="163">
        <v>1</v>
      </c>
      <c r="AA43" s="163">
        <v>1</v>
      </c>
      <c r="AB43" s="163" t="s">
        <v>152</v>
      </c>
      <c r="AC43" s="190">
        <v>1490305</v>
      </c>
      <c r="AD43" s="213">
        <f>IF(ISNUMBER(AC43),AC43/VLOOKUP($Q43,xRates!$A$1:$BL$267,studies!$R43-xRates!$B$1+2,FALSE),"")</f>
        <v>47027.611233827702</v>
      </c>
      <c r="AE43" s="200">
        <f t="shared" si="4"/>
        <v>0</v>
      </c>
      <c r="AF43" s="200">
        <f>VLOOKUP(G43,gdppc,R43-1958,FALSE)</f>
        <v>4996.3999999999996</v>
      </c>
      <c r="AG43" s="195" t="str">
        <f t="shared" si="5"/>
        <v>Not cost-effective</v>
      </c>
      <c r="AH43" s="195" t="str">
        <f t="shared" si="6"/>
        <v>Not cost-effective</v>
      </c>
      <c r="AI43" s="204">
        <f t="shared" si="7"/>
        <v>9.4122991021190661</v>
      </c>
      <c r="AJ43" s="205">
        <f>IFERROR(VLOOKUP(G43,ochalek,11,FALSE),"")</f>
        <v>1.1200000000000001</v>
      </c>
      <c r="AK43" s="195" t="str">
        <f t="shared" si="8"/>
        <v>Not cost-effective</v>
      </c>
      <c r="AL43" s="205">
        <f>IFERROR(VLOOKUP(G43,ochalek,10,FALSE),"")</f>
        <v>0.7</v>
      </c>
      <c r="AM43" s="207" t="str">
        <f t="shared" si="9"/>
        <v>Not cost-effective</v>
      </c>
      <c r="AN43" s="205">
        <f>IFERROR(VLOOKUP(G43,woods,6,FALSE),"")</f>
        <v>0.65269570111403552</v>
      </c>
      <c r="AO43" s="195" t="str">
        <f t="shared" si="10"/>
        <v>Not cost-effective</v>
      </c>
      <c r="AP43" s="205">
        <f>IFERROR(VLOOKUP(G43,woods,5,FALSE),"")</f>
        <v>0.19549419807650922</v>
      </c>
      <c r="AQ43" s="195" t="str">
        <f t="shared" si="11"/>
        <v>Not cost-effective</v>
      </c>
      <c r="AR43" s="205">
        <f>IFERROR(VLOOKUP(G43,riviere,8,FALSE),"")</f>
        <v>0.67102744933539571</v>
      </c>
      <c r="AS43" s="195" t="str">
        <f t="shared" si="12"/>
        <v>Not cost-effective</v>
      </c>
      <c r="AT43" s="205">
        <f>IFERROR(VLOOKUP(G43,riviere,7,FALSE),"")</f>
        <v>0.27816375219568462</v>
      </c>
      <c r="AU43" s="195" t="str">
        <f t="shared" si="13"/>
        <v>Not cost-effective</v>
      </c>
      <c r="AV43" s="162" t="s">
        <v>198</v>
      </c>
      <c r="AW43" s="162" t="s">
        <v>154</v>
      </c>
      <c r="AX43" s="210" t="str">
        <f t="shared" si="14"/>
        <v/>
      </c>
      <c r="AY43" s="210" t="str">
        <f t="shared" si="15"/>
        <v/>
      </c>
      <c r="AZ43" s="197" t="str">
        <f t="shared" si="16"/>
        <v/>
      </c>
      <c r="BA43" s="197" t="str">
        <f t="shared" si="17"/>
        <v/>
      </c>
      <c r="BB43" s="197" t="str">
        <f t="shared" si="18"/>
        <v/>
      </c>
      <c r="BC43" s="197" t="str">
        <f t="shared" si="19"/>
        <v/>
      </c>
      <c r="BD43" s="197">
        <f t="shared" si="20"/>
        <v>0</v>
      </c>
      <c r="BE43" s="163" t="s">
        <v>155</v>
      </c>
      <c r="BF43" s="162" t="s">
        <v>156</v>
      </c>
    </row>
    <row r="44" spans="1:58">
      <c r="A44" s="195">
        <f t="shared" si="21"/>
        <v>13</v>
      </c>
      <c r="B44" s="195">
        <f t="shared" si="22"/>
        <v>8</v>
      </c>
      <c r="C44" s="196" t="str">
        <f t="shared" si="0"/>
        <v>1308</v>
      </c>
      <c r="D44" s="159" t="s">
        <v>196</v>
      </c>
      <c r="E44" s="190">
        <v>2013</v>
      </c>
      <c r="F44" s="162" t="s">
        <v>197</v>
      </c>
      <c r="G44" s="162" t="s">
        <v>193</v>
      </c>
      <c r="H44" s="197" t="str">
        <f>IF(VLOOKUP(G44,income,R44-1985,FALSE)="UM","Upper-middle",IF(VLOOKUP(G44,income,R44-1985,FALSE)="LM","Lower-middle",IF(VLOOKUP(G44,income,R44-1985,FALSE)="L","Low")))</f>
        <v>Upper-middle</v>
      </c>
      <c r="I44" s="163">
        <v>1</v>
      </c>
      <c r="J44" s="162" t="s">
        <v>167</v>
      </c>
      <c r="K44" s="162" t="s">
        <v>147</v>
      </c>
      <c r="L44" s="207" t="str">
        <f t="shared" si="3"/>
        <v>PCV13 vs NoVax</v>
      </c>
      <c r="M44" s="162" t="s">
        <v>1552</v>
      </c>
      <c r="N44" s="163" t="s">
        <v>155</v>
      </c>
      <c r="O44" s="162" t="s">
        <v>149</v>
      </c>
      <c r="P44" s="162" t="s">
        <v>194</v>
      </c>
      <c r="Q44" s="162" t="s">
        <v>193</v>
      </c>
      <c r="R44" s="190">
        <v>2010</v>
      </c>
      <c r="S44" s="191">
        <v>1930</v>
      </c>
      <c r="T44" s="198">
        <f>IF(ISNUMBER(S44),S44/VLOOKUP($Q44,xRates!$A$1:$BL$267,studies!$R44-xRates!$B$1+2,FALSE),"")</f>
        <v>60.902492899968443</v>
      </c>
      <c r="V44" s="198" t="str">
        <f>IF(ISNUMBER(U44),U44/VLOOKUP($Q44,xRates!$A$1:$BL$267,studies!$R44-xRates!$B$1+2,FALSE),"")</f>
        <v/>
      </c>
      <c r="W44" s="163">
        <v>0</v>
      </c>
      <c r="X44" s="163">
        <v>0</v>
      </c>
      <c r="Y44" s="163">
        <v>1</v>
      </c>
      <c r="Z44" s="163">
        <v>1</v>
      </c>
      <c r="AA44" s="163">
        <v>1</v>
      </c>
      <c r="AB44" s="163" t="s">
        <v>152</v>
      </c>
      <c r="AC44" s="190">
        <v>1830716</v>
      </c>
      <c r="AD44" s="213">
        <f>IF(ISNUMBER(AC44),AC44/VLOOKUP($Q44,xRates!$A$1:$BL$267,studies!$R44-xRates!$B$1+2,FALSE),"")</f>
        <v>57769.517197854213</v>
      </c>
      <c r="AE44" s="200">
        <f t="shared" si="4"/>
        <v>0</v>
      </c>
      <c r="AF44" s="200">
        <f>VLOOKUP(G44,gdppc,R44-1958,FALSE)</f>
        <v>4996.3999999999996</v>
      </c>
      <c r="AG44" s="195" t="str">
        <f t="shared" si="5"/>
        <v>Not cost-effective</v>
      </c>
      <c r="AH44" s="195" t="str">
        <f t="shared" si="6"/>
        <v>Not cost-effective</v>
      </c>
      <c r="AI44" s="204">
        <f t="shared" si="7"/>
        <v>11.562228243906455</v>
      </c>
      <c r="AJ44" s="205">
        <f>IFERROR(VLOOKUP(G44,ochalek,11,FALSE),"")</f>
        <v>1.1200000000000001</v>
      </c>
      <c r="AK44" s="195" t="str">
        <f t="shared" si="8"/>
        <v>Not cost-effective</v>
      </c>
      <c r="AL44" s="205">
        <f>IFERROR(VLOOKUP(G44,ochalek,10,FALSE),"")</f>
        <v>0.7</v>
      </c>
      <c r="AM44" s="207" t="str">
        <f t="shared" si="9"/>
        <v>Not cost-effective</v>
      </c>
      <c r="AN44" s="205">
        <f>IFERROR(VLOOKUP(G44,woods,6,FALSE),"")</f>
        <v>0.65269570111403552</v>
      </c>
      <c r="AO44" s="195" t="str">
        <f t="shared" si="10"/>
        <v>Not cost-effective</v>
      </c>
      <c r="AP44" s="205">
        <f>IFERROR(VLOOKUP(G44,woods,5,FALSE),"")</f>
        <v>0.19549419807650922</v>
      </c>
      <c r="AQ44" s="195" t="str">
        <f t="shared" si="11"/>
        <v>Not cost-effective</v>
      </c>
      <c r="AR44" s="205">
        <f>IFERROR(VLOOKUP(G44,riviere,8,FALSE),"")</f>
        <v>0.67102744933539571</v>
      </c>
      <c r="AS44" s="195" t="str">
        <f t="shared" si="12"/>
        <v>Not cost-effective</v>
      </c>
      <c r="AT44" s="205">
        <f>IFERROR(VLOOKUP(G44,riviere,7,FALSE),"")</f>
        <v>0.27816375219568462</v>
      </c>
      <c r="AU44" s="195" t="str">
        <f t="shared" si="13"/>
        <v>Not cost-effective</v>
      </c>
      <c r="AV44" s="162" t="s">
        <v>198</v>
      </c>
      <c r="AW44" s="162" t="s">
        <v>154</v>
      </c>
      <c r="AX44" s="210" t="str">
        <f t="shared" si="14"/>
        <v/>
      </c>
      <c r="AY44" s="210" t="str">
        <f t="shared" si="15"/>
        <v/>
      </c>
      <c r="AZ44" s="197" t="str">
        <f t="shared" si="16"/>
        <v/>
      </c>
      <c r="BA44" s="197" t="str">
        <f t="shared" si="17"/>
        <v/>
      </c>
      <c r="BB44" s="197" t="str">
        <f t="shared" si="18"/>
        <v/>
      </c>
      <c r="BC44" s="197" t="str">
        <f t="shared" si="19"/>
        <v/>
      </c>
      <c r="BD44" s="197">
        <f t="shared" si="20"/>
        <v>0</v>
      </c>
      <c r="BE44" s="163" t="s">
        <v>155</v>
      </c>
      <c r="BF44" s="162" t="s">
        <v>156</v>
      </c>
    </row>
    <row r="45" spans="1:58">
      <c r="A45" s="195">
        <f t="shared" si="21"/>
        <v>14</v>
      </c>
      <c r="B45" s="195">
        <f t="shared" si="22"/>
        <v>1</v>
      </c>
      <c r="C45" s="196" t="str">
        <f t="shared" si="0"/>
        <v>1401</v>
      </c>
      <c r="D45" s="159" t="s">
        <v>24</v>
      </c>
      <c r="E45" s="190">
        <v>2015</v>
      </c>
      <c r="F45" s="162" t="s">
        <v>199</v>
      </c>
      <c r="G45" s="162" t="s">
        <v>200</v>
      </c>
      <c r="H45" s="197" t="str">
        <f>IF(VLOOKUP(G45,income,R45-1985,FALSE)="UM","Upper-middle",IF(VLOOKUP(G45,income,R45-1985,FALSE)="LM","Lower-middle",IF(VLOOKUP(G45,income,R45-1985,FALSE)="L","Low")))</f>
        <v>Lower-middle</v>
      </c>
      <c r="I45" s="163">
        <v>1</v>
      </c>
      <c r="J45" s="162" t="s">
        <v>166</v>
      </c>
      <c r="K45" s="162" t="s">
        <v>147</v>
      </c>
      <c r="L45" s="207" t="str">
        <f t="shared" si="3"/>
        <v>PCV10 vs NoVax</v>
      </c>
      <c r="M45" s="162" t="s">
        <v>1551</v>
      </c>
      <c r="N45" s="163" t="s">
        <v>148</v>
      </c>
      <c r="O45" s="162" t="s">
        <v>159</v>
      </c>
      <c r="P45" s="162" t="s">
        <v>201</v>
      </c>
      <c r="Q45" s="162" t="s">
        <v>200</v>
      </c>
      <c r="R45" s="190">
        <v>2013</v>
      </c>
      <c r="S45" s="191">
        <v>624</v>
      </c>
      <c r="T45" s="198">
        <f>IF(ISNUMBER(S45),S45/VLOOKUP($Q45,xRates!$A$1:$BL$267,studies!$R45-xRates!$B$1+2,FALSE),"")</f>
        <v>14.69964664310954</v>
      </c>
      <c r="V45" s="198" t="str">
        <f>IF(ISNUMBER(U45),U45/VLOOKUP($Q45,xRates!$A$1:$BL$267,studies!$R45-xRates!$B$1+2,FALSE),"")</f>
        <v/>
      </c>
      <c r="W45" s="163">
        <v>1</v>
      </c>
      <c r="X45" s="163">
        <v>0</v>
      </c>
      <c r="Y45" s="163">
        <v>1</v>
      </c>
      <c r="Z45" s="163">
        <v>1</v>
      </c>
      <c r="AA45" s="163">
        <v>1</v>
      </c>
      <c r="AB45" s="163" t="s">
        <v>152</v>
      </c>
      <c r="AC45" s="190">
        <v>68182</v>
      </c>
      <c r="AD45" s="213">
        <f>IF(ISNUMBER(AC45),AC45/VLOOKUP($Q45,xRates!$A$1:$BL$267,studies!$R45-xRates!$B$1+2,FALSE),"")</f>
        <v>1606.1719670200234</v>
      </c>
      <c r="AE45" s="200">
        <f t="shared" si="4"/>
        <v>0</v>
      </c>
      <c r="AF45" s="200">
        <f>VLOOKUP(G45,gdppc,R45-1958,FALSE)</f>
        <v>2847.6</v>
      </c>
      <c r="AG45" s="195" t="str">
        <f t="shared" si="5"/>
        <v>Cost-effective</v>
      </c>
      <c r="AH45" s="195" t="str">
        <f t="shared" si="6"/>
        <v>Cost-effective</v>
      </c>
      <c r="AI45" s="204">
        <f t="shared" si="7"/>
        <v>0.56404409573676906</v>
      </c>
      <c r="AJ45" s="205">
        <f>IFERROR(VLOOKUP(G45,ochalek,11,FALSE),"")</f>
        <v>0.34</v>
      </c>
      <c r="AK45" s="195" t="str">
        <f t="shared" si="8"/>
        <v>Not cost-effective</v>
      </c>
      <c r="AL45" s="205">
        <f>IFERROR(VLOOKUP(G45,ochalek,10,FALSE),"")</f>
        <v>0.23</v>
      </c>
      <c r="AM45" s="207" t="str">
        <f t="shared" si="9"/>
        <v>Not cost-effective</v>
      </c>
      <c r="AN45" s="205">
        <f>IFERROR(VLOOKUP(G45,woods,6,FALSE),"")</f>
        <v>0.49901671583087515</v>
      </c>
      <c r="AO45" s="195" t="str">
        <f t="shared" si="10"/>
        <v>Not cost-effective</v>
      </c>
      <c r="AP45" s="205">
        <f>IFERROR(VLOOKUP(G45,woods,5,FALSE),"")</f>
        <v>8.9900266891417335E-2</v>
      </c>
      <c r="AQ45" s="195" t="str">
        <f t="shared" si="11"/>
        <v>Not cost-effective</v>
      </c>
      <c r="AR45" s="205">
        <f>IFERROR(VLOOKUP(G45,riviere,8,FALSE),"")</f>
        <v>0.41039311031694881</v>
      </c>
      <c r="AS45" s="195" t="str">
        <f t="shared" si="12"/>
        <v>Not cost-effective</v>
      </c>
      <c r="AT45" s="205">
        <f>IFERROR(VLOOKUP(G45,riviere,7,FALSE),"")</f>
        <v>0.16521178745093443</v>
      </c>
      <c r="AU45" s="195" t="str">
        <f t="shared" si="13"/>
        <v>Not cost-effective</v>
      </c>
      <c r="AV45" s="162" t="s">
        <v>202</v>
      </c>
      <c r="AW45" s="162" t="s">
        <v>162</v>
      </c>
      <c r="AX45" s="210">
        <f t="shared" si="14"/>
        <v>1</v>
      </c>
      <c r="AY45" s="210">
        <f t="shared" si="15"/>
        <v>1</v>
      </c>
      <c r="AZ45" s="197">
        <f t="shared" si="16"/>
        <v>1</v>
      </c>
      <c r="BA45" s="197">
        <f t="shared" si="17"/>
        <v>1</v>
      </c>
      <c r="BB45" s="197">
        <f t="shared" si="18"/>
        <v>1</v>
      </c>
      <c r="BC45" s="197">
        <f t="shared" si="19"/>
        <v>1</v>
      </c>
      <c r="BD45" s="197">
        <f t="shared" si="20"/>
        <v>6</v>
      </c>
      <c r="BE45" s="163" t="s">
        <v>148</v>
      </c>
      <c r="BF45" s="162" t="s">
        <v>156</v>
      </c>
    </row>
    <row r="46" spans="1:58">
      <c r="A46" s="195">
        <f t="shared" si="21"/>
        <v>14</v>
      </c>
      <c r="B46" s="195">
        <f t="shared" si="22"/>
        <v>2</v>
      </c>
      <c r="C46" s="196" t="str">
        <f t="shared" si="0"/>
        <v>1402</v>
      </c>
      <c r="D46" s="159" t="s">
        <v>24</v>
      </c>
      <c r="E46" s="190">
        <v>2015</v>
      </c>
      <c r="F46" s="162" t="s">
        <v>199</v>
      </c>
      <c r="G46" s="162" t="s">
        <v>200</v>
      </c>
      <c r="H46" s="197" t="str">
        <f>IF(VLOOKUP(G46,income,R46-1985,FALSE)="UM","Upper-middle",IF(VLOOKUP(G46,income,R46-1985,FALSE)="LM","Lower-middle",IF(VLOOKUP(G46,income,R46-1985,FALSE)="L","Low")))</f>
        <v>Lower-middle</v>
      </c>
      <c r="I46" s="163">
        <v>1</v>
      </c>
      <c r="J46" s="162" t="s">
        <v>166</v>
      </c>
      <c r="K46" s="162" t="s">
        <v>147</v>
      </c>
      <c r="L46" s="207" t="str">
        <f t="shared" si="3"/>
        <v>PCV10 vs NoVax</v>
      </c>
      <c r="M46" s="162" t="s">
        <v>1551</v>
      </c>
      <c r="N46" s="163" t="s">
        <v>155</v>
      </c>
      <c r="O46" s="162" t="s">
        <v>159</v>
      </c>
      <c r="P46" s="162" t="s">
        <v>201</v>
      </c>
      <c r="Q46" s="162" t="s">
        <v>200</v>
      </c>
      <c r="R46" s="190">
        <v>2013</v>
      </c>
      <c r="S46" s="191">
        <v>624</v>
      </c>
      <c r="T46" s="198">
        <f>IF(ISNUMBER(S46),S46/VLOOKUP($Q46,xRates!$A$1:$BL$267,studies!$R46-xRates!$B$1+2,FALSE),"")</f>
        <v>14.69964664310954</v>
      </c>
      <c r="V46" s="198" t="str">
        <f>IF(ISNUMBER(U46),U46/VLOOKUP($Q46,xRates!$A$1:$BL$267,studies!$R46-xRates!$B$1+2,FALSE),"")</f>
        <v/>
      </c>
      <c r="W46" s="163">
        <v>0</v>
      </c>
      <c r="X46" s="163">
        <v>0</v>
      </c>
      <c r="Y46" s="163">
        <v>1</v>
      </c>
      <c r="Z46" s="163">
        <v>1</v>
      </c>
      <c r="AA46" s="163">
        <v>1</v>
      </c>
      <c r="AB46" s="163" t="s">
        <v>152</v>
      </c>
      <c r="AC46" s="190">
        <v>112640</v>
      </c>
      <c r="AD46" s="213">
        <f>IF(ISNUMBER(AC46),AC46/VLOOKUP($Q46,xRates!$A$1:$BL$267,studies!$R46-xRates!$B$1+2,FALSE),"")</f>
        <v>2653.4746760895168</v>
      </c>
      <c r="AE46" s="200">
        <f t="shared" si="4"/>
        <v>0</v>
      </c>
      <c r="AF46" s="200">
        <f>VLOOKUP(G46,gdppc,R46-1958,FALSE)</f>
        <v>2847.6</v>
      </c>
      <c r="AG46" s="195" t="str">
        <f t="shared" si="5"/>
        <v>Cost-effective</v>
      </c>
      <c r="AH46" s="195" t="str">
        <f t="shared" si="6"/>
        <v>Cost-effective</v>
      </c>
      <c r="AI46" s="204">
        <f t="shared" si="7"/>
        <v>0.93182844363306538</v>
      </c>
      <c r="AJ46" s="205">
        <f>IFERROR(VLOOKUP(G46,ochalek,11,FALSE),"")</f>
        <v>0.34</v>
      </c>
      <c r="AK46" s="195" t="str">
        <f t="shared" si="8"/>
        <v>Not cost-effective</v>
      </c>
      <c r="AL46" s="205">
        <f>IFERROR(VLOOKUP(G46,ochalek,10,FALSE),"")</f>
        <v>0.23</v>
      </c>
      <c r="AM46" s="207" t="str">
        <f t="shared" si="9"/>
        <v>Not cost-effective</v>
      </c>
      <c r="AN46" s="205">
        <f>IFERROR(VLOOKUP(G46,woods,6,FALSE),"")</f>
        <v>0.49901671583087515</v>
      </c>
      <c r="AO46" s="195" t="str">
        <f t="shared" si="10"/>
        <v>Not cost-effective</v>
      </c>
      <c r="AP46" s="205">
        <f>IFERROR(VLOOKUP(G46,woods,5,FALSE),"")</f>
        <v>8.9900266891417335E-2</v>
      </c>
      <c r="AQ46" s="195" t="str">
        <f t="shared" si="11"/>
        <v>Not cost-effective</v>
      </c>
      <c r="AR46" s="205">
        <f>IFERROR(VLOOKUP(G46,riviere,8,FALSE),"")</f>
        <v>0.41039311031694881</v>
      </c>
      <c r="AS46" s="195" t="str">
        <f t="shared" si="12"/>
        <v>Not cost-effective</v>
      </c>
      <c r="AT46" s="205">
        <f>IFERROR(VLOOKUP(G46,riviere,7,FALSE),"")</f>
        <v>0.16521178745093443</v>
      </c>
      <c r="AU46" s="195" t="str">
        <f t="shared" si="13"/>
        <v>Not cost-effective</v>
      </c>
      <c r="AV46" s="162" t="s">
        <v>202</v>
      </c>
      <c r="AW46" s="162" t="s">
        <v>162</v>
      </c>
      <c r="AX46" s="210">
        <f t="shared" si="14"/>
        <v>1</v>
      </c>
      <c r="AY46" s="210">
        <f t="shared" si="15"/>
        <v>1</v>
      </c>
      <c r="AZ46" s="197">
        <f t="shared" si="16"/>
        <v>1</v>
      </c>
      <c r="BA46" s="197">
        <f t="shared" si="17"/>
        <v>1</v>
      </c>
      <c r="BB46" s="197">
        <f t="shared" si="18"/>
        <v>1</v>
      </c>
      <c r="BC46" s="197">
        <f t="shared" si="19"/>
        <v>1</v>
      </c>
      <c r="BD46" s="197">
        <f t="shared" si="20"/>
        <v>6</v>
      </c>
      <c r="BE46" s="163" t="s">
        <v>148</v>
      </c>
      <c r="BF46" s="162" t="s">
        <v>156</v>
      </c>
    </row>
    <row r="47" spans="1:58">
      <c r="A47" s="195">
        <f t="shared" si="21"/>
        <v>14</v>
      </c>
      <c r="B47" s="195">
        <f t="shared" si="22"/>
        <v>3</v>
      </c>
      <c r="C47" s="196" t="str">
        <f t="shared" si="0"/>
        <v>1403</v>
      </c>
      <c r="D47" s="159" t="s">
        <v>24</v>
      </c>
      <c r="E47" s="190">
        <v>2015</v>
      </c>
      <c r="F47" s="162" t="s">
        <v>199</v>
      </c>
      <c r="G47" s="162" t="s">
        <v>200</v>
      </c>
      <c r="H47" s="197" t="str">
        <f>IF(VLOOKUP(G47,income,R47-1985,FALSE)="UM","Upper-middle",IF(VLOOKUP(G47,income,R47-1985,FALSE)="LM","Lower-middle",IF(VLOOKUP(G47,income,R47-1985,FALSE)="L","Low")))</f>
        <v>Lower-middle</v>
      </c>
      <c r="I47" s="163">
        <v>1</v>
      </c>
      <c r="J47" s="162" t="s">
        <v>167</v>
      </c>
      <c r="K47" s="162" t="s">
        <v>147</v>
      </c>
      <c r="L47" s="207" t="str">
        <f t="shared" si="3"/>
        <v>PCV13 vs NoVax</v>
      </c>
      <c r="M47" s="162" t="s">
        <v>1551</v>
      </c>
      <c r="N47" s="163" t="s">
        <v>148</v>
      </c>
      <c r="O47" s="162" t="s">
        <v>159</v>
      </c>
      <c r="P47" s="162" t="s">
        <v>201</v>
      </c>
      <c r="Q47" s="162" t="s">
        <v>200</v>
      </c>
      <c r="R47" s="190">
        <v>2013</v>
      </c>
      <c r="S47" s="191">
        <v>700</v>
      </c>
      <c r="T47" s="198">
        <f>IF(ISNUMBER(S47),S47/VLOOKUP($Q47,xRates!$A$1:$BL$267,studies!$R47-xRates!$B$1+2,FALSE),"")</f>
        <v>16.489988221436985</v>
      </c>
      <c r="V47" s="198" t="str">
        <f>IF(ISNUMBER(U47),U47/VLOOKUP($Q47,xRates!$A$1:$BL$267,studies!$R47-xRates!$B$1+2,FALSE),"")</f>
        <v/>
      </c>
      <c r="W47" s="163">
        <v>1</v>
      </c>
      <c r="X47" s="163">
        <v>0</v>
      </c>
      <c r="Y47" s="163">
        <v>1</v>
      </c>
      <c r="Z47" s="163">
        <v>1</v>
      </c>
      <c r="AA47" s="163">
        <v>1</v>
      </c>
      <c r="AB47" s="163" t="s">
        <v>152</v>
      </c>
      <c r="AC47" s="190">
        <v>54510</v>
      </c>
      <c r="AD47" s="213">
        <f>IF(ISNUMBER(AC47),AC47/VLOOKUP($Q47,xRates!$A$1:$BL$267,studies!$R47-xRates!$B$1+2,FALSE),"")</f>
        <v>1284.0989399293285</v>
      </c>
      <c r="AE47" s="200">
        <f t="shared" si="4"/>
        <v>0</v>
      </c>
      <c r="AF47" s="200">
        <f>VLOOKUP(G47,gdppc,R47-1958,FALSE)</f>
        <v>2847.6</v>
      </c>
      <c r="AG47" s="195" t="str">
        <f t="shared" si="5"/>
        <v>Cost-effective</v>
      </c>
      <c r="AH47" s="195" t="str">
        <f t="shared" si="6"/>
        <v>Cost-effective</v>
      </c>
      <c r="AI47" s="204">
        <f t="shared" si="7"/>
        <v>0.45094077115090903</v>
      </c>
      <c r="AJ47" s="205">
        <f>IFERROR(VLOOKUP(G47,ochalek,11,FALSE),"")</f>
        <v>0.34</v>
      </c>
      <c r="AK47" s="195" t="str">
        <f t="shared" si="8"/>
        <v>Not cost-effective</v>
      </c>
      <c r="AL47" s="205">
        <f>IFERROR(VLOOKUP(G47,ochalek,10,FALSE),"")</f>
        <v>0.23</v>
      </c>
      <c r="AM47" s="207" t="str">
        <f t="shared" si="9"/>
        <v>Not cost-effective</v>
      </c>
      <c r="AN47" s="205">
        <f>IFERROR(VLOOKUP(G47,woods,6,FALSE),"")</f>
        <v>0.49901671583087515</v>
      </c>
      <c r="AO47" s="195" t="str">
        <f t="shared" si="10"/>
        <v>Cost-effective</v>
      </c>
      <c r="AP47" s="205">
        <f>IFERROR(VLOOKUP(G47,woods,5,FALSE),"")</f>
        <v>8.9900266891417335E-2</v>
      </c>
      <c r="AQ47" s="195" t="str">
        <f t="shared" si="11"/>
        <v>Not cost-effective</v>
      </c>
      <c r="AR47" s="205">
        <f>IFERROR(VLOOKUP(G47,riviere,8,FALSE),"")</f>
        <v>0.41039311031694881</v>
      </c>
      <c r="AS47" s="195" t="str">
        <f t="shared" si="12"/>
        <v>Not cost-effective</v>
      </c>
      <c r="AT47" s="205">
        <f>IFERROR(VLOOKUP(G47,riviere,7,FALSE),"")</f>
        <v>0.16521178745093443</v>
      </c>
      <c r="AU47" s="195" t="str">
        <f t="shared" si="13"/>
        <v>Not cost-effective</v>
      </c>
      <c r="AV47" s="162" t="s">
        <v>202</v>
      </c>
      <c r="AW47" s="162" t="s">
        <v>162</v>
      </c>
      <c r="AX47" s="210">
        <f t="shared" si="14"/>
        <v>1</v>
      </c>
      <c r="AY47" s="210">
        <f t="shared" si="15"/>
        <v>1</v>
      </c>
      <c r="AZ47" s="197">
        <f t="shared" si="16"/>
        <v>0</v>
      </c>
      <c r="BA47" s="197">
        <f t="shared" si="17"/>
        <v>1</v>
      </c>
      <c r="BB47" s="197">
        <f t="shared" si="18"/>
        <v>1</v>
      </c>
      <c r="BC47" s="197">
        <f t="shared" si="19"/>
        <v>1</v>
      </c>
      <c r="BD47" s="197">
        <f t="shared" si="20"/>
        <v>5</v>
      </c>
      <c r="BE47" s="163" t="s">
        <v>148</v>
      </c>
      <c r="BF47" s="162" t="s">
        <v>156</v>
      </c>
    </row>
    <row r="48" spans="1:58">
      <c r="A48" s="195">
        <f t="shared" si="21"/>
        <v>14</v>
      </c>
      <c r="B48" s="195">
        <f t="shared" si="22"/>
        <v>4</v>
      </c>
      <c r="C48" s="196" t="str">
        <f t="shared" si="0"/>
        <v>1404</v>
      </c>
      <c r="D48" s="159" t="s">
        <v>24</v>
      </c>
      <c r="E48" s="190">
        <v>2015</v>
      </c>
      <c r="F48" s="162" t="s">
        <v>199</v>
      </c>
      <c r="G48" s="162" t="s">
        <v>200</v>
      </c>
      <c r="H48" s="197" t="str">
        <f>IF(VLOOKUP(G48,income,R48-1985,FALSE)="UM","Upper-middle",IF(VLOOKUP(G48,income,R48-1985,FALSE)="LM","Lower-middle",IF(VLOOKUP(G48,income,R48-1985,FALSE)="L","Low")))</f>
        <v>Lower-middle</v>
      </c>
      <c r="I48" s="163">
        <v>1</v>
      </c>
      <c r="J48" s="162" t="s">
        <v>167</v>
      </c>
      <c r="K48" s="162" t="s">
        <v>147</v>
      </c>
      <c r="L48" s="207" t="str">
        <f t="shared" si="3"/>
        <v>PCV13 vs NoVax</v>
      </c>
      <c r="M48" s="162" t="s">
        <v>1551</v>
      </c>
      <c r="N48" s="163" t="s">
        <v>155</v>
      </c>
      <c r="O48" s="162" t="s">
        <v>159</v>
      </c>
      <c r="P48" s="162" t="s">
        <v>201</v>
      </c>
      <c r="Q48" s="162" t="s">
        <v>200</v>
      </c>
      <c r="R48" s="190">
        <v>2013</v>
      </c>
      <c r="S48" s="191">
        <v>700</v>
      </c>
      <c r="T48" s="198">
        <f>IF(ISNUMBER(S48),S48/VLOOKUP($Q48,xRates!$A$1:$BL$267,studies!$R48-xRates!$B$1+2,FALSE),"")</f>
        <v>16.489988221436985</v>
      </c>
      <c r="V48" s="198" t="str">
        <f>IF(ISNUMBER(U48),U48/VLOOKUP($Q48,xRates!$A$1:$BL$267,studies!$R48-xRates!$B$1+2,FALSE),"")</f>
        <v/>
      </c>
      <c r="W48" s="163">
        <v>0</v>
      </c>
      <c r="X48" s="163">
        <v>0</v>
      </c>
      <c r="Y48" s="163">
        <v>1</v>
      </c>
      <c r="Z48" s="163">
        <v>1</v>
      </c>
      <c r="AA48" s="163">
        <v>1</v>
      </c>
      <c r="AB48" s="163" t="s">
        <v>152</v>
      </c>
      <c r="AC48" s="190">
        <v>84654</v>
      </c>
      <c r="AD48" s="213">
        <f>IF(ISNUMBER(AC48),AC48/VLOOKUP($Q48,xRates!$A$1:$BL$267,studies!$R48-xRates!$B$1+2,FALSE),"")</f>
        <v>1994.2049469964663</v>
      </c>
      <c r="AE48" s="200">
        <f t="shared" si="4"/>
        <v>0</v>
      </c>
      <c r="AF48" s="200">
        <f>VLOOKUP(G48,gdppc,R48-1958,FALSE)</f>
        <v>2847.6</v>
      </c>
      <c r="AG48" s="195" t="str">
        <f t="shared" si="5"/>
        <v>Cost-effective</v>
      </c>
      <c r="AH48" s="195" t="str">
        <f t="shared" si="6"/>
        <v>Cost-effective</v>
      </c>
      <c r="AI48" s="204">
        <f t="shared" si="7"/>
        <v>0.70031076941862147</v>
      </c>
      <c r="AJ48" s="205">
        <f>IFERROR(VLOOKUP(G48,ochalek,11,FALSE),"")</f>
        <v>0.34</v>
      </c>
      <c r="AK48" s="195" t="str">
        <f t="shared" si="8"/>
        <v>Not cost-effective</v>
      </c>
      <c r="AL48" s="205">
        <f>IFERROR(VLOOKUP(G48,ochalek,10,FALSE),"")</f>
        <v>0.23</v>
      </c>
      <c r="AM48" s="207" t="str">
        <f t="shared" si="9"/>
        <v>Not cost-effective</v>
      </c>
      <c r="AN48" s="205">
        <f>IFERROR(VLOOKUP(G48,woods,6,FALSE),"")</f>
        <v>0.49901671583087515</v>
      </c>
      <c r="AO48" s="195" t="str">
        <f t="shared" si="10"/>
        <v>Not cost-effective</v>
      </c>
      <c r="AP48" s="205">
        <f>IFERROR(VLOOKUP(G48,woods,5,FALSE),"")</f>
        <v>8.9900266891417335E-2</v>
      </c>
      <c r="AQ48" s="195" t="str">
        <f t="shared" si="11"/>
        <v>Not cost-effective</v>
      </c>
      <c r="AR48" s="205">
        <f>IFERROR(VLOOKUP(G48,riviere,8,FALSE),"")</f>
        <v>0.41039311031694881</v>
      </c>
      <c r="AS48" s="195" t="str">
        <f t="shared" si="12"/>
        <v>Not cost-effective</v>
      </c>
      <c r="AT48" s="205">
        <f>IFERROR(VLOOKUP(G48,riviere,7,FALSE),"")</f>
        <v>0.16521178745093443</v>
      </c>
      <c r="AU48" s="195" t="str">
        <f t="shared" si="13"/>
        <v>Not cost-effective</v>
      </c>
      <c r="AV48" s="162" t="s">
        <v>202</v>
      </c>
      <c r="AW48" s="162" t="s">
        <v>162</v>
      </c>
      <c r="AX48" s="210">
        <f t="shared" si="14"/>
        <v>1</v>
      </c>
      <c r="AY48" s="210">
        <f t="shared" si="15"/>
        <v>1</v>
      </c>
      <c r="AZ48" s="197">
        <f t="shared" si="16"/>
        <v>1</v>
      </c>
      <c r="BA48" s="197">
        <f t="shared" si="17"/>
        <v>1</v>
      </c>
      <c r="BB48" s="197">
        <f t="shared" si="18"/>
        <v>1</v>
      </c>
      <c r="BC48" s="197">
        <f t="shared" si="19"/>
        <v>1</v>
      </c>
      <c r="BD48" s="197">
        <f t="shared" si="20"/>
        <v>6</v>
      </c>
      <c r="BE48" s="163" t="s">
        <v>148</v>
      </c>
      <c r="BF48" s="162" t="s">
        <v>156</v>
      </c>
    </row>
    <row r="49" spans="1:58">
      <c r="A49" s="195">
        <f t="shared" si="21"/>
        <v>14</v>
      </c>
      <c r="B49" s="195">
        <f t="shared" si="22"/>
        <v>5</v>
      </c>
      <c r="C49" s="196" t="str">
        <f t="shared" si="0"/>
        <v>1405</v>
      </c>
      <c r="D49" s="159" t="s">
        <v>24</v>
      </c>
      <c r="E49" s="190">
        <v>2015</v>
      </c>
      <c r="F49" s="162" t="s">
        <v>199</v>
      </c>
      <c r="G49" s="162" t="s">
        <v>200</v>
      </c>
      <c r="H49" s="197" t="str">
        <f>IF(VLOOKUP(G49,income,R49-1985,FALSE)="UM","Upper-middle",IF(VLOOKUP(G49,income,R49-1985,FALSE)="LM","Lower-middle",IF(VLOOKUP(G49,income,R49-1985,FALSE)="L","Low")))</f>
        <v>Lower-middle</v>
      </c>
      <c r="I49" s="163">
        <v>1</v>
      </c>
      <c r="J49" s="162" t="s">
        <v>167</v>
      </c>
      <c r="K49" s="162" t="s">
        <v>166</v>
      </c>
      <c r="L49" s="207" t="str">
        <f t="shared" si="3"/>
        <v>PCV13 vs PCV10</v>
      </c>
      <c r="M49" s="162" t="s">
        <v>1551</v>
      </c>
      <c r="N49" s="163" t="s">
        <v>148</v>
      </c>
      <c r="O49" s="162" t="s">
        <v>159</v>
      </c>
      <c r="P49" s="162" t="s">
        <v>201</v>
      </c>
      <c r="Q49" s="162" t="s">
        <v>200</v>
      </c>
      <c r="R49" s="190">
        <v>2013</v>
      </c>
      <c r="S49" s="191">
        <v>700</v>
      </c>
      <c r="T49" s="198">
        <f>IF(ISNUMBER(S49),S49/VLOOKUP($Q49,xRates!$A$1:$BL$267,studies!$R49-xRates!$B$1+2,FALSE),"")</f>
        <v>16.489988221436985</v>
      </c>
      <c r="U49" s="163">
        <v>624</v>
      </c>
      <c r="V49" s="198">
        <f>IF(ISNUMBER(U49),U49/VLOOKUP($Q49,xRates!$A$1:$BL$267,studies!$R49-xRates!$B$1+2,FALSE),"")</f>
        <v>14.69964664310954</v>
      </c>
      <c r="W49" s="163">
        <v>1</v>
      </c>
      <c r="X49" s="163">
        <v>0</v>
      </c>
      <c r="Y49" s="163">
        <v>1</v>
      </c>
      <c r="Z49" s="163">
        <v>1</v>
      </c>
      <c r="AA49" s="163">
        <v>1</v>
      </c>
      <c r="AB49" s="163" t="s">
        <v>152</v>
      </c>
      <c r="AC49" s="190">
        <v>15795</v>
      </c>
      <c r="AD49" s="213">
        <f>IF(ISNUMBER(AC49),AC49/VLOOKUP($Q49,xRates!$A$1:$BL$267,studies!$R49-xRates!$B$1+2,FALSE),"")</f>
        <v>372.08480565371025</v>
      </c>
      <c r="AE49" s="200">
        <f t="shared" si="4"/>
        <v>0</v>
      </c>
      <c r="AF49" s="200">
        <f>VLOOKUP(G49,gdppc,R49-1958,FALSE)</f>
        <v>2847.6</v>
      </c>
      <c r="AG49" s="195" t="str">
        <f t="shared" si="5"/>
        <v>Cost-effective</v>
      </c>
      <c r="AH49" s="195" t="str">
        <f t="shared" si="6"/>
        <v>Cost-effective</v>
      </c>
      <c r="AI49" s="204">
        <f t="shared" si="7"/>
        <v>0.13066610677542853</v>
      </c>
      <c r="AJ49" s="205">
        <f>IFERROR(VLOOKUP(G49,ochalek,11,FALSE),"")</f>
        <v>0.34</v>
      </c>
      <c r="AK49" s="195" t="str">
        <f t="shared" si="8"/>
        <v>Cost-effective</v>
      </c>
      <c r="AL49" s="205">
        <f>IFERROR(VLOOKUP(G49,ochalek,10,FALSE),"")</f>
        <v>0.23</v>
      </c>
      <c r="AM49" s="207" t="str">
        <f t="shared" si="9"/>
        <v>Cost-effective</v>
      </c>
      <c r="AN49" s="205">
        <f>IFERROR(VLOOKUP(G49,woods,6,FALSE),"")</f>
        <v>0.49901671583087515</v>
      </c>
      <c r="AO49" s="195" t="str">
        <f t="shared" si="10"/>
        <v>Cost-effective</v>
      </c>
      <c r="AP49" s="205">
        <f>IFERROR(VLOOKUP(G49,woods,5,FALSE),"")</f>
        <v>8.9900266891417335E-2</v>
      </c>
      <c r="AQ49" s="195" t="str">
        <f t="shared" si="11"/>
        <v>Not cost-effective</v>
      </c>
      <c r="AR49" s="205">
        <f>IFERROR(VLOOKUP(G49,riviere,8,FALSE),"")</f>
        <v>0.41039311031694881</v>
      </c>
      <c r="AS49" s="195" t="str">
        <f t="shared" si="12"/>
        <v>Cost-effective</v>
      </c>
      <c r="AT49" s="205">
        <f>IFERROR(VLOOKUP(G49,riviere,7,FALSE),"")</f>
        <v>0.16521178745093443</v>
      </c>
      <c r="AU49" s="195" t="str">
        <f t="shared" si="13"/>
        <v>Cost-effective</v>
      </c>
      <c r="AV49" s="162" t="s">
        <v>202</v>
      </c>
      <c r="AW49" s="162" t="s">
        <v>162</v>
      </c>
      <c r="AX49" s="210">
        <f t="shared" si="14"/>
        <v>0</v>
      </c>
      <c r="AY49" s="210">
        <f t="shared" si="15"/>
        <v>0</v>
      </c>
      <c r="AZ49" s="197">
        <f t="shared" si="16"/>
        <v>0</v>
      </c>
      <c r="BA49" s="197">
        <f t="shared" si="17"/>
        <v>1</v>
      </c>
      <c r="BB49" s="197">
        <f t="shared" si="18"/>
        <v>0</v>
      </c>
      <c r="BC49" s="197">
        <f t="shared" si="19"/>
        <v>0</v>
      </c>
      <c r="BD49" s="197">
        <f t="shared" si="20"/>
        <v>1</v>
      </c>
      <c r="BE49" s="163" t="s">
        <v>148</v>
      </c>
      <c r="BF49" s="162" t="s">
        <v>156</v>
      </c>
    </row>
    <row r="50" spans="1:58">
      <c r="A50" s="195">
        <f t="shared" si="21"/>
        <v>14</v>
      </c>
      <c r="B50" s="195">
        <f t="shared" si="22"/>
        <v>6</v>
      </c>
      <c r="C50" s="196" t="str">
        <f t="shared" si="0"/>
        <v>1406</v>
      </c>
      <c r="D50" s="159" t="s">
        <v>24</v>
      </c>
      <c r="E50" s="190">
        <v>2015</v>
      </c>
      <c r="F50" s="162" t="s">
        <v>199</v>
      </c>
      <c r="G50" s="162" t="s">
        <v>200</v>
      </c>
      <c r="H50" s="197" t="str">
        <f>IF(VLOOKUP(G50,income,R50-1985,FALSE)="UM","Upper-middle",IF(VLOOKUP(G50,income,R50-1985,FALSE)="LM","Lower-middle",IF(VLOOKUP(G50,income,R50-1985,FALSE)="L","Low")))</f>
        <v>Lower-middle</v>
      </c>
      <c r="I50" s="163">
        <v>1</v>
      </c>
      <c r="J50" s="162" t="s">
        <v>167</v>
      </c>
      <c r="K50" s="162" t="s">
        <v>166</v>
      </c>
      <c r="L50" s="207" t="str">
        <f t="shared" si="3"/>
        <v>PCV13 vs PCV10</v>
      </c>
      <c r="M50" s="162" t="s">
        <v>1551</v>
      </c>
      <c r="N50" s="163" t="s">
        <v>155</v>
      </c>
      <c r="O50" s="162" t="s">
        <v>159</v>
      </c>
      <c r="P50" s="162" t="s">
        <v>201</v>
      </c>
      <c r="Q50" s="162" t="s">
        <v>200</v>
      </c>
      <c r="R50" s="190">
        <v>2013</v>
      </c>
      <c r="S50" s="191">
        <v>700</v>
      </c>
      <c r="T50" s="198">
        <f>IF(ISNUMBER(S50),S50/VLOOKUP($Q50,xRates!$A$1:$BL$267,studies!$R50-xRates!$B$1+2,FALSE),"")</f>
        <v>16.489988221436985</v>
      </c>
      <c r="U50" s="163">
        <v>624</v>
      </c>
      <c r="V50" s="198">
        <f>IF(ISNUMBER(U50),U50/VLOOKUP($Q50,xRates!$A$1:$BL$267,studies!$R50-xRates!$B$1+2,FALSE),"")</f>
        <v>14.69964664310954</v>
      </c>
      <c r="W50" s="163">
        <v>0</v>
      </c>
      <c r="X50" s="163">
        <v>0</v>
      </c>
      <c r="Y50" s="163">
        <v>1</v>
      </c>
      <c r="Z50" s="163">
        <v>1</v>
      </c>
      <c r="AA50" s="163">
        <v>1</v>
      </c>
      <c r="AB50" s="163" t="s">
        <v>152</v>
      </c>
      <c r="AC50" s="190">
        <v>23836</v>
      </c>
      <c r="AD50" s="213">
        <f>IF(ISNUMBER(AC50),AC50/VLOOKUP($Q50,xRates!$A$1:$BL$267,studies!$R50-xRates!$B$1+2,FALSE),"")</f>
        <v>561.50765606595996</v>
      </c>
      <c r="AE50" s="200">
        <f t="shared" si="4"/>
        <v>0</v>
      </c>
      <c r="AF50" s="200">
        <f>VLOOKUP(G50,gdppc,R50-1958,FALSE)</f>
        <v>2847.6</v>
      </c>
      <c r="AG50" s="195" t="str">
        <f t="shared" si="5"/>
        <v>Cost-effective</v>
      </c>
      <c r="AH50" s="195" t="str">
        <f t="shared" si="6"/>
        <v>Cost-effective</v>
      </c>
      <c r="AI50" s="204">
        <f t="shared" si="7"/>
        <v>0.19718628180431239</v>
      </c>
      <c r="AJ50" s="205">
        <f>IFERROR(VLOOKUP(G50,ochalek,11,FALSE),"")</f>
        <v>0.34</v>
      </c>
      <c r="AK50" s="195" t="str">
        <f t="shared" si="8"/>
        <v>Cost-effective</v>
      </c>
      <c r="AL50" s="205">
        <f>IFERROR(VLOOKUP(G50,ochalek,10,FALSE),"")</f>
        <v>0.23</v>
      </c>
      <c r="AM50" s="207" t="str">
        <f t="shared" si="9"/>
        <v>Cost-effective</v>
      </c>
      <c r="AN50" s="205">
        <f>IFERROR(VLOOKUP(G50,woods,6,FALSE),"")</f>
        <v>0.49901671583087515</v>
      </c>
      <c r="AO50" s="195" t="str">
        <f t="shared" si="10"/>
        <v>Cost-effective</v>
      </c>
      <c r="AP50" s="205">
        <f>IFERROR(VLOOKUP(G50,woods,5,FALSE),"")</f>
        <v>8.9900266891417335E-2</v>
      </c>
      <c r="AQ50" s="195" t="str">
        <f t="shared" si="11"/>
        <v>Not cost-effective</v>
      </c>
      <c r="AR50" s="205">
        <f>IFERROR(VLOOKUP(G50,riviere,8,FALSE),"")</f>
        <v>0.41039311031694881</v>
      </c>
      <c r="AS50" s="195" t="str">
        <f t="shared" si="12"/>
        <v>Cost-effective</v>
      </c>
      <c r="AT50" s="205">
        <f>IFERROR(VLOOKUP(G50,riviere,7,FALSE),"")</f>
        <v>0.16521178745093443</v>
      </c>
      <c r="AU50" s="195" t="str">
        <f t="shared" si="13"/>
        <v>Not cost-effective</v>
      </c>
      <c r="AV50" s="162" t="s">
        <v>202</v>
      </c>
      <c r="AW50" s="162" t="s">
        <v>162</v>
      </c>
      <c r="AX50" s="210">
        <f t="shared" si="14"/>
        <v>0</v>
      </c>
      <c r="AY50" s="210">
        <f t="shared" si="15"/>
        <v>0</v>
      </c>
      <c r="AZ50" s="197">
        <f t="shared" si="16"/>
        <v>0</v>
      </c>
      <c r="BA50" s="197">
        <f t="shared" si="17"/>
        <v>1</v>
      </c>
      <c r="BB50" s="197">
        <f t="shared" si="18"/>
        <v>0</v>
      </c>
      <c r="BC50" s="197">
        <f t="shared" si="19"/>
        <v>1</v>
      </c>
      <c r="BD50" s="197">
        <f t="shared" si="20"/>
        <v>2</v>
      </c>
      <c r="BE50" s="163" t="s">
        <v>148</v>
      </c>
      <c r="BF50" s="162" t="s">
        <v>156</v>
      </c>
    </row>
    <row r="51" spans="1:58">
      <c r="A51" s="195">
        <f t="shared" si="21"/>
        <v>15</v>
      </c>
      <c r="B51" s="195">
        <f t="shared" si="22"/>
        <v>1</v>
      </c>
      <c r="C51" s="196" t="str">
        <f t="shared" si="0"/>
        <v>1501</v>
      </c>
      <c r="D51" s="159" t="s">
        <v>36</v>
      </c>
      <c r="E51" s="190">
        <v>2014</v>
      </c>
      <c r="F51" s="162" t="s">
        <v>203</v>
      </c>
      <c r="G51" s="162" t="s">
        <v>200</v>
      </c>
      <c r="H51" s="197" t="str">
        <f>IF(VLOOKUP(G51,income,R51-1985,FALSE)="UM","Upper-middle",IF(VLOOKUP(G51,income,R51-1985,FALSE)="LM","Lower-middle",IF(VLOOKUP(G51,income,R51-1985,FALSE)="L","Low")))</f>
        <v>Lower-middle</v>
      </c>
      <c r="I51" s="163">
        <v>1</v>
      </c>
      <c r="J51" s="162" t="s">
        <v>166</v>
      </c>
      <c r="K51" s="162" t="s">
        <v>147</v>
      </c>
      <c r="L51" s="207" t="str">
        <f t="shared" si="3"/>
        <v>PCV10 vs NoVax</v>
      </c>
      <c r="M51" s="162" t="s">
        <v>1551</v>
      </c>
      <c r="N51" s="163" t="s">
        <v>148</v>
      </c>
      <c r="O51" s="162" t="s">
        <v>159</v>
      </c>
      <c r="P51" s="162" t="s">
        <v>201</v>
      </c>
      <c r="Q51" s="162" t="s">
        <v>200</v>
      </c>
      <c r="R51" s="163">
        <v>2012</v>
      </c>
      <c r="S51" s="191">
        <v>800</v>
      </c>
      <c r="T51" s="198">
        <f>IF(ISNUMBER(S51),S51/VLOOKUP($Q51,xRates!$A$1:$BL$267,studies!$R51-xRates!$B$1+2,FALSE),"")</f>
        <v>18.943878759175941</v>
      </c>
      <c r="V51" s="198" t="str">
        <f>IF(ISNUMBER(U51),U51/VLOOKUP($Q51,xRates!$A$1:$BL$267,studies!$R51-xRates!$B$1+2,FALSE),"")</f>
        <v/>
      </c>
      <c r="W51" s="163">
        <v>0</v>
      </c>
      <c r="X51" s="163">
        <v>1</v>
      </c>
      <c r="Y51" s="163">
        <v>1</v>
      </c>
      <c r="Z51" s="163">
        <v>1</v>
      </c>
      <c r="AA51" s="163">
        <v>1</v>
      </c>
      <c r="AB51" s="163" t="s">
        <v>152</v>
      </c>
      <c r="AC51" s="190">
        <v>50913</v>
      </c>
      <c r="AD51" s="213">
        <f>IF(ISNUMBER(AC51),AC51/VLOOKUP($Q51,xRates!$A$1:$BL$267,studies!$R51-xRates!$B$1+2,FALSE),"")</f>
        <v>1205.6121240824059</v>
      </c>
      <c r="AE51" s="200">
        <f t="shared" si="4"/>
        <v>0</v>
      </c>
      <c r="AF51" s="200">
        <f>VLOOKUP(G51,gdppc,R51-1958,FALSE)</f>
        <v>2671.8</v>
      </c>
      <c r="AG51" s="195" t="str">
        <f t="shared" si="5"/>
        <v>Cost-effective</v>
      </c>
      <c r="AH51" s="195" t="str">
        <f t="shared" si="6"/>
        <v>Cost-effective</v>
      </c>
      <c r="AI51" s="204">
        <f t="shared" si="7"/>
        <v>0.45123591738992658</v>
      </c>
      <c r="AJ51" s="205">
        <f>IFERROR(VLOOKUP(G51,ochalek,11,FALSE),"")</f>
        <v>0.34</v>
      </c>
      <c r="AK51" s="195" t="str">
        <f t="shared" si="8"/>
        <v>Not cost-effective</v>
      </c>
      <c r="AL51" s="205">
        <f>IFERROR(VLOOKUP(G51,ochalek,10,FALSE),"")</f>
        <v>0.23</v>
      </c>
      <c r="AM51" s="207" t="str">
        <f t="shared" si="9"/>
        <v>Not cost-effective</v>
      </c>
      <c r="AN51" s="205">
        <f>IFERROR(VLOOKUP(G51,woods,6,FALSE),"")</f>
        <v>0.49901671583087515</v>
      </c>
      <c r="AO51" s="195" t="str">
        <f t="shared" si="10"/>
        <v>Cost-effective</v>
      </c>
      <c r="AP51" s="205">
        <f>IFERROR(VLOOKUP(G51,woods,5,FALSE),"")</f>
        <v>8.9900266891417335E-2</v>
      </c>
      <c r="AQ51" s="195" t="str">
        <f t="shared" si="11"/>
        <v>Not cost-effective</v>
      </c>
      <c r="AR51" s="205">
        <f>IFERROR(VLOOKUP(G51,riviere,8,FALSE),"")</f>
        <v>0.41039311031694881</v>
      </c>
      <c r="AS51" s="195" t="str">
        <f t="shared" si="12"/>
        <v>Not cost-effective</v>
      </c>
      <c r="AT51" s="205">
        <f>IFERROR(VLOOKUP(G51,riviere,7,FALSE),"")</f>
        <v>0.16521178745093443</v>
      </c>
      <c r="AU51" s="195" t="str">
        <f t="shared" si="13"/>
        <v>Not cost-effective</v>
      </c>
      <c r="AV51" s="162" t="s">
        <v>176</v>
      </c>
      <c r="AW51" s="162" t="s">
        <v>162</v>
      </c>
      <c r="AX51" s="210">
        <f t="shared" si="14"/>
        <v>1</v>
      </c>
      <c r="AY51" s="210">
        <f t="shared" si="15"/>
        <v>1</v>
      </c>
      <c r="AZ51" s="197">
        <f t="shared" si="16"/>
        <v>0</v>
      </c>
      <c r="BA51" s="197">
        <f t="shared" si="17"/>
        <v>1</v>
      </c>
      <c r="BB51" s="197">
        <f t="shared" si="18"/>
        <v>1</v>
      </c>
      <c r="BC51" s="197">
        <f t="shared" si="19"/>
        <v>1</v>
      </c>
      <c r="BD51" s="197">
        <f t="shared" si="20"/>
        <v>5</v>
      </c>
      <c r="BE51" s="163" t="s">
        <v>155</v>
      </c>
      <c r="BF51" s="162" t="s">
        <v>163</v>
      </c>
    </row>
    <row r="52" spans="1:58">
      <c r="A52" s="195">
        <f t="shared" si="21"/>
        <v>15</v>
      </c>
      <c r="B52" s="195">
        <f t="shared" si="22"/>
        <v>2</v>
      </c>
      <c r="C52" s="196" t="str">
        <f t="shared" si="0"/>
        <v>1502</v>
      </c>
      <c r="D52" s="159" t="s">
        <v>36</v>
      </c>
      <c r="E52" s="190">
        <v>2014</v>
      </c>
      <c r="F52" s="162" t="s">
        <v>203</v>
      </c>
      <c r="G52" s="162" t="s">
        <v>200</v>
      </c>
      <c r="H52" s="197" t="str">
        <f>IF(VLOOKUP(G52,income,R52-1985,FALSE)="UM","Upper-middle",IF(VLOOKUP(G52,income,R52-1985,FALSE)="LM","Lower-middle",IF(VLOOKUP(G52,income,R52-1985,FALSE)="L","Low")))</f>
        <v>Lower-middle</v>
      </c>
      <c r="I52" s="163">
        <v>1</v>
      </c>
      <c r="J52" s="162" t="s">
        <v>167</v>
      </c>
      <c r="K52" s="162" t="s">
        <v>166</v>
      </c>
      <c r="L52" s="207" t="str">
        <f t="shared" si="3"/>
        <v>PCV13 vs PCV10</v>
      </c>
      <c r="M52" s="162" t="s">
        <v>1551</v>
      </c>
      <c r="N52" s="163" t="s">
        <v>148</v>
      </c>
      <c r="O52" s="164" t="s">
        <v>159</v>
      </c>
      <c r="P52" s="162" t="s">
        <v>201</v>
      </c>
      <c r="Q52" s="162" t="s">
        <v>200</v>
      </c>
      <c r="R52" s="190">
        <v>2012</v>
      </c>
      <c r="S52" s="191">
        <v>800</v>
      </c>
      <c r="T52" s="198">
        <f>IF(ISNUMBER(S52),S52/VLOOKUP($Q52,xRates!$A$1:$BL$267,studies!$R52-xRates!$B$1+2,FALSE),"")</f>
        <v>18.943878759175941</v>
      </c>
      <c r="U52" s="163">
        <v>800</v>
      </c>
      <c r="V52" s="198">
        <f>IF(ISNUMBER(U52),U52/VLOOKUP($Q52,xRates!$A$1:$BL$267,studies!$R52-xRates!$B$1+2,FALSE),"")</f>
        <v>18.943878759175941</v>
      </c>
      <c r="W52" s="163">
        <v>0</v>
      </c>
      <c r="X52" s="163">
        <v>1</v>
      </c>
      <c r="Y52" s="163">
        <v>1</v>
      </c>
      <c r="Z52" s="163">
        <v>1</v>
      </c>
      <c r="AA52" s="163">
        <v>1</v>
      </c>
      <c r="AB52" s="163" t="s">
        <v>152</v>
      </c>
      <c r="AC52" s="190">
        <v>310274.65999999997</v>
      </c>
      <c r="AD52" s="213">
        <f>IF(ISNUMBER(AC52),AC52/VLOOKUP($Q52,xRates!$A$1:$BL$267,studies!$R52-xRates!$B$1+2,FALSE),"")</f>
        <v>7347.2569263556716</v>
      </c>
      <c r="AE52" s="200">
        <f t="shared" si="4"/>
        <v>0</v>
      </c>
      <c r="AF52" s="200">
        <f>VLOOKUP(G52,gdppc,R52-1958,FALSE)</f>
        <v>2671.8</v>
      </c>
      <c r="AG52" s="195" t="str">
        <f t="shared" si="5"/>
        <v>Not cost-effective</v>
      </c>
      <c r="AH52" s="195" t="str">
        <f t="shared" si="6"/>
        <v>Cost-effective</v>
      </c>
      <c r="AI52" s="204">
        <f t="shared" si="7"/>
        <v>2.749927736490632</v>
      </c>
      <c r="AJ52" s="205">
        <f>IFERROR(VLOOKUP(G52,ochalek,11,FALSE),"")</f>
        <v>0.34</v>
      </c>
      <c r="AK52" s="195" t="str">
        <f t="shared" si="8"/>
        <v>Not cost-effective</v>
      </c>
      <c r="AL52" s="205">
        <f>IFERROR(VLOOKUP(G52,ochalek,10,FALSE),"")</f>
        <v>0.23</v>
      </c>
      <c r="AM52" s="207" t="str">
        <f t="shared" si="9"/>
        <v>Not cost-effective</v>
      </c>
      <c r="AN52" s="205">
        <f>IFERROR(VLOOKUP(G52,woods,6,FALSE),"")</f>
        <v>0.49901671583087515</v>
      </c>
      <c r="AO52" s="195" t="str">
        <f t="shared" si="10"/>
        <v>Not cost-effective</v>
      </c>
      <c r="AP52" s="205">
        <f>IFERROR(VLOOKUP(G52,woods,5,FALSE),"")</f>
        <v>8.9900266891417335E-2</v>
      </c>
      <c r="AQ52" s="195" t="str">
        <f t="shared" si="11"/>
        <v>Not cost-effective</v>
      </c>
      <c r="AR52" s="205">
        <f>IFERROR(VLOOKUP(G52,riviere,8,FALSE),"")</f>
        <v>0.41039311031694881</v>
      </c>
      <c r="AS52" s="195" t="str">
        <f t="shared" si="12"/>
        <v>Not cost-effective</v>
      </c>
      <c r="AT52" s="205">
        <f>IFERROR(VLOOKUP(G52,riviere,7,FALSE),"")</f>
        <v>0.16521178745093443</v>
      </c>
      <c r="AU52" s="195" t="str">
        <f t="shared" si="13"/>
        <v>Not cost-effective</v>
      </c>
      <c r="AV52" s="162" t="s">
        <v>176</v>
      </c>
      <c r="AW52" s="159" t="s">
        <v>154</v>
      </c>
      <c r="AX52" s="210" t="str">
        <f t="shared" si="14"/>
        <v/>
      </c>
      <c r="AY52" s="210" t="str">
        <f t="shared" si="15"/>
        <v/>
      </c>
      <c r="AZ52" s="197" t="str">
        <f t="shared" si="16"/>
        <v/>
      </c>
      <c r="BA52" s="197" t="str">
        <f t="shared" si="17"/>
        <v/>
      </c>
      <c r="BB52" s="197" t="str">
        <f t="shared" si="18"/>
        <v/>
      </c>
      <c r="BC52" s="197" t="str">
        <f t="shared" si="19"/>
        <v/>
      </c>
      <c r="BD52" s="197">
        <f t="shared" si="20"/>
        <v>0</v>
      </c>
      <c r="BE52" s="163" t="s">
        <v>155</v>
      </c>
      <c r="BF52" s="162" t="s">
        <v>163</v>
      </c>
    </row>
    <row r="53" spans="1:58">
      <c r="A53" s="195">
        <f t="shared" si="21"/>
        <v>16</v>
      </c>
      <c r="B53" s="195">
        <f t="shared" si="22"/>
        <v>1</v>
      </c>
      <c r="C53" s="196" t="str">
        <f t="shared" si="0"/>
        <v>1601</v>
      </c>
      <c r="D53" s="159" t="s">
        <v>204</v>
      </c>
      <c r="E53" s="190">
        <v>2017</v>
      </c>
      <c r="F53" s="162" t="s">
        <v>205</v>
      </c>
      <c r="G53" s="162" t="s">
        <v>206</v>
      </c>
      <c r="H53" s="197" t="str">
        <f>IF(VLOOKUP(G53,income,R53-1985,FALSE)="UM","Upper-middle",IF(VLOOKUP(G53,income,R53-1985,FALSE)="LM","Lower-middle",IF(VLOOKUP(G53,income,R53-1985,FALSE)="L","Low")))</f>
        <v>Upper-middle</v>
      </c>
      <c r="I53" s="163">
        <v>1</v>
      </c>
      <c r="J53" s="162" t="s">
        <v>167</v>
      </c>
      <c r="K53" s="162" t="s">
        <v>147</v>
      </c>
      <c r="L53" s="207" t="str">
        <f t="shared" si="3"/>
        <v>PCV13 vs NoVax</v>
      </c>
      <c r="M53" s="162" t="s">
        <v>1551</v>
      </c>
      <c r="N53" s="163" t="s">
        <v>148</v>
      </c>
      <c r="O53" s="162" t="s">
        <v>149</v>
      </c>
      <c r="P53" s="162" t="s">
        <v>150</v>
      </c>
      <c r="Q53" s="162" t="s">
        <v>151</v>
      </c>
      <c r="R53" s="163">
        <v>2014</v>
      </c>
      <c r="S53" s="191">
        <v>3.3</v>
      </c>
      <c r="T53" s="198">
        <f>IF(ISNUMBER(S53),S53/VLOOKUP($Q53,xRates!$A$1:$BL$267,studies!$R53-xRates!$B$1+2,FALSE),"")</f>
        <v>3.3</v>
      </c>
      <c r="V53" s="198" t="str">
        <f>IF(ISNUMBER(U53),U53/VLOOKUP($Q53,xRates!$A$1:$BL$267,studies!$R53-xRates!$B$1+2,FALSE),"")</f>
        <v/>
      </c>
      <c r="W53" s="163">
        <v>1</v>
      </c>
      <c r="X53" s="163">
        <v>1</v>
      </c>
      <c r="Y53" s="163">
        <v>1</v>
      </c>
      <c r="Z53" s="163">
        <v>1</v>
      </c>
      <c r="AA53" s="163">
        <v>1</v>
      </c>
      <c r="AB53" s="163" t="s">
        <v>190</v>
      </c>
      <c r="AC53" s="193">
        <v>-27</v>
      </c>
      <c r="AD53" s="201">
        <f>IF(ISNUMBER(AC53),AC53/VLOOKUP($Q53,xRates!$A$1:$BL$267,studies!$R53-xRates!$B$1+2,FALSE),"")</f>
        <v>-27</v>
      </c>
      <c r="AE53" s="200">
        <f t="shared" si="4"/>
        <v>1</v>
      </c>
      <c r="AF53" s="201">
        <f>VLOOKUP(G53,gdppc,R53-1958,FALSE)</f>
        <v>4211.8999999999996</v>
      </c>
      <c r="AG53" s="195" t="str">
        <f t="shared" si="5"/>
        <v>Cost-saving</v>
      </c>
      <c r="AH53" s="195" t="str">
        <f t="shared" si="6"/>
        <v>Cost-saving</v>
      </c>
      <c r="AI53" s="204">
        <f t="shared" si="7"/>
        <v>-6.4104086041928826E-3</v>
      </c>
      <c r="AJ53" s="205">
        <f>IFERROR(VLOOKUP(G53,ochalek,11,FALSE),"")</f>
        <v>0.49</v>
      </c>
      <c r="AK53" s="195" t="str">
        <f t="shared" si="8"/>
        <v>Cost-saving</v>
      </c>
      <c r="AL53" s="205">
        <f>IFERROR(VLOOKUP(G53,ochalek,10,FALSE),"")</f>
        <v>0.35</v>
      </c>
      <c r="AM53" s="207" t="str">
        <f t="shared" si="9"/>
        <v>Cost-saving</v>
      </c>
      <c r="AN53" s="205">
        <f>IFERROR(VLOOKUP(G53,woods,6,FALSE),"")</f>
        <v>0.47147411980191301</v>
      </c>
      <c r="AO53" s="195" t="str">
        <f t="shared" si="10"/>
        <v>Cost-saving</v>
      </c>
      <c r="AP53" s="205">
        <f>IFERROR(VLOOKUP(G53,woods,5,FALSE),"")</f>
        <v>0.12278678515704497</v>
      </c>
      <c r="AQ53" s="195" t="str">
        <f t="shared" si="11"/>
        <v>Cost-saving</v>
      </c>
      <c r="AR53" s="205">
        <f>IFERROR(VLOOKUP(G53,riviere,8,FALSE),"")</f>
        <v>0.36292065803545021</v>
      </c>
      <c r="AS53" s="195" t="str">
        <f t="shared" si="12"/>
        <v>Cost-saving</v>
      </c>
      <c r="AT53" s="205">
        <f>IFERROR(VLOOKUP(G53,riviere,7,FALSE),"")</f>
        <v>0.14607840906505268</v>
      </c>
      <c r="AU53" s="195" t="str">
        <f t="shared" si="13"/>
        <v>Cost-saving</v>
      </c>
      <c r="AV53" s="162" t="s">
        <v>176</v>
      </c>
      <c r="AW53" s="162" t="s">
        <v>186</v>
      </c>
      <c r="AX53" s="210" t="str">
        <f t="shared" si="14"/>
        <v/>
      </c>
      <c r="AY53" s="210" t="str">
        <f t="shared" si="15"/>
        <v/>
      </c>
      <c r="AZ53" s="197" t="str">
        <f t="shared" si="16"/>
        <v/>
      </c>
      <c r="BA53" s="197" t="str">
        <f t="shared" si="17"/>
        <v/>
      </c>
      <c r="BB53" s="197" t="str">
        <f t="shared" si="18"/>
        <v/>
      </c>
      <c r="BC53" s="197" t="str">
        <f t="shared" si="19"/>
        <v/>
      </c>
      <c r="BD53" s="197">
        <f t="shared" si="20"/>
        <v>0</v>
      </c>
      <c r="BE53" s="163" t="s">
        <v>148</v>
      </c>
      <c r="BF53" s="162" t="s">
        <v>156</v>
      </c>
    </row>
    <row r="54" spans="1:58">
      <c r="A54" s="195">
        <f t="shared" si="21"/>
        <v>16</v>
      </c>
      <c r="B54" s="195">
        <f t="shared" si="22"/>
        <v>2</v>
      </c>
      <c r="C54" s="196" t="str">
        <f t="shared" si="0"/>
        <v>1602</v>
      </c>
      <c r="D54" s="159" t="s">
        <v>204</v>
      </c>
      <c r="E54" s="190">
        <v>2017</v>
      </c>
      <c r="F54" s="162" t="s">
        <v>205</v>
      </c>
      <c r="G54" s="162" t="s">
        <v>206</v>
      </c>
      <c r="H54" s="197" t="str">
        <f>IF(VLOOKUP(G54,income,R54-1985,FALSE)="UM","Upper-middle",IF(VLOOKUP(G54,income,R54-1985,FALSE)="LM","Lower-middle",IF(VLOOKUP(G54,income,R54-1985,FALSE)="L","Low")))</f>
        <v>Upper-middle</v>
      </c>
      <c r="I54" s="163">
        <v>1</v>
      </c>
      <c r="J54" s="162" t="s">
        <v>167</v>
      </c>
      <c r="K54" s="162" t="s">
        <v>147</v>
      </c>
      <c r="L54" s="207" t="str">
        <f t="shared" si="3"/>
        <v>PCV13 vs NoVax</v>
      </c>
      <c r="M54" s="162" t="s">
        <v>1551</v>
      </c>
      <c r="N54" s="163" t="s">
        <v>148</v>
      </c>
      <c r="O54" s="162" t="s">
        <v>159</v>
      </c>
      <c r="P54" s="162" t="s">
        <v>150</v>
      </c>
      <c r="Q54" s="162" t="s">
        <v>151</v>
      </c>
      <c r="R54" s="163">
        <v>2014</v>
      </c>
      <c r="S54" s="191">
        <v>3.3</v>
      </c>
      <c r="T54" s="198">
        <f>IF(ISNUMBER(S54),S54/VLOOKUP($Q54,xRates!$A$1:$BL$267,studies!$R54-xRates!$B$1+2,FALSE),"")</f>
        <v>3.3</v>
      </c>
      <c r="V54" s="198" t="str">
        <f>IF(ISNUMBER(U54),U54/VLOOKUP($Q54,xRates!$A$1:$BL$267,studies!$R54-xRates!$B$1+2,FALSE),"")</f>
        <v/>
      </c>
      <c r="W54" s="163">
        <v>1</v>
      </c>
      <c r="X54" s="163">
        <v>1</v>
      </c>
      <c r="Y54" s="163">
        <v>1</v>
      </c>
      <c r="Z54" s="163">
        <v>1</v>
      </c>
      <c r="AA54" s="163">
        <v>1</v>
      </c>
      <c r="AB54" s="163" t="s">
        <v>190</v>
      </c>
      <c r="AC54" s="193">
        <v>52</v>
      </c>
      <c r="AD54" s="201">
        <f>IF(ISNUMBER(AC54),AC54/VLOOKUP($Q54,xRates!$A$1:$BL$267,studies!$R54-xRates!$B$1+2,FALSE),"")</f>
        <v>52</v>
      </c>
      <c r="AE54" s="200">
        <f t="shared" si="4"/>
        <v>0</v>
      </c>
      <c r="AF54" s="201">
        <f>VLOOKUP(G54,gdppc,R54-1958,FALSE)</f>
        <v>4211.8999999999996</v>
      </c>
      <c r="AG54" s="195" t="str">
        <f t="shared" si="5"/>
        <v>Cost-effective</v>
      </c>
      <c r="AH54" s="195" t="str">
        <f t="shared" si="6"/>
        <v>Cost-effective</v>
      </c>
      <c r="AI54" s="204">
        <f t="shared" si="7"/>
        <v>1.2345972126593699E-2</v>
      </c>
      <c r="AJ54" s="205">
        <f>IFERROR(VLOOKUP(G54,ochalek,11,FALSE),"")</f>
        <v>0.49</v>
      </c>
      <c r="AK54" s="195" t="str">
        <f t="shared" si="8"/>
        <v>Cost-effective</v>
      </c>
      <c r="AL54" s="205">
        <f>IFERROR(VLOOKUP(G54,ochalek,10,FALSE),"")</f>
        <v>0.35</v>
      </c>
      <c r="AM54" s="207" t="str">
        <f t="shared" si="9"/>
        <v>Cost-effective</v>
      </c>
      <c r="AN54" s="205">
        <f>IFERROR(VLOOKUP(G54,woods,6,FALSE),"")</f>
        <v>0.47147411980191301</v>
      </c>
      <c r="AO54" s="195" t="str">
        <f t="shared" si="10"/>
        <v>Cost-effective</v>
      </c>
      <c r="AP54" s="205">
        <f>IFERROR(VLOOKUP(G54,woods,5,FALSE),"")</f>
        <v>0.12278678515704497</v>
      </c>
      <c r="AQ54" s="195" t="str">
        <f t="shared" si="11"/>
        <v>Cost-effective</v>
      </c>
      <c r="AR54" s="205">
        <f>IFERROR(VLOOKUP(G54,riviere,8,FALSE),"")</f>
        <v>0.36292065803545021</v>
      </c>
      <c r="AS54" s="195" t="str">
        <f t="shared" si="12"/>
        <v>Cost-effective</v>
      </c>
      <c r="AT54" s="205">
        <f>IFERROR(VLOOKUP(G54,riviere,7,FALSE),"")</f>
        <v>0.14607840906505268</v>
      </c>
      <c r="AU54" s="195" t="str">
        <f t="shared" si="13"/>
        <v>Cost-effective</v>
      </c>
      <c r="AV54" s="162" t="s">
        <v>176</v>
      </c>
      <c r="AW54" s="162" t="s">
        <v>162</v>
      </c>
      <c r="AX54" s="210">
        <f t="shared" si="14"/>
        <v>0</v>
      </c>
      <c r="AY54" s="210">
        <f t="shared" si="15"/>
        <v>0</v>
      </c>
      <c r="AZ54" s="197">
        <f t="shared" si="16"/>
        <v>0</v>
      </c>
      <c r="BA54" s="197">
        <f t="shared" si="17"/>
        <v>0</v>
      </c>
      <c r="BB54" s="197">
        <f t="shared" si="18"/>
        <v>0</v>
      </c>
      <c r="BC54" s="197">
        <f t="shared" si="19"/>
        <v>0</v>
      </c>
      <c r="BD54" s="197">
        <f t="shared" si="20"/>
        <v>0</v>
      </c>
      <c r="BE54" s="163" t="s">
        <v>148</v>
      </c>
      <c r="BF54" s="162" t="s">
        <v>156</v>
      </c>
    </row>
    <row r="55" spans="1:58">
      <c r="A55" s="195">
        <f t="shared" si="21"/>
        <v>16</v>
      </c>
      <c r="B55" s="195">
        <f t="shared" si="22"/>
        <v>3</v>
      </c>
      <c r="C55" s="196" t="str">
        <f t="shared" si="0"/>
        <v>1603</v>
      </c>
      <c r="D55" s="159" t="s">
        <v>204</v>
      </c>
      <c r="E55" s="190">
        <v>2017</v>
      </c>
      <c r="F55" s="162" t="s">
        <v>205</v>
      </c>
      <c r="G55" s="162" t="s">
        <v>206</v>
      </c>
      <c r="H55" s="197" t="str">
        <f>IF(VLOOKUP(G55,income,R55-1985,FALSE)="UM","Upper-middle",IF(VLOOKUP(G55,income,R55-1985,FALSE)="LM","Lower-middle",IF(VLOOKUP(G55,income,R55-1985,FALSE)="L","Low")))</f>
        <v>Upper-middle</v>
      </c>
      <c r="I55" s="163">
        <v>1</v>
      </c>
      <c r="J55" s="162" t="s">
        <v>167</v>
      </c>
      <c r="K55" s="162" t="s">
        <v>147</v>
      </c>
      <c r="L55" s="207" t="str">
        <f t="shared" si="3"/>
        <v>PCV13 vs NoVax</v>
      </c>
      <c r="M55" s="162" t="s">
        <v>1551</v>
      </c>
      <c r="N55" s="163" t="s">
        <v>155</v>
      </c>
      <c r="O55" s="162" t="s">
        <v>149</v>
      </c>
      <c r="P55" s="162" t="s">
        <v>150</v>
      </c>
      <c r="Q55" s="162" t="s">
        <v>151</v>
      </c>
      <c r="R55" s="163">
        <v>2014</v>
      </c>
      <c r="S55" s="191">
        <v>3.3</v>
      </c>
      <c r="T55" s="198">
        <f>IF(ISNUMBER(S55),S55/VLOOKUP($Q55,xRates!$A$1:$BL$267,studies!$R55-xRates!$B$1+2,FALSE),"")</f>
        <v>3.3</v>
      </c>
      <c r="V55" s="198" t="str">
        <f>IF(ISNUMBER(U55),U55/VLOOKUP($Q55,xRates!$A$1:$BL$267,studies!$R55-xRates!$B$1+2,FALSE),"")</f>
        <v/>
      </c>
      <c r="W55" s="163">
        <v>0</v>
      </c>
      <c r="X55" s="163">
        <v>0</v>
      </c>
      <c r="Y55" s="163">
        <v>1</v>
      </c>
      <c r="Z55" s="163">
        <v>1</v>
      </c>
      <c r="AA55" s="163">
        <v>1</v>
      </c>
      <c r="AB55" s="163" t="s">
        <v>190</v>
      </c>
      <c r="AC55" s="193">
        <v>19</v>
      </c>
      <c r="AD55" s="201">
        <f>IF(ISNUMBER(AC55),AC55/VLOOKUP($Q55,xRates!$A$1:$BL$267,studies!$R55-xRates!$B$1+2,FALSE),"")</f>
        <v>19</v>
      </c>
      <c r="AE55" s="200">
        <f t="shared" si="4"/>
        <v>0</v>
      </c>
      <c r="AF55" s="201">
        <f>VLOOKUP(G55,gdppc,R55-1958,FALSE)</f>
        <v>4211.8999999999996</v>
      </c>
      <c r="AG55" s="195" t="str">
        <f t="shared" si="5"/>
        <v>Cost-effective</v>
      </c>
      <c r="AH55" s="195" t="str">
        <f t="shared" si="6"/>
        <v>Cost-effective</v>
      </c>
      <c r="AI55" s="204">
        <f t="shared" si="7"/>
        <v>4.5110282770246214E-3</v>
      </c>
      <c r="AJ55" s="205">
        <f>IFERROR(VLOOKUP(G55,ochalek,11,FALSE),"")</f>
        <v>0.49</v>
      </c>
      <c r="AK55" s="195" t="str">
        <f t="shared" si="8"/>
        <v>Cost-effective</v>
      </c>
      <c r="AL55" s="205">
        <f>IFERROR(VLOOKUP(G55,ochalek,10,FALSE),"")</f>
        <v>0.35</v>
      </c>
      <c r="AM55" s="207" t="str">
        <f t="shared" si="9"/>
        <v>Cost-effective</v>
      </c>
      <c r="AN55" s="205">
        <f>IFERROR(VLOOKUP(G55,woods,6,FALSE),"")</f>
        <v>0.47147411980191301</v>
      </c>
      <c r="AO55" s="195" t="str">
        <f t="shared" si="10"/>
        <v>Cost-effective</v>
      </c>
      <c r="AP55" s="205">
        <f>IFERROR(VLOOKUP(G55,woods,5,FALSE),"")</f>
        <v>0.12278678515704497</v>
      </c>
      <c r="AQ55" s="195" t="str">
        <f t="shared" si="11"/>
        <v>Cost-effective</v>
      </c>
      <c r="AR55" s="205">
        <f>IFERROR(VLOOKUP(G55,riviere,8,FALSE),"")</f>
        <v>0.36292065803545021</v>
      </c>
      <c r="AS55" s="195" t="str">
        <f t="shared" si="12"/>
        <v>Cost-effective</v>
      </c>
      <c r="AT55" s="205">
        <f>IFERROR(VLOOKUP(G55,riviere,7,FALSE),"")</f>
        <v>0.14607840906505268</v>
      </c>
      <c r="AU55" s="195" t="str">
        <f t="shared" si="13"/>
        <v>Cost-effective</v>
      </c>
      <c r="AV55" s="162" t="s">
        <v>176</v>
      </c>
      <c r="AW55" s="162" t="s">
        <v>162</v>
      </c>
      <c r="AX55" s="210">
        <f t="shared" si="14"/>
        <v>0</v>
      </c>
      <c r="AY55" s="210">
        <f t="shared" si="15"/>
        <v>0</v>
      </c>
      <c r="AZ55" s="197">
        <f t="shared" si="16"/>
        <v>0</v>
      </c>
      <c r="BA55" s="197">
        <f t="shared" si="17"/>
        <v>0</v>
      </c>
      <c r="BB55" s="197">
        <f t="shared" si="18"/>
        <v>0</v>
      </c>
      <c r="BC55" s="197">
        <f t="shared" si="19"/>
        <v>0</v>
      </c>
      <c r="BD55" s="197">
        <f t="shared" si="20"/>
        <v>0</v>
      </c>
      <c r="BE55" s="163" t="s">
        <v>148</v>
      </c>
      <c r="BF55" s="162" t="s">
        <v>156</v>
      </c>
    </row>
    <row r="56" spans="1:58">
      <c r="A56" s="195">
        <f t="shared" si="21"/>
        <v>16</v>
      </c>
      <c r="B56" s="195">
        <f t="shared" si="22"/>
        <v>4</v>
      </c>
      <c r="C56" s="196" t="str">
        <f t="shared" si="0"/>
        <v>1604</v>
      </c>
      <c r="D56" s="159" t="s">
        <v>204</v>
      </c>
      <c r="E56" s="190">
        <v>2017</v>
      </c>
      <c r="F56" s="162" t="s">
        <v>205</v>
      </c>
      <c r="G56" s="162" t="s">
        <v>206</v>
      </c>
      <c r="H56" s="197" t="str">
        <f>IF(VLOOKUP(G56,income,R56-1985,FALSE)="UM","Upper-middle",IF(VLOOKUP(G56,income,R56-1985,FALSE)="LM","Lower-middle",IF(VLOOKUP(G56,income,R56-1985,FALSE)="L","Low")))</f>
        <v>Upper-middle</v>
      </c>
      <c r="I56" s="163">
        <v>1</v>
      </c>
      <c r="J56" s="162" t="s">
        <v>167</v>
      </c>
      <c r="K56" s="162" t="s">
        <v>147</v>
      </c>
      <c r="L56" s="207" t="str">
        <f t="shared" si="3"/>
        <v>PCV13 vs NoVax</v>
      </c>
      <c r="M56" s="162" t="s">
        <v>1551</v>
      </c>
      <c r="N56" s="163" t="s">
        <v>155</v>
      </c>
      <c r="O56" s="162" t="s">
        <v>159</v>
      </c>
      <c r="P56" s="162" t="s">
        <v>150</v>
      </c>
      <c r="Q56" s="162" t="s">
        <v>151</v>
      </c>
      <c r="R56" s="163">
        <v>2014</v>
      </c>
      <c r="S56" s="191">
        <v>3.3</v>
      </c>
      <c r="T56" s="198">
        <f>IF(ISNUMBER(S56),S56/VLOOKUP($Q56,xRates!$A$1:$BL$267,studies!$R56-xRates!$B$1+2,FALSE),"")</f>
        <v>3.3</v>
      </c>
      <c r="V56" s="198" t="str">
        <f>IF(ISNUMBER(U56),U56/VLOOKUP($Q56,xRates!$A$1:$BL$267,studies!$R56-xRates!$B$1+2,FALSE),"")</f>
        <v/>
      </c>
      <c r="W56" s="163">
        <v>0</v>
      </c>
      <c r="X56" s="163">
        <v>0</v>
      </c>
      <c r="Y56" s="163">
        <v>1</v>
      </c>
      <c r="Z56" s="163">
        <v>1</v>
      </c>
      <c r="AA56" s="163">
        <v>1</v>
      </c>
      <c r="AB56" s="163" t="s">
        <v>190</v>
      </c>
      <c r="AC56" s="193">
        <v>79</v>
      </c>
      <c r="AD56" s="201">
        <f>IF(ISNUMBER(AC56),AC56/VLOOKUP($Q56,xRates!$A$1:$BL$267,studies!$R56-xRates!$B$1+2,FALSE),"")</f>
        <v>79</v>
      </c>
      <c r="AE56" s="200">
        <f t="shared" si="4"/>
        <v>0</v>
      </c>
      <c r="AF56" s="201">
        <f>VLOOKUP(G56,gdppc,R56-1958,FALSE)</f>
        <v>4211.8999999999996</v>
      </c>
      <c r="AG56" s="195" t="str">
        <f t="shared" si="5"/>
        <v>Cost-effective</v>
      </c>
      <c r="AH56" s="195" t="str">
        <f t="shared" si="6"/>
        <v>Cost-effective</v>
      </c>
      <c r="AI56" s="204">
        <f t="shared" si="7"/>
        <v>1.8756380730786584E-2</v>
      </c>
      <c r="AJ56" s="205">
        <f>IFERROR(VLOOKUP(G56,ochalek,11,FALSE),"")</f>
        <v>0.49</v>
      </c>
      <c r="AK56" s="195" t="str">
        <f t="shared" si="8"/>
        <v>Cost-effective</v>
      </c>
      <c r="AL56" s="205">
        <f>IFERROR(VLOOKUP(G56,ochalek,10,FALSE),"")</f>
        <v>0.35</v>
      </c>
      <c r="AM56" s="207" t="str">
        <f t="shared" si="9"/>
        <v>Cost-effective</v>
      </c>
      <c r="AN56" s="205">
        <f>IFERROR(VLOOKUP(G56,woods,6,FALSE),"")</f>
        <v>0.47147411980191301</v>
      </c>
      <c r="AO56" s="195" t="str">
        <f t="shared" si="10"/>
        <v>Cost-effective</v>
      </c>
      <c r="AP56" s="205">
        <f>IFERROR(VLOOKUP(G56,woods,5,FALSE),"")</f>
        <v>0.12278678515704497</v>
      </c>
      <c r="AQ56" s="195" t="str">
        <f t="shared" si="11"/>
        <v>Cost-effective</v>
      </c>
      <c r="AR56" s="205">
        <f>IFERROR(VLOOKUP(G56,riviere,8,FALSE),"")</f>
        <v>0.36292065803545021</v>
      </c>
      <c r="AS56" s="195" t="str">
        <f t="shared" si="12"/>
        <v>Cost-effective</v>
      </c>
      <c r="AT56" s="205">
        <f>IFERROR(VLOOKUP(G56,riviere,7,FALSE),"")</f>
        <v>0.14607840906505268</v>
      </c>
      <c r="AU56" s="195" t="str">
        <f t="shared" si="13"/>
        <v>Cost-effective</v>
      </c>
      <c r="AV56" s="162" t="s">
        <v>176</v>
      </c>
      <c r="AW56" s="162" t="s">
        <v>162</v>
      </c>
      <c r="AX56" s="210">
        <f t="shared" si="14"/>
        <v>0</v>
      </c>
      <c r="AY56" s="210">
        <f t="shared" si="15"/>
        <v>0</v>
      </c>
      <c r="AZ56" s="197">
        <f t="shared" si="16"/>
        <v>0</v>
      </c>
      <c r="BA56" s="197">
        <f t="shared" si="17"/>
        <v>0</v>
      </c>
      <c r="BB56" s="197">
        <f t="shared" si="18"/>
        <v>0</v>
      </c>
      <c r="BC56" s="197">
        <f t="shared" si="19"/>
        <v>0</v>
      </c>
      <c r="BD56" s="197">
        <f t="shared" si="20"/>
        <v>0</v>
      </c>
      <c r="BE56" s="163" t="s">
        <v>148</v>
      </c>
      <c r="BF56" s="162" t="s">
        <v>156</v>
      </c>
    </row>
    <row r="57" spans="1:58">
      <c r="A57" s="195">
        <f t="shared" si="21"/>
        <v>17</v>
      </c>
      <c r="B57" s="195">
        <f t="shared" si="22"/>
        <v>1</v>
      </c>
      <c r="C57" s="196" t="str">
        <f t="shared" si="0"/>
        <v>1701</v>
      </c>
      <c r="D57" s="159" t="s">
        <v>207</v>
      </c>
      <c r="E57" s="190">
        <v>2018</v>
      </c>
      <c r="F57" s="162" t="s">
        <v>208</v>
      </c>
      <c r="G57" s="162" t="s">
        <v>209</v>
      </c>
      <c r="H57" s="197" t="str">
        <f>IF(VLOOKUP(G57,income,R57-1985,FALSE)="UM","Upper-middle",IF(VLOOKUP(G57,income,R57-1985,FALSE)="LM","Lower-middle",IF(VLOOKUP(G57,income,R57-1985,FALSE)="L","Low")))</f>
        <v>Lower-middle</v>
      </c>
      <c r="I57" s="163">
        <v>1</v>
      </c>
      <c r="J57" s="162" t="s">
        <v>166</v>
      </c>
      <c r="K57" s="162" t="s">
        <v>147</v>
      </c>
      <c r="L57" s="207" t="str">
        <f t="shared" si="3"/>
        <v>PCV10 vs NoVax</v>
      </c>
      <c r="M57" s="162" t="s">
        <v>1551</v>
      </c>
      <c r="N57" s="163" t="s">
        <v>148</v>
      </c>
      <c r="O57" s="162" t="s">
        <v>159</v>
      </c>
      <c r="P57" s="162" t="s">
        <v>150</v>
      </c>
      <c r="Q57" s="162" t="s">
        <v>151</v>
      </c>
      <c r="R57" s="163">
        <v>2017</v>
      </c>
      <c r="S57" s="191">
        <v>3.05</v>
      </c>
      <c r="T57" s="198">
        <f>IF(ISNUMBER(S57),S57/VLOOKUP($Q57,xRates!$A$1:$BL$267,studies!$R57-xRates!$B$1+2,FALSE),"")</f>
        <v>3.05</v>
      </c>
      <c r="V57" s="198" t="str">
        <f>IF(ISNUMBER(U57),U57/VLOOKUP($Q57,xRates!$A$1:$BL$267,studies!$R57-xRates!$B$1+2,FALSE),"")</f>
        <v/>
      </c>
      <c r="W57" s="163">
        <v>1</v>
      </c>
      <c r="X57" s="163">
        <v>0</v>
      </c>
      <c r="Y57" s="163">
        <v>1</v>
      </c>
      <c r="Z57" s="163">
        <v>1</v>
      </c>
      <c r="AA57" s="163">
        <v>1</v>
      </c>
      <c r="AB57" s="163" t="s">
        <v>152</v>
      </c>
      <c r="AC57" s="193">
        <v>36</v>
      </c>
      <c r="AD57" s="201">
        <f>IF(ISNUMBER(AC57),AC57/VLOOKUP($Q57,xRates!$A$1:$BL$267,studies!$R57-xRates!$B$1+2,FALSE),"")</f>
        <v>36</v>
      </c>
      <c r="AE57" s="200">
        <f t="shared" si="4"/>
        <v>0</v>
      </c>
      <c r="AF57" s="201">
        <f>VLOOKUP(G57,gdppc,R57-1958,FALSE)</f>
        <v>3427.2</v>
      </c>
      <c r="AG57" s="195" t="str">
        <f t="shared" si="5"/>
        <v>Cost-effective</v>
      </c>
      <c r="AH57" s="195" t="str">
        <f t="shared" si="6"/>
        <v>Cost-effective</v>
      </c>
      <c r="AI57" s="204">
        <f t="shared" si="7"/>
        <v>1.050420168067227E-2</v>
      </c>
      <c r="AJ57" s="205" t="str">
        <f>IFERROR(VLOOKUP(G57,ochalek,11,FALSE),"")</f>
        <v/>
      </c>
      <c r="AK57" s="195" t="str">
        <f t="shared" si="8"/>
        <v>NA</v>
      </c>
      <c r="AL57" s="205" t="str">
        <f>IFERROR(VLOOKUP(G57,ochalek,10,FALSE),"")</f>
        <v/>
      </c>
      <c r="AM57" s="207" t="str">
        <f t="shared" si="9"/>
        <v>NA</v>
      </c>
      <c r="AN57" s="205">
        <f>IFERROR(VLOOKUP(G57,woods,6,FALSE),"")</f>
        <v>0.47927461139896371</v>
      </c>
      <c r="AO57" s="195" t="str">
        <f t="shared" si="10"/>
        <v>Cost-effective</v>
      </c>
      <c r="AP57" s="205">
        <f>IFERROR(VLOOKUP(G57,woods,5,FALSE),"")</f>
        <v>0.10172203596464492</v>
      </c>
      <c r="AQ57" s="195" t="str">
        <f t="shared" si="11"/>
        <v>Cost-effective</v>
      </c>
      <c r="AR57" s="205">
        <f>IFERROR(VLOOKUP(G57,riviere,8,FALSE),"")</f>
        <v>0.31896987039218988</v>
      </c>
      <c r="AS57" s="195" t="str">
        <f t="shared" si="12"/>
        <v>Cost-effective</v>
      </c>
      <c r="AT57" s="205">
        <f>IFERROR(VLOOKUP(G57,riviere,7,FALSE),"")</f>
        <v>0.12848566459069741</v>
      </c>
      <c r="AU57" s="195" t="str">
        <f t="shared" si="13"/>
        <v>Cost-effective</v>
      </c>
      <c r="AV57" s="162" t="s">
        <v>176</v>
      </c>
      <c r="AW57" s="162" t="s">
        <v>162</v>
      </c>
      <c r="AX57" s="210">
        <f t="shared" si="14"/>
        <v>0</v>
      </c>
      <c r="AY57" s="210">
        <f t="shared" si="15"/>
        <v>0</v>
      </c>
      <c r="AZ57" s="197">
        <f t="shared" si="16"/>
        <v>0</v>
      </c>
      <c r="BA57" s="197">
        <f t="shared" si="17"/>
        <v>0</v>
      </c>
      <c r="BB57" s="197">
        <f t="shared" si="18"/>
        <v>0</v>
      </c>
      <c r="BC57" s="197">
        <f t="shared" si="19"/>
        <v>0</v>
      </c>
      <c r="BD57" s="197">
        <f t="shared" si="20"/>
        <v>0</v>
      </c>
      <c r="BE57" s="163" t="s">
        <v>148</v>
      </c>
      <c r="BF57" s="162" t="s">
        <v>156</v>
      </c>
    </row>
    <row r="58" spans="1:58">
      <c r="A58" s="195">
        <f t="shared" si="21"/>
        <v>17</v>
      </c>
      <c r="B58" s="195">
        <f t="shared" si="22"/>
        <v>2</v>
      </c>
      <c r="C58" s="196" t="str">
        <f t="shared" si="0"/>
        <v>1702</v>
      </c>
      <c r="D58" s="159" t="s">
        <v>207</v>
      </c>
      <c r="E58" s="190">
        <v>2018</v>
      </c>
      <c r="F58" s="162" t="s">
        <v>208</v>
      </c>
      <c r="G58" s="162" t="s">
        <v>209</v>
      </c>
      <c r="H58" s="197" t="str">
        <f>IF(VLOOKUP(G58,income,R58-1985,FALSE)="UM","Upper-middle",IF(VLOOKUP(G58,income,R58-1985,FALSE)="LM","Lower-middle",IF(VLOOKUP(G58,income,R58-1985,FALSE)="L","Low")))</f>
        <v>Lower-middle</v>
      </c>
      <c r="I58" s="163">
        <v>1</v>
      </c>
      <c r="J58" s="162" t="s">
        <v>167</v>
      </c>
      <c r="K58" s="162" t="s">
        <v>147</v>
      </c>
      <c r="L58" s="207" t="str">
        <f t="shared" si="3"/>
        <v>PCV13 vs NoVax</v>
      </c>
      <c r="M58" s="162" t="s">
        <v>1551</v>
      </c>
      <c r="N58" s="163" t="s">
        <v>148</v>
      </c>
      <c r="O58" s="162" t="s">
        <v>159</v>
      </c>
      <c r="P58" s="162" t="s">
        <v>150</v>
      </c>
      <c r="Q58" s="162" t="s">
        <v>151</v>
      </c>
      <c r="R58" s="163">
        <v>2017</v>
      </c>
      <c r="S58" s="191">
        <v>3.55</v>
      </c>
      <c r="T58" s="198">
        <f>IF(ISNUMBER(S58),S58/VLOOKUP($Q58,xRates!$A$1:$BL$267,studies!$R58-xRates!$B$1+2,FALSE),"")</f>
        <v>3.55</v>
      </c>
      <c r="V58" s="198" t="str">
        <f>IF(ISNUMBER(U58),U58/VLOOKUP($Q58,xRates!$A$1:$BL$267,studies!$R58-xRates!$B$1+2,FALSE),"")</f>
        <v/>
      </c>
      <c r="W58" s="163">
        <v>1</v>
      </c>
      <c r="X58" s="163">
        <v>0</v>
      </c>
      <c r="Y58" s="163">
        <v>1</v>
      </c>
      <c r="Z58" s="163">
        <v>1</v>
      </c>
      <c r="AA58" s="163">
        <v>1</v>
      </c>
      <c r="AB58" s="163" t="s">
        <v>152</v>
      </c>
      <c r="AC58" s="193">
        <v>40</v>
      </c>
      <c r="AD58" s="201">
        <f>IF(ISNUMBER(AC58),AC58/VLOOKUP($Q58,xRates!$A$1:$BL$267,studies!$R58-xRates!$B$1+2,FALSE),"")</f>
        <v>40</v>
      </c>
      <c r="AE58" s="200">
        <f t="shared" si="4"/>
        <v>0</v>
      </c>
      <c r="AF58" s="201">
        <f>VLOOKUP(G58,gdppc,R58-1958,FALSE)</f>
        <v>3427.2</v>
      </c>
      <c r="AG58" s="195" t="str">
        <f t="shared" si="5"/>
        <v>Cost-effective</v>
      </c>
      <c r="AH58" s="195" t="str">
        <f t="shared" si="6"/>
        <v>Cost-effective</v>
      </c>
      <c r="AI58" s="204">
        <f t="shared" si="7"/>
        <v>1.1671335200746966E-2</v>
      </c>
      <c r="AJ58" s="205" t="str">
        <f>IFERROR(VLOOKUP(G58,ochalek,11,FALSE),"")</f>
        <v/>
      </c>
      <c r="AK58" s="195" t="str">
        <f t="shared" si="8"/>
        <v>NA</v>
      </c>
      <c r="AL58" s="205" t="str">
        <f>IFERROR(VLOOKUP(G58,ochalek,10,FALSE),"")</f>
        <v/>
      </c>
      <c r="AM58" s="207" t="str">
        <f t="shared" si="9"/>
        <v>NA</v>
      </c>
      <c r="AN58" s="205">
        <f>IFERROR(VLOOKUP(G58,woods,6,FALSE),"")</f>
        <v>0.47927461139896371</v>
      </c>
      <c r="AO58" s="195" t="str">
        <f t="shared" si="10"/>
        <v>Cost-effective</v>
      </c>
      <c r="AP58" s="205">
        <f>IFERROR(VLOOKUP(G58,woods,5,FALSE),"")</f>
        <v>0.10172203596464492</v>
      </c>
      <c r="AQ58" s="195" t="str">
        <f t="shared" si="11"/>
        <v>Cost-effective</v>
      </c>
      <c r="AR58" s="205">
        <f>IFERROR(VLOOKUP(G58,riviere,8,FALSE),"")</f>
        <v>0.31896987039218988</v>
      </c>
      <c r="AS58" s="195" t="str">
        <f t="shared" si="12"/>
        <v>Cost-effective</v>
      </c>
      <c r="AT58" s="205">
        <f>IFERROR(VLOOKUP(G58,riviere,7,FALSE),"")</f>
        <v>0.12848566459069741</v>
      </c>
      <c r="AU58" s="195" t="str">
        <f t="shared" si="13"/>
        <v>Cost-effective</v>
      </c>
      <c r="AV58" s="162" t="s">
        <v>176</v>
      </c>
      <c r="AW58" s="162" t="s">
        <v>162</v>
      </c>
      <c r="AX58" s="210">
        <f t="shared" si="14"/>
        <v>0</v>
      </c>
      <c r="AY58" s="210">
        <f t="shared" si="15"/>
        <v>0</v>
      </c>
      <c r="AZ58" s="197">
        <f t="shared" si="16"/>
        <v>0</v>
      </c>
      <c r="BA58" s="197">
        <f t="shared" si="17"/>
        <v>0</v>
      </c>
      <c r="BB58" s="197">
        <f t="shared" si="18"/>
        <v>0</v>
      </c>
      <c r="BC58" s="197">
        <f t="shared" si="19"/>
        <v>0</v>
      </c>
      <c r="BD58" s="197">
        <f t="shared" si="20"/>
        <v>0</v>
      </c>
      <c r="BE58" s="163" t="s">
        <v>148</v>
      </c>
      <c r="BF58" s="162" t="s">
        <v>156</v>
      </c>
    </row>
    <row r="59" spans="1:58">
      <c r="A59" s="195">
        <f t="shared" si="21"/>
        <v>17</v>
      </c>
      <c r="B59" s="195">
        <f t="shared" si="22"/>
        <v>3</v>
      </c>
      <c r="C59" s="196" t="str">
        <f t="shared" si="0"/>
        <v>1703</v>
      </c>
      <c r="D59" s="159" t="s">
        <v>207</v>
      </c>
      <c r="E59" s="190">
        <v>2018</v>
      </c>
      <c r="F59" s="162" t="s">
        <v>208</v>
      </c>
      <c r="G59" s="162" t="s">
        <v>209</v>
      </c>
      <c r="H59" s="197" t="str">
        <f>IF(VLOOKUP(G59,income,R59-1985,FALSE)="UM","Upper-middle",IF(VLOOKUP(G59,income,R59-1985,FALSE)="LM","Lower-middle",IF(VLOOKUP(G59,income,R59-1985,FALSE)="L","Low")))</f>
        <v>Lower-middle</v>
      </c>
      <c r="I59" s="163">
        <v>1</v>
      </c>
      <c r="J59" s="162" t="s">
        <v>167</v>
      </c>
      <c r="K59" s="162" t="s">
        <v>166</v>
      </c>
      <c r="L59" s="207" t="str">
        <f t="shared" si="3"/>
        <v>PCV13 vs PCV10</v>
      </c>
      <c r="M59" s="162" t="s">
        <v>1551</v>
      </c>
      <c r="N59" s="163" t="s">
        <v>148</v>
      </c>
      <c r="O59" s="162" t="s">
        <v>159</v>
      </c>
      <c r="P59" s="162" t="s">
        <v>150</v>
      </c>
      <c r="Q59" s="162" t="s">
        <v>151</v>
      </c>
      <c r="R59" s="163">
        <v>2017</v>
      </c>
      <c r="S59" s="191">
        <v>3.55</v>
      </c>
      <c r="T59" s="198">
        <f>IF(ISNUMBER(S59),S59/VLOOKUP($Q59,xRates!$A$1:$BL$267,studies!$R59-xRates!$B$1+2,FALSE),"")</f>
        <v>3.55</v>
      </c>
      <c r="U59" s="163">
        <v>3.05</v>
      </c>
      <c r="V59" s="198">
        <f>IF(ISNUMBER(U59),U59/VLOOKUP($Q59,xRates!$A$1:$BL$267,studies!$R59-xRates!$B$1+2,FALSE),"")</f>
        <v>3.05</v>
      </c>
      <c r="W59" s="163">
        <v>1</v>
      </c>
      <c r="X59" s="163">
        <v>0</v>
      </c>
      <c r="Y59" s="163">
        <v>1</v>
      </c>
      <c r="Z59" s="163">
        <v>1</v>
      </c>
      <c r="AA59" s="163">
        <v>1</v>
      </c>
      <c r="AB59" s="163" t="s">
        <v>152</v>
      </c>
      <c r="AC59" s="193">
        <v>92</v>
      </c>
      <c r="AD59" s="201">
        <f>IF(ISNUMBER(AC59),AC59/VLOOKUP($Q59,xRates!$A$1:$BL$267,studies!$R59-xRates!$B$1+2,FALSE),"")</f>
        <v>92</v>
      </c>
      <c r="AE59" s="200">
        <f t="shared" si="4"/>
        <v>0</v>
      </c>
      <c r="AF59" s="201">
        <f>VLOOKUP(G59,gdppc,R59-1958,FALSE)</f>
        <v>3427.2</v>
      </c>
      <c r="AG59" s="195" t="str">
        <f t="shared" si="5"/>
        <v>Cost-effective</v>
      </c>
      <c r="AH59" s="195" t="str">
        <f t="shared" si="6"/>
        <v>Cost-effective</v>
      </c>
      <c r="AI59" s="204">
        <f t="shared" si="7"/>
        <v>2.6844070961718022E-2</v>
      </c>
      <c r="AJ59" s="205" t="str">
        <f>IFERROR(VLOOKUP(G59,ochalek,11,FALSE),"")</f>
        <v/>
      </c>
      <c r="AK59" s="195" t="str">
        <f t="shared" si="8"/>
        <v>NA</v>
      </c>
      <c r="AL59" s="205" t="str">
        <f>IFERROR(VLOOKUP(G59,ochalek,10,FALSE),"")</f>
        <v/>
      </c>
      <c r="AM59" s="207" t="str">
        <f t="shared" si="9"/>
        <v>NA</v>
      </c>
      <c r="AN59" s="205">
        <f>IFERROR(VLOOKUP(G59,woods,6,FALSE),"")</f>
        <v>0.47927461139896371</v>
      </c>
      <c r="AO59" s="195" t="str">
        <f t="shared" si="10"/>
        <v>Cost-effective</v>
      </c>
      <c r="AP59" s="205">
        <f>IFERROR(VLOOKUP(G59,woods,5,FALSE),"")</f>
        <v>0.10172203596464492</v>
      </c>
      <c r="AQ59" s="195" t="str">
        <f t="shared" si="11"/>
        <v>Cost-effective</v>
      </c>
      <c r="AR59" s="205">
        <f>IFERROR(VLOOKUP(G59,riviere,8,FALSE),"")</f>
        <v>0.31896987039218988</v>
      </c>
      <c r="AS59" s="195" t="str">
        <f t="shared" si="12"/>
        <v>Cost-effective</v>
      </c>
      <c r="AT59" s="205">
        <f>IFERROR(VLOOKUP(G59,riviere,7,FALSE),"")</f>
        <v>0.12848566459069741</v>
      </c>
      <c r="AU59" s="195" t="str">
        <f t="shared" si="13"/>
        <v>Cost-effective</v>
      </c>
      <c r="AV59" s="162" t="s">
        <v>176</v>
      </c>
      <c r="AW59" s="162" t="s">
        <v>162</v>
      </c>
      <c r="AX59" s="210">
        <f t="shared" si="14"/>
        <v>0</v>
      </c>
      <c r="AY59" s="210">
        <f t="shared" si="15"/>
        <v>0</v>
      </c>
      <c r="AZ59" s="197">
        <f t="shared" si="16"/>
        <v>0</v>
      </c>
      <c r="BA59" s="197">
        <f t="shared" si="17"/>
        <v>0</v>
      </c>
      <c r="BB59" s="197">
        <f t="shared" si="18"/>
        <v>0</v>
      </c>
      <c r="BC59" s="197">
        <f t="shared" si="19"/>
        <v>0</v>
      </c>
      <c r="BD59" s="197">
        <f t="shared" si="20"/>
        <v>0</v>
      </c>
      <c r="BE59" s="163" t="s">
        <v>148</v>
      </c>
      <c r="BF59" s="162" t="s">
        <v>156</v>
      </c>
    </row>
    <row r="60" spans="1:58">
      <c r="A60" s="195">
        <f t="shared" si="21"/>
        <v>18</v>
      </c>
      <c r="B60" s="195">
        <f t="shared" si="22"/>
        <v>1</v>
      </c>
      <c r="C60" s="196" t="str">
        <f t="shared" si="0"/>
        <v>1801</v>
      </c>
      <c r="D60" s="159" t="s">
        <v>66</v>
      </c>
      <c r="E60" s="190">
        <v>2008</v>
      </c>
      <c r="F60" s="162" t="s">
        <v>210</v>
      </c>
      <c r="G60" s="162" t="s">
        <v>211</v>
      </c>
      <c r="H60" s="197" t="str">
        <f>IF(VLOOKUP(G60,income,R60-1985,FALSE)="UM","Upper-middle",IF(VLOOKUP(G60,income,R60-1985,FALSE)="LM","Lower-middle",IF(VLOOKUP(G60,income,R60-1985,FALSE)="L","Low")))</f>
        <v>Lower-middle</v>
      </c>
      <c r="I60" s="163">
        <v>0</v>
      </c>
      <c r="J60" s="162" t="s">
        <v>146</v>
      </c>
      <c r="K60" s="162" t="s">
        <v>147</v>
      </c>
      <c r="L60" s="207" t="str">
        <f t="shared" si="3"/>
        <v>PCV7 vs NoVax</v>
      </c>
      <c r="M60" s="162" t="s">
        <v>1551</v>
      </c>
      <c r="N60" s="163" t="s">
        <v>148</v>
      </c>
      <c r="O60" s="162" t="s">
        <v>149</v>
      </c>
      <c r="P60" s="162" t="s">
        <v>150</v>
      </c>
      <c r="Q60" s="162" t="s">
        <v>151</v>
      </c>
      <c r="R60" s="163">
        <v>2004</v>
      </c>
      <c r="S60" s="191">
        <v>53</v>
      </c>
      <c r="T60" s="198">
        <f>IF(ISNUMBER(S60),S60/VLOOKUP($Q60,xRates!$A$1:$BL$267,studies!$R60-xRates!$B$1+2,FALSE),"")</f>
        <v>53</v>
      </c>
      <c r="V60" s="198" t="str">
        <f>IF(ISNUMBER(U60),U60/VLOOKUP($Q60,xRates!$A$1:$BL$267,studies!$R60-xRates!$B$1+2,FALSE),"")</f>
        <v/>
      </c>
      <c r="W60" s="163">
        <v>0</v>
      </c>
      <c r="X60" s="163">
        <v>0</v>
      </c>
      <c r="Y60" s="163">
        <v>1</v>
      </c>
      <c r="Z60" s="163">
        <v>1</v>
      </c>
      <c r="AA60" s="163">
        <v>1</v>
      </c>
      <c r="AB60" s="163" t="s">
        <v>190</v>
      </c>
      <c r="AC60" s="193">
        <v>664</v>
      </c>
      <c r="AD60" s="201">
        <f>IF(ISNUMBER(AC60),AC60/VLOOKUP($Q60,xRates!$A$1:$BL$267,studies!$R60-xRates!$B$1+2,FALSE),"")</f>
        <v>664</v>
      </c>
      <c r="AE60" s="200">
        <f t="shared" si="4"/>
        <v>0</v>
      </c>
      <c r="AF60" s="201">
        <f>VLOOKUP(G60,gdppc,R60-1958,FALSE)</f>
        <v>3623.2</v>
      </c>
      <c r="AG60" s="195" t="str">
        <f t="shared" si="5"/>
        <v>Cost-effective</v>
      </c>
      <c r="AH60" s="195" t="str">
        <f t="shared" si="6"/>
        <v>Cost-effective</v>
      </c>
      <c r="AI60" s="204">
        <f t="shared" si="7"/>
        <v>0.18326341355707662</v>
      </c>
      <c r="AJ60" s="205">
        <f>IFERROR(VLOOKUP(G60,ochalek,11,FALSE),"")</f>
        <v>1.0900000000000001</v>
      </c>
      <c r="AK60" s="195" t="str">
        <f t="shared" si="8"/>
        <v>Cost-effective</v>
      </c>
      <c r="AL60" s="205">
        <f>IFERROR(VLOOKUP(G60,ochalek,10,FALSE),"")</f>
        <v>0.71</v>
      </c>
      <c r="AM60" s="207" t="str">
        <f t="shared" si="9"/>
        <v>Cost-effective</v>
      </c>
      <c r="AN60" s="205">
        <f>IFERROR(VLOOKUP(G60,woods,6,FALSE),"")</f>
        <v>0.61540469547909216</v>
      </c>
      <c r="AO60" s="195" t="str">
        <f t="shared" si="10"/>
        <v>Cost-effective</v>
      </c>
      <c r="AP60" s="205">
        <f>IFERROR(VLOOKUP(G60,woods,5,FALSE),"")</f>
        <v>0.19520989346254874</v>
      </c>
      <c r="AQ60" s="195" t="str">
        <f t="shared" si="11"/>
        <v>Cost-effective</v>
      </c>
      <c r="AR60" s="205">
        <f>IFERROR(VLOOKUP(G60,riviere,8,FALSE),"")</f>
        <v>1.6838320916192782</v>
      </c>
      <c r="AS60" s="195" t="str">
        <f t="shared" si="12"/>
        <v>Cost-effective</v>
      </c>
      <c r="AT60" s="205">
        <f>IFERROR(VLOOKUP(G60,riviere,7,FALSE),"")</f>
        <v>0.69788475235435776</v>
      </c>
      <c r="AU60" s="195" t="str">
        <f t="shared" si="13"/>
        <v>Cost-effective</v>
      </c>
      <c r="AV60" s="162" t="s">
        <v>161</v>
      </c>
      <c r="AW60" s="162" t="s">
        <v>162</v>
      </c>
      <c r="AX60" s="210">
        <f t="shared" si="14"/>
        <v>0</v>
      </c>
      <c r="AY60" s="210">
        <f t="shared" si="15"/>
        <v>0</v>
      </c>
      <c r="AZ60" s="197">
        <f t="shared" si="16"/>
        <v>0</v>
      </c>
      <c r="BA60" s="197">
        <f t="shared" si="17"/>
        <v>0</v>
      </c>
      <c r="BB60" s="197">
        <f t="shared" si="18"/>
        <v>0</v>
      </c>
      <c r="BC60" s="197">
        <f t="shared" si="19"/>
        <v>0</v>
      </c>
      <c r="BD60" s="197">
        <f t="shared" si="20"/>
        <v>0</v>
      </c>
      <c r="BE60" s="163" t="s">
        <v>155</v>
      </c>
      <c r="BF60" s="162" t="s">
        <v>156</v>
      </c>
    </row>
    <row r="61" spans="1:58">
      <c r="A61" s="195">
        <f t="shared" si="21"/>
        <v>18</v>
      </c>
      <c r="B61" s="195">
        <f t="shared" si="22"/>
        <v>2</v>
      </c>
      <c r="C61" s="196" t="str">
        <f t="shared" si="0"/>
        <v>1802</v>
      </c>
      <c r="D61" s="159" t="s">
        <v>66</v>
      </c>
      <c r="E61" s="190">
        <v>2008</v>
      </c>
      <c r="F61" s="162" t="s">
        <v>210</v>
      </c>
      <c r="G61" s="162" t="s">
        <v>212</v>
      </c>
      <c r="H61" s="197" t="str">
        <f>IF(VLOOKUP(G61,income,R61-1985,FALSE)="UM","Upper-middle",IF(VLOOKUP(G61,income,R61-1985,FALSE)="LM","Lower-middle",IF(VLOOKUP(G61,income,R61-1985,FALSE)="L","Low")))</f>
        <v>Upper-middle</v>
      </c>
      <c r="I61" s="163">
        <v>0</v>
      </c>
      <c r="J61" s="162" t="s">
        <v>146</v>
      </c>
      <c r="K61" s="162" t="s">
        <v>147</v>
      </c>
      <c r="L61" s="207" t="str">
        <f t="shared" si="3"/>
        <v>PCV7 vs NoVax</v>
      </c>
      <c r="M61" s="162" t="s">
        <v>1551</v>
      </c>
      <c r="N61" s="163" t="s">
        <v>148</v>
      </c>
      <c r="O61" s="162" t="s">
        <v>149</v>
      </c>
      <c r="P61" s="162" t="s">
        <v>150</v>
      </c>
      <c r="Q61" s="162" t="s">
        <v>151</v>
      </c>
      <c r="R61" s="163">
        <v>2004</v>
      </c>
      <c r="S61" s="191">
        <v>53</v>
      </c>
      <c r="T61" s="198">
        <f>IF(ISNUMBER(S61),S61/VLOOKUP($Q61,xRates!$A$1:$BL$267,studies!$R61-xRates!$B$1+2,FALSE),"")</f>
        <v>53</v>
      </c>
      <c r="V61" s="198" t="str">
        <f>IF(ISNUMBER(U61),U61/VLOOKUP($Q61,xRates!$A$1:$BL$267,studies!$R61-xRates!$B$1+2,FALSE),"")</f>
        <v/>
      </c>
      <c r="W61" s="163">
        <v>0</v>
      </c>
      <c r="X61" s="163">
        <v>0</v>
      </c>
      <c r="Y61" s="163">
        <v>1</v>
      </c>
      <c r="Z61" s="163">
        <v>1</v>
      </c>
      <c r="AA61" s="163">
        <v>1</v>
      </c>
      <c r="AB61" s="163" t="s">
        <v>190</v>
      </c>
      <c r="AC61" s="193">
        <v>1546</v>
      </c>
      <c r="AD61" s="201">
        <f>IF(ISNUMBER(AC61),AC61/VLOOKUP($Q61,xRates!$A$1:$BL$267,studies!$R61-xRates!$B$1+2,FALSE),"")</f>
        <v>1546</v>
      </c>
      <c r="AE61" s="200">
        <f t="shared" si="4"/>
        <v>0</v>
      </c>
      <c r="AF61" s="201">
        <f>VLOOKUP(G61,gdppc,R61-1958,FALSE)</f>
        <v>4130.1000000000004</v>
      </c>
      <c r="AG61" s="195" t="str">
        <f t="shared" si="5"/>
        <v>Cost-effective</v>
      </c>
      <c r="AH61" s="195" t="str">
        <f t="shared" si="6"/>
        <v>Cost-effective</v>
      </c>
      <c r="AI61" s="204">
        <f t="shared" si="7"/>
        <v>0.37432507687465189</v>
      </c>
      <c r="AJ61" s="205" t="str">
        <f>IFERROR(VLOOKUP(G61,ochalek,11,FALSE),"")</f>
        <v/>
      </c>
      <c r="AK61" s="195" t="str">
        <f t="shared" si="8"/>
        <v>NA</v>
      </c>
      <c r="AL61" s="205" t="str">
        <f>IFERROR(VLOOKUP(G61,ochalek,10,FALSE),"")</f>
        <v/>
      </c>
      <c r="AM61" s="207" t="str">
        <f t="shared" si="9"/>
        <v>NA</v>
      </c>
      <c r="AN61" s="205">
        <f>IFERROR(VLOOKUP(G61,woods,6,FALSE),"")</f>
        <v>0.55934380322916721</v>
      </c>
      <c r="AO61" s="195" t="str">
        <f t="shared" si="10"/>
        <v>Cost-effective</v>
      </c>
      <c r="AP61" s="205">
        <f>IFERROR(VLOOKUP(G61,woods,5,FALSE),"")</f>
        <v>0.25070420982420938</v>
      </c>
      <c r="AQ61" s="195" t="str">
        <f t="shared" si="11"/>
        <v>Not cost-effective</v>
      </c>
      <c r="AR61" s="205">
        <f>IFERROR(VLOOKUP(G61,riviere,8,FALSE),"")</f>
        <v>0.96456573604200768</v>
      </c>
      <c r="AS61" s="195" t="str">
        <f t="shared" si="12"/>
        <v>Cost-effective</v>
      </c>
      <c r="AT61" s="205">
        <f>IFERROR(VLOOKUP(G61,riviere,7,FALSE),"")</f>
        <v>0.65551459852003691</v>
      </c>
      <c r="AU61" s="195" t="str">
        <f t="shared" si="13"/>
        <v>Cost-effective</v>
      </c>
      <c r="AV61" s="162" t="s">
        <v>161</v>
      </c>
      <c r="AW61" s="162" t="s">
        <v>162</v>
      </c>
      <c r="AX61" s="210">
        <f t="shared" si="14"/>
        <v>0</v>
      </c>
      <c r="AY61" s="210">
        <f t="shared" si="15"/>
        <v>0</v>
      </c>
      <c r="AZ61" s="197">
        <f t="shared" si="16"/>
        <v>0</v>
      </c>
      <c r="BA61" s="197">
        <f t="shared" si="17"/>
        <v>1</v>
      </c>
      <c r="BB61" s="197">
        <f t="shared" si="18"/>
        <v>0</v>
      </c>
      <c r="BC61" s="197">
        <f t="shared" si="19"/>
        <v>0</v>
      </c>
      <c r="BD61" s="197">
        <f t="shared" si="20"/>
        <v>1</v>
      </c>
      <c r="BE61" s="163" t="s">
        <v>155</v>
      </c>
      <c r="BF61" s="162" t="s">
        <v>156</v>
      </c>
    </row>
    <row r="62" spans="1:58">
      <c r="A62" s="195">
        <f t="shared" si="21"/>
        <v>19</v>
      </c>
      <c r="B62" s="195">
        <f t="shared" si="22"/>
        <v>1</v>
      </c>
      <c r="C62" s="196" t="str">
        <f t="shared" si="0"/>
        <v>1901</v>
      </c>
      <c r="D62" s="159" t="s">
        <v>213</v>
      </c>
      <c r="E62" s="190">
        <v>2009</v>
      </c>
      <c r="F62" s="162" t="s">
        <v>214</v>
      </c>
      <c r="G62" s="162" t="s">
        <v>211</v>
      </c>
      <c r="H62" s="197" t="str">
        <f>IF(VLOOKUP(G62,income,R62-1985,FALSE)="UM","Upper-middle",IF(VLOOKUP(G62,income,R62-1985,FALSE)="LM","Lower-middle",IF(VLOOKUP(G62,income,R62-1985,FALSE)="L","Low")))</f>
        <v>Upper-middle</v>
      </c>
      <c r="I62" s="163">
        <v>0</v>
      </c>
      <c r="J62" s="162" t="s">
        <v>146</v>
      </c>
      <c r="K62" s="162" t="s">
        <v>147</v>
      </c>
      <c r="L62" s="207" t="str">
        <f t="shared" si="3"/>
        <v>PCV7 vs NoVax</v>
      </c>
      <c r="M62" s="162" t="s">
        <v>1551</v>
      </c>
      <c r="N62" s="163" t="s">
        <v>148</v>
      </c>
      <c r="O62" s="162" t="s">
        <v>159</v>
      </c>
      <c r="P62" s="162" t="s">
        <v>215</v>
      </c>
      <c r="Q62" s="162" t="s">
        <v>211</v>
      </c>
      <c r="R62" s="163">
        <v>2006</v>
      </c>
      <c r="S62" s="191">
        <v>51.12</v>
      </c>
      <c r="T62" s="198">
        <f>IF(ISNUMBER(S62),S62/VLOOKUP($Q62,xRates!$A$1:$BL$267,studies!$R62-xRates!$B$1+2,FALSE),"")</f>
        <v>23.449541284403669</v>
      </c>
      <c r="V62" s="198" t="str">
        <f>IF(ISNUMBER(U62),U62/VLOOKUP($Q62,xRates!$A$1:$BL$267,studies!$R62-xRates!$B$1+2,FALSE),"")</f>
        <v/>
      </c>
      <c r="W62" s="163">
        <v>0</v>
      </c>
      <c r="X62" s="163">
        <v>0</v>
      </c>
      <c r="Y62" s="163">
        <v>1</v>
      </c>
      <c r="Z62" s="163">
        <v>1</v>
      </c>
      <c r="AA62" s="163">
        <v>1</v>
      </c>
      <c r="AB62" s="163" t="s">
        <v>190</v>
      </c>
      <c r="AC62" s="193">
        <v>4516</v>
      </c>
      <c r="AD62" s="201">
        <f>IF(ISNUMBER(AC62),AC62/VLOOKUP($Q62,xRates!$A$1:$BL$267,studies!$R62-xRates!$B$1+2,FALSE),"")</f>
        <v>2071.559633027523</v>
      </c>
      <c r="AE62" s="200">
        <f t="shared" si="4"/>
        <v>0</v>
      </c>
      <c r="AF62" s="201">
        <f>VLOOKUP(G62,gdppc,R62-1958,FALSE)</f>
        <v>5866</v>
      </c>
      <c r="AG62" s="195" t="str">
        <f t="shared" si="5"/>
        <v>Cost-effective</v>
      </c>
      <c r="AH62" s="195" t="str">
        <f t="shared" si="6"/>
        <v>Cost-effective</v>
      </c>
      <c r="AI62" s="204">
        <f t="shared" si="7"/>
        <v>0.35314688595764115</v>
      </c>
      <c r="AJ62" s="205">
        <f>IFERROR(VLOOKUP(G62,ochalek,11,FALSE),"")</f>
        <v>1.0900000000000001</v>
      </c>
      <c r="AK62" s="195" t="str">
        <f t="shared" si="8"/>
        <v>Cost-effective</v>
      </c>
      <c r="AL62" s="205">
        <f>IFERROR(VLOOKUP(G62,ochalek,10,FALSE),"")</f>
        <v>0.71</v>
      </c>
      <c r="AM62" s="207" t="str">
        <f t="shared" si="9"/>
        <v>Cost-effective</v>
      </c>
      <c r="AN62" s="205">
        <f>IFERROR(VLOOKUP(G62,woods,6,FALSE),"")</f>
        <v>0.61540469547909216</v>
      </c>
      <c r="AO62" s="195" t="str">
        <f t="shared" si="10"/>
        <v>Cost-effective</v>
      </c>
      <c r="AP62" s="205">
        <f>IFERROR(VLOOKUP(G62,woods,5,FALSE),"")</f>
        <v>0.19520989346254874</v>
      </c>
      <c r="AQ62" s="195" t="str">
        <f t="shared" si="11"/>
        <v>Not cost-effective</v>
      </c>
      <c r="AR62" s="205">
        <f>IFERROR(VLOOKUP(G62,riviere,8,FALSE),"")</f>
        <v>1.6838320916192782</v>
      </c>
      <c r="AS62" s="195" t="str">
        <f t="shared" si="12"/>
        <v>Cost-effective</v>
      </c>
      <c r="AT62" s="205">
        <f>IFERROR(VLOOKUP(G62,riviere,7,FALSE),"")</f>
        <v>0.69788475235435776</v>
      </c>
      <c r="AU62" s="195" t="str">
        <f t="shared" si="13"/>
        <v>Cost-effective</v>
      </c>
      <c r="AV62" s="162" t="s">
        <v>176</v>
      </c>
      <c r="AW62" s="162" t="s">
        <v>162</v>
      </c>
      <c r="AX62" s="210">
        <f t="shared" si="14"/>
        <v>0</v>
      </c>
      <c r="AY62" s="210">
        <f t="shared" si="15"/>
        <v>0</v>
      </c>
      <c r="AZ62" s="197">
        <f t="shared" si="16"/>
        <v>0</v>
      </c>
      <c r="BA62" s="197">
        <f t="shared" si="17"/>
        <v>1</v>
      </c>
      <c r="BB62" s="197">
        <f t="shared" si="18"/>
        <v>0</v>
      </c>
      <c r="BC62" s="197">
        <f t="shared" si="19"/>
        <v>0</v>
      </c>
      <c r="BD62" s="197">
        <f t="shared" si="20"/>
        <v>1</v>
      </c>
      <c r="BE62" s="163" t="s">
        <v>155</v>
      </c>
      <c r="BF62" s="162" t="s">
        <v>163</v>
      </c>
    </row>
    <row r="63" spans="1:58">
      <c r="A63" s="195">
        <f t="shared" si="21"/>
        <v>19</v>
      </c>
      <c r="B63" s="195">
        <f t="shared" si="22"/>
        <v>2</v>
      </c>
      <c r="C63" s="196" t="str">
        <f t="shared" si="0"/>
        <v>1902</v>
      </c>
      <c r="D63" s="159" t="s">
        <v>213</v>
      </c>
      <c r="E63" s="190">
        <v>2009</v>
      </c>
      <c r="F63" s="162" t="s">
        <v>214</v>
      </c>
      <c r="G63" s="162" t="s">
        <v>211</v>
      </c>
      <c r="H63" s="197" t="str">
        <f>IF(VLOOKUP(G63,income,R63-1985,FALSE)="UM","Upper-middle",IF(VLOOKUP(G63,income,R63-1985,FALSE)="LM","Lower-middle",IF(VLOOKUP(G63,income,R63-1985,FALSE)="L","Low")))</f>
        <v>Upper-middle</v>
      </c>
      <c r="I63" s="163">
        <v>0</v>
      </c>
      <c r="J63" s="162" t="s">
        <v>146</v>
      </c>
      <c r="K63" s="162" t="s">
        <v>147</v>
      </c>
      <c r="L63" s="207" t="str">
        <f t="shared" si="3"/>
        <v>PCV7 vs NoVax</v>
      </c>
      <c r="M63" s="162" t="s">
        <v>1551</v>
      </c>
      <c r="N63" s="163" t="s">
        <v>148</v>
      </c>
      <c r="O63" s="162" t="s">
        <v>149</v>
      </c>
      <c r="P63" s="162" t="s">
        <v>215</v>
      </c>
      <c r="Q63" s="162" t="s">
        <v>211</v>
      </c>
      <c r="R63" s="163">
        <v>2006</v>
      </c>
      <c r="S63" s="191">
        <v>51.12</v>
      </c>
      <c r="T63" s="198">
        <f>IF(ISNUMBER(S63),S63/VLOOKUP($Q63,xRates!$A$1:$BL$267,studies!$R63-xRates!$B$1+2,FALSE),"")</f>
        <v>23.449541284403669</v>
      </c>
      <c r="V63" s="198" t="str">
        <f>IF(ISNUMBER(U63),U63/VLOOKUP($Q63,xRates!$A$1:$BL$267,studies!$R63-xRates!$B$1+2,FALSE),"")</f>
        <v/>
      </c>
      <c r="W63" s="163">
        <v>0</v>
      </c>
      <c r="X63" s="163">
        <v>0</v>
      </c>
      <c r="Y63" s="163">
        <v>1</v>
      </c>
      <c r="Z63" s="163">
        <v>1</v>
      </c>
      <c r="AA63" s="163">
        <v>1</v>
      </c>
      <c r="AB63" s="163" t="s">
        <v>190</v>
      </c>
      <c r="AC63" s="193">
        <v>3946</v>
      </c>
      <c r="AD63" s="201">
        <f>IF(ISNUMBER(AC63),AC63/VLOOKUP($Q63,xRates!$A$1:$BL$267,studies!$R63-xRates!$B$1+2,FALSE),"")</f>
        <v>1810.0917431192659</v>
      </c>
      <c r="AE63" s="200">
        <f t="shared" si="4"/>
        <v>0</v>
      </c>
      <c r="AF63" s="201">
        <f>VLOOKUP(G63,gdppc,R63-1958,FALSE)</f>
        <v>5866</v>
      </c>
      <c r="AG63" s="195" t="str">
        <f t="shared" si="5"/>
        <v>Cost-effective</v>
      </c>
      <c r="AH63" s="195" t="str">
        <f t="shared" si="6"/>
        <v>Cost-effective</v>
      </c>
      <c r="AI63" s="204">
        <f t="shared" si="7"/>
        <v>0.30857343046697339</v>
      </c>
      <c r="AJ63" s="205">
        <f>IFERROR(VLOOKUP(G63,ochalek,11,FALSE),"")</f>
        <v>1.0900000000000001</v>
      </c>
      <c r="AK63" s="195" t="str">
        <f t="shared" si="8"/>
        <v>Cost-effective</v>
      </c>
      <c r="AL63" s="205">
        <f>IFERROR(VLOOKUP(G63,ochalek,10,FALSE),"")</f>
        <v>0.71</v>
      </c>
      <c r="AM63" s="207" t="str">
        <f t="shared" si="9"/>
        <v>Cost-effective</v>
      </c>
      <c r="AN63" s="205">
        <f>IFERROR(VLOOKUP(G63,woods,6,FALSE),"")</f>
        <v>0.61540469547909216</v>
      </c>
      <c r="AO63" s="195" t="str">
        <f t="shared" si="10"/>
        <v>Cost-effective</v>
      </c>
      <c r="AP63" s="205">
        <f>IFERROR(VLOOKUP(G63,woods,5,FALSE),"")</f>
        <v>0.19520989346254874</v>
      </c>
      <c r="AQ63" s="195" t="str">
        <f t="shared" si="11"/>
        <v>Not cost-effective</v>
      </c>
      <c r="AR63" s="205">
        <f>IFERROR(VLOOKUP(G63,riviere,8,FALSE),"")</f>
        <v>1.6838320916192782</v>
      </c>
      <c r="AS63" s="195" t="str">
        <f t="shared" si="12"/>
        <v>Cost-effective</v>
      </c>
      <c r="AT63" s="205">
        <f>IFERROR(VLOOKUP(G63,riviere,7,FALSE),"")</f>
        <v>0.69788475235435776</v>
      </c>
      <c r="AU63" s="195" t="str">
        <f t="shared" si="13"/>
        <v>Cost-effective</v>
      </c>
      <c r="AV63" s="162" t="s">
        <v>176</v>
      </c>
      <c r="AW63" s="162" t="s">
        <v>162</v>
      </c>
      <c r="AX63" s="210">
        <f t="shared" si="14"/>
        <v>0</v>
      </c>
      <c r="AY63" s="210">
        <f t="shared" si="15"/>
        <v>0</v>
      </c>
      <c r="AZ63" s="197">
        <f t="shared" si="16"/>
        <v>0</v>
      </c>
      <c r="BA63" s="197">
        <f t="shared" si="17"/>
        <v>1</v>
      </c>
      <c r="BB63" s="197">
        <f t="shared" si="18"/>
        <v>0</v>
      </c>
      <c r="BC63" s="197">
        <f t="shared" si="19"/>
        <v>0</v>
      </c>
      <c r="BD63" s="197">
        <f t="shared" si="20"/>
        <v>1</v>
      </c>
      <c r="BE63" s="163" t="s">
        <v>155</v>
      </c>
      <c r="BF63" s="162" t="s">
        <v>163</v>
      </c>
    </row>
    <row r="64" spans="1:58">
      <c r="A64" s="195">
        <f t="shared" si="21"/>
        <v>19</v>
      </c>
      <c r="B64" s="195">
        <f t="shared" si="22"/>
        <v>3</v>
      </c>
      <c r="C64" s="196" t="str">
        <f t="shared" si="0"/>
        <v>1903</v>
      </c>
      <c r="D64" s="159" t="s">
        <v>213</v>
      </c>
      <c r="E64" s="190">
        <v>2009</v>
      </c>
      <c r="F64" s="162" t="s">
        <v>214</v>
      </c>
      <c r="G64" s="162" t="s">
        <v>211</v>
      </c>
      <c r="H64" s="197" t="str">
        <f>IF(VLOOKUP(G64,income,R64-1985,FALSE)="UM","Upper-middle",IF(VLOOKUP(G64,income,R64-1985,FALSE)="LM","Lower-middle",IF(VLOOKUP(G64,income,R64-1985,FALSE)="L","Low")))</f>
        <v>Upper-middle</v>
      </c>
      <c r="I64" s="163">
        <v>0</v>
      </c>
      <c r="J64" s="162" t="s">
        <v>146</v>
      </c>
      <c r="K64" s="162" t="s">
        <v>147</v>
      </c>
      <c r="L64" s="207" t="str">
        <f t="shared" si="3"/>
        <v>PCV7 vs NoVax</v>
      </c>
      <c r="M64" s="162" t="s">
        <v>1551</v>
      </c>
      <c r="N64" s="163" t="s">
        <v>155</v>
      </c>
      <c r="O64" s="162" t="s">
        <v>149</v>
      </c>
      <c r="P64" s="162" t="s">
        <v>215</v>
      </c>
      <c r="Q64" s="162" t="s">
        <v>211</v>
      </c>
      <c r="R64" s="163">
        <v>2006</v>
      </c>
      <c r="S64" s="191">
        <v>51.12</v>
      </c>
      <c r="T64" s="198">
        <f>IF(ISNUMBER(S64),S64/VLOOKUP($Q64,xRates!$A$1:$BL$267,studies!$R64-xRates!$B$1+2,FALSE),"")</f>
        <v>23.449541284403669</v>
      </c>
      <c r="V64" s="198" t="str">
        <f>IF(ISNUMBER(U64),U64/VLOOKUP($Q64,xRates!$A$1:$BL$267,studies!$R64-xRates!$B$1+2,FALSE),"")</f>
        <v/>
      </c>
      <c r="W64" s="163">
        <v>1</v>
      </c>
      <c r="X64" s="163">
        <v>0</v>
      </c>
      <c r="Y64" s="163">
        <v>1</v>
      </c>
      <c r="Z64" s="163">
        <v>1</v>
      </c>
      <c r="AA64" s="163">
        <v>1</v>
      </c>
      <c r="AB64" s="163" t="s">
        <v>190</v>
      </c>
      <c r="AC64" s="193">
        <v>1302</v>
      </c>
      <c r="AD64" s="201">
        <f>IF(ISNUMBER(AC64),AC64/VLOOKUP($Q64,xRates!$A$1:$BL$267,studies!$R64-xRates!$B$1+2,FALSE),"")</f>
        <v>597.24770642201827</v>
      </c>
      <c r="AE64" s="200">
        <f t="shared" si="4"/>
        <v>0</v>
      </c>
      <c r="AF64" s="201">
        <f>VLOOKUP(G64,gdppc,R64-1958,FALSE)</f>
        <v>5866</v>
      </c>
      <c r="AG64" s="195" t="str">
        <f t="shared" si="5"/>
        <v>Cost-effective</v>
      </c>
      <c r="AH64" s="195" t="str">
        <f t="shared" si="6"/>
        <v>Cost-effective</v>
      </c>
      <c r="AI64" s="204">
        <f t="shared" si="7"/>
        <v>0.10181515622605153</v>
      </c>
      <c r="AJ64" s="205">
        <f>IFERROR(VLOOKUP(G64,ochalek,11,FALSE),"")</f>
        <v>1.0900000000000001</v>
      </c>
      <c r="AK64" s="195" t="str">
        <f t="shared" si="8"/>
        <v>Cost-effective</v>
      </c>
      <c r="AL64" s="205">
        <f>IFERROR(VLOOKUP(G64,ochalek,10,FALSE),"")</f>
        <v>0.71</v>
      </c>
      <c r="AM64" s="207" t="str">
        <f t="shared" si="9"/>
        <v>Cost-effective</v>
      </c>
      <c r="AN64" s="205">
        <f>IFERROR(VLOOKUP(G64,woods,6,FALSE),"")</f>
        <v>0.61540469547909216</v>
      </c>
      <c r="AO64" s="195" t="str">
        <f t="shared" si="10"/>
        <v>Cost-effective</v>
      </c>
      <c r="AP64" s="205">
        <f>IFERROR(VLOOKUP(G64,woods,5,FALSE),"")</f>
        <v>0.19520989346254874</v>
      </c>
      <c r="AQ64" s="195" t="str">
        <f t="shared" si="11"/>
        <v>Cost-effective</v>
      </c>
      <c r="AR64" s="205">
        <f>IFERROR(VLOOKUP(G64,riviere,8,FALSE),"")</f>
        <v>1.6838320916192782</v>
      </c>
      <c r="AS64" s="195" t="str">
        <f t="shared" si="12"/>
        <v>Cost-effective</v>
      </c>
      <c r="AT64" s="205">
        <f>IFERROR(VLOOKUP(G64,riviere,7,FALSE),"")</f>
        <v>0.69788475235435776</v>
      </c>
      <c r="AU64" s="195" t="str">
        <f t="shared" si="13"/>
        <v>Cost-effective</v>
      </c>
      <c r="AV64" s="162" t="s">
        <v>176</v>
      </c>
      <c r="AW64" s="162" t="s">
        <v>162</v>
      </c>
      <c r="AX64" s="210">
        <f t="shared" si="14"/>
        <v>0</v>
      </c>
      <c r="AY64" s="210">
        <f t="shared" si="15"/>
        <v>0</v>
      </c>
      <c r="AZ64" s="197">
        <f t="shared" si="16"/>
        <v>0</v>
      </c>
      <c r="BA64" s="197">
        <f t="shared" si="17"/>
        <v>0</v>
      </c>
      <c r="BB64" s="197">
        <f t="shared" si="18"/>
        <v>0</v>
      </c>
      <c r="BC64" s="197">
        <f t="shared" si="19"/>
        <v>0</v>
      </c>
      <c r="BD64" s="197">
        <f t="shared" si="20"/>
        <v>0</v>
      </c>
      <c r="BE64" s="163" t="s">
        <v>155</v>
      </c>
      <c r="BF64" s="162" t="s">
        <v>163</v>
      </c>
    </row>
    <row r="65" spans="1:58">
      <c r="A65" s="195">
        <f t="shared" si="21"/>
        <v>19</v>
      </c>
      <c r="B65" s="195">
        <f t="shared" si="22"/>
        <v>4</v>
      </c>
      <c r="C65" s="196" t="str">
        <f t="shared" si="0"/>
        <v>1904</v>
      </c>
      <c r="D65" s="159" t="s">
        <v>213</v>
      </c>
      <c r="E65" s="190">
        <v>2009</v>
      </c>
      <c r="F65" s="162" t="s">
        <v>214</v>
      </c>
      <c r="G65" s="162" t="s">
        <v>211</v>
      </c>
      <c r="H65" s="197" t="str">
        <f>IF(VLOOKUP(G65,income,R65-1985,FALSE)="UM","Upper-middle",IF(VLOOKUP(G65,income,R65-1985,FALSE)="LM","Lower-middle",IF(VLOOKUP(G65,income,R65-1985,FALSE)="L","Low")))</f>
        <v>Upper-middle</v>
      </c>
      <c r="I65" s="163">
        <v>0</v>
      </c>
      <c r="J65" s="162" t="s">
        <v>146</v>
      </c>
      <c r="K65" s="162" t="s">
        <v>147</v>
      </c>
      <c r="L65" s="207" t="str">
        <f t="shared" si="3"/>
        <v>PCV7 vs NoVax</v>
      </c>
      <c r="M65" s="162" t="s">
        <v>1551</v>
      </c>
      <c r="N65" s="163" t="s">
        <v>155</v>
      </c>
      <c r="O65" s="162" t="s">
        <v>159</v>
      </c>
      <c r="P65" s="162" t="s">
        <v>215</v>
      </c>
      <c r="Q65" s="162" t="s">
        <v>211</v>
      </c>
      <c r="R65" s="163">
        <v>2006</v>
      </c>
      <c r="S65" s="191">
        <v>51.12</v>
      </c>
      <c r="T65" s="198">
        <f>IF(ISNUMBER(S65),S65/VLOOKUP($Q65,xRates!$A$1:$BL$267,studies!$R65-xRates!$B$1+2,FALSE),"")</f>
        <v>23.449541284403669</v>
      </c>
      <c r="V65" s="198" t="str">
        <f>IF(ISNUMBER(U65),U65/VLOOKUP($Q65,xRates!$A$1:$BL$267,studies!$R65-xRates!$B$1+2,FALSE),"")</f>
        <v/>
      </c>
      <c r="W65" s="163">
        <v>1</v>
      </c>
      <c r="X65" s="163">
        <v>0</v>
      </c>
      <c r="Y65" s="163">
        <v>1</v>
      </c>
      <c r="Z65" s="163">
        <v>1</v>
      </c>
      <c r="AA65" s="163">
        <v>1</v>
      </c>
      <c r="AB65" s="163" t="s">
        <v>190</v>
      </c>
      <c r="AC65" s="193">
        <v>1490</v>
      </c>
      <c r="AD65" s="201">
        <f>IF(ISNUMBER(AC65),AC65/VLOOKUP($Q65,xRates!$A$1:$BL$267,studies!$R65-xRates!$B$1+2,FALSE),"")</f>
        <v>683.48623853211006</v>
      </c>
      <c r="AE65" s="200">
        <f t="shared" si="4"/>
        <v>0</v>
      </c>
      <c r="AF65" s="201">
        <f>VLOOKUP(G65,gdppc,R65-1958,FALSE)</f>
        <v>5866</v>
      </c>
      <c r="AG65" s="195" t="str">
        <f t="shared" si="5"/>
        <v>Cost-effective</v>
      </c>
      <c r="AH65" s="195" t="str">
        <f t="shared" si="6"/>
        <v>Cost-effective</v>
      </c>
      <c r="AI65" s="204">
        <f t="shared" si="7"/>
        <v>0.11651657663349985</v>
      </c>
      <c r="AJ65" s="205">
        <f>IFERROR(VLOOKUP(G65,ochalek,11,FALSE),"")</f>
        <v>1.0900000000000001</v>
      </c>
      <c r="AK65" s="195" t="str">
        <f t="shared" si="8"/>
        <v>Cost-effective</v>
      </c>
      <c r="AL65" s="205">
        <f>IFERROR(VLOOKUP(G65,ochalek,10,FALSE),"")</f>
        <v>0.71</v>
      </c>
      <c r="AM65" s="207" t="str">
        <f t="shared" si="9"/>
        <v>Cost-effective</v>
      </c>
      <c r="AN65" s="205">
        <f>IFERROR(VLOOKUP(G65,woods,6,FALSE),"")</f>
        <v>0.61540469547909216</v>
      </c>
      <c r="AO65" s="195" t="str">
        <f t="shared" si="10"/>
        <v>Cost-effective</v>
      </c>
      <c r="AP65" s="205">
        <f>IFERROR(VLOOKUP(G65,woods,5,FALSE),"")</f>
        <v>0.19520989346254874</v>
      </c>
      <c r="AQ65" s="195" t="str">
        <f t="shared" si="11"/>
        <v>Cost-effective</v>
      </c>
      <c r="AR65" s="205">
        <f>IFERROR(VLOOKUP(G65,riviere,8,FALSE),"")</f>
        <v>1.6838320916192782</v>
      </c>
      <c r="AS65" s="195" t="str">
        <f t="shared" si="12"/>
        <v>Cost-effective</v>
      </c>
      <c r="AT65" s="205">
        <f>IFERROR(VLOOKUP(G65,riviere,7,FALSE),"")</f>
        <v>0.69788475235435776</v>
      </c>
      <c r="AU65" s="195" t="str">
        <f t="shared" si="13"/>
        <v>Cost-effective</v>
      </c>
      <c r="AV65" s="162" t="s">
        <v>176</v>
      </c>
      <c r="AW65" s="162" t="s">
        <v>162</v>
      </c>
      <c r="AX65" s="210">
        <f t="shared" si="14"/>
        <v>0</v>
      </c>
      <c r="AY65" s="210">
        <f t="shared" si="15"/>
        <v>0</v>
      </c>
      <c r="AZ65" s="197">
        <f t="shared" si="16"/>
        <v>0</v>
      </c>
      <c r="BA65" s="197">
        <f t="shared" si="17"/>
        <v>0</v>
      </c>
      <c r="BB65" s="197">
        <f t="shared" si="18"/>
        <v>0</v>
      </c>
      <c r="BC65" s="197">
        <f t="shared" si="19"/>
        <v>0</v>
      </c>
      <c r="BD65" s="197">
        <f t="shared" si="20"/>
        <v>0</v>
      </c>
      <c r="BE65" s="163" t="s">
        <v>155</v>
      </c>
      <c r="BF65" s="162" t="s">
        <v>163</v>
      </c>
    </row>
    <row r="66" spans="1:58">
      <c r="A66" s="195">
        <f t="shared" si="21"/>
        <v>19</v>
      </c>
      <c r="B66" s="195">
        <f t="shared" si="22"/>
        <v>5</v>
      </c>
      <c r="C66" s="196" t="str">
        <f t="shared" ref="C66:C129" si="23">_xlfn.CONCAT(TEXT(A66,"00"),TEXT(B66,"00"))</f>
        <v>1905</v>
      </c>
      <c r="D66" s="159" t="s">
        <v>213</v>
      </c>
      <c r="E66" s="190">
        <v>2009</v>
      </c>
      <c r="F66" s="162" t="s">
        <v>214</v>
      </c>
      <c r="G66" s="162" t="s">
        <v>211</v>
      </c>
      <c r="H66" s="197" t="str">
        <f>IF(VLOOKUP(G66,income,R66-1985,FALSE)="UM","Upper-middle",IF(VLOOKUP(G66,income,R66-1985,FALSE)="LM","Lower-middle",IF(VLOOKUP(G66,income,R66-1985,FALSE)="L","Low")))</f>
        <v>Upper-middle</v>
      </c>
      <c r="I66" s="163">
        <v>0</v>
      </c>
      <c r="J66" s="162" t="s">
        <v>146</v>
      </c>
      <c r="K66" s="162" t="s">
        <v>147</v>
      </c>
      <c r="L66" s="207" t="str">
        <f t="shared" si="3"/>
        <v>PCV7 vs NoVax</v>
      </c>
      <c r="M66" s="162" t="s">
        <v>1552</v>
      </c>
      <c r="N66" s="163" t="s">
        <v>148</v>
      </c>
      <c r="O66" s="162" t="s">
        <v>159</v>
      </c>
      <c r="P66" s="162" t="s">
        <v>215</v>
      </c>
      <c r="Q66" s="162" t="s">
        <v>211</v>
      </c>
      <c r="R66" s="163">
        <v>2006</v>
      </c>
      <c r="S66" s="191">
        <v>51.12</v>
      </c>
      <c r="T66" s="198">
        <f>IF(ISNUMBER(S66),S66/VLOOKUP($Q66,xRates!$A$1:$BL$267,studies!$R66-xRates!$B$1+2,FALSE),"")</f>
        <v>23.449541284403669</v>
      </c>
      <c r="V66" s="198" t="str">
        <f>IF(ISNUMBER(U66),U66/VLOOKUP($Q66,xRates!$A$1:$BL$267,studies!$R66-xRates!$B$1+2,FALSE),"")</f>
        <v/>
      </c>
      <c r="W66" s="163">
        <v>0</v>
      </c>
      <c r="X66" s="163">
        <v>0</v>
      </c>
      <c r="Y66" s="163">
        <v>1</v>
      </c>
      <c r="Z66" s="163">
        <v>1</v>
      </c>
      <c r="AA66" s="163">
        <v>1</v>
      </c>
      <c r="AB66" s="163" t="s">
        <v>190</v>
      </c>
      <c r="AC66" s="193">
        <v>5973</v>
      </c>
      <c r="AD66" s="201">
        <f>IF(ISNUMBER(AC66),AC66/VLOOKUP($Q66,xRates!$A$1:$BL$267,studies!$R66-xRates!$B$1+2,FALSE),"")</f>
        <v>2739.9082568807339</v>
      </c>
      <c r="AE66" s="200">
        <f t="shared" si="4"/>
        <v>0</v>
      </c>
      <c r="AF66" s="201">
        <f>VLOOKUP(G66,gdppc,R66-1958,FALSE)</f>
        <v>5866</v>
      </c>
      <c r="AG66" s="195" t="str">
        <f t="shared" si="5"/>
        <v>Cost-effective</v>
      </c>
      <c r="AH66" s="195" t="str">
        <f t="shared" si="6"/>
        <v>Cost-effective</v>
      </c>
      <c r="AI66" s="204">
        <f t="shared" si="7"/>
        <v>0.46708289411536547</v>
      </c>
      <c r="AJ66" s="205">
        <f>IFERROR(VLOOKUP(G66,ochalek,11,FALSE),"")</f>
        <v>1.0900000000000001</v>
      </c>
      <c r="AK66" s="195" t="str">
        <f t="shared" si="8"/>
        <v>Cost-effective</v>
      </c>
      <c r="AL66" s="205">
        <f>IFERROR(VLOOKUP(G66,ochalek,10,FALSE),"")</f>
        <v>0.71</v>
      </c>
      <c r="AM66" s="207" t="str">
        <f t="shared" si="9"/>
        <v>Cost-effective</v>
      </c>
      <c r="AN66" s="205">
        <f>IFERROR(VLOOKUP(G66,woods,6,FALSE),"")</f>
        <v>0.61540469547909216</v>
      </c>
      <c r="AO66" s="195" t="str">
        <f t="shared" si="10"/>
        <v>Cost-effective</v>
      </c>
      <c r="AP66" s="205">
        <f>IFERROR(VLOOKUP(G66,woods,5,FALSE),"")</f>
        <v>0.19520989346254874</v>
      </c>
      <c r="AQ66" s="195" t="str">
        <f t="shared" si="11"/>
        <v>Not cost-effective</v>
      </c>
      <c r="AR66" s="205">
        <f>IFERROR(VLOOKUP(G66,riviere,8,FALSE),"")</f>
        <v>1.6838320916192782</v>
      </c>
      <c r="AS66" s="195" t="str">
        <f t="shared" si="12"/>
        <v>Cost-effective</v>
      </c>
      <c r="AT66" s="205">
        <f>IFERROR(VLOOKUP(G66,riviere,7,FALSE),"")</f>
        <v>0.69788475235435776</v>
      </c>
      <c r="AU66" s="195" t="str">
        <f t="shared" si="13"/>
        <v>Cost-effective</v>
      </c>
      <c r="AV66" s="162" t="s">
        <v>176</v>
      </c>
      <c r="AW66" s="162" t="s">
        <v>162</v>
      </c>
      <c r="AX66" s="210">
        <f t="shared" si="14"/>
        <v>0</v>
      </c>
      <c r="AY66" s="210">
        <f t="shared" si="15"/>
        <v>0</v>
      </c>
      <c r="AZ66" s="197">
        <f t="shared" si="16"/>
        <v>0</v>
      </c>
      <c r="BA66" s="197">
        <f t="shared" si="17"/>
        <v>1</v>
      </c>
      <c r="BB66" s="197">
        <f t="shared" si="18"/>
        <v>0</v>
      </c>
      <c r="BC66" s="197">
        <f t="shared" si="19"/>
        <v>0</v>
      </c>
      <c r="BD66" s="197">
        <f t="shared" si="20"/>
        <v>1</v>
      </c>
      <c r="BE66" s="163" t="s">
        <v>155</v>
      </c>
      <c r="BF66" s="162" t="s">
        <v>163</v>
      </c>
    </row>
    <row r="67" spans="1:58">
      <c r="A67" s="195">
        <f t="shared" ref="A67:A98" si="24">IF(F67=F66,A66,A66+1)</f>
        <v>19</v>
      </c>
      <c r="B67" s="195">
        <f t="shared" ref="B67:B98" si="25">IF(F67=F66,B66+1,1)</f>
        <v>6</v>
      </c>
      <c r="C67" s="196" t="str">
        <f t="shared" si="23"/>
        <v>1906</v>
      </c>
      <c r="D67" s="159" t="s">
        <v>213</v>
      </c>
      <c r="E67" s="190">
        <v>2009</v>
      </c>
      <c r="F67" s="162" t="s">
        <v>214</v>
      </c>
      <c r="G67" s="162" t="s">
        <v>211</v>
      </c>
      <c r="H67" s="197" t="str">
        <f>IF(VLOOKUP(G67,income,R67-1985,FALSE)="UM","Upper-middle",IF(VLOOKUP(G67,income,R67-1985,FALSE)="LM","Lower-middle",IF(VLOOKUP(G67,income,R67-1985,FALSE)="L","Low")))</f>
        <v>Upper-middle</v>
      </c>
      <c r="I67" s="163">
        <v>0</v>
      </c>
      <c r="J67" s="162" t="s">
        <v>146</v>
      </c>
      <c r="K67" s="162" t="s">
        <v>147</v>
      </c>
      <c r="L67" s="207" t="str">
        <f t="shared" ref="L67:L130" si="26">IF(OR(_xlfn.CONCAT(J67," vs ",K67)="PCV7 vs NoVax",_xlfn.CONCAT(J67," vs ",K67)="PCV10 vs NoVax",_xlfn.CONCAT(J67," vs ",K67)="PCV13 vs NoVax",_xlfn.CONCAT(J67," vs ",K67)="PCV13 vs PCV10"),_xlfn.CONCAT(J67," vs ",K67),"Others")</f>
        <v>PCV7 vs NoVax</v>
      </c>
      <c r="M67" s="162" t="s">
        <v>1552</v>
      </c>
      <c r="N67" s="163" t="s">
        <v>148</v>
      </c>
      <c r="O67" s="162" t="s">
        <v>149</v>
      </c>
      <c r="P67" s="162" t="s">
        <v>215</v>
      </c>
      <c r="Q67" s="162" t="s">
        <v>211</v>
      </c>
      <c r="R67" s="163">
        <v>2006</v>
      </c>
      <c r="S67" s="191">
        <v>51.12</v>
      </c>
      <c r="T67" s="198">
        <f>IF(ISNUMBER(S67),S67/VLOOKUP($Q67,xRates!$A$1:$BL$267,studies!$R67-xRates!$B$1+2,FALSE),"")</f>
        <v>23.449541284403669</v>
      </c>
      <c r="V67" s="198" t="str">
        <f>IF(ISNUMBER(U67),U67/VLOOKUP($Q67,xRates!$A$1:$BL$267,studies!$R67-xRates!$B$1+2,FALSE),"")</f>
        <v/>
      </c>
      <c r="W67" s="163">
        <v>0</v>
      </c>
      <c r="X67" s="163">
        <v>0</v>
      </c>
      <c r="Y67" s="163">
        <v>1</v>
      </c>
      <c r="Z67" s="163">
        <v>1</v>
      </c>
      <c r="AA67" s="163">
        <v>1</v>
      </c>
      <c r="AB67" s="163" t="s">
        <v>190</v>
      </c>
      <c r="AC67" s="193">
        <v>5403</v>
      </c>
      <c r="AD67" s="201">
        <f>IF(ISNUMBER(AC67),AC67/VLOOKUP($Q67,xRates!$A$1:$BL$267,studies!$R67-xRates!$B$1+2,FALSE),"")</f>
        <v>2478.440366972477</v>
      </c>
      <c r="AE67" s="200">
        <f t="shared" ref="AE67:AE130" si="27">IF(AD67&lt;0, 1, 0)</f>
        <v>0</v>
      </c>
      <c r="AF67" s="201">
        <f>VLOOKUP(G67,gdppc,R67-1958,FALSE)</f>
        <v>5866</v>
      </c>
      <c r="AG67" s="195" t="str">
        <f t="shared" ref="AG67:AG130" si="28">IF(AD67="NA", ".", IF(AD67&lt;0,"Cost-saving",IF(AD67&lt;=AF67,"Cost-effective",IF(AD67&gt;AF67&amp;AD67&lt;&gt;"NA","Not cost-effective","Missing"))))</f>
        <v>Cost-effective</v>
      </c>
      <c r="AH67" s="195" t="str">
        <f t="shared" ref="AH67:AH130" si="29">IF(AD67="NA", ".", IF(AD67&lt;0,"Cost-saving",IF(AD67&lt;=AF67*3,"Cost-effective",IF(AD67&gt;AF67*3&amp;AD67&lt;&gt;"NA","Not cost-effective","Missing"))))</f>
        <v>Cost-effective</v>
      </c>
      <c r="AI67" s="204">
        <f t="shared" ref="AI67:AI130" si="30">IFERROR(AD67/AF67,"")</f>
        <v>0.42250943862469775</v>
      </c>
      <c r="AJ67" s="205">
        <f>IFERROR(VLOOKUP(G67,ochalek,11,FALSE),"")</f>
        <v>1.0900000000000001</v>
      </c>
      <c r="AK67" s="195" t="str">
        <f t="shared" ref="AK67:AK130" si="31">IF(AI67&lt;0,"Cost-saving", IF(AJ67="", "NA", IF(AI67&lt;AJ67, "Cost-effective", "Not cost-effective")))</f>
        <v>Cost-effective</v>
      </c>
      <c r="AL67" s="205">
        <f>IFERROR(VLOOKUP(G67,ochalek,10,FALSE),"")</f>
        <v>0.71</v>
      </c>
      <c r="AM67" s="207" t="str">
        <f t="shared" ref="AM67:AM130" si="32">IF(AI67&lt;0,"Cost-saving", IF(AL67="", "NA", IF(AI67&lt;AL67, "Cost-effective", "Not cost-effective")))</f>
        <v>Cost-effective</v>
      </c>
      <c r="AN67" s="205">
        <f>IFERROR(VLOOKUP(G67,woods,6,FALSE),"")</f>
        <v>0.61540469547909216</v>
      </c>
      <c r="AO67" s="195" t="str">
        <f t="shared" ref="AO67:AO130" si="33">IF(AI67&lt;0,"Cost-saving", IF(AN67="", "NA", IF(AI67&lt;AN67, "Cost-effective", "Not cost-effective")))</f>
        <v>Cost-effective</v>
      </c>
      <c r="AP67" s="205">
        <f>IFERROR(VLOOKUP(G67,woods,5,FALSE),"")</f>
        <v>0.19520989346254874</v>
      </c>
      <c r="AQ67" s="195" t="str">
        <f t="shared" ref="AQ67:AQ130" si="34">IF(AI67&lt;0,"Cost-saving", IF(AP67="", "NA", IF(AI67&lt;AP67, "Cost-effective", "Not cost-effective")))</f>
        <v>Not cost-effective</v>
      </c>
      <c r="AR67" s="205">
        <f>IFERROR(VLOOKUP(G67,riviere,8,FALSE),"")</f>
        <v>1.6838320916192782</v>
      </c>
      <c r="AS67" s="195" t="str">
        <f t="shared" ref="AS67:AS130" si="35">IF(AI67&lt;0,"Cost-saving", IF(AR67="", "NA", IF(AI67&lt;AR67, "Cost-effective", "Not cost-effective")))</f>
        <v>Cost-effective</v>
      </c>
      <c r="AT67" s="205">
        <f>IFERROR(VLOOKUP(G67,riviere,7,FALSE),"")</f>
        <v>0.69788475235435776</v>
      </c>
      <c r="AU67" s="195" t="str">
        <f t="shared" ref="AU67:AU130" si="36">IF(AI67&lt;0,"Cost-saving", IF(AT67="", "NA", IF(AI67&lt;AT67, "Cost-effective", "Not cost-effective")))</f>
        <v>Cost-effective</v>
      </c>
      <c r="AV67" s="162" t="s">
        <v>176</v>
      </c>
      <c r="AW67" s="162" t="s">
        <v>162</v>
      </c>
      <c r="AX67" s="210">
        <f t="shared" ref="AX67:AX130" si="37">IF(AW67="Cost-Effective",IF(AK67="Not Cost-Effective",1,0),"")</f>
        <v>0</v>
      </c>
      <c r="AY67" s="210">
        <f t="shared" ref="AY67:AY130" si="38">IF(AW67="Cost-Effective",IF(AM67="Not Cost-Effective",1,0),"")</f>
        <v>0</v>
      </c>
      <c r="AZ67" s="197">
        <f t="shared" ref="AZ67:AZ130" si="39">IF(AW67="Cost-Effective",IF(AO67="Not Cost-Effective",1,0),"")</f>
        <v>0</v>
      </c>
      <c r="BA67" s="197">
        <f t="shared" ref="BA67:BA130" si="40">IF(AW67="Cost-Effective",IF(AQ67="Not Cost-Effective",1,0),"")</f>
        <v>1</v>
      </c>
      <c r="BB67" s="197">
        <f t="shared" ref="BB67:BB130" si="41">IF(AW67="Cost-Effective",IF(AS67="Not Cost-Effective",1,0),"")</f>
        <v>0</v>
      </c>
      <c r="BC67" s="197">
        <f t="shared" ref="BC67:BC130" si="42">IF(AW67="Cost-Effective",IF(AU67="Not Cost-Effective",1,0),"")</f>
        <v>0</v>
      </c>
      <c r="BD67" s="197">
        <f t="shared" ref="BD67:BD130" si="43">SUM(AX67:BC67)</f>
        <v>1</v>
      </c>
      <c r="BE67" s="163" t="s">
        <v>155</v>
      </c>
      <c r="BF67" s="162" t="s">
        <v>163</v>
      </c>
    </row>
    <row r="68" spans="1:58">
      <c r="A68" s="195">
        <f t="shared" si="24"/>
        <v>20</v>
      </c>
      <c r="B68" s="195">
        <f t="shared" si="25"/>
        <v>1</v>
      </c>
      <c r="C68" s="196" t="str">
        <f t="shared" si="23"/>
        <v>2001</v>
      </c>
      <c r="D68" s="159" t="s">
        <v>38</v>
      </c>
      <c r="E68" s="190">
        <v>2010</v>
      </c>
      <c r="F68" s="162" t="s">
        <v>216</v>
      </c>
      <c r="G68" s="162" t="s">
        <v>217</v>
      </c>
      <c r="H68" s="197" t="str">
        <f>IF(VLOOKUP(G68,income,R68-1985,FALSE)="UM","Upper-middle",IF(VLOOKUP(G68,income,R68-1985,FALSE)="LM","Lower-middle",IF(VLOOKUP(G68,income,R68-1985,FALSE)="L","Low")))</f>
        <v>Low</v>
      </c>
      <c r="I68" s="163">
        <v>0</v>
      </c>
      <c r="J68" s="162" t="s">
        <v>218</v>
      </c>
      <c r="K68" s="162" t="s">
        <v>147</v>
      </c>
      <c r="L68" s="207" t="str">
        <f t="shared" si="26"/>
        <v>Others</v>
      </c>
      <c r="M68" s="162" t="s">
        <v>1551</v>
      </c>
      <c r="N68" s="163" t="s">
        <v>148</v>
      </c>
      <c r="O68" s="162" t="s">
        <v>149</v>
      </c>
      <c r="P68" s="162" t="s">
        <v>150</v>
      </c>
      <c r="Q68" s="162" t="s">
        <v>151</v>
      </c>
      <c r="R68" s="163">
        <v>2005</v>
      </c>
      <c r="S68" s="191">
        <v>3.5</v>
      </c>
      <c r="T68" s="198">
        <f>IF(ISNUMBER(S68),S68/VLOOKUP($Q68,xRates!$A$1:$BL$267,studies!$R68-xRates!$B$1+2,FALSE),"")</f>
        <v>3.5</v>
      </c>
      <c r="V68" s="198" t="str">
        <f>IF(ISNUMBER(U68),U68/VLOOKUP($Q68,xRates!$A$1:$BL$267,studies!$R68-xRates!$B$1+2,FALSE),"")</f>
        <v/>
      </c>
      <c r="W68" s="163">
        <v>0</v>
      </c>
      <c r="X68" s="163">
        <v>0</v>
      </c>
      <c r="Y68" s="163">
        <v>1</v>
      </c>
      <c r="Z68" s="163">
        <v>1</v>
      </c>
      <c r="AA68" s="163">
        <v>0</v>
      </c>
      <c r="AB68" s="163" t="s">
        <v>190</v>
      </c>
      <c r="AC68" s="193">
        <v>670</v>
      </c>
      <c r="AD68" s="201">
        <f>IF(ISNUMBER(AC68),AC68/VLOOKUP($Q68,xRates!$A$1:$BL$267,studies!$R68-xRates!$B$1+2,FALSE),"")</f>
        <v>670</v>
      </c>
      <c r="AE68" s="200">
        <f t="shared" si="27"/>
        <v>0</v>
      </c>
      <c r="AF68" s="201">
        <f>VLOOKUP(G68,gdppc,R68-1958,FALSE)</f>
        <v>619</v>
      </c>
      <c r="AG68" s="195" t="str">
        <f t="shared" si="28"/>
        <v>Not cost-effective</v>
      </c>
      <c r="AH68" s="195" t="str">
        <f t="shared" si="29"/>
        <v>Cost-effective</v>
      </c>
      <c r="AI68" s="204">
        <f t="shared" si="30"/>
        <v>1.0823909531502423</v>
      </c>
      <c r="AJ68" s="205">
        <f>IFERROR(VLOOKUP(G68,ochalek,11,FALSE),"")</f>
        <v>0.69</v>
      </c>
      <c r="AK68" s="195" t="str">
        <f t="shared" si="31"/>
        <v>Not cost-effective</v>
      </c>
      <c r="AL68" s="205">
        <f>IFERROR(VLOOKUP(G68,ochalek,10,FALSE),"")</f>
        <v>0.52</v>
      </c>
      <c r="AM68" s="207" t="str">
        <f t="shared" si="32"/>
        <v>Not cost-effective</v>
      </c>
      <c r="AN68" s="205">
        <f>IFERROR(VLOOKUP(G68,woods,6,FALSE),"")</f>
        <v>0.38924930491195553</v>
      </c>
      <c r="AO68" s="195" t="str">
        <f t="shared" si="33"/>
        <v>Not cost-effective</v>
      </c>
      <c r="AP68" s="205">
        <f>IFERROR(VLOOKUP(G68,woods,5,FALSE),"")</f>
        <v>1.8535681186283598E-2</v>
      </c>
      <c r="AQ68" s="195" t="str">
        <f t="shared" si="34"/>
        <v>Not cost-effective</v>
      </c>
      <c r="AR68" s="205">
        <f>IFERROR(VLOOKUP(G68,riviere,8,FALSE),"")</f>
        <v>0.27251348734264769</v>
      </c>
      <c r="AS68" s="195" t="str">
        <f t="shared" si="35"/>
        <v>Not cost-effective</v>
      </c>
      <c r="AT68" s="205">
        <f>IFERROR(VLOOKUP(G68,riviere,7,FALSE),"")</f>
        <v>5.3949370590676442E-2</v>
      </c>
      <c r="AU68" s="195" t="str">
        <f t="shared" si="36"/>
        <v>Not cost-effective</v>
      </c>
      <c r="AV68" s="162" t="s">
        <v>161</v>
      </c>
      <c r="AW68" s="162" t="s">
        <v>162</v>
      </c>
      <c r="AX68" s="210">
        <f t="shared" si="37"/>
        <v>1</v>
      </c>
      <c r="AY68" s="210">
        <f t="shared" si="38"/>
        <v>1</v>
      </c>
      <c r="AZ68" s="197">
        <f t="shared" si="39"/>
        <v>1</v>
      </c>
      <c r="BA68" s="197">
        <f t="shared" si="40"/>
        <v>1</v>
      </c>
      <c r="BB68" s="197">
        <f t="shared" si="41"/>
        <v>1</v>
      </c>
      <c r="BC68" s="197">
        <f t="shared" si="42"/>
        <v>1</v>
      </c>
      <c r="BD68" s="197">
        <f t="shared" si="43"/>
        <v>6</v>
      </c>
      <c r="BE68" s="163" t="s">
        <v>155</v>
      </c>
      <c r="BF68" s="162" t="s">
        <v>156</v>
      </c>
    </row>
    <row r="69" spans="1:58">
      <c r="A69" s="195">
        <f t="shared" si="24"/>
        <v>20</v>
      </c>
      <c r="B69" s="195">
        <f t="shared" si="25"/>
        <v>2</v>
      </c>
      <c r="C69" s="196" t="str">
        <f t="shared" si="23"/>
        <v>2002</v>
      </c>
      <c r="D69" s="159" t="s">
        <v>38</v>
      </c>
      <c r="E69" s="190">
        <v>2010</v>
      </c>
      <c r="F69" s="162" t="s">
        <v>216</v>
      </c>
      <c r="G69" s="162" t="s">
        <v>217</v>
      </c>
      <c r="H69" s="197" t="str">
        <f>IF(VLOOKUP(G69,income,R69-1985,FALSE)="UM","Upper-middle",IF(VLOOKUP(G69,income,R69-1985,FALSE)="LM","Lower-middle",IF(VLOOKUP(G69,income,R69-1985,FALSE)="L","Low")))</f>
        <v>Low</v>
      </c>
      <c r="I69" s="163">
        <v>0</v>
      </c>
      <c r="J69" s="162" t="s">
        <v>146</v>
      </c>
      <c r="K69" s="162" t="s">
        <v>147</v>
      </c>
      <c r="L69" s="207" t="str">
        <f t="shared" si="26"/>
        <v>PCV7 vs NoVax</v>
      </c>
      <c r="M69" s="162" t="s">
        <v>1551</v>
      </c>
      <c r="N69" s="163" t="s">
        <v>148</v>
      </c>
      <c r="O69" s="162" t="s">
        <v>149</v>
      </c>
      <c r="P69" s="162" t="s">
        <v>150</v>
      </c>
      <c r="Q69" s="162" t="s">
        <v>151</v>
      </c>
      <c r="R69" s="163">
        <v>2005</v>
      </c>
      <c r="S69" s="191">
        <v>3.5</v>
      </c>
      <c r="T69" s="198">
        <f>IF(ISNUMBER(S69),S69/VLOOKUP($Q69,xRates!$A$1:$BL$267,studies!$R69-xRates!$B$1+2,FALSE),"")</f>
        <v>3.5</v>
      </c>
      <c r="V69" s="198" t="str">
        <f>IF(ISNUMBER(U69),U69/VLOOKUP($Q69,xRates!$A$1:$BL$267,studies!$R69-xRates!$B$1+2,FALSE),"")</f>
        <v/>
      </c>
      <c r="W69" s="163">
        <v>0</v>
      </c>
      <c r="X69" s="163">
        <v>0</v>
      </c>
      <c r="Y69" s="163">
        <v>1</v>
      </c>
      <c r="Z69" s="163">
        <v>1</v>
      </c>
      <c r="AA69" s="163">
        <v>0</v>
      </c>
      <c r="AB69" s="163" t="s">
        <v>190</v>
      </c>
      <c r="AC69" s="193">
        <v>910</v>
      </c>
      <c r="AD69" s="201">
        <f>IF(ISNUMBER(AC69),AC69/VLOOKUP($Q69,xRates!$A$1:$BL$267,studies!$R69-xRates!$B$1+2,FALSE),"")</f>
        <v>910</v>
      </c>
      <c r="AE69" s="200">
        <f t="shared" si="27"/>
        <v>0</v>
      </c>
      <c r="AF69" s="201">
        <f>VLOOKUP(G69,gdppc,R69-1958,FALSE)</f>
        <v>619</v>
      </c>
      <c r="AG69" s="195" t="str">
        <f t="shared" si="28"/>
        <v>Not cost-effective</v>
      </c>
      <c r="AH69" s="195" t="str">
        <f t="shared" si="29"/>
        <v>Cost-effective</v>
      </c>
      <c r="AI69" s="204">
        <f t="shared" si="30"/>
        <v>1.4701130856219708</v>
      </c>
      <c r="AJ69" s="205">
        <f>IFERROR(VLOOKUP(G69,ochalek,11,FALSE),"")</f>
        <v>0.69</v>
      </c>
      <c r="AK69" s="195" t="str">
        <f t="shared" si="31"/>
        <v>Not cost-effective</v>
      </c>
      <c r="AL69" s="205">
        <f>IFERROR(VLOOKUP(G69,ochalek,10,FALSE),"")</f>
        <v>0.52</v>
      </c>
      <c r="AM69" s="207" t="str">
        <f t="shared" si="32"/>
        <v>Not cost-effective</v>
      </c>
      <c r="AN69" s="205">
        <f>IFERROR(VLOOKUP(G69,woods,6,FALSE),"")</f>
        <v>0.38924930491195553</v>
      </c>
      <c r="AO69" s="195" t="str">
        <f t="shared" si="33"/>
        <v>Not cost-effective</v>
      </c>
      <c r="AP69" s="205">
        <f>IFERROR(VLOOKUP(G69,woods,5,FALSE),"")</f>
        <v>1.8535681186283598E-2</v>
      </c>
      <c r="AQ69" s="195" t="str">
        <f t="shared" si="34"/>
        <v>Not cost-effective</v>
      </c>
      <c r="AR69" s="205">
        <f>IFERROR(VLOOKUP(G69,riviere,8,FALSE),"")</f>
        <v>0.27251348734264769</v>
      </c>
      <c r="AS69" s="195" t="str">
        <f t="shared" si="35"/>
        <v>Not cost-effective</v>
      </c>
      <c r="AT69" s="205">
        <f>IFERROR(VLOOKUP(G69,riviere,7,FALSE),"")</f>
        <v>5.3949370590676442E-2</v>
      </c>
      <c r="AU69" s="195" t="str">
        <f t="shared" si="36"/>
        <v>Not cost-effective</v>
      </c>
      <c r="AV69" s="162" t="s">
        <v>161</v>
      </c>
      <c r="AW69" s="162" t="s">
        <v>162</v>
      </c>
      <c r="AX69" s="210">
        <f t="shared" si="37"/>
        <v>1</v>
      </c>
      <c r="AY69" s="210">
        <f t="shared" si="38"/>
        <v>1</v>
      </c>
      <c r="AZ69" s="197">
        <f t="shared" si="39"/>
        <v>1</v>
      </c>
      <c r="BA69" s="197">
        <f t="shared" si="40"/>
        <v>1</v>
      </c>
      <c r="BB69" s="197">
        <f t="shared" si="41"/>
        <v>1</v>
      </c>
      <c r="BC69" s="197">
        <f t="shared" si="42"/>
        <v>1</v>
      </c>
      <c r="BD69" s="197">
        <f t="shared" si="43"/>
        <v>6</v>
      </c>
      <c r="BE69" s="163" t="s">
        <v>155</v>
      </c>
      <c r="BF69" s="162" t="s">
        <v>156</v>
      </c>
    </row>
    <row r="70" spans="1:58">
      <c r="A70" s="195">
        <f t="shared" si="24"/>
        <v>20</v>
      </c>
      <c r="B70" s="195">
        <f t="shared" si="25"/>
        <v>3</v>
      </c>
      <c r="C70" s="196" t="str">
        <f t="shared" si="23"/>
        <v>2003</v>
      </c>
      <c r="D70" s="159" t="s">
        <v>38</v>
      </c>
      <c r="E70" s="190">
        <v>2010</v>
      </c>
      <c r="F70" s="162" t="s">
        <v>216</v>
      </c>
      <c r="G70" s="162" t="s">
        <v>217</v>
      </c>
      <c r="H70" s="197" t="str">
        <f>IF(VLOOKUP(G70,income,R70-1985,FALSE)="UM","Upper-middle",IF(VLOOKUP(G70,income,R70-1985,FALSE)="LM","Lower-middle",IF(VLOOKUP(G70,income,R70-1985,FALSE)="L","Low")))</f>
        <v>Low</v>
      </c>
      <c r="I70" s="163">
        <v>0</v>
      </c>
      <c r="J70" s="162" t="s">
        <v>166</v>
      </c>
      <c r="K70" s="162" t="s">
        <v>147</v>
      </c>
      <c r="L70" s="207" t="str">
        <f t="shared" si="26"/>
        <v>PCV10 vs NoVax</v>
      </c>
      <c r="M70" s="162" t="s">
        <v>1551</v>
      </c>
      <c r="N70" s="163" t="s">
        <v>148</v>
      </c>
      <c r="O70" s="162" t="s">
        <v>149</v>
      </c>
      <c r="P70" s="162" t="s">
        <v>150</v>
      </c>
      <c r="Q70" s="162" t="s">
        <v>151</v>
      </c>
      <c r="R70" s="163">
        <v>2005</v>
      </c>
      <c r="S70" s="191">
        <v>3.5</v>
      </c>
      <c r="T70" s="198">
        <f>IF(ISNUMBER(S70),S70/VLOOKUP($Q70,xRates!$A$1:$BL$267,studies!$R70-xRates!$B$1+2,FALSE),"")</f>
        <v>3.5</v>
      </c>
      <c r="V70" s="198" t="str">
        <f>IF(ISNUMBER(U70),U70/VLOOKUP($Q70,xRates!$A$1:$BL$267,studies!$R70-xRates!$B$1+2,FALSE),"")</f>
        <v/>
      </c>
      <c r="W70" s="163">
        <v>0</v>
      </c>
      <c r="X70" s="163">
        <v>0</v>
      </c>
      <c r="Y70" s="163">
        <v>1</v>
      </c>
      <c r="Z70" s="163">
        <v>1</v>
      </c>
      <c r="AA70" s="163">
        <v>0</v>
      </c>
      <c r="AB70" s="163" t="s">
        <v>190</v>
      </c>
      <c r="AC70" s="193">
        <v>670</v>
      </c>
      <c r="AD70" s="201">
        <f>IF(ISNUMBER(AC70),AC70/VLOOKUP($Q70,xRates!$A$1:$BL$267,studies!$R70-xRates!$B$1+2,FALSE),"")</f>
        <v>670</v>
      </c>
      <c r="AE70" s="200">
        <f t="shared" si="27"/>
        <v>0</v>
      </c>
      <c r="AF70" s="201">
        <f>VLOOKUP(G70,gdppc,R70-1958,FALSE)</f>
        <v>619</v>
      </c>
      <c r="AG70" s="195" t="str">
        <f t="shared" si="28"/>
        <v>Not cost-effective</v>
      </c>
      <c r="AH70" s="195" t="str">
        <f t="shared" si="29"/>
        <v>Cost-effective</v>
      </c>
      <c r="AI70" s="204">
        <f t="shared" si="30"/>
        <v>1.0823909531502423</v>
      </c>
      <c r="AJ70" s="205">
        <f>IFERROR(VLOOKUP(G70,ochalek,11,FALSE),"")</f>
        <v>0.69</v>
      </c>
      <c r="AK70" s="195" t="str">
        <f t="shared" si="31"/>
        <v>Not cost-effective</v>
      </c>
      <c r="AL70" s="205">
        <f>IFERROR(VLOOKUP(G70,ochalek,10,FALSE),"")</f>
        <v>0.52</v>
      </c>
      <c r="AM70" s="207" t="str">
        <f t="shared" si="32"/>
        <v>Not cost-effective</v>
      </c>
      <c r="AN70" s="205">
        <f>IFERROR(VLOOKUP(G70,woods,6,FALSE),"")</f>
        <v>0.38924930491195553</v>
      </c>
      <c r="AO70" s="195" t="str">
        <f t="shared" si="33"/>
        <v>Not cost-effective</v>
      </c>
      <c r="AP70" s="205">
        <f>IFERROR(VLOOKUP(G70,woods,5,FALSE),"")</f>
        <v>1.8535681186283598E-2</v>
      </c>
      <c r="AQ70" s="195" t="str">
        <f t="shared" si="34"/>
        <v>Not cost-effective</v>
      </c>
      <c r="AR70" s="205">
        <f>IFERROR(VLOOKUP(G70,riviere,8,FALSE),"")</f>
        <v>0.27251348734264769</v>
      </c>
      <c r="AS70" s="195" t="str">
        <f t="shared" si="35"/>
        <v>Not cost-effective</v>
      </c>
      <c r="AT70" s="205">
        <f>IFERROR(VLOOKUP(G70,riviere,7,FALSE),"")</f>
        <v>5.3949370590676442E-2</v>
      </c>
      <c r="AU70" s="195" t="str">
        <f t="shared" si="36"/>
        <v>Not cost-effective</v>
      </c>
      <c r="AV70" s="162" t="s">
        <v>161</v>
      </c>
      <c r="AW70" s="162" t="s">
        <v>162</v>
      </c>
      <c r="AX70" s="210">
        <f t="shared" si="37"/>
        <v>1</v>
      </c>
      <c r="AY70" s="210">
        <f t="shared" si="38"/>
        <v>1</v>
      </c>
      <c r="AZ70" s="197">
        <f t="shared" si="39"/>
        <v>1</v>
      </c>
      <c r="BA70" s="197">
        <f t="shared" si="40"/>
        <v>1</v>
      </c>
      <c r="BB70" s="197">
        <f t="shared" si="41"/>
        <v>1</v>
      </c>
      <c r="BC70" s="197">
        <f t="shared" si="42"/>
        <v>1</v>
      </c>
      <c r="BD70" s="197">
        <f t="shared" si="43"/>
        <v>6</v>
      </c>
      <c r="BE70" s="163" t="s">
        <v>155</v>
      </c>
      <c r="BF70" s="162" t="s">
        <v>156</v>
      </c>
    </row>
    <row r="71" spans="1:58">
      <c r="A71" s="195">
        <f t="shared" si="24"/>
        <v>20</v>
      </c>
      <c r="B71" s="195">
        <f t="shared" si="25"/>
        <v>4</v>
      </c>
      <c r="C71" s="196" t="str">
        <f t="shared" si="23"/>
        <v>2004</v>
      </c>
      <c r="D71" s="159" t="s">
        <v>38</v>
      </c>
      <c r="E71" s="190">
        <v>2010</v>
      </c>
      <c r="F71" s="162" t="s">
        <v>216</v>
      </c>
      <c r="G71" s="162" t="s">
        <v>217</v>
      </c>
      <c r="H71" s="197" t="str">
        <f>IF(VLOOKUP(G71,income,R71-1985,FALSE)="UM","Upper-middle",IF(VLOOKUP(G71,income,R71-1985,FALSE)="LM","Lower-middle",IF(VLOOKUP(G71,income,R71-1985,FALSE)="L","Low")))</f>
        <v>Low</v>
      </c>
      <c r="I71" s="163">
        <v>0</v>
      </c>
      <c r="J71" s="162" t="s">
        <v>167</v>
      </c>
      <c r="K71" s="162" t="s">
        <v>147</v>
      </c>
      <c r="L71" s="207" t="str">
        <f t="shared" si="26"/>
        <v>PCV13 vs NoVax</v>
      </c>
      <c r="M71" s="162" t="s">
        <v>1551</v>
      </c>
      <c r="N71" s="163" t="s">
        <v>148</v>
      </c>
      <c r="O71" s="162" t="s">
        <v>149</v>
      </c>
      <c r="P71" s="162" t="s">
        <v>150</v>
      </c>
      <c r="Q71" s="162" t="s">
        <v>151</v>
      </c>
      <c r="R71" s="163">
        <v>2005</v>
      </c>
      <c r="S71" s="191">
        <v>3.5</v>
      </c>
      <c r="T71" s="198">
        <f>IF(ISNUMBER(S71),S71/VLOOKUP($Q71,xRates!$A$1:$BL$267,studies!$R71-xRates!$B$1+2,FALSE),"")</f>
        <v>3.5</v>
      </c>
      <c r="V71" s="198" t="str">
        <f>IF(ISNUMBER(U71),U71/VLOOKUP($Q71,xRates!$A$1:$BL$267,studies!$R71-xRates!$B$1+2,FALSE),"")</f>
        <v/>
      </c>
      <c r="W71" s="163">
        <v>0</v>
      </c>
      <c r="X71" s="163">
        <v>0</v>
      </c>
      <c r="Y71" s="163">
        <v>1</v>
      </c>
      <c r="Z71" s="163">
        <v>1</v>
      </c>
      <c r="AA71" s="163">
        <v>0</v>
      </c>
      <c r="AB71" s="163" t="s">
        <v>190</v>
      </c>
      <c r="AC71" s="193">
        <v>570</v>
      </c>
      <c r="AD71" s="201">
        <f>IF(ISNUMBER(AC71),AC71/VLOOKUP($Q71,xRates!$A$1:$BL$267,studies!$R71-xRates!$B$1+2,FALSE),"")</f>
        <v>570</v>
      </c>
      <c r="AE71" s="200">
        <f t="shared" si="27"/>
        <v>0</v>
      </c>
      <c r="AF71" s="201">
        <f>VLOOKUP(G71,gdppc,R71-1958,FALSE)</f>
        <v>619</v>
      </c>
      <c r="AG71" s="195" t="str">
        <f t="shared" si="28"/>
        <v>Cost-effective</v>
      </c>
      <c r="AH71" s="195" t="str">
        <f t="shared" si="29"/>
        <v>Cost-effective</v>
      </c>
      <c r="AI71" s="204">
        <f t="shared" si="30"/>
        <v>0.92084006462035539</v>
      </c>
      <c r="AJ71" s="205">
        <f>IFERROR(VLOOKUP(G71,ochalek,11,FALSE),"")</f>
        <v>0.69</v>
      </c>
      <c r="AK71" s="195" t="str">
        <f t="shared" si="31"/>
        <v>Not cost-effective</v>
      </c>
      <c r="AL71" s="205">
        <f>IFERROR(VLOOKUP(G71,ochalek,10,FALSE),"")</f>
        <v>0.52</v>
      </c>
      <c r="AM71" s="207" t="str">
        <f t="shared" si="32"/>
        <v>Not cost-effective</v>
      </c>
      <c r="AN71" s="205">
        <f>IFERROR(VLOOKUP(G71,woods,6,FALSE),"")</f>
        <v>0.38924930491195553</v>
      </c>
      <c r="AO71" s="195" t="str">
        <f t="shared" si="33"/>
        <v>Not cost-effective</v>
      </c>
      <c r="AP71" s="205">
        <f>IFERROR(VLOOKUP(G71,woods,5,FALSE),"")</f>
        <v>1.8535681186283598E-2</v>
      </c>
      <c r="AQ71" s="195" t="str">
        <f t="shared" si="34"/>
        <v>Not cost-effective</v>
      </c>
      <c r="AR71" s="205">
        <f>IFERROR(VLOOKUP(G71,riviere,8,FALSE),"")</f>
        <v>0.27251348734264769</v>
      </c>
      <c r="AS71" s="195" t="str">
        <f t="shared" si="35"/>
        <v>Not cost-effective</v>
      </c>
      <c r="AT71" s="205">
        <f>IFERROR(VLOOKUP(G71,riviere,7,FALSE),"")</f>
        <v>5.3949370590676442E-2</v>
      </c>
      <c r="AU71" s="195" t="str">
        <f t="shared" si="36"/>
        <v>Not cost-effective</v>
      </c>
      <c r="AV71" s="162" t="s">
        <v>161</v>
      </c>
      <c r="AW71" s="162" t="s">
        <v>162</v>
      </c>
      <c r="AX71" s="210">
        <f t="shared" si="37"/>
        <v>1</v>
      </c>
      <c r="AY71" s="210">
        <f t="shared" si="38"/>
        <v>1</v>
      </c>
      <c r="AZ71" s="197">
        <f t="shared" si="39"/>
        <v>1</v>
      </c>
      <c r="BA71" s="197">
        <f t="shared" si="40"/>
        <v>1</v>
      </c>
      <c r="BB71" s="197">
        <f t="shared" si="41"/>
        <v>1</v>
      </c>
      <c r="BC71" s="197">
        <f t="shared" si="42"/>
        <v>1</v>
      </c>
      <c r="BD71" s="197">
        <f t="shared" si="43"/>
        <v>6</v>
      </c>
      <c r="BE71" s="163" t="s">
        <v>155</v>
      </c>
      <c r="BF71" s="162" t="s">
        <v>156</v>
      </c>
    </row>
    <row r="72" spans="1:58">
      <c r="A72" s="195">
        <f t="shared" si="24"/>
        <v>20</v>
      </c>
      <c r="B72" s="195">
        <f t="shared" si="25"/>
        <v>5</v>
      </c>
      <c r="C72" s="196" t="str">
        <f t="shared" si="23"/>
        <v>2005</v>
      </c>
      <c r="D72" s="159" t="s">
        <v>38</v>
      </c>
      <c r="E72" s="190">
        <v>2010</v>
      </c>
      <c r="F72" s="162" t="s">
        <v>216</v>
      </c>
      <c r="G72" s="162" t="s">
        <v>217</v>
      </c>
      <c r="H72" s="197" t="str">
        <f>IF(VLOOKUP(G72,income,R72-1985,FALSE)="UM","Upper-middle",IF(VLOOKUP(G72,income,R72-1985,FALSE)="LM","Lower-middle",IF(VLOOKUP(G72,income,R72-1985,FALSE)="L","Low")))</f>
        <v>Low</v>
      </c>
      <c r="I72" s="163">
        <v>0</v>
      </c>
      <c r="J72" s="162" t="s">
        <v>146</v>
      </c>
      <c r="K72" s="162" t="s">
        <v>147</v>
      </c>
      <c r="L72" s="207" t="str">
        <f t="shared" si="26"/>
        <v>PCV7 vs NoVax</v>
      </c>
      <c r="M72" s="162" t="s">
        <v>1551</v>
      </c>
      <c r="N72" s="163" t="s">
        <v>155</v>
      </c>
      <c r="O72" s="162" t="s">
        <v>149</v>
      </c>
      <c r="P72" s="162" t="s">
        <v>150</v>
      </c>
      <c r="Q72" s="162" t="s">
        <v>151</v>
      </c>
      <c r="R72" s="163">
        <v>2005</v>
      </c>
      <c r="S72" s="191">
        <v>3.5</v>
      </c>
      <c r="T72" s="198">
        <f>IF(ISNUMBER(S72),S72/VLOOKUP($Q72,xRates!$A$1:$BL$267,studies!$R72-xRates!$B$1+2,FALSE),"")</f>
        <v>3.5</v>
      </c>
      <c r="V72" s="198" t="str">
        <f>IF(ISNUMBER(U72),U72/VLOOKUP($Q72,xRates!$A$1:$BL$267,studies!$R72-xRates!$B$1+2,FALSE),"")</f>
        <v/>
      </c>
      <c r="W72" s="163">
        <v>1</v>
      </c>
      <c r="X72" s="163">
        <v>1</v>
      </c>
      <c r="Y72" s="163">
        <v>1</v>
      </c>
      <c r="Z72" s="163">
        <v>1</v>
      </c>
      <c r="AA72" s="163">
        <v>0</v>
      </c>
      <c r="AB72" s="163" t="s">
        <v>190</v>
      </c>
      <c r="AC72" s="193">
        <v>830</v>
      </c>
      <c r="AD72" s="201">
        <f>IF(ISNUMBER(AC72),AC72/VLOOKUP($Q72,xRates!$A$1:$BL$267,studies!$R72-xRates!$B$1+2,FALSE),"")</f>
        <v>830</v>
      </c>
      <c r="AE72" s="200">
        <f t="shared" si="27"/>
        <v>0</v>
      </c>
      <c r="AF72" s="201">
        <f>VLOOKUP(G72,gdppc,R72-1958,FALSE)</f>
        <v>619</v>
      </c>
      <c r="AG72" s="195" t="str">
        <f t="shared" si="28"/>
        <v>Not cost-effective</v>
      </c>
      <c r="AH72" s="195" t="str">
        <f t="shared" si="29"/>
        <v>Cost-effective</v>
      </c>
      <c r="AI72" s="204">
        <f t="shared" si="30"/>
        <v>1.3408723747980613</v>
      </c>
      <c r="AJ72" s="205">
        <f>IFERROR(VLOOKUP(G72,ochalek,11,FALSE),"")</f>
        <v>0.69</v>
      </c>
      <c r="AK72" s="195" t="str">
        <f t="shared" si="31"/>
        <v>Not cost-effective</v>
      </c>
      <c r="AL72" s="205">
        <f>IFERROR(VLOOKUP(G72,ochalek,10,FALSE),"")</f>
        <v>0.52</v>
      </c>
      <c r="AM72" s="207" t="str">
        <f t="shared" si="32"/>
        <v>Not cost-effective</v>
      </c>
      <c r="AN72" s="205">
        <f>IFERROR(VLOOKUP(G72,woods,6,FALSE),"")</f>
        <v>0.38924930491195553</v>
      </c>
      <c r="AO72" s="195" t="str">
        <f t="shared" si="33"/>
        <v>Not cost-effective</v>
      </c>
      <c r="AP72" s="205">
        <f>IFERROR(VLOOKUP(G72,woods,5,FALSE),"")</f>
        <v>1.8535681186283598E-2</v>
      </c>
      <c r="AQ72" s="195" t="str">
        <f t="shared" si="34"/>
        <v>Not cost-effective</v>
      </c>
      <c r="AR72" s="205">
        <f>IFERROR(VLOOKUP(G72,riviere,8,FALSE),"")</f>
        <v>0.27251348734264769</v>
      </c>
      <c r="AS72" s="195" t="str">
        <f t="shared" si="35"/>
        <v>Not cost-effective</v>
      </c>
      <c r="AT72" s="205">
        <f>IFERROR(VLOOKUP(G72,riviere,7,FALSE),"")</f>
        <v>5.3949370590676442E-2</v>
      </c>
      <c r="AU72" s="195" t="str">
        <f t="shared" si="36"/>
        <v>Not cost-effective</v>
      </c>
      <c r="AV72" s="162" t="s">
        <v>161</v>
      </c>
      <c r="AW72" s="162" t="s">
        <v>162</v>
      </c>
      <c r="AX72" s="210">
        <f t="shared" si="37"/>
        <v>1</v>
      </c>
      <c r="AY72" s="210">
        <f t="shared" si="38"/>
        <v>1</v>
      </c>
      <c r="AZ72" s="197">
        <f t="shared" si="39"/>
        <v>1</v>
      </c>
      <c r="BA72" s="197">
        <f t="shared" si="40"/>
        <v>1</v>
      </c>
      <c r="BB72" s="197">
        <f t="shared" si="41"/>
        <v>1</v>
      </c>
      <c r="BC72" s="197">
        <f t="shared" si="42"/>
        <v>1</v>
      </c>
      <c r="BD72" s="197">
        <f t="shared" si="43"/>
        <v>6</v>
      </c>
      <c r="BE72" s="163" t="s">
        <v>155</v>
      </c>
      <c r="BF72" s="162" t="s">
        <v>156</v>
      </c>
    </row>
    <row r="73" spans="1:58">
      <c r="A73" s="195">
        <f t="shared" si="24"/>
        <v>20</v>
      </c>
      <c r="B73" s="195">
        <f t="shared" si="25"/>
        <v>6</v>
      </c>
      <c r="C73" s="196" t="str">
        <f t="shared" si="23"/>
        <v>2006</v>
      </c>
      <c r="D73" s="159" t="s">
        <v>38</v>
      </c>
      <c r="E73" s="190">
        <v>2010</v>
      </c>
      <c r="F73" s="162" t="s">
        <v>216</v>
      </c>
      <c r="G73" s="162" t="s">
        <v>217</v>
      </c>
      <c r="H73" s="197" t="str">
        <f>IF(VLOOKUP(G73,income,R73-1985,FALSE)="UM","Upper-middle",IF(VLOOKUP(G73,income,R73-1985,FALSE)="LM","Lower-middle",IF(VLOOKUP(G73,income,R73-1985,FALSE)="L","Low")))</f>
        <v>Low</v>
      </c>
      <c r="I73" s="163">
        <v>0</v>
      </c>
      <c r="J73" s="162" t="s">
        <v>166</v>
      </c>
      <c r="K73" s="162" t="s">
        <v>147</v>
      </c>
      <c r="L73" s="207" t="str">
        <f t="shared" si="26"/>
        <v>PCV10 vs NoVax</v>
      </c>
      <c r="M73" s="162" t="s">
        <v>1551</v>
      </c>
      <c r="N73" s="163" t="s">
        <v>155</v>
      </c>
      <c r="O73" s="162" t="s">
        <v>149</v>
      </c>
      <c r="P73" s="162" t="s">
        <v>150</v>
      </c>
      <c r="Q73" s="162" t="s">
        <v>151</v>
      </c>
      <c r="R73" s="163">
        <v>2005</v>
      </c>
      <c r="S73" s="191">
        <v>3.5</v>
      </c>
      <c r="T73" s="198">
        <f>IF(ISNUMBER(S73),S73/VLOOKUP($Q73,xRates!$A$1:$BL$267,studies!$R73-xRates!$B$1+2,FALSE),"")</f>
        <v>3.5</v>
      </c>
      <c r="V73" s="198" t="str">
        <f>IF(ISNUMBER(U73),U73/VLOOKUP($Q73,xRates!$A$1:$BL$267,studies!$R73-xRates!$B$1+2,FALSE),"")</f>
        <v/>
      </c>
      <c r="W73" s="163">
        <v>1</v>
      </c>
      <c r="X73" s="163">
        <v>1</v>
      </c>
      <c r="Y73" s="163">
        <v>1</v>
      </c>
      <c r="Z73" s="163">
        <v>1</v>
      </c>
      <c r="AA73" s="163">
        <v>0</v>
      </c>
      <c r="AB73" s="163" t="s">
        <v>190</v>
      </c>
      <c r="AC73" s="193">
        <v>550</v>
      </c>
      <c r="AD73" s="201">
        <f>IF(ISNUMBER(AC73),AC73/VLOOKUP($Q73,xRates!$A$1:$BL$267,studies!$R73-xRates!$B$1+2,FALSE),"")</f>
        <v>550</v>
      </c>
      <c r="AE73" s="200">
        <f t="shared" si="27"/>
        <v>0</v>
      </c>
      <c r="AF73" s="201">
        <f>VLOOKUP(G73,gdppc,R73-1958,FALSE)</f>
        <v>619</v>
      </c>
      <c r="AG73" s="195" t="str">
        <f t="shared" si="28"/>
        <v>Cost-effective</v>
      </c>
      <c r="AH73" s="195" t="str">
        <f t="shared" si="29"/>
        <v>Cost-effective</v>
      </c>
      <c r="AI73" s="204">
        <f t="shared" si="30"/>
        <v>0.88852988691437806</v>
      </c>
      <c r="AJ73" s="205">
        <f>IFERROR(VLOOKUP(G73,ochalek,11,FALSE),"")</f>
        <v>0.69</v>
      </c>
      <c r="AK73" s="195" t="str">
        <f t="shared" si="31"/>
        <v>Not cost-effective</v>
      </c>
      <c r="AL73" s="205">
        <f>IFERROR(VLOOKUP(G73,ochalek,10,FALSE),"")</f>
        <v>0.52</v>
      </c>
      <c r="AM73" s="207" t="str">
        <f t="shared" si="32"/>
        <v>Not cost-effective</v>
      </c>
      <c r="AN73" s="205">
        <f>IFERROR(VLOOKUP(G73,woods,6,FALSE),"")</f>
        <v>0.38924930491195553</v>
      </c>
      <c r="AO73" s="195" t="str">
        <f t="shared" si="33"/>
        <v>Not cost-effective</v>
      </c>
      <c r="AP73" s="205">
        <f>IFERROR(VLOOKUP(G73,woods,5,FALSE),"")</f>
        <v>1.8535681186283598E-2</v>
      </c>
      <c r="AQ73" s="195" t="str">
        <f t="shared" si="34"/>
        <v>Not cost-effective</v>
      </c>
      <c r="AR73" s="205">
        <f>IFERROR(VLOOKUP(G73,riviere,8,FALSE),"")</f>
        <v>0.27251348734264769</v>
      </c>
      <c r="AS73" s="195" t="str">
        <f t="shared" si="35"/>
        <v>Not cost-effective</v>
      </c>
      <c r="AT73" s="205">
        <f>IFERROR(VLOOKUP(G73,riviere,7,FALSE),"")</f>
        <v>5.3949370590676442E-2</v>
      </c>
      <c r="AU73" s="195" t="str">
        <f t="shared" si="36"/>
        <v>Not cost-effective</v>
      </c>
      <c r="AV73" s="162" t="s">
        <v>161</v>
      </c>
      <c r="AW73" s="162" t="s">
        <v>162</v>
      </c>
      <c r="AX73" s="210">
        <f t="shared" si="37"/>
        <v>1</v>
      </c>
      <c r="AY73" s="210">
        <f t="shared" si="38"/>
        <v>1</v>
      </c>
      <c r="AZ73" s="197">
        <f t="shared" si="39"/>
        <v>1</v>
      </c>
      <c r="BA73" s="197">
        <f t="shared" si="40"/>
        <v>1</v>
      </c>
      <c r="BB73" s="197">
        <f t="shared" si="41"/>
        <v>1</v>
      </c>
      <c r="BC73" s="197">
        <f t="shared" si="42"/>
        <v>1</v>
      </c>
      <c r="BD73" s="197">
        <f t="shared" si="43"/>
        <v>6</v>
      </c>
      <c r="BE73" s="163" t="s">
        <v>155</v>
      </c>
      <c r="BF73" s="162" t="s">
        <v>156</v>
      </c>
    </row>
    <row r="74" spans="1:58">
      <c r="A74" s="195">
        <f t="shared" si="24"/>
        <v>20</v>
      </c>
      <c r="B74" s="195">
        <f t="shared" si="25"/>
        <v>7</v>
      </c>
      <c r="C74" s="196" t="str">
        <f t="shared" si="23"/>
        <v>2007</v>
      </c>
      <c r="D74" s="159" t="s">
        <v>38</v>
      </c>
      <c r="E74" s="190">
        <v>2010</v>
      </c>
      <c r="F74" s="162" t="s">
        <v>216</v>
      </c>
      <c r="G74" s="162" t="s">
        <v>217</v>
      </c>
      <c r="H74" s="197" t="str">
        <f>IF(VLOOKUP(G74,income,R74-1985,FALSE)="UM","Upper-middle",IF(VLOOKUP(G74,income,R74-1985,FALSE)="LM","Lower-middle",IF(VLOOKUP(G74,income,R74-1985,FALSE)="L","Low")))</f>
        <v>Low</v>
      </c>
      <c r="I74" s="163">
        <v>0</v>
      </c>
      <c r="J74" s="162" t="s">
        <v>167</v>
      </c>
      <c r="K74" s="162" t="s">
        <v>147</v>
      </c>
      <c r="L74" s="207" t="str">
        <f t="shared" si="26"/>
        <v>PCV13 vs NoVax</v>
      </c>
      <c r="M74" s="162" t="s">
        <v>1551</v>
      </c>
      <c r="N74" s="163" t="s">
        <v>155</v>
      </c>
      <c r="O74" s="162" t="s">
        <v>149</v>
      </c>
      <c r="P74" s="162" t="s">
        <v>150</v>
      </c>
      <c r="Q74" s="162" t="s">
        <v>151</v>
      </c>
      <c r="R74" s="163">
        <v>2005</v>
      </c>
      <c r="S74" s="191">
        <v>3.5</v>
      </c>
      <c r="T74" s="198">
        <f>IF(ISNUMBER(S74),S74/VLOOKUP($Q74,xRates!$A$1:$BL$267,studies!$R74-xRates!$B$1+2,FALSE),"")</f>
        <v>3.5</v>
      </c>
      <c r="V74" s="198" t="str">
        <f>IF(ISNUMBER(U74),U74/VLOOKUP($Q74,xRates!$A$1:$BL$267,studies!$R74-xRates!$B$1+2,FALSE),"")</f>
        <v/>
      </c>
      <c r="W74" s="163">
        <v>1</v>
      </c>
      <c r="X74" s="163">
        <v>1</v>
      </c>
      <c r="Y74" s="163">
        <v>1</v>
      </c>
      <c r="Z74" s="163">
        <v>1</v>
      </c>
      <c r="AA74" s="163">
        <v>0</v>
      </c>
      <c r="AB74" s="163" t="s">
        <v>190</v>
      </c>
      <c r="AC74" s="193">
        <v>480</v>
      </c>
      <c r="AD74" s="201">
        <f>IF(ISNUMBER(AC74),AC74/VLOOKUP($Q74,xRates!$A$1:$BL$267,studies!$R74-xRates!$B$1+2,FALSE),"")</f>
        <v>480</v>
      </c>
      <c r="AE74" s="200">
        <f t="shared" si="27"/>
        <v>0</v>
      </c>
      <c r="AF74" s="201">
        <f>VLOOKUP(G74,gdppc,R74-1958,FALSE)</f>
        <v>619</v>
      </c>
      <c r="AG74" s="195" t="str">
        <f t="shared" si="28"/>
        <v>Cost-effective</v>
      </c>
      <c r="AH74" s="195" t="str">
        <f t="shared" si="29"/>
        <v>Cost-effective</v>
      </c>
      <c r="AI74" s="204">
        <f t="shared" si="30"/>
        <v>0.7754442649434572</v>
      </c>
      <c r="AJ74" s="205">
        <f>IFERROR(VLOOKUP(G74,ochalek,11,FALSE),"")</f>
        <v>0.69</v>
      </c>
      <c r="AK74" s="195" t="str">
        <f t="shared" si="31"/>
        <v>Not cost-effective</v>
      </c>
      <c r="AL74" s="205">
        <f>IFERROR(VLOOKUP(G74,ochalek,10,FALSE),"")</f>
        <v>0.52</v>
      </c>
      <c r="AM74" s="207" t="str">
        <f t="shared" si="32"/>
        <v>Not cost-effective</v>
      </c>
      <c r="AN74" s="205">
        <f>IFERROR(VLOOKUP(G74,woods,6,FALSE),"")</f>
        <v>0.38924930491195553</v>
      </c>
      <c r="AO74" s="195" t="str">
        <f t="shared" si="33"/>
        <v>Not cost-effective</v>
      </c>
      <c r="AP74" s="205">
        <f>IFERROR(VLOOKUP(G74,woods,5,FALSE),"")</f>
        <v>1.8535681186283598E-2</v>
      </c>
      <c r="AQ74" s="195" t="str">
        <f t="shared" si="34"/>
        <v>Not cost-effective</v>
      </c>
      <c r="AR74" s="205">
        <f>IFERROR(VLOOKUP(G74,riviere,8,FALSE),"")</f>
        <v>0.27251348734264769</v>
      </c>
      <c r="AS74" s="195" t="str">
        <f t="shared" si="35"/>
        <v>Not cost-effective</v>
      </c>
      <c r="AT74" s="205">
        <f>IFERROR(VLOOKUP(G74,riviere,7,FALSE),"")</f>
        <v>5.3949370590676442E-2</v>
      </c>
      <c r="AU74" s="195" t="str">
        <f t="shared" si="36"/>
        <v>Not cost-effective</v>
      </c>
      <c r="AV74" s="162" t="s">
        <v>161</v>
      </c>
      <c r="AW74" s="162" t="s">
        <v>162</v>
      </c>
      <c r="AX74" s="210">
        <f t="shared" si="37"/>
        <v>1</v>
      </c>
      <c r="AY74" s="210">
        <f t="shared" si="38"/>
        <v>1</v>
      </c>
      <c r="AZ74" s="197">
        <f t="shared" si="39"/>
        <v>1</v>
      </c>
      <c r="BA74" s="197">
        <f t="shared" si="40"/>
        <v>1</v>
      </c>
      <c r="BB74" s="197">
        <f t="shared" si="41"/>
        <v>1</v>
      </c>
      <c r="BC74" s="197">
        <f t="shared" si="42"/>
        <v>1</v>
      </c>
      <c r="BD74" s="197">
        <f t="shared" si="43"/>
        <v>6</v>
      </c>
      <c r="BE74" s="163" t="s">
        <v>155</v>
      </c>
      <c r="BF74" s="162" t="s">
        <v>156</v>
      </c>
    </row>
    <row r="75" spans="1:58">
      <c r="A75" s="195">
        <f t="shared" si="24"/>
        <v>21</v>
      </c>
      <c r="B75" s="195">
        <f t="shared" si="25"/>
        <v>1</v>
      </c>
      <c r="C75" s="196" t="str">
        <f t="shared" si="23"/>
        <v>2101</v>
      </c>
      <c r="D75" s="159" t="s">
        <v>219</v>
      </c>
      <c r="E75" s="190">
        <v>2011</v>
      </c>
      <c r="F75" s="162" t="s">
        <v>220</v>
      </c>
      <c r="G75" s="162" t="s">
        <v>221</v>
      </c>
      <c r="H75" s="197" t="str">
        <f>IF(VLOOKUP(G75,income,R75-1985,FALSE)="UM","Upper-middle",IF(VLOOKUP(G75,income,R75-1985,FALSE)="LM","Lower-middle",IF(VLOOKUP(G75,income,R75-1985,FALSE)="L","Low")))</f>
        <v>Upper-middle</v>
      </c>
      <c r="I75" s="163">
        <v>0</v>
      </c>
      <c r="J75" s="162" t="s">
        <v>166</v>
      </c>
      <c r="K75" s="162" t="s">
        <v>147</v>
      </c>
      <c r="L75" s="207" t="str">
        <f t="shared" si="26"/>
        <v>PCV10 vs NoVax</v>
      </c>
      <c r="M75" s="162" t="s">
        <v>1552</v>
      </c>
      <c r="N75" s="163" t="s">
        <v>148</v>
      </c>
      <c r="O75" s="162" t="s">
        <v>159</v>
      </c>
      <c r="P75" s="162" t="s">
        <v>150</v>
      </c>
      <c r="Q75" s="162" t="s">
        <v>151</v>
      </c>
      <c r="R75" s="163">
        <v>2009</v>
      </c>
      <c r="S75" s="191">
        <v>20.75</v>
      </c>
      <c r="T75" s="198">
        <f>IF(ISNUMBER(S75),S75/VLOOKUP($Q75,xRates!$A$1:$BL$267,studies!$R75-xRates!$B$1+2,FALSE),"")</f>
        <v>20.75</v>
      </c>
      <c r="V75" s="198" t="str">
        <f>IF(ISNUMBER(U75),U75/VLOOKUP($Q75,xRates!$A$1:$BL$267,studies!$R75-xRates!$B$1+2,FALSE),"")</f>
        <v/>
      </c>
      <c r="W75" s="163">
        <v>0</v>
      </c>
      <c r="X75" s="163">
        <v>0</v>
      </c>
      <c r="Y75" s="163">
        <v>1</v>
      </c>
      <c r="Z75" s="163">
        <v>1</v>
      </c>
      <c r="AA75" s="163">
        <v>1</v>
      </c>
      <c r="AB75" s="163" t="s">
        <v>190</v>
      </c>
      <c r="AC75" s="193">
        <v>8973</v>
      </c>
      <c r="AD75" s="201">
        <f>IF(ISNUMBER(AC75),AC75/VLOOKUP($Q75,xRates!$A$1:$BL$267,studies!$R75-xRates!$B$1+2,FALSE),"")</f>
        <v>8973</v>
      </c>
      <c r="AE75" s="200">
        <f t="shared" si="27"/>
        <v>0</v>
      </c>
      <c r="AF75" s="201">
        <f>VLOOKUP(G75,gdppc,R75-1958,FALSE)</f>
        <v>8184.4</v>
      </c>
      <c r="AG75" s="195" t="str">
        <f t="shared" si="28"/>
        <v>Not cost-effective</v>
      </c>
      <c r="AH75" s="195" t="str">
        <f t="shared" si="29"/>
        <v>Cost-effective</v>
      </c>
      <c r="AI75" s="204">
        <f t="shared" si="30"/>
        <v>1.0963540393920141</v>
      </c>
      <c r="AJ75" s="205">
        <f>IFERROR(VLOOKUP(G75,ochalek,11,FALSE),"")</f>
        <v>0.56000000000000005</v>
      </c>
      <c r="AK75" s="195" t="str">
        <f t="shared" si="31"/>
        <v>Not cost-effective</v>
      </c>
      <c r="AL75" s="205">
        <f>IFERROR(VLOOKUP(G75,ochalek,10,FALSE),"")</f>
        <v>0.37</v>
      </c>
      <c r="AM75" s="207" t="str">
        <f t="shared" si="32"/>
        <v>Not cost-effective</v>
      </c>
      <c r="AN75" s="205" t="str">
        <f>IFERROR(VLOOKUP(G75,woods,6,FALSE),"")</f>
        <v/>
      </c>
      <c r="AO75" s="195" t="str">
        <f t="shared" si="33"/>
        <v>NA</v>
      </c>
      <c r="AP75" s="205" t="str">
        <f>IFERROR(VLOOKUP(G75,woods,5,FALSE),"")</f>
        <v/>
      </c>
      <c r="AQ75" s="195" t="str">
        <f t="shared" si="34"/>
        <v>NA</v>
      </c>
      <c r="AR75" s="205">
        <f>IFERROR(VLOOKUP(G75,riviere,8,FALSE),"")</f>
        <v>1.6478818109738349</v>
      </c>
      <c r="AS75" s="195" t="str">
        <f t="shared" si="35"/>
        <v>Cost-effective</v>
      </c>
      <c r="AT75" s="205">
        <f>IFERROR(VLOOKUP(G75,riviere,7,FALSE),"")</f>
        <v>0.68297921454881216</v>
      </c>
      <c r="AU75" s="195" t="str">
        <f t="shared" si="36"/>
        <v>Not cost-effective</v>
      </c>
      <c r="AV75" s="162" t="s">
        <v>161</v>
      </c>
      <c r="AW75" s="162" t="s">
        <v>162</v>
      </c>
      <c r="AX75" s="210">
        <f t="shared" si="37"/>
        <v>1</v>
      </c>
      <c r="AY75" s="210">
        <f t="shared" si="38"/>
        <v>1</v>
      </c>
      <c r="AZ75" s="197">
        <f t="shared" si="39"/>
        <v>0</v>
      </c>
      <c r="BA75" s="197">
        <f t="shared" si="40"/>
        <v>0</v>
      </c>
      <c r="BB75" s="197">
        <f t="shared" si="41"/>
        <v>0</v>
      </c>
      <c r="BC75" s="197">
        <f t="shared" si="42"/>
        <v>1</v>
      </c>
      <c r="BD75" s="197">
        <f t="shared" si="43"/>
        <v>3</v>
      </c>
      <c r="BE75" s="163" t="s">
        <v>155</v>
      </c>
      <c r="BF75" s="162" t="s">
        <v>170</v>
      </c>
    </row>
    <row r="76" spans="1:58">
      <c r="A76" s="195">
        <f t="shared" si="24"/>
        <v>21</v>
      </c>
      <c r="B76" s="195">
        <f t="shared" si="25"/>
        <v>2</v>
      </c>
      <c r="C76" s="196" t="str">
        <f t="shared" si="23"/>
        <v>2102</v>
      </c>
      <c r="D76" s="159" t="s">
        <v>219</v>
      </c>
      <c r="E76" s="190">
        <v>2011</v>
      </c>
      <c r="F76" s="162" t="s">
        <v>220</v>
      </c>
      <c r="G76" s="162" t="s">
        <v>221</v>
      </c>
      <c r="H76" s="197" t="str">
        <f>IF(VLOOKUP(G76,income,R76-1985,FALSE)="UM","Upper-middle",IF(VLOOKUP(G76,income,R76-1985,FALSE)="LM","Lower-middle",IF(VLOOKUP(G76,income,R76-1985,FALSE)="L","Low")))</f>
        <v>Upper-middle</v>
      </c>
      <c r="I76" s="163">
        <v>0</v>
      </c>
      <c r="J76" s="162" t="s">
        <v>166</v>
      </c>
      <c r="K76" s="162" t="s">
        <v>147</v>
      </c>
      <c r="L76" s="207" t="str">
        <f t="shared" si="26"/>
        <v>PCV10 vs NoVax</v>
      </c>
      <c r="M76" s="162" t="s">
        <v>1552</v>
      </c>
      <c r="N76" s="163" t="s">
        <v>155</v>
      </c>
      <c r="O76" s="162" t="s">
        <v>149</v>
      </c>
      <c r="P76" s="162" t="s">
        <v>150</v>
      </c>
      <c r="Q76" s="162" t="s">
        <v>151</v>
      </c>
      <c r="R76" s="163">
        <v>2009</v>
      </c>
      <c r="S76" s="191">
        <v>20.75</v>
      </c>
      <c r="T76" s="198">
        <f>IF(ISNUMBER(S76),S76/VLOOKUP($Q76,xRates!$A$1:$BL$267,studies!$R76-xRates!$B$1+2,FALSE),"")</f>
        <v>20.75</v>
      </c>
      <c r="V76" s="198" t="str">
        <f>IF(ISNUMBER(U76),U76/VLOOKUP($Q76,xRates!$A$1:$BL$267,studies!$R76-xRates!$B$1+2,FALSE),"")</f>
        <v/>
      </c>
      <c r="W76" s="163">
        <v>0</v>
      </c>
      <c r="X76" s="163">
        <v>0</v>
      </c>
      <c r="Y76" s="163">
        <v>1</v>
      </c>
      <c r="Z76" s="163">
        <v>1</v>
      </c>
      <c r="AA76" s="163">
        <v>1</v>
      </c>
      <c r="AB76" s="163" t="s">
        <v>190</v>
      </c>
      <c r="AC76" s="193">
        <v>8546</v>
      </c>
      <c r="AD76" s="201">
        <f>IF(ISNUMBER(AC76),AC76/VLOOKUP($Q76,xRates!$A$1:$BL$267,studies!$R76-xRates!$B$1+2,FALSE),"")</f>
        <v>8546</v>
      </c>
      <c r="AE76" s="200">
        <f t="shared" si="27"/>
        <v>0</v>
      </c>
      <c r="AF76" s="201">
        <f>VLOOKUP(G76,gdppc,R76-1958,FALSE)</f>
        <v>8184.4</v>
      </c>
      <c r="AG76" s="195" t="str">
        <f t="shared" si="28"/>
        <v>Not cost-effective</v>
      </c>
      <c r="AH76" s="195" t="str">
        <f t="shared" si="29"/>
        <v>Cost-effective</v>
      </c>
      <c r="AI76" s="204">
        <f t="shared" si="30"/>
        <v>1.0441816138018669</v>
      </c>
      <c r="AJ76" s="205">
        <f>IFERROR(VLOOKUP(G76,ochalek,11,FALSE),"")</f>
        <v>0.56000000000000005</v>
      </c>
      <c r="AK76" s="195" t="str">
        <f t="shared" si="31"/>
        <v>Not cost-effective</v>
      </c>
      <c r="AL76" s="205">
        <f>IFERROR(VLOOKUP(G76,ochalek,10,FALSE),"")</f>
        <v>0.37</v>
      </c>
      <c r="AM76" s="207" t="str">
        <f t="shared" si="32"/>
        <v>Not cost-effective</v>
      </c>
      <c r="AN76" s="205" t="str">
        <f>IFERROR(VLOOKUP(G76,woods,6,FALSE),"")</f>
        <v/>
      </c>
      <c r="AO76" s="195" t="str">
        <f t="shared" si="33"/>
        <v>NA</v>
      </c>
      <c r="AP76" s="205" t="str">
        <f>IFERROR(VLOOKUP(G76,woods,5,FALSE),"")</f>
        <v/>
      </c>
      <c r="AQ76" s="195" t="str">
        <f t="shared" si="34"/>
        <v>NA</v>
      </c>
      <c r="AR76" s="205">
        <f>IFERROR(VLOOKUP(G76,riviere,8,FALSE),"")</f>
        <v>1.6478818109738349</v>
      </c>
      <c r="AS76" s="195" t="str">
        <f t="shared" si="35"/>
        <v>Cost-effective</v>
      </c>
      <c r="AT76" s="205">
        <f>IFERROR(VLOOKUP(G76,riviere,7,FALSE),"")</f>
        <v>0.68297921454881216</v>
      </c>
      <c r="AU76" s="195" t="str">
        <f t="shared" si="36"/>
        <v>Not cost-effective</v>
      </c>
      <c r="AV76" s="162" t="s">
        <v>161</v>
      </c>
      <c r="AW76" s="162" t="s">
        <v>162</v>
      </c>
      <c r="AX76" s="210">
        <f t="shared" si="37"/>
        <v>1</v>
      </c>
      <c r="AY76" s="210">
        <f t="shared" si="38"/>
        <v>1</v>
      </c>
      <c r="AZ76" s="197">
        <f t="shared" si="39"/>
        <v>0</v>
      </c>
      <c r="BA76" s="197">
        <f t="shared" si="40"/>
        <v>0</v>
      </c>
      <c r="BB76" s="197">
        <f t="shared" si="41"/>
        <v>0</v>
      </c>
      <c r="BC76" s="197">
        <f t="shared" si="42"/>
        <v>1</v>
      </c>
      <c r="BD76" s="197">
        <f t="shared" si="43"/>
        <v>3</v>
      </c>
      <c r="BE76" s="163" t="s">
        <v>155</v>
      </c>
      <c r="BF76" s="162" t="s">
        <v>170</v>
      </c>
    </row>
    <row r="77" spans="1:58">
      <c r="A77" s="195">
        <f t="shared" si="24"/>
        <v>21</v>
      </c>
      <c r="B77" s="195">
        <f t="shared" si="25"/>
        <v>3</v>
      </c>
      <c r="C77" s="196" t="str">
        <f t="shared" si="23"/>
        <v>2103</v>
      </c>
      <c r="D77" s="159" t="s">
        <v>219</v>
      </c>
      <c r="E77" s="190">
        <v>2011</v>
      </c>
      <c r="F77" s="162" t="s">
        <v>220</v>
      </c>
      <c r="G77" s="162" t="s">
        <v>221</v>
      </c>
      <c r="H77" s="197" t="str">
        <f>IF(VLOOKUP(G77,income,R77-1985,FALSE)="UM","Upper-middle",IF(VLOOKUP(G77,income,R77-1985,FALSE)="LM","Lower-middle",IF(VLOOKUP(G77,income,R77-1985,FALSE)="L","Low")))</f>
        <v>Upper-middle</v>
      </c>
      <c r="I77" s="163">
        <v>0</v>
      </c>
      <c r="J77" s="162" t="s">
        <v>167</v>
      </c>
      <c r="K77" s="162" t="s">
        <v>147</v>
      </c>
      <c r="L77" s="207" t="str">
        <f t="shared" si="26"/>
        <v>PCV13 vs NoVax</v>
      </c>
      <c r="M77" s="162" t="s">
        <v>1552</v>
      </c>
      <c r="N77" s="163" t="s">
        <v>148</v>
      </c>
      <c r="O77" s="162" t="s">
        <v>159</v>
      </c>
      <c r="P77" s="162" t="s">
        <v>150</v>
      </c>
      <c r="Q77" s="162" t="s">
        <v>151</v>
      </c>
      <c r="R77" s="163">
        <v>2009</v>
      </c>
      <c r="S77" s="191">
        <v>20.75</v>
      </c>
      <c r="T77" s="198">
        <f>IF(ISNUMBER(S77),S77/VLOOKUP($Q77,xRates!$A$1:$BL$267,studies!$R77-xRates!$B$1+2,FALSE),"")</f>
        <v>20.75</v>
      </c>
      <c r="V77" s="198" t="str">
        <f>IF(ISNUMBER(U77),U77/VLOOKUP($Q77,xRates!$A$1:$BL$267,studies!$R77-xRates!$B$1+2,FALSE),"")</f>
        <v/>
      </c>
      <c r="W77" s="163">
        <v>0</v>
      </c>
      <c r="X77" s="163">
        <v>0</v>
      </c>
      <c r="Y77" s="163">
        <v>1</v>
      </c>
      <c r="Z77" s="163">
        <v>1</v>
      </c>
      <c r="AA77" s="163">
        <v>1</v>
      </c>
      <c r="AB77" s="163" t="s">
        <v>190</v>
      </c>
      <c r="AC77" s="193">
        <v>10948</v>
      </c>
      <c r="AD77" s="201">
        <f>IF(ISNUMBER(AC77),AC77/VLOOKUP($Q77,xRates!$A$1:$BL$267,studies!$R77-xRates!$B$1+2,FALSE),"")</f>
        <v>10948</v>
      </c>
      <c r="AE77" s="200">
        <f t="shared" si="27"/>
        <v>0</v>
      </c>
      <c r="AF77" s="201">
        <f>VLOOKUP(G77,gdppc,R77-1958,FALSE)</f>
        <v>8184.4</v>
      </c>
      <c r="AG77" s="195" t="str">
        <f t="shared" si="28"/>
        <v>Not cost-effective</v>
      </c>
      <c r="AH77" s="195" t="str">
        <f t="shared" si="29"/>
        <v>Cost-effective</v>
      </c>
      <c r="AI77" s="204">
        <f t="shared" si="30"/>
        <v>1.3376667807047555</v>
      </c>
      <c r="AJ77" s="205">
        <f>IFERROR(VLOOKUP(G77,ochalek,11,FALSE),"")</f>
        <v>0.56000000000000005</v>
      </c>
      <c r="AK77" s="195" t="str">
        <f t="shared" si="31"/>
        <v>Not cost-effective</v>
      </c>
      <c r="AL77" s="205">
        <f>IFERROR(VLOOKUP(G77,ochalek,10,FALSE),"")</f>
        <v>0.37</v>
      </c>
      <c r="AM77" s="207" t="str">
        <f t="shared" si="32"/>
        <v>Not cost-effective</v>
      </c>
      <c r="AN77" s="205" t="str">
        <f>IFERROR(VLOOKUP(G77,woods,6,FALSE),"")</f>
        <v/>
      </c>
      <c r="AO77" s="195" t="str">
        <f t="shared" si="33"/>
        <v>NA</v>
      </c>
      <c r="AP77" s="205" t="str">
        <f>IFERROR(VLOOKUP(G77,woods,5,FALSE),"")</f>
        <v/>
      </c>
      <c r="AQ77" s="195" t="str">
        <f t="shared" si="34"/>
        <v>NA</v>
      </c>
      <c r="AR77" s="205">
        <f>IFERROR(VLOOKUP(G77,riviere,8,FALSE),"")</f>
        <v>1.6478818109738349</v>
      </c>
      <c r="AS77" s="195" t="str">
        <f t="shared" si="35"/>
        <v>Cost-effective</v>
      </c>
      <c r="AT77" s="205">
        <f>IFERROR(VLOOKUP(G77,riviere,7,FALSE),"")</f>
        <v>0.68297921454881216</v>
      </c>
      <c r="AU77" s="195" t="str">
        <f t="shared" si="36"/>
        <v>Not cost-effective</v>
      </c>
      <c r="AV77" s="162" t="s">
        <v>161</v>
      </c>
      <c r="AW77" s="162" t="s">
        <v>162</v>
      </c>
      <c r="AX77" s="210">
        <f t="shared" si="37"/>
        <v>1</v>
      </c>
      <c r="AY77" s="210">
        <f t="shared" si="38"/>
        <v>1</v>
      </c>
      <c r="AZ77" s="197">
        <f t="shared" si="39"/>
        <v>0</v>
      </c>
      <c r="BA77" s="197">
        <f t="shared" si="40"/>
        <v>0</v>
      </c>
      <c r="BB77" s="197">
        <f t="shared" si="41"/>
        <v>0</v>
      </c>
      <c r="BC77" s="197">
        <f t="shared" si="42"/>
        <v>1</v>
      </c>
      <c r="BD77" s="197">
        <f t="shared" si="43"/>
        <v>3</v>
      </c>
      <c r="BE77" s="163" t="s">
        <v>155</v>
      </c>
      <c r="BF77" s="162" t="s">
        <v>170</v>
      </c>
    </row>
    <row r="78" spans="1:58">
      <c r="A78" s="195">
        <f t="shared" si="24"/>
        <v>21</v>
      </c>
      <c r="B78" s="195">
        <f t="shared" si="25"/>
        <v>4</v>
      </c>
      <c r="C78" s="196" t="str">
        <f t="shared" si="23"/>
        <v>2104</v>
      </c>
      <c r="D78" s="159" t="s">
        <v>219</v>
      </c>
      <c r="E78" s="190">
        <v>2011</v>
      </c>
      <c r="F78" s="162" t="s">
        <v>220</v>
      </c>
      <c r="G78" s="162" t="s">
        <v>221</v>
      </c>
      <c r="H78" s="197" t="str">
        <f>IF(VLOOKUP(G78,income,R78-1985,FALSE)="UM","Upper-middle",IF(VLOOKUP(G78,income,R78-1985,FALSE)="LM","Lower-middle",IF(VLOOKUP(G78,income,R78-1985,FALSE)="L","Low")))</f>
        <v>Upper-middle</v>
      </c>
      <c r="I78" s="163">
        <v>0</v>
      </c>
      <c r="J78" s="162" t="s">
        <v>167</v>
      </c>
      <c r="K78" s="162" t="s">
        <v>147</v>
      </c>
      <c r="L78" s="207" t="str">
        <f t="shared" si="26"/>
        <v>PCV13 vs NoVax</v>
      </c>
      <c r="M78" s="162" t="s">
        <v>1552</v>
      </c>
      <c r="N78" s="163" t="s">
        <v>155</v>
      </c>
      <c r="O78" s="162" t="s">
        <v>149</v>
      </c>
      <c r="P78" s="162" t="s">
        <v>150</v>
      </c>
      <c r="Q78" s="162" t="s">
        <v>151</v>
      </c>
      <c r="R78" s="163">
        <v>2009</v>
      </c>
      <c r="S78" s="191">
        <v>20.75</v>
      </c>
      <c r="T78" s="198">
        <f>IF(ISNUMBER(S78),S78/VLOOKUP($Q78,xRates!$A$1:$BL$267,studies!$R78-xRates!$B$1+2,FALSE),"")</f>
        <v>20.75</v>
      </c>
      <c r="V78" s="198" t="str">
        <f>IF(ISNUMBER(U78),U78/VLOOKUP($Q78,xRates!$A$1:$BL$267,studies!$R78-xRates!$B$1+2,FALSE),"")</f>
        <v/>
      </c>
      <c r="W78" s="163">
        <v>0</v>
      </c>
      <c r="X78" s="163">
        <v>0</v>
      </c>
      <c r="Y78" s="163">
        <v>1</v>
      </c>
      <c r="Z78" s="163">
        <v>1</v>
      </c>
      <c r="AA78" s="163">
        <v>1</v>
      </c>
      <c r="AB78" s="163" t="s">
        <v>190</v>
      </c>
      <c r="AC78" s="193">
        <v>10510</v>
      </c>
      <c r="AD78" s="201">
        <f>IF(ISNUMBER(AC78),AC78/VLOOKUP($Q78,xRates!$A$1:$BL$267,studies!$R78-xRates!$B$1+2,FALSE),"")</f>
        <v>10510</v>
      </c>
      <c r="AE78" s="200">
        <f t="shared" si="27"/>
        <v>0</v>
      </c>
      <c r="AF78" s="201">
        <f>VLOOKUP(G78,gdppc,R78-1958,FALSE)</f>
        <v>8184.4</v>
      </c>
      <c r="AG78" s="195" t="str">
        <f t="shared" si="28"/>
        <v>Not cost-effective</v>
      </c>
      <c r="AH78" s="195" t="str">
        <f t="shared" si="29"/>
        <v>Cost-effective</v>
      </c>
      <c r="AI78" s="204">
        <f t="shared" si="30"/>
        <v>1.2841503347832461</v>
      </c>
      <c r="AJ78" s="205">
        <f>IFERROR(VLOOKUP(G78,ochalek,11,FALSE),"")</f>
        <v>0.56000000000000005</v>
      </c>
      <c r="AK78" s="195" t="str">
        <f t="shared" si="31"/>
        <v>Not cost-effective</v>
      </c>
      <c r="AL78" s="205">
        <f>IFERROR(VLOOKUP(G78,ochalek,10,FALSE),"")</f>
        <v>0.37</v>
      </c>
      <c r="AM78" s="207" t="str">
        <f t="shared" si="32"/>
        <v>Not cost-effective</v>
      </c>
      <c r="AN78" s="205" t="str">
        <f>IFERROR(VLOOKUP(G78,woods,6,FALSE),"")</f>
        <v/>
      </c>
      <c r="AO78" s="195" t="str">
        <f t="shared" si="33"/>
        <v>NA</v>
      </c>
      <c r="AP78" s="205" t="str">
        <f>IFERROR(VLOOKUP(G78,woods,5,FALSE),"")</f>
        <v/>
      </c>
      <c r="AQ78" s="195" t="str">
        <f t="shared" si="34"/>
        <v>NA</v>
      </c>
      <c r="AR78" s="205">
        <f>IFERROR(VLOOKUP(G78,riviere,8,FALSE),"")</f>
        <v>1.6478818109738349</v>
      </c>
      <c r="AS78" s="195" t="str">
        <f t="shared" si="35"/>
        <v>Cost-effective</v>
      </c>
      <c r="AT78" s="205">
        <f>IFERROR(VLOOKUP(G78,riviere,7,FALSE),"")</f>
        <v>0.68297921454881216</v>
      </c>
      <c r="AU78" s="195" t="str">
        <f t="shared" si="36"/>
        <v>Not cost-effective</v>
      </c>
      <c r="AV78" s="162" t="s">
        <v>161</v>
      </c>
      <c r="AW78" s="162" t="s">
        <v>162</v>
      </c>
      <c r="AX78" s="210">
        <f t="shared" si="37"/>
        <v>1</v>
      </c>
      <c r="AY78" s="210">
        <f t="shared" si="38"/>
        <v>1</v>
      </c>
      <c r="AZ78" s="197">
        <f t="shared" si="39"/>
        <v>0</v>
      </c>
      <c r="BA78" s="197">
        <f t="shared" si="40"/>
        <v>0</v>
      </c>
      <c r="BB78" s="197">
        <f t="shared" si="41"/>
        <v>0</v>
      </c>
      <c r="BC78" s="197">
        <f t="shared" si="42"/>
        <v>1</v>
      </c>
      <c r="BD78" s="197">
        <f t="shared" si="43"/>
        <v>3</v>
      </c>
      <c r="BE78" s="163" t="s">
        <v>155</v>
      </c>
      <c r="BF78" s="162" t="s">
        <v>170</v>
      </c>
    </row>
    <row r="79" spans="1:58">
      <c r="A79" s="195">
        <f t="shared" si="24"/>
        <v>21</v>
      </c>
      <c r="B79" s="195">
        <f t="shared" si="25"/>
        <v>5</v>
      </c>
      <c r="C79" s="196" t="str">
        <f t="shared" si="23"/>
        <v>2105</v>
      </c>
      <c r="D79" s="159" t="s">
        <v>219</v>
      </c>
      <c r="E79" s="190">
        <v>2011</v>
      </c>
      <c r="F79" s="162" t="s">
        <v>220</v>
      </c>
      <c r="G79" s="162" t="s">
        <v>221</v>
      </c>
      <c r="H79" s="197" t="str">
        <f>IF(VLOOKUP(G79,income,R79-1985,FALSE)="UM","Upper-middle",IF(VLOOKUP(G79,income,R79-1985,FALSE)="LM","Lower-middle",IF(VLOOKUP(G79,income,R79-1985,FALSE)="L","Low")))</f>
        <v>Upper-middle</v>
      </c>
      <c r="I79" s="163">
        <v>0</v>
      </c>
      <c r="J79" s="162" t="s">
        <v>167</v>
      </c>
      <c r="K79" s="162" t="s">
        <v>166</v>
      </c>
      <c r="L79" s="207" t="str">
        <f t="shared" si="26"/>
        <v>PCV13 vs PCV10</v>
      </c>
      <c r="M79" s="162" t="s">
        <v>1552</v>
      </c>
      <c r="N79" s="163" t="s">
        <v>148</v>
      </c>
      <c r="O79" s="162" t="s">
        <v>159</v>
      </c>
      <c r="P79" s="162" t="s">
        <v>150</v>
      </c>
      <c r="Q79" s="162" t="s">
        <v>151</v>
      </c>
      <c r="R79" s="163">
        <v>2009</v>
      </c>
      <c r="S79" s="191">
        <v>20.75</v>
      </c>
      <c r="T79" s="198">
        <f>IF(ISNUMBER(S79),S79/VLOOKUP($Q79,xRates!$A$1:$BL$267,studies!$R79-xRates!$B$1+2,FALSE),"")</f>
        <v>20.75</v>
      </c>
      <c r="U79" s="163">
        <v>20.75</v>
      </c>
      <c r="V79" s="198">
        <f>IF(ISNUMBER(U79),U79/VLOOKUP($Q79,xRates!$A$1:$BL$267,studies!$R79-xRates!$B$1+2,FALSE),"")</f>
        <v>20.75</v>
      </c>
      <c r="W79" s="163">
        <v>0</v>
      </c>
      <c r="X79" s="163">
        <v>0</v>
      </c>
      <c r="Y79" s="163">
        <v>1</v>
      </c>
      <c r="Z79" s="163">
        <v>1</v>
      </c>
      <c r="AA79" s="163">
        <v>1</v>
      </c>
      <c r="AB79" s="163" t="s">
        <v>190</v>
      </c>
      <c r="AC79" s="193">
        <v>28147</v>
      </c>
      <c r="AD79" s="201">
        <f>IF(ISNUMBER(AC79),AC79/VLOOKUP($Q79,xRates!$A$1:$BL$267,studies!$R79-xRates!$B$1+2,FALSE),"")</f>
        <v>28147</v>
      </c>
      <c r="AE79" s="200">
        <f t="shared" si="27"/>
        <v>0</v>
      </c>
      <c r="AF79" s="201">
        <f>VLOOKUP(G79,gdppc,R79-1958,FALSE)</f>
        <v>8184.4</v>
      </c>
      <c r="AG79" s="195" t="str">
        <f t="shared" si="28"/>
        <v>Not cost-effective</v>
      </c>
      <c r="AH79" s="195" t="str">
        <f t="shared" si="29"/>
        <v>Not cost-effective</v>
      </c>
      <c r="AI79" s="204">
        <f t="shared" si="30"/>
        <v>3.4391036606226479</v>
      </c>
      <c r="AJ79" s="205">
        <f>IFERROR(VLOOKUP(G79,ochalek,11,FALSE),"")</f>
        <v>0.56000000000000005</v>
      </c>
      <c r="AK79" s="195" t="str">
        <f t="shared" si="31"/>
        <v>Not cost-effective</v>
      </c>
      <c r="AL79" s="205">
        <f>IFERROR(VLOOKUP(G79,ochalek,10,FALSE),"")</f>
        <v>0.37</v>
      </c>
      <c r="AM79" s="207" t="str">
        <f t="shared" si="32"/>
        <v>Not cost-effective</v>
      </c>
      <c r="AN79" s="205" t="str">
        <f>IFERROR(VLOOKUP(G79,woods,6,FALSE),"")</f>
        <v/>
      </c>
      <c r="AO79" s="195" t="str">
        <f t="shared" si="33"/>
        <v>NA</v>
      </c>
      <c r="AP79" s="205" t="str">
        <f>IFERROR(VLOOKUP(G79,woods,5,FALSE),"")</f>
        <v/>
      </c>
      <c r="AQ79" s="195" t="str">
        <f t="shared" si="34"/>
        <v>NA</v>
      </c>
      <c r="AR79" s="205">
        <f>IFERROR(VLOOKUP(G79,riviere,8,FALSE),"")</f>
        <v>1.6478818109738349</v>
      </c>
      <c r="AS79" s="195" t="str">
        <f t="shared" si="35"/>
        <v>Not cost-effective</v>
      </c>
      <c r="AT79" s="205">
        <f>IFERROR(VLOOKUP(G79,riviere,7,FALSE),"")</f>
        <v>0.68297921454881216</v>
      </c>
      <c r="AU79" s="195" t="str">
        <f t="shared" si="36"/>
        <v>Not cost-effective</v>
      </c>
      <c r="AV79" s="162" t="s">
        <v>161</v>
      </c>
      <c r="AW79" s="162" t="s">
        <v>162</v>
      </c>
      <c r="AX79" s="210">
        <f t="shared" si="37"/>
        <v>1</v>
      </c>
      <c r="AY79" s="210">
        <f t="shared" si="38"/>
        <v>1</v>
      </c>
      <c r="AZ79" s="197">
        <f t="shared" si="39"/>
        <v>0</v>
      </c>
      <c r="BA79" s="197">
        <f t="shared" si="40"/>
        <v>0</v>
      </c>
      <c r="BB79" s="197">
        <f t="shared" si="41"/>
        <v>1</v>
      </c>
      <c r="BC79" s="197">
        <f t="shared" si="42"/>
        <v>1</v>
      </c>
      <c r="BD79" s="197">
        <f t="shared" si="43"/>
        <v>4</v>
      </c>
      <c r="BE79" s="163" t="s">
        <v>155</v>
      </c>
      <c r="BF79" s="162" t="s">
        <v>170</v>
      </c>
    </row>
    <row r="80" spans="1:58">
      <c r="A80" s="195">
        <f t="shared" si="24"/>
        <v>21</v>
      </c>
      <c r="B80" s="195">
        <f t="shared" si="25"/>
        <v>6</v>
      </c>
      <c r="C80" s="196" t="str">
        <f t="shared" si="23"/>
        <v>2106</v>
      </c>
      <c r="D80" s="159" t="s">
        <v>219</v>
      </c>
      <c r="E80" s="190">
        <v>2011</v>
      </c>
      <c r="F80" s="162" t="s">
        <v>220</v>
      </c>
      <c r="G80" s="162" t="s">
        <v>221</v>
      </c>
      <c r="H80" s="197" t="str">
        <f>IF(VLOOKUP(G80,income,R80-1985,FALSE)="UM","Upper-middle",IF(VLOOKUP(G80,income,R80-1985,FALSE)="LM","Lower-middle",IF(VLOOKUP(G80,income,R80-1985,FALSE)="L","Low")))</f>
        <v>Upper-middle</v>
      </c>
      <c r="I80" s="163">
        <v>0</v>
      </c>
      <c r="J80" s="162" t="s">
        <v>167</v>
      </c>
      <c r="K80" s="162" t="s">
        <v>166</v>
      </c>
      <c r="L80" s="207" t="str">
        <f t="shared" si="26"/>
        <v>PCV13 vs PCV10</v>
      </c>
      <c r="M80" s="162" t="s">
        <v>1552</v>
      </c>
      <c r="N80" s="163" t="s">
        <v>155</v>
      </c>
      <c r="O80" s="162" t="s">
        <v>149</v>
      </c>
      <c r="P80" s="162" t="s">
        <v>150</v>
      </c>
      <c r="Q80" s="162" t="s">
        <v>151</v>
      </c>
      <c r="R80" s="163">
        <v>2009</v>
      </c>
      <c r="S80" s="191">
        <v>20.75</v>
      </c>
      <c r="T80" s="198">
        <f>IF(ISNUMBER(S80),S80/VLOOKUP($Q80,xRates!$A$1:$BL$267,studies!$R80-xRates!$B$1+2,FALSE),"")</f>
        <v>20.75</v>
      </c>
      <c r="U80" s="163">
        <v>20.75</v>
      </c>
      <c r="V80" s="198">
        <f>IF(ISNUMBER(U80),U80/VLOOKUP($Q80,xRates!$A$1:$BL$267,studies!$R80-xRates!$B$1+2,FALSE),"")</f>
        <v>20.75</v>
      </c>
      <c r="W80" s="163">
        <v>0</v>
      </c>
      <c r="X80" s="163">
        <v>0</v>
      </c>
      <c r="Y80" s="163">
        <v>1</v>
      </c>
      <c r="Z80" s="163">
        <v>1</v>
      </c>
      <c r="AA80" s="163">
        <v>1</v>
      </c>
      <c r="AB80" s="163" t="s">
        <v>190</v>
      </c>
      <c r="AC80" s="193">
        <v>27614</v>
      </c>
      <c r="AD80" s="201">
        <f>IF(ISNUMBER(AC80),AC80/VLOOKUP($Q80,xRates!$A$1:$BL$267,studies!$R80-xRates!$B$1+2,FALSE),"")</f>
        <v>27614</v>
      </c>
      <c r="AE80" s="200">
        <f t="shared" si="27"/>
        <v>0</v>
      </c>
      <c r="AF80" s="201">
        <f>VLOOKUP(G80,gdppc,R80-1958,FALSE)</f>
        <v>8184.4</v>
      </c>
      <c r="AG80" s="195" t="str">
        <f t="shared" si="28"/>
        <v>Not cost-effective</v>
      </c>
      <c r="AH80" s="195" t="str">
        <f t="shared" si="29"/>
        <v>Not cost-effective</v>
      </c>
      <c r="AI80" s="204">
        <f t="shared" si="30"/>
        <v>3.3739797663848297</v>
      </c>
      <c r="AJ80" s="205">
        <f>IFERROR(VLOOKUP(G80,ochalek,11,FALSE),"")</f>
        <v>0.56000000000000005</v>
      </c>
      <c r="AK80" s="195" t="str">
        <f t="shared" si="31"/>
        <v>Not cost-effective</v>
      </c>
      <c r="AL80" s="205">
        <f>IFERROR(VLOOKUP(G80,ochalek,10,FALSE),"")</f>
        <v>0.37</v>
      </c>
      <c r="AM80" s="207" t="str">
        <f t="shared" si="32"/>
        <v>Not cost-effective</v>
      </c>
      <c r="AN80" s="205" t="str">
        <f>IFERROR(VLOOKUP(G80,woods,6,FALSE),"")</f>
        <v/>
      </c>
      <c r="AO80" s="195" t="str">
        <f t="shared" si="33"/>
        <v>NA</v>
      </c>
      <c r="AP80" s="205" t="str">
        <f>IFERROR(VLOOKUP(G80,woods,5,FALSE),"")</f>
        <v/>
      </c>
      <c r="AQ80" s="195" t="str">
        <f t="shared" si="34"/>
        <v>NA</v>
      </c>
      <c r="AR80" s="205">
        <f>IFERROR(VLOOKUP(G80,riviere,8,FALSE),"")</f>
        <v>1.6478818109738349</v>
      </c>
      <c r="AS80" s="195" t="str">
        <f t="shared" si="35"/>
        <v>Not cost-effective</v>
      </c>
      <c r="AT80" s="205">
        <f>IFERROR(VLOOKUP(G80,riviere,7,FALSE),"")</f>
        <v>0.68297921454881216</v>
      </c>
      <c r="AU80" s="195" t="str">
        <f t="shared" si="36"/>
        <v>Not cost-effective</v>
      </c>
      <c r="AV80" s="162" t="s">
        <v>161</v>
      </c>
      <c r="AW80" s="162" t="s">
        <v>162</v>
      </c>
      <c r="AX80" s="210">
        <f t="shared" si="37"/>
        <v>1</v>
      </c>
      <c r="AY80" s="210">
        <f t="shared" si="38"/>
        <v>1</v>
      </c>
      <c r="AZ80" s="197">
        <f t="shared" si="39"/>
        <v>0</v>
      </c>
      <c r="BA80" s="197">
        <f t="shared" si="40"/>
        <v>0</v>
      </c>
      <c r="BB80" s="197">
        <f t="shared" si="41"/>
        <v>1</v>
      </c>
      <c r="BC80" s="197">
        <f t="shared" si="42"/>
        <v>1</v>
      </c>
      <c r="BD80" s="197">
        <f t="shared" si="43"/>
        <v>4</v>
      </c>
      <c r="BE80" s="163" t="s">
        <v>155</v>
      </c>
      <c r="BF80" s="162" t="s">
        <v>170</v>
      </c>
    </row>
    <row r="81" spans="1:58">
      <c r="A81" s="195">
        <f t="shared" si="24"/>
        <v>22</v>
      </c>
      <c r="B81" s="195">
        <f t="shared" si="25"/>
        <v>1</v>
      </c>
      <c r="C81" s="196" t="str">
        <f t="shared" si="23"/>
        <v>2201</v>
      </c>
      <c r="D81" s="159" t="s">
        <v>222</v>
      </c>
      <c r="E81" s="190">
        <v>2011</v>
      </c>
      <c r="F81" s="162" t="s">
        <v>223</v>
      </c>
      <c r="G81" s="162" t="s">
        <v>217</v>
      </c>
      <c r="H81" s="197" t="str">
        <f>IF(VLOOKUP(G81,income,R81-1985,FALSE)="UM","Upper-middle",IF(VLOOKUP(G81,income,R81-1985,FALSE)="LM","Lower-middle",IF(VLOOKUP(G81,income,R81-1985,FALSE)="L","Low")))</f>
        <v>Low</v>
      </c>
      <c r="I81" s="163">
        <v>0</v>
      </c>
      <c r="J81" s="162" t="s">
        <v>218</v>
      </c>
      <c r="K81" s="162" t="s">
        <v>147</v>
      </c>
      <c r="L81" s="207" t="str">
        <f t="shared" si="26"/>
        <v>Others</v>
      </c>
      <c r="M81" s="162" t="s">
        <v>1551</v>
      </c>
      <c r="N81" s="163" t="s">
        <v>148</v>
      </c>
      <c r="O81" s="162" t="s">
        <v>149</v>
      </c>
      <c r="P81" s="162" t="s">
        <v>150</v>
      </c>
      <c r="Q81" s="162" t="s">
        <v>151</v>
      </c>
      <c r="R81" s="163">
        <v>2005</v>
      </c>
      <c r="S81" s="191">
        <v>5</v>
      </c>
      <c r="T81" s="198">
        <f>IF(ISNUMBER(S81),S81/VLOOKUP($Q81,xRates!$A$1:$BL$267,studies!$R81-xRates!$B$1+2,FALSE),"")</f>
        <v>5</v>
      </c>
      <c r="V81" s="198" t="str">
        <f>IF(ISNUMBER(U81),U81/VLOOKUP($Q81,xRates!$A$1:$BL$267,studies!$R81-xRates!$B$1+2,FALSE),"")</f>
        <v/>
      </c>
      <c r="W81" s="163">
        <v>0</v>
      </c>
      <c r="X81" s="163">
        <v>0</v>
      </c>
      <c r="Y81" s="163">
        <v>1</v>
      </c>
      <c r="Z81" s="163">
        <v>1</v>
      </c>
      <c r="AA81" s="163">
        <v>0</v>
      </c>
      <c r="AB81" s="163" t="s">
        <v>190</v>
      </c>
      <c r="AC81" s="193">
        <v>26</v>
      </c>
      <c r="AD81" s="201">
        <f>IF(ISNUMBER(AC81),AC81/VLOOKUP($Q81,xRates!$A$1:$BL$267,studies!$R81-xRates!$B$1+2,FALSE),"")</f>
        <v>26</v>
      </c>
      <c r="AE81" s="200">
        <f t="shared" si="27"/>
        <v>0</v>
      </c>
      <c r="AF81" s="201">
        <f>VLOOKUP(G81,gdppc,R81-1958,FALSE)</f>
        <v>619</v>
      </c>
      <c r="AG81" s="195" t="str">
        <f t="shared" si="28"/>
        <v>Cost-effective</v>
      </c>
      <c r="AH81" s="195" t="str">
        <f t="shared" si="29"/>
        <v>Cost-effective</v>
      </c>
      <c r="AI81" s="204">
        <f t="shared" si="30"/>
        <v>4.2003231017770599E-2</v>
      </c>
      <c r="AJ81" s="205">
        <f>IFERROR(VLOOKUP(G81,ochalek,11,FALSE),"")</f>
        <v>0.69</v>
      </c>
      <c r="AK81" s="195" t="str">
        <f t="shared" si="31"/>
        <v>Cost-effective</v>
      </c>
      <c r="AL81" s="205">
        <f>IFERROR(VLOOKUP(G81,ochalek,10,FALSE),"")</f>
        <v>0.52</v>
      </c>
      <c r="AM81" s="207" t="str">
        <f t="shared" si="32"/>
        <v>Cost-effective</v>
      </c>
      <c r="AN81" s="205">
        <f>IFERROR(VLOOKUP(G81,woods,6,FALSE),"")</f>
        <v>0.38924930491195553</v>
      </c>
      <c r="AO81" s="195" t="str">
        <f t="shared" si="33"/>
        <v>Cost-effective</v>
      </c>
      <c r="AP81" s="205">
        <f>IFERROR(VLOOKUP(G81,woods,5,FALSE),"")</f>
        <v>1.8535681186283598E-2</v>
      </c>
      <c r="AQ81" s="195" t="str">
        <f t="shared" si="34"/>
        <v>Not cost-effective</v>
      </c>
      <c r="AR81" s="205">
        <f>IFERROR(VLOOKUP(G81,riviere,8,FALSE),"")</f>
        <v>0.27251348734264769</v>
      </c>
      <c r="AS81" s="195" t="str">
        <f t="shared" si="35"/>
        <v>Cost-effective</v>
      </c>
      <c r="AT81" s="205">
        <f>IFERROR(VLOOKUP(G81,riviere,7,FALSE),"")</f>
        <v>5.3949370590676442E-2</v>
      </c>
      <c r="AU81" s="195" t="str">
        <f t="shared" si="36"/>
        <v>Cost-effective</v>
      </c>
      <c r="AV81" s="162" t="s">
        <v>176</v>
      </c>
      <c r="AW81" s="162" t="s">
        <v>162</v>
      </c>
      <c r="AX81" s="210">
        <f t="shared" si="37"/>
        <v>0</v>
      </c>
      <c r="AY81" s="210">
        <f t="shared" si="38"/>
        <v>0</v>
      </c>
      <c r="AZ81" s="197">
        <f t="shared" si="39"/>
        <v>0</v>
      </c>
      <c r="BA81" s="197">
        <f t="shared" si="40"/>
        <v>1</v>
      </c>
      <c r="BB81" s="197">
        <f t="shared" si="41"/>
        <v>0</v>
      </c>
      <c r="BC81" s="197">
        <f t="shared" si="42"/>
        <v>0</v>
      </c>
      <c r="BD81" s="197">
        <f t="shared" si="43"/>
        <v>1</v>
      </c>
      <c r="BE81" s="163" t="s">
        <v>148</v>
      </c>
      <c r="BF81" s="162" t="s">
        <v>170</v>
      </c>
    </row>
    <row r="82" spans="1:58">
      <c r="A82" s="195">
        <f t="shared" si="24"/>
        <v>23</v>
      </c>
      <c r="B82" s="195">
        <f t="shared" si="25"/>
        <v>1</v>
      </c>
      <c r="C82" s="196" t="str">
        <f t="shared" si="23"/>
        <v>2301</v>
      </c>
      <c r="D82" s="159" t="s">
        <v>224</v>
      </c>
      <c r="E82" s="190">
        <v>2013</v>
      </c>
      <c r="F82" s="162" t="s">
        <v>225</v>
      </c>
      <c r="G82" s="162" t="s">
        <v>226</v>
      </c>
      <c r="H82" s="197" t="str">
        <f>IF(VLOOKUP(G82,income,R82-1985,FALSE)="UM","Upper-middle",IF(VLOOKUP(G82,income,R82-1985,FALSE)="LM","Lower-middle",IF(VLOOKUP(G82,income,R82-1985,FALSE)="L","Low")))</f>
        <v>Low</v>
      </c>
      <c r="I82" s="163">
        <v>0</v>
      </c>
      <c r="J82" s="162" t="s">
        <v>166</v>
      </c>
      <c r="K82" s="162" t="s">
        <v>147</v>
      </c>
      <c r="L82" s="207" t="str">
        <f t="shared" si="26"/>
        <v>PCV10 vs NoVax</v>
      </c>
      <c r="M82" s="162" t="s">
        <v>1553</v>
      </c>
      <c r="N82" s="163" t="s">
        <v>148</v>
      </c>
      <c r="O82" s="162" t="s">
        <v>149</v>
      </c>
      <c r="P82" s="162" t="s">
        <v>150</v>
      </c>
      <c r="Q82" s="162" t="s">
        <v>151</v>
      </c>
      <c r="R82" s="163">
        <v>2010</v>
      </c>
      <c r="S82" s="191">
        <v>3.5</v>
      </c>
      <c r="T82" s="198">
        <f>IF(ISNUMBER(S82),S82/VLOOKUP($Q82,xRates!$A$1:$BL$267,studies!$R82-xRates!$B$1+2,FALSE),"")</f>
        <v>3.5</v>
      </c>
      <c r="V82" s="198" t="str">
        <f>IF(ISNUMBER(U82),U82/VLOOKUP($Q82,xRates!$A$1:$BL$267,studies!$R82-xRates!$B$1+2,FALSE),"")</f>
        <v/>
      </c>
      <c r="W82" s="163">
        <v>0</v>
      </c>
      <c r="X82" s="163">
        <v>0</v>
      </c>
      <c r="Y82" s="163">
        <v>1</v>
      </c>
      <c r="Z82" s="163">
        <v>1</v>
      </c>
      <c r="AA82" s="163">
        <v>0</v>
      </c>
      <c r="AB82" s="163" t="s">
        <v>190</v>
      </c>
      <c r="AC82" s="193">
        <v>59</v>
      </c>
      <c r="AD82" s="201">
        <f>IF(ISNUMBER(AC82),AC82/VLOOKUP($Q82,xRates!$A$1:$BL$267,studies!$R82-xRates!$B$1+2,FALSE),"")</f>
        <v>59</v>
      </c>
      <c r="AE82" s="200">
        <f t="shared" si="27"/>
        <v>0</v>
      </c>
      <c r="AF82" s="201">
        <f>VLOOKUP(G82,gdppc,R82-1958,FALSE)</f>
        <v>1093.5999999999999</v>
      </c>
      <c r="AG82" s="195" t="str">
        <f t="shared" si="28"/>
        <v>Cost-effective</v>
      </c>
      <c r="AH82" s="195" t="str">
        <f t="shared" si="29"/>
        <v>Cost-effective</v>
      </c>
      <c r="AI82" s="204">
        <f t="shared" si="30"/>
        <v>5.3950256035113393E-2</v>
      </c>
      <c r="AJ82" s="205">
        <f>IFERROR(VLOOKUP(G82,ochalek,11,FALSE),"")</f>
        <v>0.47</v>
      </c>
      <c r="AK82" s="195" t="str">
        <f t="shared" si="31"/>
        <v>Cost-effective</v>
      </c>
      <c r="AL82" s="205">
        <f>IFERROR(VLOOKUP(G82,ochalek,10,FALSE),"")</f>
        <v>0.36</v>
      </c>
      <c r="AM82" s="207" t="str">
        <f t="shared" si="32"/>
        <v>Cost-effective</v>
      </c>
      <c r="AN82" s="205">
        <f>IFERROR(VLOOKUP(G82,woods,6,FALSE),"")</f>
        <v>0.37696106914584543</v>
      </c>
      <c r="AO82" s="195" t="str">
        <f t="shared" si="33"/>
        <v>Cost-effective</v>
      </c>
      <c r="AP82" s="205">
        <f>IFERROR(VLOOKUP(G82,woods,5,FALSE),"")</f>
        <v>2.3242300987797792E-2</v>
      </c>
      <c r="AQ82" s="195" t="str">
        <f t="shared" si="34"/>
        <v>Not cost-effective</v>
      </c>
      <c r="AR82" s="205">
        <f>IFERROR(VLOOKUP(G82,riviere,8,FALSE),"")</f>
        <v>0.39388863509466526</v>
      </c>
      <c r="AS82" s="195" t="str">
        <f t="shared" si="35"/>
        <v>Cost-effective</v>
      </c>
      <c r="AT82" s="205">
        <f>IFERROR(VLOOKUP(G82,riviere,7,FALSE),"")</f>
        <v>0.1583675955535252</v>
      </c>
      <c r="AU82" s="195" t="str">
        <f t="shared" si="36"/>
        <v>Cost-effective</v>
      </c>
      <c r="AV82" s="162" t="s">
        <v>176</v>
      </c>
      <c r="AW82" s="162" t="s">
        <v>162</v>
      </c>
      <c r="AX82" s="210">
        <f t="shared" si="37"/>
        <v>0</v>
      </c>
      <c r="AY82" s="210">
        <f t="shared" si="38"/>
        <v>0</v>
      </c>
      <c r="AZ82" s="197">
        <f t="shared" si="39"/>
        <v>0</v>
      </c>
      <c r="BA82" s="197">
        <f t="shared" si="40"/>
        <v>1</v>
      </c>
      <c r="BB82" s="197">
        <f t="shared" si="41"/>
        <v>0</v>
      </c>
      <c r="BC82" s="197">
        <f t="shared" si="42"/>
        <v>0</v>
      </c>
      <c r="BD82" s="197">
        <f t="shared" si="43"/>
        <v>1</v>
      </c>
      <c r="BE82" s="163" t="s">
        <v>155</v>
      </c>
      <c r="BF82" s="162" t="s">
        <v>156</v>
      </c>
    </row>
    <row r="83" spans="1:58">
      <c r="A83" s="195">
        <f t="shared" si="24"/>
        <v>23</v>
      </c>
      <c r="B83" s="195">
        <f t="shared" si="25"/>
        <v>2</v>
      </c>
      <c r="C83" s="196" t="str">
        <f t="shared" si="23"/>
        <v>2302</v>
      </c>
      <c r="D83" s="159" t="s">
        <v>224</v>
      </c>
      <c r="E83" s="190">
        <v>2013</v>
      </c>
      <c r="F83" s="162" t="s">
        <v>225</v>
      </c>
      <c r="G83" s="162" t="s">
        <v>226</v>
      </c>
      <c r="H83" s="197" t="str">
        <f>IF(VLOOKUP(G83,income,R83-1985,FALSE)="UM","Upper-middle",IF(VLOOKUP(G83,income,R83-1985,FALSE)="LM","Lower-middle",IF(VLOOKUP(G83,income,R83-1985,FALSE)="L","Low")))</f>
        <v>Low</v>
      </c>
      <c r="I83" s="163">
        <v>0</v>
      </c>
      <c r="J83" s="162" t="s">
        <v>167</v>
      </c>
      <c r="K83" s="162" t="s">
        <v>147</v>
      </c>
      <c r="L83" s="207" t="str">
        <f t="shared" si="26"/>
        <v>PCV13 vs NoVax</v>
      </c>
      <c r="M83" s="162" t="s">
        <v>1553</v>
      </c>
      <c r="N83" s="163" t="s">
        <v>148</v>
      </c>
      <c r="O83" s="162" t="s">
        <v>149</v>
      </c>
      <c r="P83" s="162" t="s">
        <v>150</v>
      </c>
      <c r="Q83" s="162" t="s">
        <v>151</v>
      </c>
      <c r="R83" s="163">
        <v>2010</v>
      </c>
      <c r="S83" s="191">
        <v>3.5</v>
      </c>
      <c r="T83" s="198">
        <f>IF(ISNUMBER(S83),S83/VLOOKUP($Q83,xRates!$A$1:$BL$267,studies!$R83-xRates!$B$1+2,FALSE),"")</f>
        <v>3.5</v>
      </c>
      <c r="V83" s="198" t="str">
        <f>IF(ISNUMBER(U83),U83/VLOOKUP($Q83,xRates!$A$1:$BL$267,studies!$R83-xRates!$B$1+2,FALSE),"")</f>
        <v/>
      </c>
      <c r="W83" s="163">
        <v>0</v>
      </c>
      <c r="X83" s="163">
        <v>0</v>
      </c>
      <c r="Y83" s="163">
        <v>1</v>
      </c>
      <c r="Z83" s="163">
        <v>1</v>
      </c>
      <c r="AA83" s="163">
        <v>0</v>
      </c>
      <c r="AB83" s="163" t="s">
        <v>190</v>
      </c>
      <c r="AC83" s="193">
        <v>47</v>
      </c>
      <c r="AD83" s="201">
        <f>IF(ISNUMBER(AC83),AC83/VLOOKUP($Q83,xRates!$A$1:$BL$267,studies!$R83-xRates!$B$1+2,FALSE),"")</f>
        <v>47</v>
      </c>
      <c r="AE83" s="200">
        <f t="shared" si="27"/>
        <v>0</v>
      </c>
      <c r="AF83" s="201">
        <f>VLOOKUP(G83,gdppc,R83-1958,FALSE)</f>
        <v>1093.5999999999999</v>
      </c>
      <c r="AG83" s="195" t="str">
        <f t="shared" si="28"/>
        <v>Cost-effective</v>
      </c>
      <c r="AH83" s="195" t="str">
        <f t="shared" si="29"/>
        <v>Cost-effective</v>
      </c>
      <c r="AI83" s="204">
        <f t="shared" si="30"/>
        <v>4.2977322604242869E-2</v>
      </c>
      <c r="AJ83" s="205">
        <f>IFERROR(VLOOKUP(G83,ochalek,11,FALSE),"")</f>
        <v>0.47</v>
      </c>
      <c r="AK83" s="195" t="str">
        <f t="shared" si="31"/>
        <v>Cost-effective</v>
      </c>
      <c r="AL83" s="205">
        <f>IFERROR(VLOOKUP(G83,ochalek,10,FALSE),"")</f>
        <v>0.36</v>
      </c>
      <c r="AM83" s="207" t="str">
        <f t="shared" si="32"/>
        <v>Cost-effective</v>
      </c>
      <c r="AN83" s="205">
        <f>IFERROR(VLOOKUP(G83,woods,6,FALSE),"")</f>
        <v>0.37696106914584543</v>
      </c>
      <c r="AO83" s="195" t="str">
        <f t="shared" si="33"/>
        <v>Cost-effective</v>
      </c>
      <c r="AP83" s="205">
        <f>IFERROR(VLOOKUP(G83,woods,5,FALSE),"")</f>
        <v>2.3242300987797792E-2</v>
      </c>
      <c r="AQ83" s="195" t="str">
        <f t="shared" si="34"/>
        <v>Not cost-effective</v>
      </c>
      <c r="AR83" s="205">
        <f>IFERROR(VLOOKUP(G83,riviere,8,FALSE),"")</f>
        <v>0.39388863509466526</v>
      </c>
      <c r="AS83" s="195" t="str">
        <f t="shared" si="35"/>
        <v>Cost-effective</v>
      </c>
      <c r="AT83" s="205">
        <f>IFERROR(VLOOKUP(G83,riviere,7,FALSE),"")</f>
        <v>0.1583675955535252</v>
      </c>
      <c r="AU83" s="195" t="str">
        <f t="shared" si="36"/>
        <v>Cost-effective</v>
      </c>
      <c r="AV83" s="162" t="s">
        <v>176</v>
      </c>
      <c r="AW83" s="162" t="s">
        <v>162</v>
      </c>
      <c r="AX83" s="210">
        <f t="shared" si="37"/>
        <v>0</v>
      </c>
      <c r="AY83" s="210">
        <f t="shared" si="38"/>
        <v>0</v>
      </c>
      <c r="AZ83" s="197">
        <f t="shared" si="39"/>
        <v>0</v>
      </c>
      <c r="BA83" s="197">
        <f t="shared" si="40"/>
        <v>1</v>
      </c>
      <c r="BB83" s="197">
        <f t="shared" si="41"/>
        <v>0</v>
      </c>
      <c r="BC83" s="197">
        <f t="shared" si="42"/>
        <v>0</v>
      </c>
      <c r="BD83" s="197">
        <f t="shared" si="43"/>
        <v>1</v>
      </c>
      <c r="BE83" s="163" t="s">
        <v>155</v>
      </c>
      <c r="BF83" s="162" t="s">
        <v>156</v>
      </c>
    </row>
    <row r="84" spans="1:58">
      <c r="A84" s="195">
        <f t="shared" si="24"/>
        <v>23</v>
      </c>
      <c r="B84" s="195">
        <f t="shared" si="25"/>
        <v>3</v>
      </c>
      <c r="C84" s="196" t="str">
        <f t="shared" si="23"/>
        <v>2303</v>
      </c>
      <c r="D84" s="159" t="s">
        <v>224</v>
      </c>
      <c r="E84" s="190">
        <v>2013</v>
      </c>
      <c r="F84" s="162" t="s">
        <v>225</v>
      </c>
      <c r="G84" s="162" t="s">
        <v>226</v>
      </c>
      <c r="H84" s="197" t="str">
        <f>IF(VLOOKUP(G84,income,R84-1985,FALSE)="UM","Upper-middle",IF(VLOOKUP(G84,income,R84-1985,FALSE)="LM","Lower-middle",IF(VLOOKUP(G84,income,R84-1985,FALSE)="L","Low")))</f>
        <v>Low</v>
      </c>
      <c r="I84" s="163">
        <v>0</v>
      </c>
      <c r="J84" s="162" t="s">
        <v>166</v>
      </c>
      <c r="K84" s="162" t="s">
        <v>147</v>
      </c>
      <c r="L84" s="207" t="str">
        <f t="shared" si="26"/>
        <v>PCV10 vs NoVax</v>
      </c>
      <c r="M84" s="162" t="s">
        <v>1553</v>
      </c>
      <c r="N84" s="163" t="s">
        <v>155</v>
      </c>
      <c r="O84" s="162" t="s">
        <v>149</v>
      </c>
      <c r="P84" s="162" t="s">
        <v>150</v>
      </c>
      <c r="Q84" s="162" t="s">
        <v>151</v>
      </c>
      <c r="R84" s="163">
        <v>2010</v>
      </c>
      <c r="S84" s="191">
        <v>3.5</v>
      </c>
      <c r="T84" s="198">
        <f>IF(ISNUMBER(S84),S84/VLOOKUP($Q84,xRates!$A$1:$BL$267,studies!$R84-xRates!$B$1+2,FALSE),"")</f>
        <v>3.5</v>
      </c>
      <c r="V84" s="198" t="str">
        <f>IF(ISNUMBER(U84),U84/VLOOKUP($Q84,xRates!$A$1:$BL$267,studies!$R84-xRates!$B$1+2,FALSE),"")</f>
        <v/>
      </c>
      <c r="W84" s="163">
        <v>1</v>
      </c>
      <c r="X84" s="163">
        <v>1</v>
      </c>
      <c r="Y84" s="163">
        <v>1</v>
      </c>
      <c r="Z84" s="163">
        <v>1</v>
      </c>
      <c r="AA84" s="163">
        <v>0</v>
      </c>
      <c r="AB84" s="163" t="s">
        <v>190</v>
      </c>
      <c r="AC84" s="193">
        <v>32</v>
      </c>
      <c r="AD84" s="201">
        <f>IF(ISNUMBER(AC84),AC84/VLOOKUP($Q84,xRates!$A$1:$BL$267,studies!$R84-xRates!$B$1+2,FALSE),"")</f>
        <v>32</v>
      </c>
      <c r="AE84" s="200">
        <f t="shared" si="27"/>
        <v>0</v>
      </c>
      <c r="AF84" s="201">
        <f>VLOOKUP(G84,gdppc,R84-1958,FALSE)</f>
        <v>1093.5999999999999</v>
      </c>
      <c r="AG84" s="195" t="str">
        <f t="shared" si="28"/>
        <v>Cost-effective</v>
      </c>
      <c r="AH84" s="195" t="str">
        <f t="shared" si="29"/>
        <v>Cost-effective</v>
      </c>
      <c r="AI84" s="204">
        <f t="shared" si="30"/>
        <v>2.9261155815654721E-2</v>
      </c>
      <c r="AJ84" s="205">
        <f>IFERROR(VLOOKUP(G84,ochalek,11,FALSE),"")</f>
        <v>0.47</v>
      </c>
      <c r="AK84" s="195" t="str">
        <f t="shared" si="31"/>
        <v>Cost-effective</v>
      </c>
      <c r="AL84" s="205">
        <f>IFERROR(VLOOKUP(G84,ochalek,10,FALSE),"")</f>
        <v>0.36</v>
      </c>
      <c r="AM84" s="207" t="str">
        <f t="shared" si="32"/>
        <v>Cost-effective</v>
      </c>
      <c r="AN84" s="205">
        <f>IFERROR(VLOOKUP(G84,woods,6,FALSE),"")</f>
        <v>0.37696106914584543</v>
      </c>
      <c r="AO84" s="195" t="str">
        <f t="shared" si="33"/>
        <v>Cost-effective</v>
      </c>
      <c r="AP84" s="205">
        <f>IFERROR(VLOOKUP(G84,woods,5,FALSE),"")</f>
        <v>2.3242300987797792E-2</v>
      </c>
      <c r="AQ84" s="195" t="str">
        <f t="shared" si="34"/>
        <v>Not cost-effective</v>
      </c>
      <c r="AR84" s="205">
        <f>IFERROR(VLOOKUP(G84,riviere,8,FALSE),"")</f>
        <v>0.39388863509466526</v>
      </c>
      <c r="AS84" s="195" t="str">
        <f t="shared" si="35"/>
        <v>Cost-effective</v>
      </c>
      <c r="AT84" s="205">
        <f>IFERROR(VLOOKUP(G84,riviere,7,FALSE),"")</f>
        <v>0.1583675955535252</v>
      </c>
      <c r="AU84" s="195" t="str">
        <f t="shared" si="36"/>
        <v>Cost-effective</v>
      </c>
      <c r="AV84" s="162" t="s">
        <v>176</v>
      </c>
      <c r="AW84" s="162" t="s">
        <v>162</v>
      </c>
      <c r="AX84" s="210">
        <f t="shared" si="37"/>
        <v>0</v>
      </c>
      <c r="AY84" s="210">
        <f t="shared" si="38"/>
        <v>0</v>
      </c>
      <c r="AZ84" s="197">
        <f t="shared" si="39"/>
        <v>0</v>
      </c>
      <c r="BA84" s="197">
        <f t="shared" si="40"/>
        <v>1</v>
      </c>
      <c r="BB84" s="197">
        <f t="shared" si="41"/>
        <v>0</v>
      </c>
      <c r="BC84" s="197">
        <f t="shared" si="42"/>
        <v>0</v>
      </c>
      <c r="BD84" s="197">
        <f t="shared" si="43"/>
        <v>1</v>
      </c>
      <c r="BE84" s="163" t="s">
        <v>155</v>
      </c>
      <c r="BF84" s="162" t="s">
        <v>156</v>
      </c>
    </row>
    <row r="85" spans="1:58">
      <c r="A85" s="195">
        <f t="shared" si="24"/>
        <v>23</v>
      </c>
      <c r="B85" s="195">
        <f t="shared" si="25"/>
        <v>4</v>
      </c>
      <c r="C85" s="196" t="str">
        <f t="shared" si="23"/>
        <v>2304</v>
      </c>
      <c r="D85" s="159" t="s">
        <v>224</v>
      </c>
      <c r="E85" s="190">
        <v>2013</v>
      </c>
      <c r="F85" s="162" t="s">
        <v>225</v>
      </c>
      <c r="G85" s="162" t="s">
        <v>226</v>
      </c>
      <c r="H85" s="197" t="str">
        <f>IF(VLOOKUP(G85,income,R85-1985,FALSE)="UM","Upper-middle",IF(VLOOKUP(G85,income,R85-1985,FALSE)="LM","Lower-middle",IF(VLOOKUP(G85,income,R85-1985,FALSE)="L","Low")))</f>
        <v>Low</v>
      </c>
      <c r="I85" s="163">
        <v>0</v>
      </c>
      <c r="J85" s="162" t="s">
        <v>167</v>
      </c>
      <c r="K85" s="162" t="s">
        <v>147</v>
      </c>
      <c r="L85" s="207" t="str">
        <f t="shared" si="26"/>
        <v>PCV13 vs NoVax</v>
      </c>
      <c r="M85" s="162" t="s">
        <v>1553</v>
      </c>
      <c r="N85" s="163" t="s">
        <v>155</v>
      </c>
      <c r="O85" s="162" t="s">
        <v>149</v>
      </c>
      <c r="P85" s="162" t="s">
        <v>150</v>
      </c>
      <c r="Q85" s="162" t="s">
        <v>151</v>
      </c>
      <c r="R85" s="163">
        <v>2010</v>
      </c>
      <c r="S85" s="191">
        <v>3.5</v>
      </c>
      <c r="T85" s="198">
        <f>IF(ISNUMBER(S85),S85/VLOOKUP($Q85,xRates!$A$1:$BL$267,studies!$R85-xRates!$B$1+2,FALSE),"")</f>
        <v>3.5</v>
      </c>
      <c r="V85" s="198" t="str">
        <f>IF(ISNUMBER(U85),U85/VLOOKUP($Q85,xRates!$A$1:$BL$267,studies!$R85-xRates!$B$1+2,FALSE),"")</f>
        <v/>
      </c>
      <c r="W85" s="163">
        <v>1</v>
      </c>
      <c r="X85" s="163">
        <v>1</v>
      </c>
      <c r="Y85" s="163">
        <v>1</v>
      </c>
      <c r="Z85" s="163">
        <v>1</v>
      </c>
      <c r="AA85" s="163">
        <v>0</v>
      </c>
      <c r="AB85" s="163" t="s">
        <v>190</v>
      </c>
      <c r="AC85" s="193">
        <v>25</v>
      </c>
      <c r="AD85" s="201">
        <f>IF(ISNUMBER(AC85),AC85/VLOOKUP($Q85,xRates!$A$1:$BL$267,studies!$R85-xRates!$B$1+2,FALSE),"")</f>
        <v>25</v>
      </c>
      <c r="AE85" s="200">
        <f t="shared" si="27"/>
        <v>0</v>
      </c>
      <c r="AF85" s="201">
        <f>VLOOKUP(G85,gdppc,R85-1958,FALSE)</f>
        <v>1093.5999999999999</v>
      </c>
      <c r="AG85" s="195" t="str">
        <f t="shared" si="28"/>
        <v>Cost-effective</v>
      </c>
      <c r="AH85" s="195" t="str">
        <f t="shared" si="29"/>
        <v>Cost-effective</v>
      </c>
      <c r="AI85" s="204">
        <f t="shared" si="30"/>
        <v>2.286027798098025E-2</v>
      </c>
      <c r="AJ85" s="205">
        <f>IFERROR(VLOOKUP(G85,ochalek,11,FALSE),"")</f>
        <v>0.47</v>
      </c>
      <c r="AK85" s="195" t="str">
        <f t="shared" si="31"/>
        <v>Cost-effective</v>
      </c>
      <c r="AL85" s="205">
        <f>IFERROR(VLOOKUP(G85,ochalek,10,FALSE),"")</f>
        <v>0.36</v>
      </c>
      <c r="AM85" s="207" t="str">
        <f t="shared" si="32"/>
        <v>Cost-effective</v>
      </c>
      <c r="AN85" s="205">
        <f>IFERROR(VLOOKUP(G85,woods,6,FALSE),"")</f>
        <v>0.37696106914584543</v>
      </c>
      <c r="AO85" s="195" t="str">
        <f t="shared" si="33"/>
        <v>Cost-effective</v>
      </c>
      <c r="AP85" s="205">
        <f>IFERROR(VLOOKUP(G85,woods,5,FALSE),"")</f>
        <v>2.3242300987797792E-2</v>
      </c>
      <c r="AQ85" s="195" t="str">
        <f t="shared" si="34"/>
        <v>Cost-effective</v>
      </c>
      <c r="AR85" s="205">
        <f>IFERROR(VLOOKUP(G85,riviere,8,FALSE),"")</f>
        <v>0.39388863509466526</v>
      </c>
      <c r="AS85" s="195" t="str">
        <f t="shared" si="35"/>
        <v>Cost-effective</v>
      </c>
      <c r="AT85" s="205">
        <f>IFERROR(VLOOKUP(G85,riviere,7,FALSE),"")</f>
        <v>0.1583675955535252</v>
      </c>
      <c r="AU85" s="195" t="str">
        <f t="shared" si="36"/>
        <v>Cost-effective</v>
      </c>
      <c r="AV85" s="162" t="s">
        <v>176</v>
      </c>
      <c r="AW85" s="162" t="s">
        <v>162</v>
      </c>
      <c r="AX85" s="210">
        <f t="shared" si="37"/>
        <v>0</v>
      </c>
      <c r="AY85" s="210">
        <f t="shared" si="38"/>
        <v>0</v>
      </c>
      <c r="AZ85" s="197">
        <f t="shared" si="39"/>
        <v>0</v>
      </c>
      <c r="BA85" s="197">
        <f t="shared" si="40"/>
        <v>0</v>
      </c>
      <c r="BB85" s="197">
        <f t="shared" si="41"/>
        <v>0</v>
      </c>
      <c r="BC85" s="197">
        <f t="shared" si="42"/>
        <v>0</v>
      </c>
      <c r="BD85" s="197">
        <f t="shared" si="43"/>
        <v>0</v>
      </c>
      <c r="BE85" s="163" t="s">
        <v>155</v>
      </c>
      <c r="BF85" s="162" t="s">
        <v>156</v>
      </c>
    </row>
    <row r="86" spans="1:58">
      <c r="A86" s="195">
        <f t="shared" si="24"/>
        <v>24</v>
      </c>
      <c r="B86" s="195">
        <f t="shared" si="25"/>
        <v>1</v>
      </c>
      <c r="C86" s="196" t="str">
        <f t="shared" si="23"/>
        <v>2401</v>
      </c>
      <c r="D86" s="159" t="s">
        <v>227</v>
      </c>
      <c r="E86" s="190">
        <v>2015</v>
      </c>
      <c r="F86" s="162" t="s">
        <v>228</v>
      </c>
      <c r="G86" s="162" t="s">
        <v>229</v>
      </c>
      <c r="H86" s="197" t="str">
        <f>IF(VLOOKUP(G86,income,R86-1985,FALSE)="UM","Upper-middle",IF(VLOOKUP(G86,income,R86-1985,FALSE)="LM","Lower-middle",IF(VLOOKUP(G86,income,R86-1985,FALSE)="L","Low")))</f>
        <v>Low</v>
      </c>
      <c r="I86" s="163">
        <v>0</v>
      </c>
      <c r="J86" s="162" t="s">
        <v>166</v>
      </c>
      <c r="K86" s="162" t="s">
        <v>147</v>
      </c>
      <c r="L86" s="207" t="str">
        <f t="shared" si="26"/>
        <v>PCV10 vs NoVax</v>
      </c>
      <c r="M86" s="162" t="s">
        <v>1553</v>
      </c>
      <c r="N86" s="163" t="s">
        <v>148</v>
      </c>
      <c r="O86" s="162" t="s">
        <v>159</v>
      </c>
      <c r="P86" s="162" t="s">
        <v>150</v>
      </c>
      <c r="Q86" s="162" t="s">
        <v>151</v>
      </c>
      <c r="R86" s="163">
        <v>2011</v>
      </c>
      <c r="S86" s="191">
        <v>7</v>
      </c>
      <c r="T86" s="198">
        <f>IF(ISNUMBER(S86),S86/VLOOKUP($Q86,xRates!$A$1:$BL$267,studies!$R86-xRates!$B$1+2,FALSE),"")</f>
        <v>7</v>
      </c>
      <c r="V86" s="198" t="str">
        <f>IF(ISNUMBER(U86),U86/VLOOKUP($Q86,xRates!$A$1:$BL$267,studies!$R86-xRates!$B$1+2,FALSE),"")</f>
        <v/>
      </c>
      <c r="W86" s="163">
        <v>0</v>
      </c>
      <c r="X86" s="163">
        <v>0</v>
      </c>
      <c r="Y86" s="163">
        <v>1</v>
      </c>
      <c r="Z86" s="163">
        <v>0</v>
      </c>
      <c r="AA86" s="163">
        <v>0</v>
      </c>
      <c r="AB86" s="163" t="s">
        <v>190</v>
      </c>
      <c r="AC86" s="193">
        <v>114.84</v>
      </c>
      <c r="AD86" s="201">
        <f>IF(ISNUMBER(AC86),AC86/VLOOKUP($Q86,xRates!$A$1:$BL$267,studies!$R86-xRates!$B$1+2,FALSE),"")</f>
        <v>114.84</v>
      </c>
      <c r="AE86" s="200">
        <f t="shared" si="27"/>
        <v>0</v>
      </c>
      <c r="AF86" s="201">
        <f>VLOOKUP(G86,gdppc,R86-1958,FALSE)</f>
        <v>237.9</v>
      </c>
      <c r="AG86" s="195" t="str">
        <f t="shared" si="28"/>
        <v>Cost-effective</v>
      </c>
      <c r="AH86" s="195" t="str">
        <f t="shared" si="29"/>
        <v>Cost-effective</v>
      </c>
      <c r="AI86" s="204">
        <f t="shared" si="30"/>
        <v>0.48272383354350568</v>
      </c>
      <c r="AJ86" s="205" t="str">
        <f>IFERROR(VLOOKUP(G86,ochalek,11,FALSE),"")</f>
        <v/>
      </c>
      <c r="AK86" s="195" t="str">
        <f t="shared" si="31"/>
        <v>NA</v>
      </c>
      <c r="AL86" s="205" t="str">
        <f>IFERROR(VLOOKUP(G86,ochalek,10,FALSE),"")</f>
        <v/>
      </c>
      <c r="AM86" s="207" t="str">
        <f t="shared" si="32"/>
        <v>NA</v>
      </c>
      <c r="AN86" s="205" t="str">
        <f>IFERROR(VLOOKUP(G86,woods,6,FALSE),"")</f>
        <v/>
      </c>
      <c r="AO86" s="195" t="str">
        <f t="shared" si="33"/>
        <v>NA</v>
      </c>
      <c r="AP86" s="205" t="str">
        <f>IFERROR(VLOOKUP(G86,woods,5,FALSE),"")</f>
        <v/>
      </c>
      <c r="AQ86" s="195" t="str">
        <f t="shared" si="34"/>
        <v>NA</v>
      </c>
      <c r="AR86" s="205" t="str">
        <f>IFERROR(VLOOKUP(G86,riviere,8,FALSE),"")</f>
        <v/>
      </c>
      <c r="AS86" s="195" t="str">
        <f t="shared" si="35"/>
        <v>NA</v>
      </c>
      <c r="AT86" s="205" t="str">
        <f>IFERROR(VLOOKUP(G86,riviere,7,FALSE),"")</f>
        <v/>
      </c>
      <c r="AU86" s="195" t="str">
        <f t="shared" si="36"/>
        <v>NA</v>
      </c>
      <c r="AV86" s="162" t="s">
        <v>161</v>
      </c>
      <c r="AW86" s="162" t="s">
        <v>162</v>
      </c>
      <c r="AX86" s="210">
        <f t="shared" si="37"/>
        <v>0</v>
      </c>
      <c r="AY86" s="210">
        <f t="shared" si="38"/>
        <v>0</v>
      </c>
      <c r="AZ86" s="197">
        <f t="shared" si="39"/>
        <v>0</v>
      </c>
      <c r="BA86" s="197">
        <f t="shared" si="40"/>
        <v>0</v>
      </c>
      <c r="BB86" s="197">
        <f t="shared" si="41"/>
        <v>0</v>
      </c>
      <c r="BC86" s="197">
        <f t="shared" si="42"/>
        <v>0</v>
      </c>
      <c r="BD86" s="197">
        <f t="shared" si="43"/>
        <v>0</v>
      </c>
      <c r="BE86" s="163" t="s">
        <v>155</v>
      </c>
      <c r="BF86" s="162" t="s">
        <v>170</v>
      </c>
    </row>
    <row r="87" spans="1:58">
      <c r="A87" s="195">
        <f t="shared" si="24"/>
        <v>24</v>
      </c>
      <c r="B87" s="195">
        <f t="shared" si="25"/>
        <v>2</v>
      </c>
      <c r="C87" s="196" t="str">
        <f t="shared" si="23"/>
        <v>2402</v>
      </c>
      <c r="D87" s="159" t="s">
        <v>227</v>
      </c>
      <c r="E87" s="190">
        <v>2015</v>
      </c>
      <c r="F87" s="162" t="s">
        <v>228</v>
      </c>
      <c r="G87" s="162" t="s">
        <v>229</v>
      </c>
      <c r="H87" s="197" t="str">
        <f>IF(VLOOKUP(G87,income,R87-1985,FALSE)="UM","Upper-middle",IF(VLOOKUP(G87,income,R87-1985,FALSE)="LM","Lower-middle",IF(VLOOKUP(G87,income,R87-1985,FALSE)="L","Low")))</f>
        <v>Low</v>
      </c>
      <c r="I87" s="163">
        <v>0</v>
      </c>
      <c r="J87" s="162" t="s">
        <v>166</v>
      </c>
      <c r="K87" s="162" t="s">
        <v>147</v>
      </c>
      <c r="L87" s="207" t="str">
        <f t="shared" si="26"/>
        <v>PCV10 vs NoVax</v>
      </c>
      <c r="M87" s="162" t="s">
        <v>1553</v>
      </c>
      <c r="N87" s="163" t="s">
        <v>148</v>
      </c>
      <c r="O87" s="162" t="s">
        <v>159</v>
      </c>
      <c r="P87" s="162" t="s">
        <v>150</v>
      </c>
      <c r="Q87" s="162" t="s">
        <v>151</v>
      </c>
      <c r="R87" s="163">
        <v>2011</v>
      </c>
      <c r="S87" s="191">
        <v>7</v>
      </c>
      <c r="T87" s="198">
        <f>IF(ISNUMBER(S87),S87/VLOOKUP($Q87,xRates!$A$1:$BL$267,studies!$R87-xRates!$B$1+2,FALSE),"")</f>
        <v>7</v>
      </c>
      <c r="V87" s="198" t="str">
        <f>IF(ISNUMBER(U87),U87/VLOOKUP($Q87,xRates!$A$1:$BL$267,studies!$R87-xRates!$B$1+2,FALSE),"")</f>
        <v/>
      </c>
      <c r="W87" s="163">
        <v>0</v>
      </c>
      <c r="X87" s="163">
        <v>0</v>
      </c>
      <c r="Y87" s="163">
        <v>1</v>
      </c>
      <c r="Z87" s="163">
        <v>0</v>
      </c>
      <c r="AA87" s="163">
        <v>0</v>
      </c>
      <c r="AB87" s="163" t="s">
        <v>190</v>
      </c>
      <c r="AC87" s="193">
        <v>161.51</v>
      </c>
      <c r="AD87" s="201">
        <f>IF(ISNUMBER(AC87),AC87/VLOOKUP($Q87,xRates!$A$1:$BL$267,studies!$R87-xRates!$B$1+2,FALSE),"")</f>
        <v>161.51</v>
      </c>
      <c r="AE87" s="200">
        <f t="shared" si="27"/>
        <v>0</v>
      </c>
      <c r="AF87" s="201">
        <f>VLOOKUP(G87,gdppc,R87-1958,FALSE)</f>
        <v>237.9</v>
      </c>
      <c r="AG87" s="195" t="str">
        <f t="shared" si="28"/>
        <v>Cost-effective</v>
      </c>
      <c r="AH87" s="195" t="str">
        <f t="shared" si="29"/>
        <v>Cost-effective</v>
      </c>
      <c r="AI87" s="204">
        <f t="shared" si="30"/>
        <v>0.67889869693148375</v>
      </c>
      <c r="AJ87" s="205" t="str">
        <f>IFERROR(VLOOKUP(G87,ochalek,11,FALSE),"")</f>
        <v/>
      </c>
      <c r="AK87" s="195" t="str">
        <f t="shared" si="31"/>
        <v>NA</v>
      </c>
      <c r="AL87" s="205" t="str">
        <f>IFERROR(VLOOKUP(G87,ochalek,10,FALSE),"")</f>
        <v/>
      </c>
      <c r="AM87" s="207" t="str">
        <f t="shared" si="32"/>
        <v>NA</v>
      </c>
      <c r="AN87" s="205" t="str">
        <f>IFERROR(VLOOKUP(G87,woods,6,FALSE),"")</f>
        <v/>
      </c>
      <c r="AO87" s="195" t="str">
        <f t="shared" si="33"/>
        <v>NA</v>
      </c>
      <c r="AP87" s="205" t="str">
        <f>IFERROR(VLOOKUP(G87,woods,5,FALSE),"")</f>
        <v/>
      </c>
      <c r="AQ87" s="195" t="str">
        <f t="shared" si="34"/>
        <v>NA</v>
      </c>
      <c r="AR87" s="205" t="str">
        <f>IFERROR(VLOOKUP(G87,riviere,8,FALSE),"")</f>
        <v/>
      </c>
      <c r="AS87" s="195" t="str">
        <f t="shared" si="35"/>
        <v>NA</v>
      </c>
      <c r="AT87" s="205" t="str">
        <f>IFERROR(VLOOKUP(G87,riviere,7,FALSE),"")</f>
        <v/>
      </c>
      <c r="AU87" s="195" t="str">
        <f t="shared" si="36"/>
        <v>NA</v>
      </c>
      <c r="AV87" s="162" t="s">
        <v>161</v>
      </c>
      <c r="AW87" s="162" t="s">
        <v>162</v>
      </c>
      <c r="AX87" s="210">
        <f t="shared" si="37"/>
        <v>0</v>
      </c>
      <c r="AY87" s="210">
        <f t="shared" si="38"/>
        <v>0</v>
      </c>
      <c r="AZ87" s="197">
        <f t="shared" si="39"/>
        <v>0</v>
      </c>
      <c r="BA87" s="197">
        <f t="shared" si="40"/>
        <v>0</v>
      </c>
      <c r="BB87" s="197">
        <f t="shared" si="41"/>
        <v>0</v>
      </c>
      <c r="BC87" s="197">
        <f t="shared" si="42"/>
        <v>0</v>
      </c>
      <c r="BD87" s="197">
        <f t="shared" si="43"/>
        <v>0</v>
      </c>
      <c r="BE87" s="163" t="s">
        <v>155</v>
      </c>
      <c r="BF87" s="162" t="s">
        <v>170</v>
      </c>
    </row>
    <row r="88" spans="1:58">
      <c r="A88" s="195">
        <f t="shared" si="24"/>
        <v>25</v>
      </c>
      <c r="B88" s="195">
        <f t="shared" si="25"/>
        <v>1</v>
      </c>
      <c r="C88" s="196" t="str">
        <f t="shared" si="23"/>
        <v>2501</v>
      </c>
      <c r="D88" s="159" t="s">
        <v>230</v>
      </c>
      <c r="E88" s="190">
        <v>2015</v>
      </c>
      <c r="F88" s="162" t="s">
        <v>231</v>
      </c>
      <c r="G88" s="162" t="s">
        <v>232</v>
      </c>
      <c r="H88" s="197" t="str">
        <f>IF(VLOOKUP(G88,income,R88-1985,FALSE)="UM","Upper-middle",IF(VLOOKUP(G88,income,R88-1985,FALSE)="LM","Lower-middle",IF(VLOOKUP(G88,income,R88-1985,FALSE)="L","Low")))</f>
        <v>Lower-middle</v>
      </c>
      <c r="I88" s="163">
        <v>0</v>
      </c>
      <c r="J88" s="162" t="s">
        <v>167</v>
      </c>
      <c r="K88" s="162" t="s">
        <v>147</v>
      </c>
      <c r="L88" s="207" t="str">
        <f t="shared" si="26"/>
        <v>PCV13 vs NoVax</v>
      </c>
      <c r="M88" s="162" t="s">
        <v>1551</v>
      </c>
      <c r="N88" s="163" t="s">
        <v>148</v>
      </c>
      <c r="O88" s="162" t="s">
        <v>159</v>
      </c>
      <c r="P88" s="162" t="s">
        <v>150</v>
      </c>
      <c r="Q88" s="162" t="s">
        <v>151</v>
      </c>
      <c r="R88" s="163">
        <v>2013</v>
      </c>
      <c r="S88" s="191">
        <v>14.24</v>
      </c>
      <c r="T88" s="198">
        <f>IF(ISNUMBER(S88),S88/VLOOKUP($Q88,xRates!$A$1:$BL$267,studies!$R88-xRates!$B$1+2,FALSE),"")</f>
        <v>14.24</v>
      </c>
      <c r="V88" s="198" t="str">
        <f>IF(ISNUMBER(U88),U88/VLOOKUP($Q88,xRates!$A$1:$BL$267,studies!$R88-xRates!$B$1+2,FALSE),"")</f>
        <v/>
      </c>
      <c r="W88" s="163">
        <v>1</v>
      </c>
      <c r="X88" s="163">
        <v>1</v>
      </c>
      <c r="Y88" s="163">
        <v>1</v>
      </c>
      <c r="Z88" s="163">
        <v>1</v>
      </c>
      <c r="AA88" s="163">
        <v>1</v>
      </c>
      <c r="AB88" s="163" t="s">
        <v>190</v>
      </c>
      <c r="AC88" s="193">
        <v>3916</v>
      </c>
      <c r="AD88" s="201">
        <f>IF(ISNUMBER(AC88),AC88/VLOOKUP($Q88,xRates!$A$1:$BL$267,studies!$R88-xRates!$B$1+2,FALSE),"")</f>
        <v>3916</v>
      </c>
      <c r="AE88" s="200">
        <f t="shared" si="27"/>
        <v>0</v>
      </c>
      <c r="AF88" s="201">
        <f>VLOOKUP(G88,gdppc,R88-1958,FALSE)</f>
        <v>3088.9</v>
      </c>
      <c r="AG88" s="195" t="str">
        <f t="shared" si="28"/>
        <v>Not cost-effective</v>
      </c>
      <c r="AH88" s="195" t="str">
        <f t="shared" si="29"/>
        <v>Cost-effective</v>
      </c>
      <c r="AI88" s="204">
        <f t="shared" si="30"/>
        <v>1.2677652238661012</v>
      </c>
      <c r="AJ88" s="205">
        <f>IFERROR(VLOOKUP(G88,ochalek,11,FALSE),"")</f>
        <v>0.41</v>
      </c>
      <c r="AK88" s="195" t="str">
        <f t="shared" si="31"/>
        <v>Not cost-effective</v>
      </c>
      <c r="AL88" s="205">
        <f>IFERROR(VLOOKUP(G88,ochalek,10,FALSE),"")</f>
        <v>0.27</v>
      </c>
      <c r="AM88" s="207" t="str">
        <f t="shared" si="32"/>
        <v>Not cost-effective</v>
      </c>
      <c r="AN88" s="205">
        <f>IFERROR(VLOOKUP(G88,woods,6,FALSE),"")</f>
        <v>0.64521350642623587</v>
      </c>
      <c r="AO88" s="195" t="str">
        <f t="shared" si="33"/>
        <v>Not cost-effective</v>
      </c>
      <c r="AP88" s="205">
        <f>IFERROR(VLOOKUP(G88,woods,5,FALSE),"")</f>
        <v>0.16899219786979183</v>
      </c>
      <c r="AQ88" s="195" t="str">
        <f t="shared" si="34"/>
        <v>Not cost-effective</v>
      </c>
      <c r="AR88" s="205">
        <f>IFERROR(VLOOKUP(G88,riviere,8,FALSE),"")</f>
        <v>0.49249328870181946</v>
      </c>
      <c r="AS88" s="195" t="str">
        <f t="shared" si="35"/>
        <v>Not cost-effective</v>
      </c>
      <c r="AT88" s="205">
        <f>IFERROR(VLOOKUP(G88,riviere,7,FALSE),"")</f>
        <v>0.19819043515725979</v>
      </c>
      <c r="AU88" s="195" t="str">
        <f t="shared" si="36"/>
        <v>Not cost-effective</v>
      </c>
      <c r="AV88" s="162" t="s">
        <v>153</v>
      </c>
      <c r="AW88" s="162" t="s">
        <v>162</v>
      </c>
      <c r="AX88" s="210">
        <f t="shared" si="37"/>
        <v>1</v>
      </c>
      <c r="AY88" s="210">
        <f t="shared" si="38"/>
        <v>1</v>
      </c>
      <c r="AZ88" s="197">
        <f t="shared" si="39"/>
        <v>1</v>
      </c>
      <c r="BA88" s="197">
        <f t="shared" si="40"/>
        <v>1</v>
      </c>
      <c r="BB88" s="197">
        <f t="shared" si="41"/>
        <v>1</v>
      </c>
      <c r="BC88" s="197">
        <f t="shared" si="42"/>
        <v>1</v>
      </c>
      <c r="BD88" s="197">
        <f t="shared" si="43"/>
        <v>6</v>
      </c>
      <c r="BE88" s="163" t="s">
        <v>155</v>
      </c>
      <c r="BF88" s="162" t="s">
        <v>156</v>
      </c>
    </row>
    <row r="89" spans="1:58">
      <c r="A89" s="195">
        <f t="shared" si="24"/>
        <v>26</v>
      </c>
      <c r="B89" s="195">
        <f t="shared" si="25"/>
        <v>1</v>
      </c>
      <c r="C89" s="196" t="str">
        <f t="shared" si="23"/>
        <v>2601</v>
      </c>
      <c r="D89" s="159" t="s">
        <v>56</v>
      </c>
      <c r="E89" s="190">
        <v>2015</v>
      </c>
      <c r="F89" s="162" t="s">
        <v>233</v>
      </c>
      <c r="G89" s="162" t="s">
        <v>234</v>
      </c>
      <c r="H89" s="197" t="str">
        <f>IF(VLOOKUP(G89,income,R89-1985,FALSE)="UM","Upper-middle",IF(VLOOKUP(G89,income,R89-1985,FALSE)="LM","Lower-middle",IF(VLOOKUP(G89,income,R89-1985,FALSE)="L","Low")))</f>
        <v>Upper-middle</v>
      </c>
      <c r="I89" s="163">
        <v>0</v>
      </c>
      <c r="J89" s="162" t="s">
        <v>166</v>
      </c>
      <c r="K89" s="162" t="s">
        <v>147</v>
      </c>
      <c r="L89" s="207" t="str">
        <f t="shared" si="26"/>
        <v>PCV10 vs NoVax</v>
      </c>
      <c r="M89" s="162" t="s">
        <v>1552</v>
      </c>
      <c r="N89" s="163" t="s">
        <v>148</v>
      </c>
      <c r="O89" s="162" t="s">
        <v>159</v>
      </c>
      <c r="P89" s="162" t="s">
        <v>150</v>
      </c>
      <c r="Q89" s="162" t="s">
        <v>151</v>
      </c>
      <c r="R89" s="163">
        <v>2012</v>
      </c>
      <c r="S89" s="191">
        <v>14.24</v>
      </c>
      <c r="T89" s="198">
        <f>IF(ISNUMBER(S89),S89/VLOOKUP($Q89,xRates!$A$1:$BL$267,studies!$R89-xRates!$B$1+2,FALSE),"")</f>
        <v>14.24</v>
      </c>
      <c r="V89" s="198" t="str">
        <f>IF(ISNUMBER(U89),U89/VLOOKUP($Q89,xRates!$A$1:$BL$267,studies!$R89-xRates!$B$1+2,FALSE),"")</f>
        <v/>
      </c>
      <c r="W89" s="163">
        <v>0</v>
      </c>
      <c r="X89" s="163">
        <v>0</v>
      </c>
      <c r="Y89" s="163">
        <v>1</v>
      </c>
      <c r="Z89" s="163">
        <v>1</v>
      </c>
      <c r="AA89" s="163">
        <v>1</v>
      </c>
      <c r="AB89" s="163" t="s">
        <v>190</v>
      </c>
      <c r="AC89" s="193">
        <v>1605</v>
      </c>
      <c r="AD89" s="201">
        <f>IF(ISNUMBER(AC89),AC89/VLOOKUP($Q89,xRates!$A$1:$BL$267,studies!$R89-xRates!$B$1+2,FALSE),"")</f>
        <v>1605</v>
      </c>
      <c r="AE89" s="200">
        <f t="shared" si="27"/>
        <v>0</v>
      </c>
      <c r="AF89" s="201">
        <f>VLOOKUP(G89,gdppc,R89-1958,FALSE)</f>
        <v>6475.7</v>
      </c>
      <c r="AG89" s="195" t="str">
        <f t="shared" si="28"/>
        <v>Cost-effective</v>
      </c>
      <c r="AH89" s="195" t="str">
        <f t="shared" si="29"/>
        <v>Cost-effective</v>
      </c>
      <c r="AI89" s="204">
        <f t="shared" si="30"/>
        <v>0.24784965331933229</v>
      </c>
      <c r="AJ89" s="205">
        <f>IFERROR(VLOOKUP(G89,ochalek,11,FALSE),"")</f>
        <v>1.08</v>
      </c>
      <c r="AK89" s="195" t="str">
        <f t="shared" si="31"/>
        <v>Cost-effective</v>
      </c>
      <c r="AL89" s="205">
        <f>IFERROR(VLOOKUP(G89,ochalek,10,FALSE),"")</f>
        <v>0.64</v>
      </c>
      <c r="AM89" s="207" t="str">
        <f t="shared" si="32"/>
        <v>Cost-effective</v>
      </c>
      <c r="AN89" s="205">
        <f>IFERROR(VLOOKUP(G89,woods,6,FALSE),"")</f>
        <v>0.65445260705966679</v>
      </c>
      <c r="AO89" s="195" t="str">
        <f t="shared" si="33"/>
        <v>Cost-effective</v>
      </c>
      <c r="AP89" s="205">
        <f>IFERROR(VLOOKUP(G89,woods,5,FALSE),"")</f>
        <v>0.16633817117601385</v>
      </c>
      <c r="AQ89" s="195" t="str">
        <f t="shared" si="34"/>
        <v>Not cost-effective</v>
      </c>
      <c r="AR89" s="205">
        <f>IFERROR(VLOOKUP(G89,riviere,8,FALSE),"")</f>
        <v>0.89355279235247609</v>
      </c>
      <c r="AS89" s="195" t="str">
        <f t="shared" si="35"/>
        <v>Cost-effective</v>
      </c>
      <c r="AT89" s="205">
        <f>IFERROR(VLOOKUP(G89,riviere,7,FALSE),"")</f>
        <v>0.37030115719111623</v>
      </c>
      <c r="AU89" s="195" t="str">
        <f t="shared" si="36"/>
        <v>Cost-effective</v>
      </c>
      <c r="AV89" s="162" t="s">
        <v>176</v>
      </c>
      <c r="AW89" s="162" t="s">
        <v>162</v>
      </c>
      <c r="AX89" s="210">
        <f t="shared" si="37"/>
        <v>0</v>
      </c>
      <c r="AY89" s="210">
        <f t="shared" si="38"/>
        <v>0</v>
      </c>
      <c r="AZ89" s="197">
        <f t="shared" si="39"/>
        <v>0</v>
      </c>
      <c r="BA89" s="197">
        <f t="shared" si="40"/>
        <v>1</v>
      </c>
      <c r="BB89" s="197">
        <f t="shared" si="41"/>
        <v>0</v>
      </c>
      <c r="BC89" s="197">
        <f t="shared" si="42"/>
        <v>0</v>
      </c>
      <c r="BD89" s="197">
        <f t="shared" si="43"/>
        <v>1</v>
      </c>
      <c r="BE89" s="163" t="s">
        <v>148</v>
      </c>
      <c r="BF89" s="162" t="s">
        <v>156</v>
      </c>
    </row>
    <row r="90" spans="1:58">
      <c r="A90" s="195">
        <f t="shared" si="24"/>
        <v>26</v>
      </c>
      <c r="B90" s="195">
        <f t="shared" si="25"/>
        <v>2</v>
      </c>
      <c r="C90" s="196" t="str">
        <f t="shared" si="23"/>
        <v>2602</v>
      </c>
      <c r="D90" s="159" t="s">
        <v>56</v>
      </c>
      <c r="E90" s="190">
        <v>2015</v>
      </c>
      <c r="F90" s="162" t="s">
        <v>233</v>
      </c>
      <c r="G90" s="162" t="s">
        <v>234</v>
      </c>
      <c r="H90" s="197" t="str">
        <f>IF(VLOOKUP(G90,income,R90-1985,FALSE)="UM","Upper-middle",IF(VLOOKUP(G90,income,R90-1985,FALSE)="LM","Lower-middle",IF(VLOOKUP(G90,income,R90-1985,FALSE)="L","Low")))</f>
        <v>Upper-middle</v>
      </c>
      <c r="I90" s="163">
        <v>0</v>
      </c>
      <c r="J90" s="162" t="s">
        <v>167</v>
      </c>
      <c r="K90" s="162" t="s">
        <v>147</v>
      </c>
      <c r="L90" s="207" t="str">
        <f t="shared" si="26"/>
        <v>PCV13 vs NoVax</v>
      </c>
      <c r="M90" s="162" t="s">
        <v>1552</v>
      </c>
      <c r="N90" s="163" t="s">
        <v>148</v>
      </c>
      <c r="O90" s="162" t="s">
        <v>159</v>
      </c>
      <c r="P90" s="162" t="s">
        <v>150</v>
      </c>
      <c r="Q90" s="162" t="s">
        <v>151</v>
      </c>
      <c r="R90" s="163">
        <v>2012</v>
      </c>
      <c r="S90" s="191">
        <v>16.34</v>
      </c>
      <c r="T90" s="198">
        <f>IF(ISNUMBER(S90),S90/VLOOKUP($Q90,xRates!$A$1:$BL$267,studies!$R90-xRates!$B$1+2,FALSE),"")</f>
        <v>16.34</v>
      </c>
      <c r="V90" s="198" t="str">
        <f>IF(ISNUMBER(U90),U90/VLOOKUP($Q90,xRates!$A$1:$BL$267,studies!$R90-xRates!$B$1+2,FALSE),"")</f>
        <v/>
      </c>
      <c r="W90" s="163">
        <v>0</v>
      </c>
      <c r="X90" s="163">
        <v>0</v>
      </c>
      <c r="Y90" s="163">
        <v>1</v>
      </c>
      <c r="Z90" s="163">
        <v>1</v>
      </c>
      <c r="AA90" s="163">
        <v>1</v>
      </c>
      <c r="AB90" s="163" t="s">
        <v>190</v>
      </c>
      <c r="AC90" s="193">
        <v>1304</v>
      </c>
      <c r="AD90" s="201">
        <f>IF(ISNUMBER(AC90),AC90/VLOOKUP($Q90,xRates!$A$1:$BL$267,studies!$R90-xRates!$B$1+2,FALSE),"")</f>
        <v>1304</v>
      </c>
      <c r="AE90" s="200">
        <f t="shared" si="27"/>
        <v>0</v>
      </c>
      <c r="AF90" s="201">
        <f>VLOOKUP(G90,gdppc,R90-1958,FALSE)</f>
        <v>6475.7</v>
      </c>
      <c r="AG90" s="195" t="str">
        <f t="shared" si="28"/>
        <v>Cost-effective</v>
      </c>
      <c r="AH90" s="195" t="str">
        <f t="shared" si="29"/>
        <v>Cost-effective</v>
      </c>
      <c r="AI90" s="204">
        <f t="shared" si="30"/>
        <v>0.20136819185570673</v>
      </c>
      <c r="AJ90" s="205">
        <f>IFERROR(VLOOKUP(G90,ochalek,11,FALSE),"")</f>
        <v>1.08</v>
      </c>
      <c r="AK90" s="195" t="str">
        <f t="shared" si="31"/>
        <v>Cost-effective</v>
      </c>
      <c r="AL90" s="205">
        <f>IFERROR(VLOOKUP(G90,ochalek,10,FALSE),"")</f>
        <v>0.64</v>
      </c>
      <c r="AM90" s="207" t="str">
        <f t="shared" si="32"/>
        <v>Cost-effective</v>
      </c>
      <c r="AN90" s="205">
        <f>IFERROR(VLOOKUP(G90,woods,6,FALSE),"")</f>
        <v>0.65445260705966679</v>
      </c>
      <c r="AO90" s="195" t="str">
        <f t="shared" si="33"/>
        <v>Cost-effective</v>
      </c>
      <c r="AP90" s="205">
        <f>IFERROR(VLOOKUP(G90,woods,5,FALSE),"")</f>
        <v>0.16633817117601385</v>
      </c>
      <c r="AQ90" s="195" t="str">
        <f t="shared" si="34"/>
        <v>Not cost-effective</v>
      </c>
      <c r="AR90" s="205">
        <f>IFERROR(VLOOKUP(G90,riviere,8,FALSE),"")</f>
        <v>0.89355279235247609</v>
      </c>
      <c r="AS90" s="195" t="str">
        <f t="shared" si="35"/>
        <v>Cost-effective</v>
      </c>
      <c r="AT90" s="205">
        <f>IFERROR(VLOOKUP(G90,riviere,7,FALSE),"")</f>
        <v>0.37030115719111623</v>
      </c>
      <c r="AU90" s="195" t="str">
        <f t="shared" si="36"/>
        <v>Cost-effective</v>
      </c>
      <c r="AV90" s="162" t="s">
        <v>176</v>
      </c>
      <c r="AW90" s="162" t="s">
        <v>162</v>
      </c>
      <c r="AX90" s="210">
        <f t="shared" si="37"/>
        <v>0</v>
      </c>
      <c r="AY90" s="210">
        <f t="shared" si="38"/>
        <v>0</v>
      </c>
      <c r="AZ90" s="197">
        <f t="shared" si="39"/>
        <v>0</v>
      </c>
      <c r="BA90" s="197">
        <f t="shared" si="40"/>
        <v>1</v>
      </c>
      <c r="BB90" s="197">
        <f t="shared" si="41"/>
        <v>0</v>
      </c>
      <c r="BC90" s="197">
        <f t="shared" si="42"/>
        <v>0</v>
      </c>
      <c r="BD90" s="197">
        <f t="shared" si="43"/>
        <v>1</v>
      </c>
      <c r="BE90" s="163" t="s">
        <v>148</v>
      </c>
      <c r="BF90" s="162" t="s">
        <v>156</v>
      </c>
    </row>
    <row r="91" spans="1:58">
      <c r="A91" s="195">
        <f t="shared" si="24"/>
        <v>26</v>
      </c>
      <c r="B91" s="195">
        <f t="shared" si="25"/>
        <v>3</v>
      </c>
      <c r="C91" s="196" t="str">
        <f t="shared" si="23"/>
        <v>2603</v>
      </c>
      <c r="D91" s="159" t="s">
        <v>56</v>
      </c>
      <c r="E91" s="190">
        <v>2015</v>
      </c>
      <c r="F91" s="162" t="s">
        <v>233</v>
      </c>
      <c r="G91" s="162" t="s">
        <v>234</v>
      </c>
      <c r="H91" s="197" t="str">
        <f>IF(VLOOKUP(G91,income,R91-1985,FALSE)="UM","Upper-middle",IF(VLOOKUP(G91,income,R91-1985,FALSE)="LM","Lower-middle",IF(VLOOKUP(G91,income,R91-1985,FALSE)="L","Low")))</f>
        <v>Upper-middle</v>
      </c>
      <c r="I91" s="163">
        <v>0</v>
      </c>
      <c r="J91" s="162" t="s">
        <v>167</v>
      </c>
      <c r="K91" s="162" t="s">
        <v>166</v>
      </c>
      <c r="L91" s="207" t="str">
        <f t="shared" si="26"/>
        <v>PCV13 vs PCV10</v>
      </c>
      <c r="M91" s="162" t="s">
        <v>1552</v>
      </c>
      <c r="N91" s="163" t="s">
        <v>148</v>
      </c>
      <c r="O91" s="162" t="s">
        <v>159</v>
      </c>
      <c r="P91" s="162" t="s">
        <v>150</v>
      </c>
      <c r="Q91" s="162" t="s">
        <v>151</v>
      </c>
      <c r="R91" s="163">
        <v>2012</v>
      </c>
      <c r="S91" s="191">
        <v>16.34</v>
      </c>
      <c r="T91" s="198">
        <f>IF(ISNUMBER(S91),S91/VLOOKUP($Q91,xRates!$A$1:$BL$267,studies!$R91-xRates!$B$1+2,FALSE),"")</f>
        <v>16.34</v>
      </c>
      <c r="U91" s="163">
        <v>14.24</v>
      </c>
      <c r="V91" s="198">
        <f>IF(ISNUMBER(U91),U91/VLOOKUP($Q91,xRates!$A$1:$BL$267,studies!$R91-xRates!$B$1+2,FALSE),"")</f>
        <v>14.24</v>
      </c>
      <c r="W91" s="163">
        <v>0</v>
      </c>
      <c r="X91" s="163">
        <v>0</v>
      </c>
      <c r="Y91" s="163">
        <v>1</v>
      </c>
      <c r="Z91" s="163">
        <v>1</v>
      </c>
      <c r="AA91" s="163">
        <v>1</v>
      </c>
      <c r="AB91" s="163" t="s">
        <v>190</v>
      </c>
      <c r="AC91" s="193">
        <v>519</v>
      </c>
      <c r="AD91" s="201">
        <f>IF(ISNUMBER(AC91),AC91/VLOOKUP($Q91,xRates!$A$1:$BL$267,studies!$R91-xRates!$B$1+2,FALSE),"")</f>
        <v>519</v>
      </c>
      <c r="AE91" s="200">
        <f t="shared" si="27"/>
        <v>0</v>
      </c>
      <c r="AF91" s="201">
        <f>VLOOKUP(G91,gdppc,R91-1958,FALSE)</f>
        <v>6475.7</v>
      </c>
      <c r="AG91" s="195" t="str">
        <f t="shared" si="28"/>
        <v>Cost-effective</v>
      </c>
      <c r="AH91" s="195" t="str">
        <f t="shared" si="29"/>
        <v>Cost-effective</v>
      </c>
      <c r="AI91" s="204">
        <f t="shared" si="30"/>
        <v>8.0145775746251369E-2</v>
      </c>
      <c r="AJ91" s="205">
        <f>IFERROR(VLOOKUP(G91,ochalek,11,FALSE),"")</f>
        <v>1.08</v>
      </c>
      <c r="AK91" s="195" t="str">
        <f t="shared" si="31"/>
        <v>Cost-effective</v>
      </c>
      <c r="AL91" s="205">
        <f>IFERROR(VLOOKUP(G91,ochalek,10,FALSE),"")</f>
        <v>0.64</v>
      </c>
      <c r="AM91" s="207" t="str">
        <f t="shared" si="32"/>
        <v>Cost-effective</v>
      </c>
      <c r="AN91" s="205">
        <f>IFERROR(VLOOKUP(G91,woods,6,FALSE),"")</f>
        <v>0.65445260705966679</v>
      </c>
      <c r="AO91" s="195" t="str">
        <f t="shared" si="33"/>
        <v>Cost-effective</v>
      </c>
      <c r="AP91" s="205">
        <f>IFERROR(VLOOKUP(G91,woods,5,FALSE),"")</f>
        <v>0.16633817117601385</v>
      </c>
      <c r="AQ91" s="195" t="str">
        <f t="shared" si="34"/>
        <v>Cost-effective</v>
      </c>
      <c r="AR91" s="205">
        <f>IFERROR(VLOOKUP(G91,riviere,8,FALSE),"")</f>
        <v>0.89355279235247609</v>
      </c>
      <c r="AS91" s="195" t="str">
        <f t="shared" si="35"/>
        <v>Cost-effective</v>
      </c>
      <c r="AT91" s="205">
        <f>IFERROR(VLOOKUP(G91,riviere,7,FALSE),"")</f>
        <v>0.37030115719111623</v>
      </c>
      <c r="AU91" s="195" t="str">
        <f t="shared" si="36"/>
        <v>Cost-effective</v>
      </c>
      <c r="AV91" s="162" t="s">
        <v>176</v>
      </c>
      <c r="AW91" s="162" t="s">
        <v>162</v>
      </c>
      <c r="AX91" s="210">
        <f t="shared" si="37"/>
        <v>0</v>
      </c>
      <c r="AY91" s="210">
        <f t="shared" si="38"/>
        <v>0</v>
      </c>
      <c r="AZ91" s="197">
        <f t="shared" si="39"/>
        <v>0</v>
      </c>
      <c r="BA91" s="197">
        <f t="shared" si="40"/>
        <v>0</v>
      </c>
      <c r="BB91" s="197">
        <f t="shared" si="41"/>
        <v>0</v>
      </c>
      <c r="BC91" s="197">
        <f t="shared" si="42"/>
        <v>0</v>
      </c>
      <c r="BD91" s="197">
        <f t="shared" si="43"/>
        <v>0</v>
      </c>
      <c r="BE91" s="163" t="s">
        <v>148</v>
      </c>
      <c r="BF91" s="162" t="s">
        <v>156</v>
      </c>
    </row>
    <row r="92" spans="1:58">
      <c r="A92" s="195">
        <f t="shared" si="24"/>
        <v>27</v>
      </c>
      <c r="B92" s="195">
        <f t="shared" si="25"/>
        <v>1</v>
      </c>
      <c r="C92" s="196" t="str">
        <f t="shared" si="23"/>
        <v>2701</v>
      </c>
      <c r="D92" s="159" t="s">
        <v>227</v>
      </c>
      <c r="E92" s="190">
        <v>2017</v>
      </c>
      <c r="F92" s="162" t="s">
        <v>235</v>
      </c>
      <c r="G92" s="162" t="s">
        <v>236</v>
      </c>
      <c r="H92" s="197" t="str">
        <f>IF(VLOOKUP(G92,income,R92-1985,FALSE)="UM","Upper-middle",IF(VLOOKUP(G92,income,R92-1985,FALSE)="LM","Lower-middle",IF(VLOOKUP(G92,income,R92-1985,FALSE)="L","Low")))</f>
        <v>Lower-middle</v>
      </c>
      <c r="I92" s="163">
        <v>0</v>
      </c>
      <c r="J92" s="162" t="s">
        <v>218</v>
      </c>
      <c r="K92" s="162" t="s">
        <v>147</v>
      </c>
      <c r="L92" s="207" t="str">
        <f t="shared" si="26"/>
        <v>Others</v>
      </c>
      <c r="M92" s="162" t="s">
        <v>1553</v>
      </c>
      <c r="N92" s="163" t="s">
        <v>148</v>
      </c>
      <c r="O92" s="162" t="s">
        <v>159</v>
      </c>
      <c r="P92" s="162" t="s">
        <v>150</v>
      </c>
      <c r="Q92" s="162" t="s">
        <v>151</v>
      </c>
      <c r="R92" s="163">
        <v>2013</v>
      </c>
      <c r="S92" s="191">
        <v>7.97</v>
      </c>
      <c r="T92" s="198">
        <f>IF(ISNUMBER(S92),S92/VLOOKUP($Q92,xRates!$A$1:$BL$267,studies!$R92-xRates!$B$1+2,FALSE),"")</f>
        <v>7.97</v>
      </c>
      <c r="V92" s="198" t="str">
        <f>IF(ISNUMBER(U92),U92/VLOOKUP($Q92,xRates!$A$1:$BL$267,studies!$R92-xRates!$B$1+2,FALSE),"")</f>
        <v/>
      </c>
      <c r="W92" s="163">
        <v>0</v>
      </c>
      <c r="X92" s="163">
        <v>0</v>
      </c>
      <c r="Y92" s="163">
        <v>1</v>
      </c>
      <c r="Z92" s="163">
        <v>0</v>
      </c>
      <c r="AA92" s="163">
        <v>0</v>
      </c>
      <c r="AB92" s="163" t="s">
        <v>190</v>
      </c>
      <c r="AC92" s="193">
        <v>148</v>
      </c>
      <c r="AD92" s="201">
        <f>IF(ISNUMBER(AC92),AC92/VLOOKUP($Q92,xRates!$A$1:$BL$267,studies!$R92-xRates!$B$1+2,FALSE),"")</f>
        <v>148</v>
      </c>
      <c r="AE92" s="200">
        <f t="shared" si="27"/>
        <v>0</v>
      </c>
      <c r="AF92" s="201">
        <f>VLOOKUP(G92,gdppc,R92-1958,FALSE)</f>
        <v>1659.1</v>
      </c>
      <c r="AG92" s="195" t="str">
        <f t="shared" si="28"/>
        <v>Cost-effective</v>
      </c>
      <c r="AH92" s="195" t="str">
        <f t="shared" si="29"/>
        <v>Cost-effective</v>
      </c>
      <c r="AI92" s="204">
        <f t="shared" si="30"/>
        <v>8.9204990657585442E-2</v>
      </c>
      <c r="AJ92" s="205" t="str">
        <f>IFERROR(VLOOKUP(G92,ochalek,11,FALSE),"")</f>
        <v/>
      </c>
      <c r="AK92" s="195" t="str">
        <f t="shared" si="31"/>
        <v>NA</v>
      </c>
      <c r="AL92" s="205" t="str">
        <f>IFERROR(VLOOKUP(G92,ochalek,10,FALSE),"")</f>
        <v/>
      </c>
      <c r="AM92" s="207" t="str">
        <f t="shared" si="32"/>
        <v>NA</v>
      </c>
      <c r="AN92" s="205">
        <f>IFERROR(VLOOKUP(G92,woods,6,FALSE),"")</f>
        <v>0.37188837321439339</v>
      </c>
      <c r="AO92" s="195" t="str">
        <f t="shared" si="33"/>
        <v>Cost-effective</v>
      </c>
      <c r="AP92" s="205">
        <f>IFERROR(VLOOKUP(G92,woods,5,FALSE),"")</f>
        <v>2.4109456934482552E-2</v>
      </c>
      <c r="AQ92" s="195" t="str">
        <f t="shared" si="34"/>
        <v>Not cost-effective</v>
      </c>
      <c r="AR92" s="205" t="str">
        <f>IFERROR(VLOOKUP(G92,riviere,8,FALSE),"")</f>
        <v/>
      </c>
      <c r="AS92" s="195" t="str">
        <f t="shared" si="35"/>
        <v>NA</v>
      </c>
      <c r="AT92" s="205" t="str">
        <f>IFERROR(VLOOKUP(G92,riviere,7,FALSE),"")</f>
        <v/>
      </c>
      <c r="AU92" s="195" t="str">
        <f t="shared" si="36"/>
        <v>NA</v>
      </c>
      <c r="AV92" s="162" t="s">
        <v>176</v>
      </c>
      <c r="AW92" s="162" t="s">
        <v>162</v>
      </c>
      <c r="AX92" s="210">
        <f t="shared" si="37"/>
        <v>0</v>
      </c>
      <c r="AY92" s="210">
        <f t="shared" si="38"/>
        <v>0</v>
      </c>
      <c r="AZ92" s="197">
        <f t="shared" si="39"/>
        <v>0</v>
      </c>
      <c r="BA92" s="197">
        <f t="shared" si="40"/>
        <v>1</v>
      </c>
      <c r="BB92" s="197">
        <f t="shared" si="41"/>
        <v>0</v>
      </c>
      <c r="BC92" s="197">
        <f t="shared" si="42"/>
        <v>0</v>
      </c>
      <c r="BD92" s="197">
        <f t="shared" si="43"/>
        <v>1</v>
      </c>
      <c r="BE92" s="163" t="s">
        <v>155</v>
      </c>
      <c r="BF92" s="162" t="s">
        <v>170</v>
      </c>
    </row>
    <row r="93" spans="1:58">
      <c r="A93" s="195">
        <f t="shared" si="24"/>
        <v>27</v>
      </c>
      <c r="B93" s="195">
        <f t="shared" si="25"/>
        <v>2</v>
      </c>
      <c r="C93" s="196" t="str">
        <f t="shared" si="23"/>
        <v>2702</v>
      </c>
      <c r="D93" s="159" t="s">
        <v>227</v>
      </c>
      <c r="E93" s="190">
        <v>2017</v>
      </c>
      <c r="F93" s="162" t="s">
        <v>235</v>
      </c>
      <c r="G93" s="162" t="s">
        <v>236</v>
      </c>
      <c r="H93" s="197" t="str">
        <f>IF(VLOOKUP(G93,income,R93-1985,FALSE)="UM","Upper-middle",IF(VLOOKUP(G93,income,R93-1985,FALSE)="LM","Lower-middle",IF(VLOOKUP(G93,income,R93-1985,FALSE)="L","Low")))</f>
        <v>Lower-middle</v>
      </c>
      <c r="I93" s="163">
        <v>0</v>
      </c>
      <c r="J93" s="162" t="s">
        <v>218</v>
      </c>
      <c r="K93" s="162" t="s">
        <v>147</v>
      </c>
      <c r="L93" s="207" t="str">
        <f t="shared" si="26"/>
        <v>Others</v>
      </c>
      <c r="M93" s="162" t="s">
        <v>1553</v>
      </c>
      <c r="N93" s="163" t="s">
        <v>148</v>
      </c>
      <c r="O93" s="162" t="s">
        <v>159</v>
      </c>
      <c r="P93" s="162" t="s">
        <v>150</v>
      </c>
      <c r="Q93" s="162" t="s">
        <v>151</v>
      </c>
      <c r="R93" s="163">
        <v>2013</v>
      </c>
      <c r="S93" s="191">
        <v>7.97</v>
      </c>
      <c r="T93" s="198">
        <f>IF(ISNUMBER(S93),S93/VLOOKUP($Q93,xRates!$A$1:$BL$267,studies!$R93-xRates!$B$1+2,FALSE),"")</f>
        <v>7.97</v>
      </c>
      <c r="V93" s="198" t="str">
        <f>IF(ISNUMBER(U93),U93/VLOOKUP($Q93,xRates!$A$1:$BL$267,studies!$R93-xRates!$B$1+2,FALSE),"")</f>
        <v/>
      </c>
      <c r="W93" s="163">
        <v>0</v>
      </c>
      <c r="X93" s="163">
        <v>0</v>
      </c>
      <c r="Y93" s="163">
        <v>1</v>
      </c>
      <c r="Z93" s="163">
        <v>0</v>
      </c>
      <c r="AA93" s="163">
        <v>0</v>
      </c>
      <c r="AB93" s="163" t="s">
        <v>190</v>
      </c>
      <c r="AC93" s="193">
        <v>210</v>
      </c>
      <c r="AD93" s="201">
        <f>IF(ISNUMBER(AC93),AC93/VLOOKUP($Q93,xRates!$A$1:$BL$267,studies!$R93-xRates!$B$1+2,FALSE),"")</f>
        <v>210</v>
      </c>
      <c r="AE93" s="200">
        <f t="shared" si="27"/>
        <v>0</v>
      </c>
      <c r="AF93" s="201">
        <f>VLOOKUP(G93,gdppc,R93-1958,FALSE)</f>
        <v>1659.1</v>
      </c>
      <c r="AG93" s="195" t="str">
        <f t="shared" si="28"/>
        <v>Cost-effective</v>
      </c>
      <c r="AH93" s="195" t="str">
        <f t="shared" si="29"/>
        <v>Cost-effective</v>
      </c>
      <c r="AI93" s="204">
        <f t="shared" si="30"/>
        <v>0.1265746489060334</v>
      </c>
      <c r="AJ93" s="205" t="str">
        <f>IFERROR(VLOOKUP(G93,ochalek,11,FALSE),"")</f>
        <v/>
      </c>
      <c r="AK93" s="195" t="str">
        <f t="shared" si="31"/>
        <v>NA</v>
      </c>
      <c r="AL93" s="205" t="str">
        <f>IFERROR(VLOOKUP(G93,ochalek,10,FALSE),"")</f>
        <v/>
      </c>
      <c r="AM93" s="207" t="str">
        <f t="shared" si="32"/>
        <v>NA</v>
      </c>
      <c r="AN93" s="205">
        <f>IFERROR(VLOOKUP(G93,woods,6,FALSE),"")</f>
        <v>0.37188837321439339</v>
      </c>
      <c r="AO93" s="195" t="str">
        <f t="shared" si="33"/>
        <v>Cost-effective</v>
      </c>
      <c r="AP93" s="205">
        <f>IFERROR(VLOOKUP(G93,woods,5,FALSE),"")</f>
        <v>2.4109456934482552E-2</v>
      </c>
      <c r="AQ93" s="195" t="str">
        <f t="shared" si="34"/>
        <v>Not cost-effective</v>
      </c>
      <c r="AR93" s="205" t="str">
        <f>IFERROR(VLOOKUP(G93,riviere,8,FALSE),"")</f>
        <v/>
      </c>
      <c r="AS93" s="195" t="str">
        <f t="shared" si="35"/>
        <v>NA</v>
      </c>
      <c r="AT93" s="205" t="str">
        <f>IFERROR(VLOOKUP(G93,riviere,7,FALSE),"")</f>
        <v/>
      </c>
      <c r="AU93" s="195" t="str">
        <f t="shared" si="36"/>
        <v>NA</v>
      </c>
      <c r="AV93" s="162" t="s">
        <v>176</v>
      </c>
      <c r="AW93" s="162" t="s">
        <v>162</v>
      </c>
      <c r="AX93" s="210">
        <f t="shared" si="37"/>
        <v>0</v>
      </c>
      <c r="AY93" s="210">
        <f t="shared" si="38"/>
        <v>0</v>
      </c>
      <c r="AZ93" s="197">
        <f t="shared" si="39"/>
        <v>0</v>
      </c>
      <c r="BA93" s="197">
        <f t="shared" si="40"/>
        <v>1</v>
      </c>
      <c r="BB93" s="197">
        <f t="shared" si="41"/>
        <v>0</v>
      </c>
      <c r="BC93" s="197">
        <f t="shared" si="42"/>
        <v>0</v>
      </c>
      <c r="BD93" s="197">
        <f t="shared" si="43"/>
        <v>1</v>
      </c>
      <c r="BE93" s="163" t="s">
        <v>155</v>
      </c>
      <c r="BF93" s="162" t="s">
        <v>170</v>
      </c>
    </row>
    <row r="94" spans="1:58">
      <c r="A94" s="195">
        <f t="shared" si="24"/>
        <v>28</v>
      </c>
      <c r="B94" s="195">
        <f t="shared" si="25"/>
        <v>1</v>
      </c>
      <c r="C94" s="196" t="str">
        <f t="shared" si="23"/>
        <v>2801</v>
      </c>
      <c r="D94" s="159" t="s">
        <v>237</v>
      </c>
      <c r="E94" s="190">
        <v>2018</v>
      </c>
      <c r="F94" s="162" t="s">
        <v>238</v>
      </c>
      <c r="G94" s="162" t="s">
        <v>211</v>
      </c>
      <c r="H94" s="197" t="str">
        <f>IF(VLOOKUP(G94,income,R94-1985,FALSE)="UM","Upper-middle",IF(VLOOKUP(G94,income,R94-1985,FALSE)="LM","Lower-middle",IF(VLOOKUP(G94,income,R94-1985,FALSE)="L","Low")))</f>
        <v>Upper-middle</v>
      </c>
      <c r="I94" s="163">
        <v>0</v>
      </c>
      <c r="J94" s="162" t="s">
        <v>166</v>
      </c>
      <c r="K94" s="162" t="s">
        <v>147</v>
      </c>
      <c r="L94" s="207" t="str">
        <f t="shared" si="26"/>
        <v>PCV10 vs NoVax</v>
      </c>
      <c r="M94" s="162" t="s">
        <v>1552</v>
      </c>
      <c r="N94" s="163" t="s">
        <v>148</v>
      </c>
      <c r="O94" s="162" t="s">
        <v>159</v>
      </c>
      <c r="P94" s="162" t="s">
        <v>150</v>
      </c>
      <c r="Q94" s="162" t="s">
        <v>151</v>
      </c>
      <c r="R94" s="163">
        <v>2014</v>
      </c>
      <c r="S94" s="191"/>
      <c r="T94" s="198" t="str">
        <f>IF(ISNUMBER(S94),S94/VLOOKUP($Q94,xRates!$A$1:$BL$267,studies!$R94-xRates!$B$1+2,FALSE),"")</f>
        <v/>
      </c>
      <c r="V94" s="198" t="str">
        <f>IF(ISNUMBER(U94),U94/VLOOKUP($Q94,xRates!$A$1:$BL$267,studies!$R94-xRates!$B$1+2,FALSE),"")</f>
        <v/>
      </c>
      <c r="W94" s="163">
        <v>0</v>
      </c>
      <c r="X94" s="163">
        <v>0</v>
      </c>
      <c r="Y94" s="163">
        <v>1</v>
      </c>
      <c r="Z94" s="163">
        <v>1</v>
      </c>
      <c r="AA94" s="163">
        <v>0</v>
      </c>
      <c r="AB94" s="163" t="s">
        <v>190</v>
      </c>
      <c r="AC94" s="193">
        <v>27748</v>
      </c>
      <c r="AD94" s="201">
        <f>IF(ISNUMBER(AC94),AC94/VLOOKUP($Q94,xRates!$A$1:$BL$267,studies!$R94-xRates!$B$1+2,FALSE),"")</f>
        <v>27748</v>
      </c>
      <c r="AE94" s="200">
        <f t="shared" si="27"/>
        <v>0</v>
      </c>
      <c r="AF94" s="201">
        <f>VLOOKUP(G94,gdppc,R94-1958,FALSE)</f>
        <v>12071.4</v>
      </c>
      <c r="AG94" s="195" t="str">
        <f t="shared" si="28"/>
        <v>Not cost-effective</v>
      </c>
      <c r="AH94" s="195" t="str">
        <f t="shared" si="29"/>
        <v>Cost-effective</v>
      </c>
      <c r="AI94" s="204">
        <f t="shared" si="30"/>
        <v>2.2986563281806585</v>
      </c>
      <c r="AJ94" s="205">
        <f>IFERROR(VLOOKUP(G94,ochalek,11,FALSE),"")</f>
        <v>1.0900000000000001</v>
      </c>
      <c r="AK94" s="195" t="str">
        <f t="shared" si="31"/>
        <v>Not cost-effective</v>
      </c>
      <c r="AL94" s="205">
        <f>IFERROR(VLOOKUP(G94,ochalek,10,FALSE),"")</f>
        <v>0.71</v>
      </c>
      <c r="AM94" s="207" t="str">
        <f t="shared" si="32"/>
        <v>Not cost-effective</v>
      </c>
      <c r="AN94" s="205">
        <f>IFERROR(VLOOKUP(G94,woods,6,FALSE),"")</f>
        <v>0.61540469547909216</v>
      </c>
      <c r="AO94" s="195" t="str">
        <f t="shared" si="33"/>
        <v>Not cost-effective</v>
      </c>
      <c r="AP94" s="205">
        <f>IFERROR(VLOOKUP(G94,woods,5,FALSE),"")</f>
        <v>0.19520989346254874</v>
      </c>
      <c r="AQ94" s="195" t="str">
        <f t="shared" si="34"/>
        <v>Not cost-effective</v>
      </c>
      <c r="AR94" s="205">
        <f>IFERROR(VLOOKUP(G94,riviere,8,FALSE),"")</f>
        <v>1.6838320916192782</v>
      </c>
      <c r="AS94" s="195" t="str">
        <f t="shared" si="35"/>
        <v>Not cost-effective</v>
      </c>
      <c r="AT94" s="205">
        <f>IFERROR(VLOOKUP(G94,riviere,7,FALSE),"")</f>
        <v>0.69788475235435776</v>
      </c>
      <c r="AU94" s="195" t="str">
        <f t="shared" si="36"/>
        <v>Not cost-effective</v>
      </c>
      <c r="AV94" s="162" t="s">
        <v>161</v>
      </c>
      <c r="AW94" s="162" t="s">
        <v>162</v>
      </c>
      <c r="AX94" s="210">
        <f t="shared" si="37"/>
        <v>1</v>
      </c>
      <c r="AY94" s="210">
        <f t="shared" si="38"/>
        <v>1</v>
      </c>
      <c r="AZ94" s="197">
        <f t="shared" si="39"/>
        <v>1</v>
      </c>
      <c r="BA94" s="197">
        <f t="shared" si="40"/>
        <v>1</v>
      </c>
      <c r="BB94" s="197">
        <f t="shared" si="41"/>
        <v>1</v>
      </c>
      <c r="BC94" s="197">
        <f t="shared" si="42"/>
        <v>1</v>
      </c>
      <c r="BD94" s="197">
        <f t="shared" si="43"/>
        <v>6</v>
      </c>
      <c r="BE94" s="163" t="s">
        <v>155</v>
      </c>
      <c r="BF94" s="162" t="s">
        <v>170</v>
      </c>
    </row>
    <row r="95" spans="1:58">
      <c r="A95" s="195">
        <f t="shared" si="24"/>
        <v>29</v>
      </c>
      <c r="B95" s="195">
        <f t="shared" si="25"/>
        <v>1</v>
      </c>
      <c r="C95" s="196" t="str">
        <f t="shared" si="23"/>
        <v>2901</v>
      </c>
      <c r="D95" s="159" t="s">
        <v>239</v>
      </c>
      <c r="E95" s="190">
        <v>2018</v>
      </c>
      <c r="F95" s="162" t="s">
        <v>240</v>
      </c>
      <c r="G95" s="162" t="s">
        <v>241</v>
      </c>
      <c r="H95" s="197" t="str">
        <f>IF(VLOOKUP(G95,income,R95-1985,FALSE)="UM","Upper-middle",IF(VLOOKUP(G95,income,R95-1985,FALSE)="LM","Lower-middle",IF(VLOOKUP(G95,income,R95-1985,FALSE)="L","Low")))</f>
        <v>Upper-middle</v>
      </c>
      <c r="I95" s="163">
        <v>0</v>
      </c>
      <c r="J95" s="162" t="s">
        <v>166</v>
      </c>
      <c r="K95" s="162" t="s">
        <v>147</v>
      </c>
      <c r="L95" s="207" t="str">
        <f t="shared" si="26"/>
        <v>PCV10 vs NoVax</v>
      </c>
      <c r="M95" s="162" t="s">
        <v>1551</v>
      </c>
      <c r="N95" s="163" t="s">
        <v>148</v>
      </c>
      <c r="O95" s="162" t="s">
        <v>159</v>
      </c>
      <c r="P95" s="162" t="s">
        <v>242</v>
      </c>
      <c r="Q95" s="162" t="s">
        <v>243</v>
      </c>
      <c r="R95" s="163">
        <v>2008</v>
      </c>
      <c r="S95" s="191">
        <v>20.04</v>
      </c>
      <c r="T95" s="198">
        <f>(S95*1057.875)/1967.711</f>
        <v>10.773845854396301</v>
      </c>
      <c r="V95" s="198" t="str">
        <f>IF(ISNUMBER(U95),U95/VLOOKUP($Q95,xRates!$A$1:$BL$267,studies!$R95-xRates!$B$1+2,FALSE),"")</f>
        <v/>
      </c>
      <c r="W95" s="163">
        <v>0</v>
      </c>
      <c r="X95" s="163">
        <v>0</v>
      </c>
      <c r="Y95" s="163">
        <v>1</v>
      </c>
      <c r="Z95" s="163">
        <v>1</v>
      </c>
      <c r="AA95" s="163">
        <v>1</v>
      </c>
      <c r="AB95" s="163" t="s">
        <v>190</v>
      </c>
      <c r="AC95" s="193">
        <v>1417</v>
      </c>
      <c r="AD95" s="201">
        <f>(AC95*1057.875)/1967.711</f>
        <v>761.80337203989814</v>
      </c>
      <c r="AE95" s="200">
        <f t="shared" si="27"/>
        <v>0</v>
      </c>
      <c r="AF95" s="201">
        <f>VLOOKUP(G95,gdppc,R95-1958,FALSE)</f>
        <v>5534.7</v>
      </c>
      <c r="AG95" s="195" t="str">
        <f t="shared" si="28"/>
        <v>Cost-effective</v>
      </c>
      <c r="AH95" s="195" t="str">
        <f t="shared" si="29"/>
        <v>Cost-effective</v>
      </c>
      <c r="AI95" s="204">
        <f t="shared" si="30"/>
        <v>0.1376413124541345</v>
      </c>
      <c r="AJ95" s="205">
        <f>IFERROR(VLOOKUP(G95,ochalek,11,FALSE),"")</f>
        <v>1.89</v>
      </c>
      <c r="AK95" s="195" t="str">
        <f t="shared" si="31"/>
        <v>Cost-effective</v>
      </c>
      <c r="AL95" s="205">
        <f>IFERROR(VLOOKUP(G95,ochalek,10,FALSE),"")</f>
        <v>1.17</v>
      </c>
      <c r="AM95" s="207" t="str">
        <f t="shared" si="32"/>
        <v>Cost-effective</v>
      </c>
      <c r="AN95" s="205">
        <f>IFERROR(VLOOKUP(G95,woods,6,FALSE),"")</f>
        <v>0.6677477128612227</v>
      </c>
      <c r="AO95" s="195" t="str">
        <f t="shared" si="33"/>
        <v>Cost-effective</v>
      </c>
      <c r="AP95" s="205">
        <f>IFERROR(VLOOKUP(G95,woods,5,FALSE),"")</f>
        <v>0.16578730819497556</v>
      </c>
      <c r="AQ95" s="195" t="str">
        <f t="shared" si="34"/>
        <v>Cost-effective</v>
      </c>
      <c r="AR95" s="205">
        <f>IFERROR(VLOOKUP(G95,riviere,8,FALSE),"")</f>
        <v>1.3213703099510603</v>
      </c>
      <c r="AS95" s="195" t="str">
        <f t="shared" si="35"/>
        <v>Cost-effective</v>
      </c>
      <c r="AT95" s="205">
        <f>IFERROR(VLOOKUP(G95,riviere,7,FALSE),"")</f>
        <v>0.54765788860405495</v>
      </c>
      <c r="AU95" s="195" t="str">
        <f t="shared" si="36"/>
        <v>Cost-effective</v>
      </c>
      <c r="AV95" s="162" t="s">
        <v>176</v>
      </c>
      <c r="AW95" s="162" t="s">
        <v>162</v>
      </c>
      <c r="AX95" s="210">
        <f t="shared" si="37"/>
        <v>0</v>
      </c>
      <c r="AY95" s="210">
        <f t="shared" si="38"/>
        <v>0</v>
      </c>
      <c r="AZ95" s="197">
        <f t="shared" si="39"/>
        <v>0</v>
      </c>
      <c r="BA95" s="197">
        <f t="shared" si="40"/>
        <v>0</v>
      </c>
      <c r="BB95" s="197">
        <f t="shared" si="41"/>
        <v>0</v>
      </c>
      <c r="BC95" s="197">
        <f t="shared" si="42"/>
        <v>0</v>
      </c>
      <c r="BD95" s="197">
        <f t="shared" si="43"/>
        <v>0</v>
      </c>
      <c r="BE95" s="163" t="s">
        <v>155</v>
      </c>
      <c r="BF95" s="162" t="s">
        <v>170</v>
      </c>
    </row>
    <row r="96" spans="1:58">
      <c r="A96" s="195">
        <f t="shared" si="24"/>
        <v>29</v>
      </c>
      <c r="B96" s="195">
        <f t="shared" si="25"/>
        <v>2</v>
      </c>
      <c r="C96" s="196" t="str">
        <f t="shared" si="23"/>
        <v>2902</v>
      </c>
      <c r="D96" s="159" t="s">
        <v>239</v>
      </c>
      <c r="E96" s="190">
        <v>2018</v>
      </c>
      <c r="F96" s="162" t="s">
        <v>240</v>
      </c>
      <c r="G96" s="162" t="s">
        <v>241</v>
      </c>
      <c r="H96" s="197" t="str">
        <f>IF(VLOOKUP(G96,income,R96-1985,FALSE)="UM","Upper-middle",IF(VLOOKUP(G96,income,R96-1985,FALSE)="LM","Lower-middle",IF(VLOOKUP(G96,income,R96-1985,FALSE)="L","Low")))</f>
        <v>Upper-middle</v>
      </c>
      <c r="I96" s="163">
        <v>0</v>
      </c>
      <c r="J96" s="162" t="s">
        <v>166</v>
      </c>
      <c r="K96" s="162" t="s">
        <v>147</v>
      </c>
      <c r="L96" s="207" t="str">
        <f t="shared" si="26"/>
        <v>PCV10 vs NoVax</v>
      </c>
      <c r="M96" s="162" t="s">
        <v>1551</v>
      </c>
      <c r="N96" s="163" t="s">
        <v>148</v>
      </c>
      <c r="O96" s="162" t="s">
        <v>149</v>
      </c>
      <c r="P96" s="162" t="s">
        <v>242</v>
      </c>
      <c r="Q96" s="162" t="s">
        <v>243</v>
      </c>
      <c r="R96" s="163">
        <v>2008</v>
      </c>
      <c r="S96" s="191">
        <v>20.04</v>
      </c>
      <c r="T96" s="198">
        <f>(S96*1057.875)/1967.711</f>
        <v>10.773845854396301</v>
      </c>
      <c r="V96" s="198" t="str">
        <f>IF(ISNUMBER(U96),U96/VLOOKUP($Q96,xRates!$A$1:$BL$267,studies!$R96-xRates!$B$1+2,FALSE),"")</f>
        <v/>
      </c>
      <c r="W96" s="163">
        <v>0</v>
      </c>
      <c r="X96" s="163">
        <v>0</v>
      </c>
      <c r="Y96" s="163">
        <v>1</v>
      </c>
      <c r="Z96" s="163">
        <v>1</v>
      </c>
      <c r="AA96" s="163">
        <v>1</v>
      </c>
      <c r="AB96" s="163" t="s">
        <v>190</v>
      </c>
      <c r="AC96" s="193">
        <v>1301</v>
      </c>
      <c r="AD96" s="201">
        <f>(AC96*1057.875)/1967.711</f>
        <v>699.4397932419954</v>
      </c>
      <c r="AE96" s="200">
        <f t="shared" si="27"/>
        <v>0</v>
      </c>
      <c r="AF96" s="201">
        <f>VLOOKUP(G96,gdppc,R96-1958,FALSE)</f>
        <v>5534.7</v>
      </c>
      <c r="AG96" s="195" t="str">
        <f t="shared" si="28"/>
        <v>Cost-effective</v>
      </c>
      <c r="AH96" s="195" t="str">
        <f t="shared" si="29"/>
        <v>Cost-effective</v>
      </c>
      <c r="AI96" s="204">
        <f t="shared" si="30"/>
        <v>0.12637356916219405</v>
      </c>
      <c r="AJ96" s="205">
        <f>IFERROR(VLOOKUP(G96,ochalek,11,FALSE),"")</f>
        <v>1.89</v>
      </c>
      <c r="AK96" s="195" t="str">
        <f t="shared" si="31"/>
        <v>Cost-effective</v>
      </c>
      <c r="AL96" s="205">
        <f>IFERROR(VLOOKUP(G96,ochalek,10,FALSE),"")</f>
        <v>1.17</v>
      </c>
      <c r="AM96" s="207" t="str">
        <f t="shared" si="32"/>
        <v>Cost-effective</v>
      </c>
      <c r="AN96" s="205">
        <f>IFERROR(VLOOKUP(G96,woods,6,FALSE),"")</f>
        <v>0.6677477128612227</v>
      </c>
      <c r="AO96" s="195" t="str">
        <f t="shared" si="33"/>
        <v>Cost-effective</v>
      </c>
      <c r="AP96" s="205">
        <f>IFERROR(VLOOKUP(G96,woods,5,FALSE),"")</f>
        <v>0.16578730819497556</v>
      </c>
      <c r="AQ96" s="195" t="str">
        <f t="shared" si="34"/>
        <v>Cost-effective</v>
      </c>
      <c r="AR96" s="205">
        <f>IFERROR(VLOOKUP(G96,riviere,8,FALSE),"")</f>
        <v>1.3213703099510603</v>
      </c>
      <c r="AS96" s="195" t="str">
        <f t="shared" si="35"/>
        <v>Cost-effective</v>
      </c>
      <c r="AT96" s="205">
        <f>IFERROR(VLOOKUP(G96,riviere,7,FALSE),"")</f>
        <v>0.54765788860405495</v>
      </c>
      <c r="AU96" s="195" t="str">
        <f t="shared" si="36"/>
        <v>Cost-effective</v>
      </c>
      <c r="AV96" s="162" t="s">
        <v>176</v>
      </c>
      <c r="AW96" s="162" t="s">
        <v>162</v>
      </c>
      <c r="AX96" s="210">
        <f t="shared" si="37"/>
        <v>0</v>
      </c>
      <c r="AY96" s="210">
        <f t="shared" si="38"/>
        <v>0</v>
      </c>
      <c r="AZ96" s="197">
        <f t="shared" si="39"/>
        <v>0</v>
      </c>
      <c r="BA96" s="197">
        <f t="shared" si="40"/>
        <v>0</v>
      </c>
      <c r="BB96" s="197">
        <f t="shared" si="41"/>
        <v>0</v>
      </c>
      <c r="BC96" s="197">
        <f t="shared" si="42"/>
        <v>0</v>
      </c>
      <c r="BD96" s="197">
        <f t="shared" si="43"/>
        <v>0</v>
      </c>
      <c r="BE96" s="163" t="s">
        <v>155</v>
      </c>
      <c r="BF96" s="162" t="s">
        <v>170</v>
      </c>
    </row>
    <row r="97" spans="1:58">
      <c r="A97" s="195">
        <f t="shared" si="24"/>
        <v>30</v>
      </c>
      <c r="B97" s="195">
        <f t="shared" si="25"/>
        <v>1</v>
      </c>
      <c r="C97" s="196" t="str">
        <f t="shared" si="23"/>
        <v>3001</v>
      </c>
      <c r="D97" s="159" t="s">
        <v>244</v>
      </c>
      <c r="E97" s="190">
        <v>2019</v>
      </c>
      <c r="F97" s="162" t="s">
        <v>245</v>
      </c>
      <c r="G97" s="162" t="s">
        <v>246</v>
      </c>
      <c r="H97" s="197" t="str">
        <f>IF(VLOOKUP(G97,income,R97-1985,FALSE)="UM","Upper-middle",IF(VLOOKUP(G97,income,R97-1985,FALSE)="LM","Lower-middle",IF(VLOOKUP(G97,income,R97-1985,FALSE)="L","Low")))</f>
        <v>Low</v>
      </c>
      <c r="I97" s="163">
        <v>0</v>
      </c>
      <c r="J97" s="162" t="s">
        <v>166</v>
      </c>
      <c r="K97" s="162" t="s">
        <v>147</v>
      </c>
      <c r="L97" s="207" t="str">
        <f t="shared" si="26"/>
        <v>PCV10 vs NoVax</v>
      </c>
      <c r="M97" s="162" t="s">
        <v>1551</v>
      </c>
      <c r="N97" s="163" t="s">
        <v>148</v>
      </c>
      <c r="O97" s="162" t="s">
        <v>149</v>
      </c>
      <c r="P97" s="162" t="s">
        <v>150</v>
      </c>
      <c r="Q97" s="162" t="s">
        <v>151</v>
      </c>
      <c r="R97" s="163">
        <v>2013</v>
      </c>
      <c r="S97" s="191">
        <v>6.5</v>
      </c>
      <c r="T97" s="198">
        <f>IF(ISNUMBER(S97),S97/VLOOKUP($Q97,xRates!$A$1:$BL$267,studies!$R97-xRates!$B$1+2,FALSE),"")</f>
        <v>6.5</v>
      </c>
      <c r="V97" s="198" t="str">
        <f>IF(ISNUMBER(U97),U97/VLOOKUP($Q97,xRates!$A$1:$BL$267,studies!$R97-xRates!$B$1+2,FALSE),"")</f>
        <v/>
      </c>
      <c r="W97" s="163">
        <v>0</v>
      </c>
      <c r="X97" s="163">
        <v>0</v>
      </c>
      <c r="Y97" s="163">
        <v>1</v>
      </c>
      <c r="Z97" s="163">
        <v>1</v>
      </c>
      <c r="AA97" s="163">
        <v>1</v>
      </c>
      <c r="AB97" s="163" t="s">
        <v>190</v>
      </c>
      <c r="AC97" s="193">
        <v>268</v>
      </c>
      <c r="AD97" s="201">
        <f>IF(ISNUMBER(AC97),AC97/VLOOKUP($Q97,xRates!$A$1:$BL$267,studies!$R97-xRates!$B$1+2,FALSE),"")</f>
        <v>268</v>
      </c>
      <c r="AE97" s="200">
        <f t="shared" si="27"/>
        <v>0</v>
      </c>
      <c r="AF97" s="201">
        <f>VLOOKUP(G97,gdppc,R97-1958,FALSE)</f>
        <v>490.8</v>
      </c>
      <c r="AG97" s="195" t="str">
        <f t="shared" si="28"/>
        <v>Cost-effective</v>
      </c>
      <c r="AH97" s="195" t="str">
        <f t="shared" si="29"/>
        <v>Cost-effective</v>
      </c>
      <c r="AI97" s="204">
        <f t="shared" si="30"/>
        <v>0.54604726976365114</v>
      </c>
      <c r="AJ97" s="205">
        <f>IFERROR(VLOOKUP(G97,ochalek,11,FALSE),"")</f>
        <v>0.36</v>
      </c>
      <c r="AK97" s="195" t="str">
        <f t="shared" si="31"/>
        <v>Not cost-effective</v>
      </c>
      <c r="AL97" s="205">
        <f>IFERROR(VLOOKUP(G97,ochalek,10,FALSE),"")</f>
        <v>0.27</v>
      </c>
      <c r="AM97" s="207" t="str">
        <f t="shared" si="32"/>
        <v>Not cost-effective</v>
      </c>
      <c r="AN97" s="205">
        <f>IFERROR(VLOOKUP(G97,woods,6,FALSE),"")</f>
        <v>0.51955990220048898</v>
      </c>
      <c r="AO97" s="195" t="str">
        <f t="shared" si="33"/>
        <v>Not cost-effective</v>
      </c>
      <c r="AP97" s="205">
        <f>IFERROR(VLOOKUP(G97,woods,5,FALSE),"")</f>
        <v>2.0374898125509373E-2</v>
      </c>
      <c r="AQ97" s="195" t="str">
        <f t="shared" si="34"/>
        <v>Not cost-effective</v>
      </c>
      <c r="AR97" s="205">
        <f>IFERROR(VLOOKUP(G97,riviere,8,FALSE),"")</f>
        <v>0.23084245597334604</v>
      </c>
      <c r="AS97" s="195" t="str">
        <f t="shared" si="35"/>
        <v>Not cost-effective</v>
      </c>
      <c r="AT97" s="205">
        <f>IFERROR(VLOOKUP(G97,riviere,7,FALSE),"")</f>
        <v>4.6406473108043793E-2</v>
      </c>
      <c r="AU97" s="195" t="str">
        <f t="shared" si="36"/>
        <v>Not cost-effective</v>
      </c>
      <c r="AV97" s="162" t="s">
        <v>161</v>
      </c>
      <c r="AW97" s="162" t="s">
        <v>162</v>
      </c>
      <c r="AX97" s="210">
        <f t="shared" si="37"/>
        <v>1</v>
      </c>
      <c r="AY97" s="210">
        <f t="shared" si="38"/>
        <v>1</v>
      </c>
      <c r="AZ97" s="197">
        <f t="shared" si="39"/>
        <v>1</v>
      </c>
      <c r="BA97" s="197">
        <f t="shared" si="40"/>
        <v>1</v>
      </c>
      <c r="BB97" s="197">
        <f t="shared" si="41"/>
        <v>1</v>
      </c>
      <c r="BC97" s="197">
        <f t="shared" si="42"/>
        <v>1</v>
      </c>
      <c r="BD97" s="197">
        <f t="shared" si="43"/>
        <v>6</v>
      </c>
      <c r="BE97" s="163" t="s">
        <v>155</v>
      </c>
      <c r="BF97" s="162" t="s">
        <v>156</v>
      </c>
    </row>
    <row r="98" spans="1:58">
      <c r="A98" s="195">
        <f t="shared" si="24"/>
        <v>30</v>
      </c>
      <c r="B98" s="195">
        <f t="shared" si="25"/>
        <v>2</v>
      </c>
      <c r="C98" s="196" t="str">
        <f t="shared" si="23"/>
        <v>3002</v>
      </c>
      <c r="D98" s="159" t="s">
        <v>244</v>
      </c>
      <c r="E98" s="190">
        <v>2019</v>
      </c>
      <c r="F98" s="162" t="s">
        <v>245</v>
      </c>
      <c r="G98" s="162" t="s">
        <v>246</v>
      </c>
      <c r="H98" s="197" t="str">
        <f>IF(VLOOKUP(G98,income,R98-1985,FALSE)="UM","Upper-middle",IF(VLOOKUP(G98,income,R98-1985,FALSE)="LM","Lower-middle",IF(VLOOKUP(G98,income,R98-1985,FALSE)="L","Low")))</f>
        <v>Low</v>
      </c>
      <c r="I98" s="163">
        <v>0</v>
      </c>
      <c r="J98" s="162" t="s">
        <v>166</v>
      </c>
      <c r="K98" s="162" t="s">
        <v>147</v>
      </c>
      <c r="L98" s="207" t="str">
        <f t="shared" si="26"/>
        <v>PCV10 vs NoVax</v>
      </c>
      <c r="M98" s="162" t="s">
        <v>1551</v>
      </c>
      <c r="N98" s="163" t="s">
        <v>148</v>
      </c>
      <c r="O98" s="162" t="s">
        <v>149</v>
      </c>
      <c r="P98" s="162" t="s">
        <v>150</v>
      </c>
      <c r="Q98" s="162" t="s">
        <v>151</v>
      </c>
      <c r="R98" s="163">
        <v>2013</v>
      </c>
      <c r="S98" s="191">
        <v>6.5</v>
      </c>
      <c r="T98" s="198">
        <f>IF(ISNUMBER(S98),S98/VLOOKUP($Q98,xRates!$A$1:$BL$267,studies!$R98-xRates!$B$1+2,FALSE),"")</f>
        <v>6.5</v>
      </c>
      <c r="V98" s="198" t="str">
        <f>IF(ISNUMBER(U98),U98/VLOOKUP($Q98,xRates!$A$1:$BL$267,studies!$R98-xRates!$B$1+2,FALSE),"")</f>
        <v/>
      </c>
      <c r="W98" s="163">
        <v>0</v>
      </c>
      <c r="X98" s="163">
        <v>0</v>
      </c>
      <c r="Y98" s="163">
        <v>1</v>
      </c>
      <c r="Z98" s="163">
        <v>1</v>
      </c>
      <c r="AA98" s="163">
        <v>1</v>
      </c>
      <c r="AB98" s="163" t="s">
        <v>190</v>
      </c>
      <c r="AC98" s="193">
        <v>292.7</v>
      </c>
      <c r="AD98" s="201">
        <f>IF(ISNUMBER(AC98),AC98/VLOOKUP($Q98,xRates!$A$1:$BL$267,studies!$R98-xRates!$B$1+2,FALSE),"")</f>
        <v>292.7</v>
      </c>
      <c r="AE98" s="200">
        <f t="shared" si="27"/>
        <v>0</v>
      </c>
      <c r="AF98" s="201">
        <f>VLOOKUP(G98,gdppc,R98-1958,FALSE)</f>
        <v>490.8</v>
      </c>
      <c r="AG98" s="195" t="str">
        <f t="shared" si="28"/>
        <v>Cost-effective</v>
      </c>
      <c r="AH98" s="195" t="str">
        <f t="shared" si="29"/>
        <v>Cost-effective</v>
      </c>
      <c r="AI98" s="204">
        <f t="shared" si="30"/>
        <v>0.59637326813365932</v>
      </c>
      <c r="AJ98" s="205">
        <f>IFERROR(VLOOKUP(G98,ochalek,11,FALSE),"")</f>
        <v>0.36</v>
      </c>
      <c r="AK98" s="195" t="str">
        <f t="shared" si="31"/>
        <v>Not cost-effective</v>
      </c>
      <c r="AL98" s="205">
        <f>IFERROR(VLOOKUP(G98,ochalek,10,FALSE),"")</f>
        <v>0.27</v>
      </c>
      <c r="AM98" s="207" t="str">
        <f t="shared" si="32"/>
        <v>Not cost-effective</v>
      </c>
      <c r="AN98" s="205">
        <f>IFERROR(VLOOKUP(G98,woods,6,FALSE),"")</f>
        <v>0.51955990220048898</v>
      </c>
      <c r="AO98" s="195" t="str">
        <f t="shared" si="33"/>
        <v>Not cost-effective</v>
      </c>
      <c r="AP98" s="205">
        <f>IFERROR(VLOOKUP(G98,woods,5,FALSE),"")</f>
        <v>2.0374898125509373E-2</v>
      </c>
      <c r="AQ98" s="195" t="str">
        <f t="shared" si="34"/>
        <v>Not cost-effective</v>
      </c>
      <c r="AR98" s="205">
        <f>IFERROR(VLOOKUP(G98,riviere,8,FALSE),"")</f>
        <v>0.23084245597334604</v>
      </c>
      <c r="AS98" s="195" t="str">
        <f t="shared" si="35"/>
        <v>Not cost-effective</v>
      </c>
      <c r="AT98" s="205">
        <f>IFERROR(VLOOKUP(G98,riviere,7,FALSE),"")</f>
        <v>4.6406473108043793E-2</v>
      </c>
      <c r="AU98" s="195" t="str">
        <f t="shared" si="36"/>
        <v>Not cost-effective</v>
      </c>
      <c r="AV98" s="162" t="s">
        <v>161</v>
      </c>
      <c r="AW98" s="162" t="s">
        <v>162</v>
      </c>
      <c r="AX98" s="210">
        <f t="shared" si="37"/>
        <v>1</v>
      </c>
      <c r="AY98" s="210">
        <f t="shared" si="38"/>
        <v>1</v>
      </c>
      <c r="AZ98" s="197">
        <f t="shared" si="39"/>
        <v>1</v>
      </c>
      <c r="BA98" s="197">
        <f t="shared" si="40"/>
        <v>1</v>
      </c>
      <c r="BB98" s="197">
        <f t="shared" si="41"/>
        <v>1</v>
      </c>
      <c r="BC98" s="197">
        <f t="shared" si="42"/>
        <v>1</v>
      </c>
      <c r="BD98" s="197">
        <f t="shared" si="43"/>
        <v>6</v>
      </c>
      <c r="BE98" s="163" t="s">
        <v>155</v>
      </c>
      <c r="BF98" s="162" t="s">
        <v>156</v>
      </c>
    </row>
    <row r="99" spans="1:58">
      <c r="A99" s="195">
        <f t="shared" ref="A99:A130" si="44">IF(F99=F98,A98,A98+1)</f>
        <v>31</v>
      </c>
      <c r="B99" s="195">
        <f t="shared" ref="B99:B130" si="45">IF(F99=F98,B98+1,1)</f>
        <v>1</v>
      </c>
      <c r="C99" s="196" t="str">
        <f t="shared" si="23"/>
        <v>3101</v>
      </c>
      <c r="D99" s="159" t="s">
        <v>247</v>
      </c>
      <c r="E99" s="190">
        <v>2019</v>
      </c>
      <c r="F99" s="162" t="s">
        <v>248</v>
      </c>
      <c r="G99" s="162" t="s">
        <v>226</v>
      </c>
      <c r="H99" s="197" t="str">
        <f>IF(VLOOKUP(G99,income,R99-1985,FALSE)="UM","Upper-middle",IF(VLOOKUP(G99,income,R99-1985,FALSE)="LM","Lower-middle",IF(VLOOKUP(G99,income,R99-1985,FALSE)="L","Low")))</f>
        <v>Lower-middle</v>
      </c>
      <c r="I99" s="163">
        <v>0</v>
      </c>
      <c r="J99" s="162" t="s">
        <v>166</v>
      </c>
      <c r="K99" s="162" t="s">
        <v>147</v>
      </c>
      <c r="L99" s="207" t="str">
        <f t="shared" si="26"/>
        <v>PCV10 vs NoVax</v>
      </c>
      <c r="M99" s="162" t="s">
        <v>1552</v>
      </c>
      <c r="N99" s="163" t="s">
        <v>148</v>
      </c>
      <c r="O99" s="162" t="s">
        <v>149</v>
      </c>
      <c r="P99" s="162" t="s">
        <v>150</v>
      </c>
      <c r="Q99" s="162" t="s">
        <v>151</v>
      </c>
      <c r="R99" s="163">
        <v>2016</v>
      </c>
      <c r="S99" s="191">
        <v>3.05</v>
      </c>
      <c r="T99" s="198">
        <f>IF(ISNUMBER(S99),S99/VLOOKUP($Q99,xRates!$A$1:$BL$267,studies!$R99-xRates!$B$1+2,FALSE),"")</f>
        <v>3.05</v>
      </c>
      <c r="V99" s="198" t="str">
        <f>IF(ISNUMBER(U99),U99/VLOOKUP($Q99,xRates!$A$1:$BL$267,studies!$R99-xRates!$B$1+2,FALSE),"")</f>
        <v/>
      </c>
      <c r="W99" s="163">
        <v>0</v>
      </c>
      <c r="X99" s="163">
        <v>0</v>
      </c>
      <c r="Y99" s="163">
        <v>1</v>
      </c>
      <c r="Z99" s="163">
        <v>1</v>
      </c>
      <c r="AA99" s="163">
        <v>0</v>
      </c>
      <c r="AB99" s="163" t="s">
        <v>190</v>
      </c>
      <c r="AC99" s="193">
        <v>153</v>
      </c>
      <c r="AD99" s="201">
        <f>IF(ISNUMBER(AC99),AC99/VLOOKUP($Q99,xRates!$A$1:$BL$267,studies!$R99-xRates!$B$1+2,FALSE),"")</f>
        <v>153</v>
      </c>
      <c r="AE99" s="200">
        <f t="shared" si="27"/>
        <v>0</v>
      </c>
      <c r="AF99" s="201">
        <f>VLOOKUP(G99,gdppc,R99-1958,FALSE)</f>
        <v>1562.1</v>
      </c>
      <c r="AG99" s="195" t="str">
        <f t="shared" si="28"/>
        <v>Cost-effective</v>
      </c>
      <c r="AH99" s="195" t="str">
        <f t="shared" si="29"/>
        <v>Cost-effective</v>
      </c>
      <c r="AI99" s="204">
        <f t="shared" si="30"/>
        <v>9.7945073938928373E-2</v>
      </c>
      <c r="AJ99" s="205">
        <f>IFERROR(VLOOKUP(G99,ochalek,11,FALSE),"")</f>
        <v>0.47</v>
      </c>
      <c r="AK99" s="195" t="str">
        <f t="shared" si="31"/>
        <v>Cost-effective</v>
      </c>
      <c r="AL99" s="205">
        <f>IFERROR(VLOOKUP(G99,ochalek,10,FALSE),"")</f>
        <v>0.36</v>
      </c>
      <c r="AM99" s="207" t="str">
        <f t="shared" si="32"/>
        <v>Cost-effective</v>
      </c>
      <c r="AN99" s="205">
        <f>IFERROR(VLOOKUP(G99,woods,6,FALSE),"")</f>
        <v>0.37696106914584543</v>
      </c>
      <c r="AO99" s="195" t="str">
        <f t="shared" si="33"/>
        <v>Cost-effective</v>
      </c>
      <c r="AP99" s="205">
        <f>IFERROR(VLOOKUP(G99,woods,5,FALSE),"")</f>
        <v>2.3242300987797792E-2</v>
      </c>
      <c r="AQ99" s="195" t="str">
        <f t="shared" si="34"/>
        <v>Not cost-effective</v>
      </c>
      <c r="AR99" s="205">
        <f>IFERROR(VLOOKUP(G99,riviere,8,FALSE),"")</f>
        <v>0.39388863509466526</v>
      </c>
      <c r="AS99" s="195" t="str">
        <f t="shared" si="35"/>
        <v>Cost-effective</v>
      </c>
      <c r="AT99" s="205">
        <f>IFERROR(VLOOKUP(G99,riviere,7,FALSE),"")</f>
        <v>0.1583675955535252</v>
      </c>
      <c r="AU99" s="195" t="str">
        <f t="shared" si="36"/>
        <v>Cost-effective</v>
      </c>
      <c r="AV99" s="162" t="s">
        <v>176</v>
      </c>
      <c r="AW99" s="162" t="s">
        <v>162</v>
      </c>
      <c r="AX99" s="210">
        <f t="shared" si="37"/>
        <v>0</v>
      </c>
      <c r="AY99" s="210">
        <f t="shared" si="38"/>
        <v>0</v>
      </c>
      <c r="AZ99" s="197">
        <f t="shared" si="39"/>
        <v>0</v>
      </c>
      <c r="BA99" s="197">
        <f t="shared" si="40"/>
        <v>1</v>
      </c>
      <c r="BB99" s="197">
        <f t="shared" si="41"/>
        <v>0</v>
      </c>
      <c r="BC99" s="197">
        <f t="shared" si="42"/>
        <v>0</v>
      </c>
      <c r="BD99" s="197">
        <f t="shared" si="43"/>
        <v>1</v>
      </c>
      <c r="BE99" s="163" t="s">
        <v>148</v>
      </c>
      <c r="BF99" s="162" t="s">
        <v>249</v>
      </c>
    </row>
    <row r="100" spans="1:58">
      <c r="A100" s="195">
        <f t="shared" si="44"/>
        <v>32</v>
      </c>
      <c r="B100" s="195">
        <f t="shared" si="45"/>
        <v>1</v>
      </c>
      <c r="C100" s="196" t="str">
        <f t="shared" si="23"/>
        <v>3201</v>
      </c>
      <c r="D100" s="159" t="s">
        <v>250</v>
      </c>
      <c r="E100" s="190">
        <v>2019</v>
      </c>
      <c r="F100" s="162" t="s">
        <v>251</v>
      </c>
      <c r="G100" s="162" t="s">
        <v>252</v>
      </c>
      <c r="H100" s="197" t="str">
        <f>IF(VLOOKUP(G100,income,R100-1985,FALSE)="UM","Upper-middle",IF(VLOOKUP(G100,income,R100-1985,FALSE)="LM","Lower-middle",IF(VLOOKUP(G100,income,R100-1985,FALSE)="L","Low")))</f>
        <v>Upper-middle</v>
      </c>
      <c r="I100" s="163">
        <v>0</v>
      </c>
      <c r="J100" s="162" t="s">
        <v>167</v>
      </c>
      <c r="K100" s="162" t="s">
        <v>147</v>
      </c>
      <c r="L100" s="207" t="str">
        <f t="shared" si="26"/>
        <v>PCV13 vs NoVax</v>
      </c>
      <c r="M100" s="162" t="s">
        <v>1551</v>
      </c>
      <c r="N100" s="163" t="s">
        <v>148</v>
      </c>
      <c r="O100" s="162" t="s">
        <v>159</v>
      </c>
      <c r="P100" s="162" t="s">
        <v>150</v>
      </c>
      <c r="Q100" s="162" t="s">
        <v>151</v>
      </c>
      <c r="R100" s="163">
        <v>2014</v>
      </c>
      <c r="S100" s="191">
        <v>20</v>
      </c>
      <c r="T100" s="198">
        <f>IF(ISNUMBER(S100),S100/VLOOKUP($Q100,xRates!$A$1:$BL$267,studies!$R100-xRates!$B$1+2,FALSE),"")</f>
        <v>20</v>
      </c>
      <c r="V100" s="198" t="str">
        <f>IF(ISNUMBER(U100),U100/VLOOKUP($Q100,xRates!$A$1:$BL$267,studies!$R100-xRates!$B$1+2,FALSE),"")</f>
        <v/>
      </c>
      <c r="W100" s="163">
        <v>0</v>
      </c>
      <c r="X100" s="163">
        <v>0</v>
      </c>
      <c r="Y100" s="163">
        <v>1</v>
      </c>
      <c r="Z100" s="163">
        <v>1</v>
      </c>
      <c r="AA100" s="163">
        <v>1</v>
      </c>
      <c r="AB100" s="163" t="s">
        <v>190</v>
      </c>
      <c r="AC100" s="193">
        <v>1890</v>
      </c>
      <c r="AD100" s="201">
        <f>IF(ISNUMBER(AC100),AC100/VLOOKUP($Q100,xRates!$A$1:$BL$267,studies!$R100-xRates!$B$1+2,FALSE),"")</f>
        <v>1890</v>
      </c>
      <c r="AE100" s="200">
        <f t="shared" si="27"/>
        <v>0</v>
      </c>
      <c r="AF100" s="201">
        <f>VLOOKUP(G100,gdppc,R100-1958,FALSE)</f>
        <v>5757.5</v>
      </c>
      <c r="AG100" s="195" t="str">
        <f t="shared" si="28"/>
        <v>Cost-effective</v>
      </c>
      <c r="AH100" s="195" t="str">
        <f t="shared" si="29"/>
        <v>Cost-effective</v>
      </c>
      <c r="AI100" s="204">
        <f t="shared" si="30"/>
        <v>0.32826747720364741</v>
      </c>
      <c r="AJ100" s="205" t="str">
        <f>IFERROR(VLOOKUP(G100,ochalek,11,FALSE),"")</f>
        <v/>
      </c>
      <c r="AK100" s="195" t="str">
        <f t="shared" si="31"/>
        <v>NA</v>
      </c>
      <c r="AL100" s="205" t="str">
        <f>IFERROR(VLOOKUP(G100,ochalek,10,FALSE),"")</f>
        <v/>
      </c>
      <c r="AM100" s="207" t="str">
        <f t="shared" si="32"/>
        <v>NA</v>
      </c>
      <c r="AN100" s="205">
        <f>IFERROR(VLOOKUP(G100,woods,6,FALSE),"")</f>
        <v>0.50488002929609754</v>
      </c>
      <c r="AO100" s="195" t="str">
        <f t="shared" si="33"/>
        <v>Cost-effective</v>
      </c>
      <c r="AP100" s="205">
        <f>IFERROR(VLOOKUP(G100,woods,5,FALSE),"")</f>
        <v>0.16781568933399144</v>
      </c>
      <c r="AQ100" s="195" t="str">
        <f t="shared" si="34"/>
        <v>Not cost-effective</v>
      </c>
      <c r="AR100" s="205">
        <f>IFERROR(VLOOKUP(G100,riviere,8,FALSE),"")</f>
        <v>2.52532958984375</v>
      </c>
      <c r="AS100" s="195" t="str">
        <f t="shared" si="35"/>
        <v>Cost-effective</v>
      </c>
      <c r="AT100" s="205">
        <f>IFERROR(VLOOKUP(G100,riviere,7,FALSE),"")</f>
        <v>1.04644775390625</v>
      </c>
      <c r="AU100" s="195" t="str">
        <f t="shared" si="36"/>
        <v>Cost-effective</v>
      </c>
      <c r="AV100" s="162" t="s">
        <v>176</v>
      </c>
      <c r="AW100" s="162" t="s">
        <v>162</v>
      </c>
      <c r="AX100" s="210">
        <f t="shared" si="37"/>
        <v>0</v>
      </c>
      <c r="AY100" s="210">
        <f t="shared" si="38"/>
        <v>0</v>
      </c>
      <c r="AZ100" s="197">
        <f t="shared" si="39"/>
        <v>0</v>
      </c>
      <c r="BA100" s="197">
        <f t="shared" si="40"/>
        <v>1</v>
      </c>
      <c r="BB100" s="197">
        <f t="shared" si="41"/>
        <v>0</v>
      </c>
      <c r="BC100" s="197">
        <f t="shared" si="42"/>
        <v>0</v>
      </c>
      <c r="BD100" s="197">
        <f t="shared" si="43"/>
        <v>1</v>
      </c>
      <c r="BE100" s="163" t="s">
        <v>155</v>
      </c>
      <c r="BF100" s="162" t="s">
        <v>156</v>
      </c>
    </row>
    <row r="101" spans="1:58">
      <c r="A101" s="195">
        <f t="shared" si="44"/>
        <v>32</v>
      </c>
      <c r="B101" s="195">
        <f t="shared" si="45"/>
        <v>2</v>
      </c>
      <c r="C101" s="196" t="str">
        <f t="shared" si="23"/>
        <v>3202</v>
      </c>
      <c r="D101" s="159" t="s">
        <v>250</v>
      </c>
      <c r="E101" s="190">
        <v>2019</v>
      </c>
      <c r="F101" s="162" t="s">
        <v>251</v>
      </c>
      <c r="G101" s="162" t="s">
        <v>252</v>
      </c>
      <c r="H101" s="197" t="str">
        <f>IF(VLOOKUP(G101,income,R101-1985,FALSE)="UM","Upper-middle",IF(VLOOKUP(G101,income,R101-1985,FALSE)="LM","Lower-middle",IF(VLOOKUP(G101,income,R101-1985,FALSE)="L","Low")))</f>
        <v>Upper-middle</v>
      </c>
      <c r="I101" s="163">
        <v>0</v>
      </c>
      <c r="J101" s="162" t="s">
        <v>167</v>
      </c>
      <c r="K101" s="162" t="s">
        <v>147</v>
      </c>
      <c r="L101" s="207" t="str">
        <f t="shared" si="26"/>
        <v>PCV13 vs NoVax</v>
      </c>
      <c r="M101" s="162" t="s">
        <v>1551</v>
      </c>
      <c r="N101" s="163" t="s">
        <v>148</v>
      </c>
      <c r="O101" s="162" t="s">
        <v>149</v>
      </c>
      <c r="P101" s="162" t="s">
        <v>150</v>
      </c>
      <c r="Q101" s="162" t="s">
        <v>151</v>
      </c>
      <c r="R101" s="163">
        <v>2014</v>
      </c>
      <c r="S101" s="191">
        <v>20</v>
      </c>
      <c r="T101" s="198">
        <f>IF(ISNUMBER(S101),S101/VLOOKUP($Q101,xRates!$A$1:$BL$267,studies!$R101-xRates!$B$1+2,FALSE),"")</f>
        <v>20</v>
      </c>
      <c r="V101" s="198" t="str">
        <f>IF(ISNUMBER(U101),U101/VLOOKUP($Q101,xRates!$A$1:$BL$267,studies!$R101-xRates!$B$1+2,FALSE),"")</f>
        <v/>
      </c>
      <c r="W101" s="163">
        <v>0</v>
      </c>
      <c r="X101" s="163">
        <v>0</v>
      </c>
      <c r="Y101" s="163">
        <v>1</v>
      </c>
      <c r="Z101" s="163">
        <v>1</v>
      </c>
      <c r="AA101" s="163">
        <v>1</v>
      </c>
      <c r="AB101" s="163" t="s">
        <v>190</v>
      </c>
      <c r="AC101" s="193">
        <v>1538</v>
      </c>
      <c r="AD101" s="201">
        <f>IF(ISNUMBER(AC101),AC101/VLOOKUP($Q101,xRates!$A$1:$BL$267,studies!$R101-xRates!$B$1+2,FALSE),"")</f>
        <v>1538</v>
      </c>
      <c r="AE101" s="200">
        <f t="shared" si="27"/>
        <v>0</v>
      </c>
      <c r="AF101" s="201">
        <f>VLOOKUP(G101,gdppc,R101-1958,FALSE)</f>
        <v>5757.5</v>
      </c>
      <c r="AG101" s="195" t="str">
        <f t="shared" si="28"/>
        <v>Cost-effective</v>
      </c>
      <c r="AH101" s="195" t="str">
        <f t="shared" si="29"/>
        <v>Cost-effective</v>
      </c>
      <c r="AI101" s="204">
        <f t="shared" si="30"/>
        <v>0.26712983065566653</v>
      </c>
      <c r="AJ101" s="205" t="str">
        <f>IFERROR(VLOOKUP(G101,ochalek,11,FALSE),"")</f>
        <v/>
      </c>
      <c r="AK101" s="195" t="str">
        <f t="shared" si="31"/>
        <v>NA</v>
      </c>
      <c r="AL101" s="205" t="str">
        <f>IFERROR(VLOOKUP(G101,ochalek,10,FALSE),"")</f>
        <v/>
      </c>
      <c r="AM101" s="207" t="str">
        <f t="shared" si="32"/>
        <v>NA</v>
      </c>
      <c r="AN101" s="205">
        <f>IFERROR(VLOOKUP(G101,woods,6,FALSE),"")</f>
        <v>0.50488002929609754</v>
      </c>
      <c r="AO101" s="195" t="str">
        <f t="shared" si="33"/>
        <v>Cost-effective</v>
      </c>
      <c r="AP101" s="205">
        <f>IFERROR(VLOOKUP(G101,woods,5,FALSE),"")</f>
        <v>0.16781568933399144</v>
      </c>
      <c r="AQ101" s="195" t="str">
        <f t="shared" si="34"/>
        <v>Not cost-effective</v>
      </c>
      <c r="AR101" s="205">
        <f>IFERROR(VLOOKUP(G101,riviere,8,FALSE),"")</f>
        <v>2.52532958984375</v>
      </c>
      <c r="AS101" s="195" t="str">
        <f t="shared" si="35"/>
        <v>Cost-effective</v>
      </c>
      <c r="AT101" s="205">
        <f>IFERROR(VLOOKUP(G101,riviere,7,FALSE),"")</f>
        <v>1.04644775390625</v>
      </c>
      <c r="AU101" s="195" t="str">
        <f t="shared" si="36"/>
        <v>Cost-effective</v>
      </c>
      <c r="AV101" s="162" t="s">
        <v>176</v>
      </c>
      <c r="AW101" s="162" t="s">
        <v>162</v>
      </c>
      <c r="AX101" s="210">
        <f t="shared" si="37"/>
        <v>0</v>
      </c>
      <c r="AY101" s="210">
        <f t="shared" si="38"/>
        <v>0</v>
      </c>
      <c r="AZ101" s="197">
        <f t="shared" si="39"/>
        <v>0</v>
      </c>
      <c r="BA101" s="197">
        <f t="shared" si="40"/>
        <v>1</v>
      </c>
      <c r="BB101" s="197">
        <f t="shared" si="41"/>
        <v>0</v>
      </c>
      <c r="BC101" s="197">
        <f t="shared" si="42"/>
        <v>0</v>
      </c>
      <c r="BD101" s="197">
        <f t="shared" si="43"/>
        <v>1</v>
      </c>
      <c r="BE101" s="163" t="s">
        <v>155</v>
      </c>
      <c r="BF101" s="162" t="s">
        <v>156</v>
      </c>
    </row>
    <row r="102" spans="1:58">
      <c r="A102" s="195">
        <f t="shared" si="44"/>
        <v>33</v>
      </c>
      <c r="B102" s="195">
        <f t="shared" si="45"/>
        <v>1</v>
      </c>
      <c r="C102" s="196" t="str">
        <f t="shared" si="23"/>
        <v>3301</v>
      </c>
      <c r="D102" s="159" t="s">
        <v>253</v>
      </c>
      <c r="E102" s="190">
        <v>2020</v>
      </c>
      <c r="F102" s="162" t="s">
        <v>254</v>
      </c>
      <c r="G102" s="162" t="s">
        <v>255</v>
      </c>
      <c r="H102" s="197" t="str">
        <f>IF(VLOOKUP(G102,income,R102-1985,FALSE)="UM","Upper-middle",IF(VLOOKUP(G102,income,R102-1985,FALSE)="LM","Lower-middle",IF(VLOOKUP(G102,income,R102-1985,FALSE)="L","Low")))</f>
        <v>Upper-middle</v>
      </c>
      <c r="I102" s="163">
        <v>0</v>
      </c>
      <c r="J102" s="162" t="s">
        <v>146</v>
      </c>
      <c r="K102" s="162" t="s">
        <v>147</v>
      </c>
      <c r="L102" s="207" t="str">
        <f t="shared" si="26"/>
        <v>PCV7 vs NoVax</v>
      </c>
      <c r="M102" s="162" t="s">
        <v>1551</v>
      </c>
      <c r="N102" s="163" t="s">
        <v>148</v>
      </c>
      <c r="O102" s="162" t="s">
        <v>159</v>
      </c>
      <c r="P102" s="162" t="s">
        <v>256</v>
      </c>
      <c r="Q102" s="162" t="s">
        <v>255</v>
      </c>
      <c r="R102" s="163">
        <v>2016</v>
      </c>
      <c r="S102" s="191">
        <v>7</v>
      </c>
      <c r="T102" s="198">
        <f>S102/24</f>
        <v>0.29166666666666669</v>
      </c>
      <c r="V102" s="198" t="str">
        <f>IF(ISNUMBER(U102),U102/VLOOKUP($Q102,xRates!$A$1:$BL$267,studies!$R102-xRates!$B$1+2,FALSE),"")</f>
        <v/>
      </c>
      <c r="W102" s="163">
        <v>0</v>
      </c>
      <c r="X102" s="163">
        <v>0</v>
      </c>
      <c r="Y102" s="163">
        <v>1</v>
      </c>
      <c r="Z102" s="163">
        <v>1</v>
      </c>
      <c r="AA102" s="163">
        <v>1</v>
      </c>
      <c r="AB102" s="163" t="s">
        <v>190</v>
      </c>
      <c r="AC102" s="193">
        <v>374</v>
      </c>
      <c r="AD102" s="201">
        <f>AC102/24</f>
        <v>15.583333333333334</v>
      </c>
      <c r="AE102" s="200">
        <f t="shared" si="27"/>
        <v>0</v>
      </c>
      <c r="AF102" s="201">
        <f>VLOOKUP(G102,gdppc,R102-1958,FALSE)</f>
        <v>8055.9</v>
      </c>
      <c r="AG102" s="195" t="str">
        <f t="shared" si="28"/>
        <v>Cost-effective</v>
      </c>
      <c r="AH102" s="195" t="str">
        <f t="shared" si="29"/>
        <v>Cost-effective</v>
      </c>
      <c r="AI102" s="204">
        <f t="shared" si="30"/>
        <v>1.9344000463428462E-3</v>
      </c>
      <c r="AJ102" s="205" t="str">
        <f>IFERROR(VLOOKUP(G102,ochalek,11,FALSE),"")</f>
        <v/>
      </c>
      <c r="AK102" s="195" t="str">
        <f t="shared" si="31"/>
        <v>NA</v>
      </c>
      <c r="AL102" s="205" t="str">
        <f>IFERROR(VLOOKUP(G102,ochalek,10,FALSE),"")</f>
        <v/>
      </c>
      <c r="AM102" s="207" t="str">
        <f t="shared" si="32"/>
        <v>NA</v>
      </c>
      <c r="AN102" s="205" t="str">
        <f>IFERROR(VLOOKUP(G102,woods,6,FALSE),"")</f>
        <v/>
      </c>
      <c r="AO102" s="195" t="str">
        <f t="shared" si="33"/>
        <v>NA</v>
      </c>
      <c r="AP102" s="205" t="str">
        <f>IFERROR(VLOOKUP(G102,woods,5,FALSE),"")</f>
        <v/>
      </c>
      <c r="AQ102" s="195" t="str">
        <f t="shared" si="34"/>
        <v>NA</v>
      </c>
      <c r="AR102" s="205">
        <f>IFERROR(VLOOKUP(G102,riviere,8,FALSE),"")</f>
        <v>2.0486027529159463</v>
      </c>
      <c r="AS102" s="195" t="str">
        <f t="shared" si="35"/>
        <v>Cost-effective</v>
      </c>
      <c r="AT102" s="205">
        <f>IFERROR(VLOOKUP(G102,riviere,7,FALSE),"")</f>
        <v>0.84907105499266911</v>
      </c>
      <c r="AU102" s="195" t="str">
        <f t="shared" si="36"/>
        <v>Cost-effective</v>
      </c>
      <c r="AV102" s="162" t="s">
        <v>176</v>
      </c>
      <c r="AW102" s="162" t="s">
        <v>162</v>
      </c>
      <c r="AX102" s="210">
        <f t="shared" si="37"/>
        <v>0</v>
      </c>
      <c r="AY102" s="210">
        <f t="shared" si="38"/>
        <v>0</v>
      </c>
      <c r="AZ102" s="197">
        <f t="shared" si="39"/>
        <v>0</v>
      </c>
      <c r="BA102" s="197">
        <f t="shared" si="40"/>
        <v>0</v>
      </c>
      <c r="BB102" s="197">
        <f t="shared" si="41"/>
        <v>0</v>
      </c>
      <c r="BC102" s="197">
        <f t="shared" si="42"/>
        <v>0</v>
      </c>
      <c r="BD102" s="197">
        <f t="shared" si="43"/>
        <v>0</v>
      </c>
      <c r="BE102" s="163" t="s">
        <v>155</v>
      </c>
      <c r="BF102" s="162" t="s">
        <v>249</v>
      </c>
    </row>
    <row r="103" spans="1:58">
      <c r="A103" s="195">
        <f t="shared" si="44"/>
        <v>34</v>
      </c>
      <c r="B103" s="195">
        <f t="shared" si="45"/>
        <v>1</v>
      </c>
      <c r="C103" s="196" t="str">
        <f t="shared" si="23"/>
        <v>3401</v>
      </c>
      <c r="D103" s="159" t="s">
        <v>257</v>
      </c>
      <c r="E103" s="190">
        <v>2012</v>
      </c>
      <c r="F103" s="162" t="s">
        <v>258</v>
      </c>
      <c r="G103" s="162" t="s">
        <v>259</v>
      </c>
      <c r="H103" s="197" t="str">
        <f>IF(VLOOKUP(G103,income,R103-1985,FALSE)="UM","Upper-middle",IF(VLOOKUP(G103,income,R103-1985,FALSE)="LM","Lower-middle",IF(VLOOKUP(G103,income,R103-1985,FALSE)="L","Low")))</f>
        <v>Upper-middle</v>
      </c>
      <c r="I103" s="163">
        <v>0</v>
      </c>
      <c r="J103" s="162" t="s">
        <v>167</v>
      </c>
      <c r="K103" s="162" t="s">
        <v>146</v>
      </c>
      <c r="L103" s="207" t="str">
        <f t="shared" si="26"/>
        <v>Others</v>
      </c>
      <c r="M103" s="162" t="s">
        <v>1552</v>
      </c>
      <c r="N103" s="163" t="s">
        <v>148</v>
      </c>
      <c r="O103" s="162" t="s">
        <v>159</v>
      </c>
      <c r="P103" s="162" t="s">
        <v>150</v>
      </c>
      <c r="Q103" s="162" t="s">
        <v>151</v>
      </c>
      <c r="R103" s="163">
        <v>2011</v>
      </c>
      <c r="S103" s="191">
        <v>55</v>
      </c>
      <c r="T103" s="198">
        <f>IF(ISNUMBER(S103),S103/VLOOKUP($Q103,xRates!$A$1:$BL$267,studies!$R103-xRates!$B$1+2,FALSE),"")</f>
        <v>55</v>
      </c>
      <c r="U103" s="163">
        <v>55</v>
      </c>
      <c r="V103" s="198">
        <f>IF(ISNUMBER(U103),U103/VLOOKUP($Q103,xRates!$A$1:$BL$267,studies!$R103-xRates!$B$1+2,FALSE),"")</f>
        <v>55</v>
      </c>
      <c r="W103" s="163">
        <v>0</v>
      </c>
      <c r="X103" s="163">
        <v>0</v>
      </c>
      <c r="Y103" s="163">
        <v>1</v>
      </c>
      <c r="Z103" s="163">
        <v>1</v>
      </c>
      <c r="AA103" s="163">
        <v>1</v>
      </c>
      <c r="AB103" s="163" t="s">
        <v>152</v>
      </c>
      <c r="AC103" s="193">
        <f>-3483803/2223</f>
        <v>-1567.1628430049482</v>
      </c>
      <c r="AD103" s="201">
        <f>IF(ISNUMBER(AC103),AC103/VLOOKUP($Q103,xRates!$A$1:$BL$267,studies!$R103-xRates!$B$1+2,FALSE),"")</f>
        <v>-1567.1628430049482</v>
      </c>
      <c r="AE103" s="200">
        <f t="shared" si="27"/>
        <v>1</v>
      </c>
      <c r="AF103" s="201">
        <f>VLOOKUP(G103,gdppc,R103-1958,FALSE)</f>
        <v>11300.8</v>
      </c>
      <c r="AG103" s="195" t="str">
        <f t="shared" si="28"/>
        <v>Cost-saving</v>
      </c>
      <c r="AH103" s="195" t="str">
        <f t="shared" si="29"/>
        <v>Cost-saving</v>
      </c>
      <c r="AI103" s="204">
        <f t="shared" si="30"/>
        <v>-0.1386771594050818</v>
      </c>
      <c r="AJ103" s="205">
        <f>IFERROR(VLOOKUP(G103,ochalek,11,FALSE),"")</f>
        <v>1.43</v>
      </c>
      <c r="AK103" s="195" t="str">
        <f t="shared" si="31"/>
        <v>Cost-saving</v>
      </c>
      <c r="AL103" s="205">
        <f>IFERROR(VLOOKUP(G103,ochalek,10,FALSE),"")</f>
        <v>0.82</v>
      </c>
      <c r="AM103" s="207" t="str">
        <f t="shared" si="32"/>
        <v>Cost-saving</v>
      </c>
      <c r="AN103" s="205">
        <f>IFERROR(VLOOKUP(G103,woods,6,FALSE),"")</f>
        <v>0.54546755497606969</v>
      </c>
      <c r="AO103" s="195" t="str">
        <f t="shared" si="33"/>
        <v>Cost-saving</v>
      </c>
      <c r="AP103" s="205">
        <f>IFERROR(VLOOKUP(G103,woods,5,FALSE),"")</f>
        <v>0.23453276303445642</v>
      </c>
      <c r="AQ103" s="195" t="str">
        <f t="shared" si="34"/>
        <v>Cost-saving</v>
      </c>
      <c r="AR103" s="205">
        <f>IFERROR(VLOOKUP(G103,riviere,8,FALSE),"")</f>
        <v>0.75243613950561017</v>
      </c>
      <c r="AS103" s="195" t="str">
        <f t="shared" si="35"/>
        <v>Cost-saving</v>
      </c>
      <c r="AT103" s="205">
        <f>IFERROR(VLOOKUP(G103,riviere,7,FALSE),"")</f>
        <v>0.31186926232176576</v>
      </c>
      <c r="AU103" s="195" t="str">
        <f t="shared" si="36"/>
        <v>Cost-saving</v>
      </c>
      <c r="AV103" s="162" t="s">
        <v>260</v>
      </c>
      <c r="AW103" s="162" t="s">
        <v>186</v>
      </c>
      <c r="AX103" s="210" t="str">
        <f t="shared" si="37"/>
        <v/>
      </c>
      <c r="AY103" s="210" t="str">
        <f t="shared" si="38"/>
        <v/>
      </c>
      <c r="AZ103" s="197" t="str">
        <f t="shared" si="39"/>
        <v/>
      </c>
      <c r="BA103" s="197" t="str">
        <f t="shared" si="40"/>
        <v/>
      </c>
      <c r="BB103" s="197" t="str">
        <f t="shared" si="41"/>
        <v/>
      </c>
      <c r="BC103" s="197" t="str">
        <f t="shared" si="42"/>
        <v/>
      </c>
      <c r="BD103" s="197">
        <f t="shared" si="43"/>
        <v>0</v>
      </c>
      <c r="BE103" s="163" t="s">
        <v>155</v>
      </c>
      <c r="BF103" s="162" t="s">
        <v>163</v>
      </c>
    </row>
    <row r="104" spans="1:58">
      <c r="A104" s="195">
        <f t="shared" si="44"/>
        <v>34</v>
      </c>
      <c r="B104" s="195">
        <f t="shared" si="45"/>
        <v>2</v>
      </c>
      <c r="C104" s="196" t="str">
        <f t="shared" si="23"/>
        <v>3402</v>
      </c>
      <c r="D104" s="159" t="s">
        <v>257</v>
      </c>
      <c r="E104" s="190">
        <v>2012</v>
      </c>
      <c r="F104" s="162" t="s">
        <v>258</v>
      </c>
      <c r="G104" s="162" t="s">
        <v>259</v>
      </c>
      <c r="H104" s="197" t="str">
        <f>IF(VLOOKUP(G104,income,R104-1985,FALSE)="UM","Upper-middle",IF(VLOOKUP(G104,income,R104-1985,FALSE)="LM","Lower-middle",IF(VLOOKUP(G104,income,R104-1985,FALSE)="L","Low")))</f>
        <v>Upper-middle</v>
      </c>
      <c r="I104" s="163">
        <v>0</v>
      </c>
      <c r="J104" s="162" t="s">
        <v>167</v>
      </c>
      <c r="K104" s="162" t="s">
        <v>166</v>
      </c>
      <c r="L104" s="207" t="str">
        <f t="shared" si="26"/>
        <v>PCV13 vs PCV10</v>
      </c>
      <c r="M104" s="162" t="s">
        <v>1552</v>
      </c>
      <c r="N104" s="163" t="s">
        <v>148</v>
      </c>
      <c r="O104" s="164" t="s">
        <v>159</v>
      </c>
      <c r="P104" s="162" t="s">
        <v>150</v>
      </c>
      <c r="Q104" s="162" t="s">
        <v>151</v>
      </c>
      <c r="R104" s="190">
        <v>2011</v>
      </c>
      <c r="S104" s="191">
        <v>55</v>
      </c>
      <c r="T104" s="198">
        <f>IF(ISNUMBER(S104),S104/VLOOKUP($Q104,xRates!$A$1:$BL$267,studies!$R104-xRates!$B$1+2,FALSE),"")</f>
        <v>55</v>
      </c>
      <c r="U104" s="163">
        <v>55</v>
      </c>
      <c r="V104" s="198">
        <f>IF(ISNUMBER(U104),U104/VLOOKUP($Q104,xRates!$A$1:$BL$267,studies!$R104-xRates!$B$1+2,FALSE),"")</f>
        <v>55</v>
      </c>
      <c r="W104" s="163">
        <v>0</v>
      </c>
      <c r="X104" s="163">
        <v>0</v>
      </c>
      <c r="Y104" s="163">
        <v>1</v>
      </c>
      <c r="Z104" s="163">
        <v>1</v>
      </c>
      <c r="AA104" s="163">
        <v>1</v>
      </c>
      <c r="AB104" s="163" t="s">
        <v>152</v>
      </c>
      <c r="AC104" s="190">
        <v>999999</v>
      </c>
      <c r="AD104" s="213">
        <f>IF(ISNUMBER(AC104),AC104/VLOOKUP($Q104,xRates!$A$1:$BL$267,studies!$R104-xRates!$B$1+2,FALSE),"")</f>
        <v>999999</v>
      </c>
      <c r="AE104" s="200">
        <f t="shared" si="27"/>
        <v>0</v>
      </c>
      <c r="AF104" s="200">
        <f>VLOOKUP(G104,gdppc,R104-1958,FALSE)</f>
        <v>11300.8</v>
      </c>
      <c r="AG104" s="195" t="str">
        <f t="shared" si="28"/>
        <v>Not cost-effective</v>
      </c>
      <c r="AH104" s="195" t="str">
        <f t="shared" si="29"/>
        <v>Not cost-effective</v>
      </c>
      <c r="AI104" s="204">
        <f t="shared" si="30"/>
        <v>88.489222001982171</v>
      </c>
      <c r="AJ104" s="205">
        <f>IFERROR(VLOOKUP(G104,ochalek,11,FALSE),"")</f>
        <v>1.43</v>
      </c>
      <c r="AK104" s="195" t="str">
        <f t="shared" si="31"/>
        <v>Not cost-effective</v>
      </c>
      <c r="AL104" s="205">
        <f>IFERROR(VLOOKUP(G104,ochalek,10,FALSE),"")</f>
        <v>0.82</v>
      </c>
      <c r="AM104" s="207" t="str">
        <f t="shared" si="32"/>
        <v>Not cost-effective</v>
      </c>
      <c r="AN104" s="205">
        <f>IFERROR(VLOOKUP(G104,woods,6,FALSE),"")</f>
        <v>0.54546755497606969</v>
      </c>
      <c r="AO104" s="195" t="str">
        <f t="shared" si="33"/>
        <v>Not cost-effective</v>
      </c>
      <c r="AP104" s="205">
        <f>IFERROR(VLOOKUP(G104,woods,5,FALSE),"")</f>
        <v>0.23453276303445642</v>
      </c>
      <c r="AQ104" s="195" t="str">
        <f t="shared" si="34"/>
        <v>Not cost-effective</v>
      </c>
      <c r="AR104" s="205">
        <f>IFERROR(VLOOKUP(G104,riviere,8,FALSE),"")</f>
        <v>0.75243613950561017</v>
      </c>
      <c r="AS104" s="195" t="str">
        <f t="shared" si="35"/>
        <v>Not cost-effective</v>
      </c>
      <c r="AT104" s="205">
        <f>IFERROR(VLOOKUP(G104,riviere,7,FALSE),"")</f>
        <v>0.31186926232176576</v>
      </c>
      <c r="AU104" s="195" t="str">
        <f t="shared" si="36"/>
        <v>Not cost-effective</v>
      </c>
      <c r="AV104" s="162" t="s">
        <v>260</v>
      </c>
      <c r="AW104" s="162" t="s">
        <v>154</v>
      </c>
      <c r="AX104" s="210" t="str">
        <f t="shared" si="37"/>
        <v/>
      </c>
      <c r="AY104" s="210" t="str">
        <f t="shared" si="38"/>
        <v/>
      </c>
      <c r="AZ104" s="197" t="str">
        <f t="shared" si="39"/>
        <v/>
      </c>
      <c r="BA104" s="197" t="str">
        <f t="shared" si="40"/>
        <v/>
      </c>
      <c r="BB104" s="197" t="str">
        <f t="shared" si="41"/>
        <v/>
      </c>
      <c r="BC104" s="197" t="str">
        <f t="shared" si="42"/>
        <v/>
      </c>
      <c r="BD104" s="197">
        <f t="shared" si="43"/>
        <v>0</v>
      </c>
      <c r="BE104" s="163" t="s">
        <v>155</v>
      </c>
      <c r="BF104" s="162" t="s">
        <v>163</v>
      </c>
    </row>
    <row r="105" spans="1:58">
      <c r="A105" s="195">
        <f t="shared" si="44"/>
        <v>34</v>
      </c>
      <c r="B105" s="195">
        <f t="shared" si="45"/>
        <v>3</v>
      </c>
      <c r="C105" s="196" t="str">
        <f t="shared" si="23"/>
        <v>3403</v>
      </c>
      <c r="D105" s="159" t="s">
        <v>257</v>
      </c>
      <c r="E105" s="190">
        <v>2012</v>
      </c>
      <c r="F105" s="162" t="s">
        <v>258</v>
      </c>
      <c r="G105" s="162" t="s">
        <v>259</v>
      </c>
      <c r="H105" s="197" t="str">
        <f>IF(VLOOKUP(G105,income,R105-1985,FALSE)="UM","Upper-middle",IF(VLOOKUP(G105,income,R105-1985,FALSE)="LM","Lower-middle",IF(VLOOKUP(G105,income,R105-1985,FALSE)="L","Low")))</f>
        <v>Upper-middle</v>
      </c>
      <c r="I105" s="163">
        <v>0</v>
      </c>
      <c r="J105" s="162" t="s">
        <v>166</v>
      </c>
      <c r="K105" s="162" t="s">
        <v>146</v>
      </c>
      <c r="L105" s="207" t="str">
        <f t="shared" si="26"/>
        <v>Others</v>
      </c>
      <c r="M105" s="162" t="s">
        <v>1552</v>
      </c>
      <c r="N105" s="163" t="s">
        <v>148</v>
      </c>
      <c r="O105" s="162" t="s">
        <v>159</v>
      </c>
      <c r="P105" s="162" t="s">
        <v>150</v>
      </c>
      <c r="Q105" s="162" t="s">
        <v>151</v>
      </c>
      <c r="R105" s="163">
        <v>2000</v>
      </c>
      <c r="S105" s="191">
        <v>55</v>
      </c>
      <c r="T105" s="198">
        <f>IF(ISNUMBER(S105),S105/VLOOKUP($Q105,xRates!$A$1:$BL$267,studies!$R105-xRates!$B$1+2,FALSE),"")</f>
        <v>55</v>
      </c>
      <c r="U105" s="163">
        <v>55</v>
      </c>
      <c r="V105" s="198">
        <f>IF(ISNUMBER(U105),U105/VLOOKUP($Q105,xRates!$A$1:$BL$267,studies!$R105-xRates!$B$1+2,FALSE),"")</f>
        <v>55</v>
      </c>
      <c r="W105" s="163">
        <v>0</v>
      </c>
      <c r="X105" s="163">
        <v>0</v>
      </c>
      <c r="Y105" s="163">
        <v>1</v>
      </c>
      <c r="Z105" s="163">
        <v>1</v>
      </c>
      <c r="AA105" s="163">
        <v>1</v>
      </c>
      <c r="AB105" s="163" t="s">
        <v>152</v>
      </c>
      <c r="AC105" s="193">
        <f>-11718813/3156</f>
        <v>-3713.1853612167301</v>
      </c>
      <c r="AD105" s="201">
        <f>IF(ISNUMBER(AC105),AC105/VLOOKUP($Q105,xRates!$A$1:$BL$267,studies!$R105-xRates!$B$1+2,FALSE),"")</f>
        <v>-3713.1853612167301</v>
      </c>
      <c r="AE105" s="200">
        <f t="shared" si="27"/>
        <v>1</v>
      </c>
      <c r="AF105" s="201">
        <f>VLOOKUP(G105,gdppc,R105-1958,FALSE)</f>
        <v>4278.3</v>
      </c>
      <c r="AG105" s="195" t="str">
        <f t="shared" si="28"/>
        <v>Cost-saving</v>
      </c>
      <c r="AH105" s="195" t="str">
        <f t="shared" si="29"/>
        <v>Cost-saving</v>
      </c>
      <c r="AI105" s="204">
        <f t="shared" si="30"/>
        <v>-0.86791140434675684</v>
      </c>
      <c r="AJ105" s="205">
        <f>IFERROR(VLOOKUP(G105,ochalek,11,FALSE),"")</f>
        <v>1.43</v>
      </c>
      <c r="AK105" s="195" t="str">
        <f t="shared" si="31"/>
        <v>Cost-saving</v>
      </c>
      <c r="AL105" s="205">
        <f>IFERROR(VLOOKUP(G105,ochalek,10,FALSE),"")</f>
        <v>0.82</v>
      </c>
      <c r="AM105" s="207" t="str">
        <f t="shared" si="32"/>
        <v>Cost-saving</v>
      </c>
      <c r="AN105" s="205">
        <f>IFERROR(VLOOKUP(G105,woods,6,FALSE),"")</f>
        <v>0.54546755497606969</v>
      </c>
      <c r="AO105" s="195" t="str">
        <f t="shared" si="33"/>
        <v>Cost-saving</v>
      </c>
      <c r="AP105" s="205">
        <f>IFERROR(VLOOKUP(G105,woods,5,FALSE),"")</f>
        <v>0.23453276303445642</v>
      </c>
      <c r="AQ105" s="195" t="str">
        <f t="shared" si="34"/>
        <v>Cost-saving</v>
      </c>
      <c r="AR105" s="205">
        <f>IFERROR(VLOOKUP(G105,riviere,8,FALSE),"")</f>
        <v>0.75243613950561017</v>
      </c>
      <c r="AS105" s="195" t="str">
        <f t="shared" si="35"/>
        <v>Cost-saving</v>
      </c>
      <c r="AT105" s="205">
        <f>IFERROR(VLOOKUP(G105,riviere,7,FALSE),"")</f>
        <v>0.31186926232176576</v>
      </c>
      <c r="AU105" s="195" t="str">
        <f t="shared" si="36"/>
        <v>Cost-saving</v>
      </c>
      <c r="AV105" s="162" t="s">
        <v>260</v>
      </c>
      <c r="AW105" s="162" t="s">
        <v>186</v>
      </c>
      <c r="AX105" s="210" t="str">
        <f t="shared" si="37"/>
        <v/>
      </c>
      <c r="AY105" s="210" t="str">
        <f t="shared" si="38"/>
        <v/>
      </c>
      <c r="AZ105" s="197" t="str">
        <f t="shared" si="39"/>
        <v/>
      </c>
      <c r="BA105" s="197" t="str">
        <f t="shared" si="40"/>
        <v/>
      </c>
      <c r="BB105" s="197" t="str">
        <f t="shared" si="41"/>
        <v/>
      </c>
      <c r="BC105" s="197" t="str">
        <f t="shared" si="42"/>
        <v/>
      </c>
      <c r="BD105" s="197">
        <f t="shared" si="43"/>
        <v>0</v>
      </c>
      <c r="BE105" s="163" t="s">
        <v>155</v>
      </c>
      <c r="BF105" s="162" t="s">
        <v>163</v>
      </c>
    </row>
    <row r="106" spans="1:58">
      <c r="A106" s="195">
        <f t="shared" si="44"/>
        <v>35</v>
      </c>
      <c r="B106" s="195">
        <f t="shared" si="45"/>
        <v>1</v>
      </c>
      <c r="C106" s="196" t="str">
        <f t="shared" si="23"/>
        <v>3501</v>
      </c>
      <c r="D106" s="159" t="s">
        <v>261</v>
      </c>
      <c r="E106" s="190">
        <v>2012</v>
      </c>
      <c r="F106" s="162" t="s">
        <v>262</v>
      </c>
      <c r="G106" s="162" t="s">
        <v>241</v>
      </c>
      <c r="H106" s="197" t="str">
        <f>IF(VLOOKUP(G106,income,R106-1985,FALSE)="UM","Upper-middle",IF(VLOOKUP(G106,income,R106-1985,FALSE)="LM","Lower-middle",IF(VLOOKUP(G106,income,R106-1985,FALSE)="L","Low")))</f>
        <v>Upper-middle</v>
      </c>
      <c r="I106" s="163">
        <v>0</v>
      </c>
      <c r="J106" s="162" t="s">
        <v>146</v>
      </c>
      <c r="K106" s="162" t="s">
        <v>147</v>
      </c>
      <c r="L106" s="207" t="str">
        <f t="shared" si="26"/>
        <v>PCV7 vs NoVax</v>
      </c>
      <c r="M106" s="162" t="s">
        <v>1551</v>
      </c>
      <c r="N106" s="163" t="s">
        <v>148</v>
      </c>
      <c r="O106" s="162" t="s">
        <v>149</v>
      </c>
      <c r="P106" s="162" t="s">
        <v>150</v>
      </c>
      <c r="Q106" s="162" t="s">
        <v>151</v>
      </c>
      <c r="R106" s="163">
        <v>2009</v>
      </c>
      <c r="S106" s="191">
        <v>14</v>
      </c>
      <c r="T106" s="198">
        <f>IF(ISNUMBER(S106),S106/VLOOKUP($Q106,xRates!$A$1:$BL$267,studies!$R106-xRates!$B$1+2,FALSE),"")</f>
        <v>14</v>
      </c>
      <c r="V106" s="198" t="str">
        <f>IF(ISNUMBER(U106),U106/VLOOKUP($Q106,xRates!$A$1:$BL$267,studies!$R106-xRates!$B$1+2,FALSE),"")</f>
        <v/>
      </c>
      <c r="W106" s="163">
        <v>0</v>
      </c>
      <c r="X106" s="163">
        <v>0</v>
      </c>
      <c r="Y106" s="163">
        <v>1</v>
      </c>
      <c r="Z106" s="163">
        <v>1</v>
      </c>
      <c r="AA106" s="163">
        <v>1</v>
      </c>
      <c r="AB106" s="163" t="s">
        <v>263</v>
      </c>
      <c r="AC106" s="193">
        <v>999999</v>
      </c>
      <c r="AD106" s="201">
        <f>IF(ISNUMBER(AC106),AC106/VLOOKUP($Q106,xRates!$A$1:$BL$267,studies!$R106-xRates!$B$1+2,FALSE),"")</f>
        <v>999999</v>
      </c>
      <c r="AE106" s="200">
        <f t="shared" si="27"/>
        <v>0</v>
      </c>
      <c r="AF106" s="201">
        <f>VLOOKUP(G106,gdppc,R106-1958,FALSE)</f>
        <v>5246</v>
      </c>
      <c r="AG106" s="195" t="str">
        <f t="shared" si="28"/>
        <v>Not cost-effective</v>
      </c>
      <c r="AH106" s="195" t="str">
        <f t="shared" si="29"/>
        <v>Not cost-effective</v>
      </c>
      <c r="AI106" s="204">
        <f t="shared" si="30"/>
        <v>190.6212352268395</v>
      </c>
      <c r="AJ106" s="205">
        <f>IFERROR(VLOOKUP(G106,ochalek,11,FALSE),"")</f>
        <v>1.89</v>
      </c>
      <c r="AK106" s="195" t="str">
        <f t="shared" si="31"/>
        <v>Not cost-effective</v>
      </c>
      <c r="AL106" s="205">
        <f>IFERROR(VLOOKUP(G106,ochalek,10,FALSE),"")</f>
        <v>1.17</v>
      </c>
      <c r="AM106" s="207" t="str">
        <f t="shared" si="32"/>
        <v>Not cost-effective</v>
      </c>
      <c r="AN106" s="205">
        <f>IFERROR(VLOOKUP(G106,woods,6,FALSE),"")</f>
        <v>0.6677477128612227</v>
      </c>
      <c r="AO106" s="195" t="str">
        <f t="shared" si="33"/>
        <v>Not cost-effective</v>
      </c>
      <c r="AP106" s="205">
        <f>IFERROR(VLOOKUP(G106,woods,5,FALSE),"")</f>
        <v>0.16578730819497556</v>
      </c>
      <c r="AQ106" s="195" t="str">
        <f t="shared" si="34"/>
        <v>Not cost-effective</v>
      </c>
      <c r="AR106" s="205">
        <f>IFERROR(VLOOKUP(G106,riviere,8,FALSE),"")</f>
        <v>1.3213703099510603</v>
      </c>
      <c r="AS106" s="195" t="str">
        <f t="shared" si="35"/>
        <v>Not cost-effective</v>
      </c>
      <c r="AT106" s="205">
        <f>IFERROR(VLOOKUP(G106,riviere,7,FALSE),"")</f>
        <v>0.54765788860405495</v>
      </c>
      <c r="AU106" s="195" t="str">
        <f t="shared" si="36"/>
        <v>Not cost-effective</v>
      </c>
      <c r="AV106" s="162" t="s">
        <v>176</v>
      </c>
      <c r="AW106" s="162" t="s">
        <v>154</v>
      </c>
      <c r="AX106" s="210" t="str">
        <f t="shared" si="37"/>
        <v/>
      </c>
      <c r="AY106" s="210" t="str">
        <f t="shared" si="38"/>
        <v/>
      </c>
      <c r="AZ106" s="197" t="str">
        <f t="shared" si="39"/>
        <v/>
      </c>
      <c r="BA106" s="197" t="str">
        <f t="shared" si="40"/>
        <v/>
      </c>
      <c r="BB106" s="197" t="str">
        <f t="shared" si="41"/>
        <v/>
      </c>
      <c r="BC106" s="197" t="str">
        <f t="shared" si="42"/>
        <v/>
      </c>
      <c r="BD106" s="197">
        <f t="shared" si="43"/>
        <v>0</v>
      </c>
      <c r="BE106" s="163" t="s">
        <v>155</v>
      </c>
      <c r="BF106" s="162" t="s">
        <v>177</v>
      </c>
    </row>
    <row r="107" spans="1:58">
      <c r="A107" s="195">
        <f t="shared" si="44"/>
        <v>35</v>
      </c>
      <c r="B107" s="195">
        <f t="shared" si="45"/>
        <v>2</v>
      </c>
      <c r="C107" s="196" t="str">
        <f t="shared" si="23"/>
        <v>3502</v>
      </c>
      <c r="D107" s="159" t="s">
        <v>261</v>
      </c>
      <c r="E107" s="190">
        <v>2012</v>
      </c>
      <c r="F107" s="162" t="s">
        <v>262</v>
      </c>
      <c r="G107" s="162" t="s">
        <v>241</v>
      </c>
      <c r="H107" s="197" t="str">
        <f>IF(VLOOKUP(G107,income,R107-1985,FALSE)="UM","Upper-middle",IF(VLOOKUP(G107,income,R107-1985,FALSE)="LM","Lower-middle",IF(VLOOKUP(G107,income,R107-1985,FALSE)="L","Low")))</f>
        <v>Upper-middle</v>
      </c>
      <c r="I107" s="163">
        <v>0</v>
      </c>
      <c r="J107" s="162" t="s">
        <v>166</v>
      </c>
      <c r="K107" s="162" t="s">
        <v>147</v>
      </c>
      <c r="L107" s="207" t="str">
        <f t="shared" si="26"/>
        <v>PCV10 vs NoVax</v>
      </c>
      <c r="M107" s="162" t="s">
        <v>1551</v>
      </c>
      <c r="N107" s="163" t="s">
        <v>148</v>
      </c>
      <c r="O107" s="162" t="s">
        <v>149</v>
      </c>
      <c r="P107" s="162" t="s">
        <v>150</v>
      </c>
      <c r="Q107" s="162" t="s">
        <v>151</v>
      </c>
      <c r="R107" s="163">
        <v>2009</v>
      </c>
      <c r="S107" s="191">
        <v>14.85</v>
      </c>
      <c r="T107" s="198">
        <f>IF(ISNUMBER(S107),S107/VLOOKUP($Q107,xRates!$A$1:$BL$267,studies!$R107-xRates!$B$1+2,FALSE),"")</f>
        <v>14.85</v>
      </c>
      <c r="V107" s="198" t="str">
        <f>IF(ISNUMBER(U107),U107/VLOOKUP($Q107,xRates!$A$1:$BL$267,studies!$R107-xRates!$B$1+2,FALSE),"")</f>
        <v/>
      </c>
      <c r="W107" s="163">
        <v>0</v>
      </c>
      <c r="X107" s="163">
        <v>0</v>
      </c>
      <c r="Y107" s="163">
        <v>1</v>
      </c>
      <c r="Z107" s="163">
        <v>1</v>
      </c>
      <c r="AA107" s="163">
        <v>1</v>
      </c>
      <c r="AB107" s="163" t="s">
        <v>263</v>
      </c>
      <c r="AC107" s="193">
        <f>19441588/10581</f>
        <v>1837.4055382289009</v>
      </c>
      <c r="AD107" s="201">
        <f>IF(ISNUMBER(AC107),AC107/VLOOKUP($Q107,xRates!$A$1:$BL$267,studies!$R107-xRates!$B$1+2,FALSE),"")</f>
        <v>1837.4055382289009</v>
      </c>
      <c r="AE107" s="200">
        <f t="shared" si="27"/>
        <v>0</v>
      </c>
      <c r="AF107" s="201">
        <f>VLOOKUP(G107,gdppc,R107-1958,FALSE)</f>
        <v>5246</v>
      </c>
      <c r="AG107" s="195" t="str">
        <f t="shared" si="28"/>
        <v>Cost-effective</v>
      </c>
      <c r="AH107" s="195" t="str">
        <f t="shared" si="29"/>
        <v>Cost-effective</v>
      </c>
      <c r="AI107" s="204">
        <f t="shared" si="30"/>
        <v>0.3502488635586925</v>
      </c>
      <c r="AJ107" s="205">
        <f>IFERROR(VLOOKUP(G107,ochalek,11,FALSE),"")</f>
        <v>1.89</v>
      </c>
      <c r="AK107" s="195" t="str">
        <f t="shared" si="31"/>
        <v>Cost-effective</v>
      </c>
      <c r="AL107" s="205">
        <f>IFERROR(VLOOKUP(G107,ochalek,10,FALSE),"")</f>
        <v>1.17</v>
      </c>
      <c r="AM107" s="207" t="str">
        <f t="shared" si="32"/>
        <v>Cost-effective</v>
      </c>
      <c r="AN107" s="205">
        <f>IFERROR(VLOOKUP(G107,woods,6,FALSE),"")</f>
        <v>0.6677477128612227</v>
      </c>
      <c r="AO107" s="195" t="str">
        <f t="shared" si="33"/>
        <v>Cost-effective</v>
      </c>
      <c r="AP107" s="205">
        <f>IFERROR(VLOOKUP(G107,woods,5,FALSE),"")</f>
        <v>0.16578730819497556</v>
      </c>
      <c r="AQ107" s="195" t="str">
        <f t="shared" si="34"/>
        <v>Not cost-effective</v>
      </c>
      <c r="AR107" s="205">
        <f>IFERROR(VLOOKUP(G107,riviere,8,FALSE),"")</f>
        <v>1.3213703099510603</v>
      </c>
      <c r="AS107" s="195" t="str">
        <f t="shared" si="35"/>
        <v>Cost-effective</v>
      </c>
      <c r="AT107" s="205">
        <f>IFERROR(VLOOKUP(G107,riviere,7,FALSE),"")</f>
        <v>0.54765788860405495</v>
      </c>
      <c r="AU107" s="195" t="str">
        <f t="shared" si="36"/>
        <v>Cost-effective</v>
      </c>
      <c r="AV107" s="162" t="s">
        <v>176</v>
      </c>
      <c r="AW107" s="162" t="s">
        <v>162</v>
      </c>
      <c r="AX107" s="210">
        <f t="shared" si="37"/>
        <v>0</v>
      </c>
      <c r="AY107" s="210">
        <f t="shared" si="38"/>
        <v>0</v>
      </c>
      <c r="AZ107" s="197">
        <f t="shared" si="39"/>
        <v>0</v>
      </c>
      <c r="BA107" s="197">
        <f t="shared" si="40"/>
        <v>1</v>
      </c>
      <c r="BB107" s="197">
        <f t="shared" si="41"/>
        <v>0</v>
      </c>
      <c r="BC107" s="197">
        <f t="shared" si="42"/>
        <v>0</v>
      </c>
      <c r="BD107" s="197">
        <f t="shared" si="43"/>
        <v>1</v>
      </c>
      <c r="BE107" s="163" t="s">
        <v>155</v>
      </c>
      <c r="BF107" s="162" t="s">
        <v>177</v>
      </c>
    </row>
    <row r="108" spans="1:58">
      <c r="A108" s="195">
        <f t="shared" si="44"/>
        <v>35</v>
      </c>
      <c r="B108" s="195">
        <f t="shared" si="45"/>
        <v>3</v>
      </c>
      <c r="C108" s="196" t="str">
        <f t="shared" si="23"/>
        <v>3503</v>
      </c>
      <c r="D108" s="159" t="s">
        <v>261</v>
      </c>
      <c r="E108" s="190">
        <v>2012</v>
      </c>
      <c r="F108" s="162" t="s">
        <v>262</v>
      </c>
      <c r="G108" s="162" t="s">
        <v>241</v>
      </c>
      <c r="H108" s="197" t="str">
        <f>IF(VLOOKUP(G108,income,R108-1985,FALSE)="UM","Upper-middle",IF(VLOOKUP(G108,income,R108-1985,FALSE)="LM","Lower-middle",IF(VLOOKUP(G108,income,R108-1985,FALSE)="L","Low")))</f>
        <v>Upper-middle</v>
      </c>
      <c r="I108" s="163">
        <v>0</v>
      </c>
      <c r="J108" s="162" t="s">
        <v>167</v>
      </c>
      <c r="K108" s="162" t="s">
        <v>166</v>
      </c>
      <c r="L108" s="207" t="str">
        <f t="shared" si="26"/>
        <v>PCV13 vs PCV10</v>
      </c>
      <c r="M108" s="162" t="s">
        <v>1551</v>
      </c>
      <c r="N108" s="163" t="s">
        <v>148</v>
      </c>
      <c r="O108" s="162" t="s">
        <v>149</v>
      </c>
      <c r="P108" s="162" t="s">
        <v>150</v>
      </c>
      <c r="Q108" s="162" t="s">
        <v>151</v>
      </c>
      <c r="R108" s="163">
        <v>2009</v>
      </c>
      <c r="S108" s="191">
        <v>16.3</v>
      </c>
      <c r="T108" s="198">
        <f>IF(ISNUMBER(S108),S108/VLOOKUP($Q108,xRates!$A$1:$BL$267,studies!$R108-xRates!$B$1+2,FALSE),"")</f>
        <v>16.3</v>
      </c>
      <c r="U108" s="163">
        <v>14.85</v>
      </c>
      <c r="V108" s="198">
        <f>IF(ISNUMBER(U108),U108/VLOOKUP($Q108,xRates!$A$1:$BL$267,studies!$R108-xRates!$B$1+2,FALSE),"")</f>
        <v>14.85</v>
      </c>
      <c r="W108" s="163">
        <v>0</v>
      </c>
      <c r="X108" s="163">
        <v>0</v>
      </c>
      <c r="Y108" s="163">
        <v>1</v>
      </c>
      <c r="Z108" s="163">
        <v>1</v>
      </c>
      <c r="AA108" s="163">
        <v>1</v>
      </c>
      <c r="AB108" s="163" t="s">
        <v>263</v>
      </c>
      <c r="AC108" s="193">
        <v>9516</v>
      </c>
      <c r="AD108" s="201">
        <f>IF(ISNUMBER(AC108),AC108/VLOOKUP($Q108,xRates!$A$1:$BL$267,studies!$R108-xRates!$B$1+2,FALSE),"")</f>
        <v>9516</v>
      </c>
      <c r="AE108" s="200">
        <f t="shared" si="27"/>
        <v>0</v>
      </c>
      <c r="AF108" s="201">
        <f>VLOOKUP(G108,gdppc,R108-1958,FALSE)</f>
        <v>5246</v>
      </c>
      <c r="AG108" s="195" t="str">
        <f t="shared" si="28"/>
        <v>Not cost-effective</v>
      </c>
      <c r="AH108" s="195" t="str">
        <f t="shared" si="29"/>
        <v>Cost-effective</v>
      </c>
      <c r="AI108" s="204">
        <f t="shared" si="30"/>
        <v>1.8139534883720929</v>
      </c>
      <c r="AJ108" s="205">
        <f>IFERROR(VLOOKUP(G108,ochalek,11,FALSE),"")</f>
        <v>1.89</v>
      </c>
      <c r="AK108" s="195" t="str">
        <f t="shared" si="31"/>
        <v>Cost-effective</v>
      </c>
      <c r="AL108" s="205">
        <f>IFERROR(VLOOKUP(G108,ochalek,10,FALSE),"")</f>
        <v>1.17</v>
      </c>
      <c r="AM108" s="207" t="str">
        <f t="shared" si="32"/>
        <v>Not cost-effective</v>
      </c>
      <c r="AN108" s="205">
        <f>IFERROR(VLOOKUP(G108,woods,6,FALSE),"")</f>
        <v>0.6677477128612227</v>
      </c>
      <c r="AO108" s="195" t="str">
        <f t="shared" si="33"/>
        <v>Not cost-effective</v>
      </c>
      <c r="AP108" s="205">
        <f>IFERROR(VLOOKUP(G108,woods,5,FALSE),"")</f>
        <v>0.16578730819497556</v>
      </c>
      <c r="AQ108" s="195" t="str">
        <f t="shared" si="34"/>
        <v>Not cost-effective</v>
      </c>
      <c r="AR108" s="205">
        <f>IFERROR(VLOOKUP(G108,riviere,8,FALSE),"")</f>
        <v>1.3213703099510603</v>
      </c>
      <c r="AS108" s="195" t="str">
        <f t="shared" si="35"/>
        <v>Not cost-effective</v>
      </c>
      <c r="AT108" s="205">
        <f>IFERROR(VLOOKUP(G108,riviere,7,FALSE),"")</f>
        <v>0.54765788860405495</v>
      </c>
      <c r="AU108" s="195" t="str">
        <f t="shared" si="36"/>
        <v>Not cost-effective</v>
      </c>
      <c r="AV108" s="162" t="s">
        <v>176</v>
      </c>
      <c r="AW108" s="162" t="s">
        <v>162</v>
      </c>
      <c r="AX108" s="210">
        <f t="shared" si="37"/>
        <v>0</v>
      </c>
      <c r="AY108" s="210">
        <f t="shared" si="38"/>
        <v>1</v>
      </c>
      <c r="AZ108" s="197">
        <f t="shared" si="39"/>
        <v>1</v>
      </c>
      <c r="BA108" s="197">
        <f t="shared" si="40"/>
        <v>1</v>
      </c>
      <c r="BB108" s="197">
        <f t="shared" si="41"/>
        <v>1</v>
      </c>
      <c r="BC108" s="197">
        <f t="shared" si="42"/>
        <v>1</v>
      </c>
      <c r="BD108" s="197">
        <f t="shared" si="43"/>
        <v>5</v>
      </c>
      <c r="BE108" s="163" t="s">
        <v>155</v>
      </c>
      <c r="BF108" s="162" t="s">
        <v>177</v>
      </c>
    </row>
    <row r="109" spans="1:58">
      <c r="A109" s="195">
        <f t="shared" si="44"/>
        <v>36</v>
      </c>
      <c r="B109" s="195">
        <f t="shared" si="45"/>
        <v>1</v>
      </c>
      <c r="C109" s="196" t="str">
        <f t="shared" si="23"/>
        <v>3601</v>
      </c>
      <c r="D109" s="159" t="s">
        <v>27</v>
      </c>
      <c r="E109" s="190">
        <v>2013</v>
      </c>
      <c r="F109" s="162" t="s">
        <v>264</v>
      </c>
      <c r="G109" s="162" t="s">
        <v>234</v>
      </c>
      <c r="H109" s="197" t="str">
        <f>IF(VLOOKUP(G109,income,R109-1985,FALSE)="UM","Upper-middle",IF(VLOOKUP(G109,income,R109-1985,FALSE)="LM","Lower-middle",IF(VLOOKUP(G109,income,R109-1985,FALSE)="L","Low")))</f>
        <v>Upper-middle</v>
      </c>
      <c r="I109" s="163">
        <v>0</v>
      </c>
      <c r="J109" s="162" t="s">
        <v>146</v>
      </c>
      <c r="K109" s="162" t="s">
        <v>147</v>
      </c>
      <c r="L109" s="207" t="str">
        <f t="shared" si="26"/>
        <v>PCV7 vs NoVax</v>
      </c>
      <c r="M109" s="162" t="s">
        <v>1551</v>
      </c>
      <c r="N109" s="163" t="s">
        <v>148</v>
      </c>
      <c r="O109" s="162" t="s">
        <v>159</v>
      </c>
      <c r="P109" s="162" t="s">
        <v>150</v>
      </c>
      <c r="Q109" s="162" t="s">
        <v>151</v>
      </c>
      <c r="R109" s="163">
        <v>2009</v>
      </c>
      <c r="S109" s="191">
        <v>20</v>
      </c>
      <c r="T109" s="198">
        <f>IF(ISNUMBER(S109),S109/VLOOKUP($Q109,xRates!$A$1:$BL$267,studies!$R109-xRates!$B$1+2,FALSE),"")</f>
        <v>20</v>
      </c>
      <c r="V109" s="198" t="str">
        <f>IF(ISNUMBER(U109),U109/VLOOKUP($Q109,xRates!$A$1:$BL$267,studies!$R109-xRates!$B$1+2,FALSE),"")</f>
        <v/>
      </c>
      <c r="W109" s="163">
        <v>0</v>
      </c>
      <c r="X109" s="163">
        <v>0</v>
      </c>
      <c r="Y109" s="163">
        <v>1</v>
      </c>
      <c r="Z109" s="163">
        <v>1</v>
      </c>
      <c r="AA109" s="163">
        <v>1</v>
      </c>
      <c r="AB109" s="163" t="s">
        <v>152</v>
      </c>
      <c r="AC109" s="193">
        <v>6014</v>
      </c>
      <c r="AD109" s="201">
        <f>IF(ISNUMBER(AC109),AC109/VLOOKUP($Q109,xRates!$A$1:$BL$267,studies!$R109-xRates!$B$1+2,FALSE),"")</f>
        <v>6014</v>
      </c>
      <c r="AE109" s="200">
        <f t="shared" si="27"/>
        <v>0</v>
      </c>
      <c r="AF109" s="201">
        <f>VLOOKUP(G109,gdppc,R109-1958,FALSE)</f>
        <v>4165</v>
      </c>
      <c r="AG109" s="195" t="str">
        <f t="shared" si="28"/>
        <v>Not cost-effective</v>
      </c>
      <c r="AH109" s="195" t="str">
        <f t="shared" si="29"/>
        <v>Cost-effective</v>
      </c>
      <c r="AI109" s="204">
        <f t="shared" si="30"/>
        <v>1.4439375750300121</v>
      </c>
      <c r="AJ109" s="205">
        <f>IFERROR(VLOOKUP(G109,ochalek,11,FALSE),"")</f>
        <v>1.08</v>
      </c>
      <c r="AK109" s="195" t="str">
        <f t="shared" si="31"/>
        <v>Not cost-effective</v>
      </c>
      <c r="AL109" s="205">
        <f>IFERROR(VLOOKUP(G109,ochalek,10,FALSE),"")</f>
        <v>0.64</v>
      </c>
      <c r="AM109" s="207" t="str">
        <f t="shared" si="32"/>
        <v>Not cost-effective</v>
      </c>
      <c r="AN109" s="205">
        <f>IFERROR(VLOOKUP(G109,woods,6,FALSE),"")</f>
        <v>0.65445260705966679</v>
      </c>
      <c r="AO109" s="195" t="str">
        <f t="shared" si="33"/>
        <v>Not cost-effective</v>
      </c>
      <c r="AP109" s="205">
        <f>IFERROR(VLOOKUP(G109,woods,5,FALSE),"")</f>
        <v>0.16633817117601385</v>
      </c>
      <c r="AQ109" s="195" t="str">
        <f t="shared" si="34"/>
        <v>Not cost-effective</v>
      </c>
      <c r="AR109" s="205">
        <f>IFERROR(VLOOKUP(G109,riviere,8,FALSE),"")</f>
        <v>0.89355279235247609</v>
      </c>
      <c r="AS109" s="195" t="str">
        <f t="shared" si="35"/>
        <v>Not cost-effective</v>
      </c>
      <c r="AT109" s="205">
        <f>IFERROR(VLOOKUP(G109,riviere,7,FALSE),"")</f>
        <v>0.37030115719111623</v>
      </c>
      <c r="AU109" s="195" t="str">
        <f t="shared" si="36"/>
        <v>Not cost-effective</v>
      </c>
      <c r="AV109" s="162" t="s">
        <v>161</v>
      </c>
      <c r="AW109" s="162" t="s">
        <v>162</v>
      </c>
      <c r="AX109" s="210">
        <f t="shared" si="37"/>
        <v>1</v>
      </c>
      <c r="AY109" s="210">
        <f t="shared" si="38"/>
        <v>1</v>
      </c>
      <c r="AZ109" s="197">
        <f t="shared" si="39"/>
        <v>1</v>
      </c>
      <c r="BA109" s="197">
        <f t="shared" si="40"/>
        <v>1</v>
      </c>
      <c r="BB109" s="197">
        <f t="shared" si="41"/>
        <v>1</v>
      </c>
      <c r="BC109" s="197">
        <f t="shared" si="42"/>
        <v>1</v>
      </c>
      <c r="BD109" s="197">
        <f t="shared" si="43"/>
        <v>6</v>
      </c>
      <c r="BE109" s="163" t="s">
        <v>155</v>
      </c>
      <c r="BF109" s="162" t="s">
        <v>163</v>
      </c>
    </row>
    <row r="110" spans="1:58">
      <c r="A110" s="195">
        <f t="shared" si="44"/>
        <v>36</v>
      </c>
      <c r="B110" s="195">
        <f t="shared" si="45"/>
        <v>2</v>
      </c>
      <c r="C110" s="196" t="str">
        <f t="shared" si="23"/>
        <v>3602</v>
      </c>
      <c r="D110" s="159" t="s">
        <v>27</v>
      </c>
      <c r="E110" s="190">
        <v>2013</v>
      </c>
      <c r="F110" s="162" t="s">
        <v>264</v>
      </c>
      <c r="G110" s="162" t="s">
        <v>234</v>
      </c>
      <c r="H110" s="197" t="str">
        <f>IF(VLOOKUP(G110,income,R110-1985,FALSE)="UM","Upper-middle",IF(VLOOKUP(G110,income,R110-1985,FALSE)="LM","Lower-middle",IF(VLOOKUP(G110,income,R110-1985,FALSE)="L","Low")))</f>
        <v>Upper-middle</v>
      </c>
      <c r="I110" s="163">
        <v>0</v>
      </c>
      <c r="J110" s="162" t="s">
        <v>167</v>
      </c>
      <c r="K110" s="162" t="s">
        <v>147</v>
      </c>
      <c r="L110" s="207" t="str">
        <f t="shared" si="26"/>
        <v>PCV13 vs NoVax</v>
      </c>
      <c r="M110" s="162" t="s">
        <v>1551</v>
      </c>
      <c r="N110" s="163" t="s">
        <v>148</v>
      </c>
      <c r="O110" s="162" t="s">
        <v>159</v>
      </c>
      <c r="P110" s="162" t="s">
        <v>150</v>
      </c>
      <c r="Q110" s="162" t="s">
        <v>151</v>
      </c>
      <c r="R110" s="163">
        <v>2009</v>
      </c>
      <c r="S110" s="191">
        <v>16.34</v>
      </c>
      <c r="T110" s="198">
        <f>IF(ISNUMBER(S110),S110/VLOOKUP($Q110,xRates!$A$1:$BL$267,studies!$R110-xRates!$B$1+2,FALSE),"")</f>
        <v>16.34</v>
      </c>
      <c r="V110" s="198" t="str">
        <f>IF(ISNUMBER(U110),U110/VLOOKUP($Q110,xRates!$A$1:$BL$267,studies!$R110-xRates!$B$1+2,FALSE),"")</f>
        <v/>
      </c>
      <c r="W110" s="163">
        <v>0</v>
      </c>
      <c r="X110" s="163">
        <v>0</v>
      </c>
      <c r="Y110" s="163">
        <v>1</v>
      </c>
      <c r="Z110" s="163">
        <v>1</v>
      </c>
      <c r="AA110" s="163">
        <v>1</v>
      </c>
      <c r="AB110" s="163" t="s">
        <v>152</v>
      </c>
      <c r="AC110" s="193">
        <v>5327</v>
      </c>
      <c r="AD110" s="201">
        <f>IF(ISNUMBER(AC110),AC110/VLOOKUP($Q110,xRates!$A$1:$BL$267,studies!$R110-xRates!$B$1+2,FALSE),"")</f>
        <v>5327</v>
      </c>
      <c r="AE110" s="200">
        <f t="shared" si="27"/>
        <v>0</v>
      </c>
      <c r="AF110" s="201">
        <f>VLOOKUP(G110,gdppc,R110-1958,FALSE)</f>
        <v>4165</v>
      </c>
      <c r="AG110" s="195" t="str">
        <f t="shared" si="28"/>
        <v>Not cost-effective</v>
      </c>
      <c r="AH110" s="195" t="str">
        <f t="shared" si="29"/>
        <v>Cost-effective</v>
      </c>
      <c r="AI110" s="204">
        <f t="shared" si="30"/>
        <v>1.2789915966386554</v>
      </c>
      <c r="AJ110" s="205">
        <f>IFERROR(VLOOKUP(G110,ochalek,11,FALSE),"")</f>
        <v>1.08</v>
      </c>
      <c r="AK110" s="195" t="str">
        <f t="shared" si="31"/>
        <v>Not cost-effective</v>
      </c>
      <c r="AL110" s="205">
        <f>IFERROR(VLOOKUP(G110,ochalek,10,FALSE),"")</f>
        <v>0.64</v>
      </c>
      <c r="AM110" s="207" t="str">
        <f t="shared" si="32"/>
        <v>Not cost-effective</v>
      </c>
      <c r="AN110" s="205">
        <f>IFERROR(VLOOKUP(G110,woods,6,FALSE),"")</f>
        <v>0.65445260705966679</v>
      </c>
      <c r="AO110" s="195" t="str">
        <f t="shared" si="33"/>
        <v>Not cost-effective</v>
      </c>
      <c r="AP110" s="205">
        <f>IFERROR(VLOOKUP(G110,woods,5,FALSE),"")</f>
        <v>0.16633817117601385</v>
      </c>
      <c r="AQ110" s="195" t="str">
        <f t="shared" si="34"/>
        <v>Not cost-effective</v>
      </c>
      <c r="AR110" s="205">
        <f>IFERROR(VLOOKUP(G110,riviere,8,FALSE),"")</f>
        <v>0.89355279235247609</v>
      </c>
      <c r="AS110" s="195" t="str">
        <f t="shared" si="35"/>
        <v>Not cost-effective</v>
      </c>
      <c r="AT110" s="205">
        <f>IFERROR(VLOOKUP(G110,riviere,7,FALSE),"")</f>
        <v>0.37030115719111623</v>
      </c>
      <c r="AU110" s="195" t="str">
        <f t="shared" si="36"/>
        <v>Not cost-effective</v>
      </c>
      <c r="AV110" s="162" t="s">
        <v>161</v>
      </c>
      <c r="AW110" s="162" t="s">
        <v>162</v>
      </c>
      <c r="AX110" s="210">
        <f t="shared" si="37"/>
        <v>1</v>
      </c>
      <c r="AY110" s="210">
        <f t="shared" si="38"/>
        <v>1</v>
      </c>
      <c r="AZ110" s="197">
        <f t="shared" si="39"/>
        <v>1</v>
      </c>
      <c r="BA110" s="197">
        <f t="shared" si="40"/>
        <v>1</v>
      </c>
      <c r="BB110" s="197">
        <f t="shared" si="41"/>
        <v>1</v>
      </c>
      <c r="BC110" s="197">
        <f t="shared" si="42"/>
        <v>1</v>
      </c>
      <c r="BD110" s="197">
        <f t="shared" si="43"/>
        <v>6</v>
      </c>
      <c r="BE110" s="163" t="s">
        <v>155</v>
      </c>
      <c r="BF110" s="162" t="s">
        <v>163</v>
      </c>
    </row>
    <row r="111" spans="1:58">
      <c r="A111" s="195">
        <f t="shared" si="44"/>
        <v>36</v>
      </c>
      <c r="B111" s="195">
        <f t="shared" si="45"/>
        <v>3</v>
      </c>
      <c r="C111" s="196" t="str">
        <f t="shared" si="23"/>
        <v>3603</v>
      </c>
      <c r="D111" s="159" t="s">
        <v>27</v>
      </c>
      <c r="E111" s="190">
        <v>2013</v>
      </c>
      <c r="F111" s="162" t="s">
        <v>264</v>
      </c>
      <c r="G111" s="162" t="s">
        <v>234</v>
      </c>
      <c r="H111" s="197" t="str">
        <f>IF(VLOOKUP(G111,income,R111-1985,FALSE)="UM","Upper-middle",IF(VLOOKUP(G111,income,R111-1985,FALSE)="LM","Lower-middle",IF(VLOOKUP(G111,income,R111-1985,FALSE)="L","Low")))</f>
        <v>Upper-middle</v>
      </c>
      <c r="I111" s="163">
        <v>0</v>
      </c>
      <c r="J111" s="162" t="s">
        <v>166</v>
      </c>
      <c r="K111" s="162" t="s">
        <v>147</v>
      </c>
      <c r="L111" s="207" t="str">
        <f t="shared" si="26"/>
        <v>PCV10 vs NoVax</v>
      </c>
      <c r="M111" s="162" t="s">
        <v>1551</v>
      </c>
      <c r="N111" s="163" t="s">
        <v>148</v>
      </c>
      <c r="O111" s="162" t="s">
        <v>159</v>
      </c>
      <c r="P111" s="162" t="s">
        <v>150</v>
      </c>
      <c r="Q111" s="162" t="s">
        <v>151</v>
      </c>
      <c r="R111" s="163">
        <v>2009</v>
      </c>
      <c r="S111" s="191">
        <v>14.24</v>
      </c>
      <c r="T111" s="198">
        <f>IF(ISNUMBER(S111),S111/VLOOKUP($Q111,xRates!$A$1:$BL$267,studies!$R111-xRates!$B$1+2,FALSE),"")</f>
        <v>14.24</v>
      </c>
      <c r="V111" s="198" t="str">
        <f>IF(ISNUMBER(U111),U111/VLOOKUP($Q111,xRates!$A$1:$BL$267,studies!$R111-xRates!$B$1+2,FALSE),"")</f>
        <v/>
      </c>
      <c r="W111" s="163">
        <v>0</v>
      </c>
      <c r="X111" s="163">
        <v>0</v>
      </c>
      <c r="Y111" s="163">
        <v>1</v>
      </c>
      <c r="Z111" s="163">
        <v>1</v>
      </c>
      <c r="AA111" s="163">
        <v>1</v>
      </c>
      <c r="AB111" s="163" t="s">
        <v>152</v>
      </c>
      <c r="AC111" s="193">
        <v>4500</v>
      </c>
      <c r="AD111" s="201">
        <f>IF(ISNUMBER(AC111),AC111/VLOOKUP($Q111,xRates!$A$1:$BL$267,studies!$R111-xRates!$B$1+2,FALSE),"")</f>
        <v>4500</v>
      </c>
      <c r="AE111" s="200">
        <f t="shared" si="27"/>
        <v>0</v>
      </c>
      <c r="AF111" s="201">
        <f>VLOOKUP(G111,gdppc,R111-1958,FALSE)</f>
        <v>4165</v>
      </c>
      <c r="AG111" s="195" t="str">
        <f t="shared" si="28"/>
        <v>Not cost-effective</v>
      </c>
      <c r="AH111" s="195" t="str">
        <f t="shared" si="29"/>
        <v>Cost-effective</v>
      </c>
      <c r="AI111" s="204">
        <f t="shared" si="30"/>
        <v>1.0804321728691477</v>
      </c>
      <c r="AJ111" s="205">
        <f>IFERROR(VLOOKUP(G111,ochalek,11,FALSE),"")</f>
        <v>1.08</v>
      </c>
      <c r="AK111" s="195" t="str">
        <f t="shared" si="31"/>
        <v>Not cost-effective</v>
      </c>
      <c r="AL111" s="205">
        <f>IFERROR(VLOOKUP(G111,ochalek,10,FALSE),"")</f>
        <v>0.64</v>
      </c>
      <c r="AM111" s="207" t="str">
        <f t="shared" si="32"/>
        <v>Not cost-effective</v>
      </c>
      <c r="AN111" s="205">
        <f>IFERROR(VLOOKUP(G111,woods,6,FALSE),"")</f>
        <v>0.65445260705966679</v>
      </c>
      <c r="AO111" s="195" t="str">
        <f t="shared" si="33"/>
        <v>Not cost-effective</v>
      </c>
      <c r="AP111" s="205">
        <f>IFERROR(VLOOKUP(G111,woods,5,FALSE),"")</f>
        <v>0.16633817117601385</v>
      </c>
      <c r="AQ111" s="195" t="str">
        <f t="shared" si="34"/>
        <v>Not cost-effective</v>
      </c>
      <c r="AR111" s="205">
        <f>IFERROR(VLOOKUP(G111,riviere,8,FALSE),"")</f>
        <v>0.89355279235247609</v>
      </c>
      <c r="AS111" s="195" t="str">
        <f t="shared" si="35"/>
        <v>Not cost-effective</v>
      </c>
      <c r="AT111" s="205">
        <f>IFERROR(VLOOKUP(G111,riviere,7,FALSE),"")</f>
        <v>0.37030115719111623</v>
      </c>
      <c r="AU111" s="195" t="str">
        <f t="shared" si="36"/>
        <v>Not cost-effective</v>
      </c>
      <c r="AV111" s="162" t="s">
        <v>161</v>
      </c>
      <c r="AW111" s="162" t="s">
        <v>162</v>
      </c>
      <c r="AX111" s="210">
        <f t="shared" si="37"/>
        <v>1</v>
      </c>
      <c r="AY111" s="210">
        <f t="shared" si="38"/>
        <v>1</v>
      </c>
      <c r="AZ111" s="197">
        <f t="shared" si="39"/>
        <v>1</v>
      </c>
      <c r="BA111" s="197">
        <f t="shared" si="40"/>
        <v>1</v>
      </c>
      <c r="BB111" s="197">
        <f t="shared" si="41"/>
        <v>1</v>
      </c>
      <c r="BC111" s="197">
        <f t="shared" si="42"/>
        <v>1</v>
      </c>
      <c r="BD111" s="197">
        <f t="shared" si="43"/>
        <v>6</v>
      </c>
      <c r="BE111" s="163" t="s">
        <v>155</v>
      </c>
      <c r="BF111" s="162" t="s">
        <v>163</v>
      </c>
    </row>
    <row r="112" spans="1:58">
      <c r="A112" s="195">
        <f t="shared" si="44"/>
        <v>36</v>
      </c>
      <c r="B112" s="195">
        <f t="shared" si="45"/>
        <v>4</v>
      </c>
      <c r="C112" s="196" t="str">
        <f t="shared" si="23"/>
        <v>3604</v>
      </c>
      <c r="D112" s="159" t="s">
        <v>27</v>
      </c>
      <c r="E112" s="190">
        <v>2013</v>
      </c>
      <c r="F112" s="162" t="s">
        <v>264</v>
      </c>
      <c r="G112" s="162" t="s">
        <v>234</v>
      </c>
      <c r="H112" s="197" t="str">
        <f>IF(VLOOKUP(G112,income,R112-1985,FALSE)="UM","Upper-middle",IF(VLOOKUP(G112,income,R112-1985,FALSE)="LM","Lower-middle",IF(VLOOKUP(G112,income,R112-1985,FALSE)="L","Low")))</f>
        <v>Upper-middle</v>
      </c>
      <c r="I112" s="163">
        <v>0</v>
      </c>
      <c r="J112" s="162" t="s">
        <v>166</v>
      </c>
      <c r="K112" s="162" t="s">
        <v>146</v>
      </c>
      <c r="L112" s="207" t="str">
        <f t="shared" si="26"/>
        <v>Others</v>
      </c>
      <c r="M112" s="162" t="s">
        <v>1551</v>
      </c>
      <c r="N112" s="163" t="s">
        <v>148</v>
      </c>
      <c r="O112" s="162" t="s">
        <v>159</v>
      </c>
      <c r="P112" s="162" t="s">
        <v>150</v>
      </c>
      <c r="Q112" s="162" t="s">
        <v>151</v>
      </c>
      <c r="R112" s="163">
        <v>2009</v>
      </c>
      <c r="S112" s="191">
        <v>14.24</v>
      </c>
      <c r="T112" s="198">
        <f>IF(ISNUMBER(S112),S112/VLOOKUP($Q112,xRates!$A$1:$BL$267,studies!$R112-xRates!$B$1+2,FALSE),"")</f>
        <v>14.24</v>
      </c>
      <c r="U112" s="163">
        <v>20</v>
      </c>
      <c r="V112" s="198">
        <f>IF(ISNUMBER(U112),U112/VLOOKUP($Q112,xRates!$A$1:$BL$267,studies!$R112-xRates!$B$1+2,FALSE),"")</f>
        <v>20</v>
      </c>
      <c r="W112" s="163">
        <v>0</v>
      </c>
      <c r="X112" s="163">
        <v>0</v>
      </c>
      <c r="Y112" s="163">
        <v>1</v>
      </c>
      <c r="Z112" s="163">
        <v>1</v>
      </c>
      <c r="AA112" s="163">
        <v>1</v>
      </c>
      <c r="AB112" s="163" t="s">
        <v>152</v>
      </c>
      <c r="AC112" s="193">
        <v>-2727</v>
      </c>
      <c r="AD112" s="201">
        <f>IF(ISNUMBER(AC112),AC112/VLOOKUP($Q112,xRates!$A$1:$BL$267,studies!$R112-xRates!$B$1+2,FALSE),"")</f>
        <v>-2727</v>
      </c>
      <c r="AE112" s="200">
        <f t="shared" si="27"/>
        <v>1</v>
      </c>
      <c r="AF112" s="201">
        <f>VLOOKUP(G112,gdppc,R112-1958,FALSE)</f>
        <v>4165</v>
      </c>
      <c r="AG112" s="195" t="str">
        <f t="shared" si="28"/>
        <v>Cost-saving</v>
      </c>
      <c r="AH112" s="195" t="str">
        <f t="shared" si="29"/>
        <v>Cost-saving</v>
      </c>
      <c r="AI112" s="204">
        <f t="shared" si="30"/>
        <v>-0.65474189675870353</v>
      </c>
      <c r="AJ112" s="205">
        <f>IFERROR(VLOOKUP(G112,ochalek,11,FALSE),"")</f>
        <v>1.08</v>
      </c>
      <c r="AK112" s="195" t="str">
        <f t="shared" si="31"/>
        <v>Cost-saving</v>
      </c>
      <c r="AL112" s="205">
        <f>IFERROR(VLOOKUP(G112,ochalek,10,FALSE),"")</f>
        <v>0.64</v>
      </c>
      <c r="AM112" s="207" t="str">
        <f t="shared" si="32"/>
        <v>Cost-saving</v>
      </c>
      <c r="AN112" s="205">
        <f>IFERROR(VLOOKUP(G112,woods,6,FALSE),"")</f>
        <v>0.65445260705966679</v>
      </c>
      <c r="AO112" s="195" t="str">
        <f t="shared" si="33"/>
        <v>Cost-saving</v>
      </c>
      <c r="AP112" s="205">
        <f>IFERROR(VLOOKUP(G112,woods,5,FALSE),"")</f>
        <v>0.16633817117601385</v>
      </c>
      <c r="AQ112" s="195" t="str">
        <f t="shared" si="34"/>
        <v>Cost-saving</v>
      </c>
      <c r="AR112" s="205">
        <f>IFERROR(VLOOKUP(G112,riviere,8,FALSE),"")</f>
        <v>0.89355279235247609</v>
      </c>
      <c r="AS112" s="195" t="str">
        <f t="shared" si="35"/>
        <v>Cost-saving</v>
      </c>
      <c r="AT112" s="205">
        <f>IFERROR(VLOOKUP(G112,riviere,7,FALSE),"")</f>
        <v>0.37030115719111623</v>
      </c>
      <c r="AU112" s="195" t="str">
        <f t="shared" si="36"/>
        <v>Cost-saving</v>
      </c>
      <c r="AV112" s="162" t="s">
        <v>161</v>
      </c>
      <c r="AW112" s="162" t="s">
        <v>186</v>
      </c>
      <c r="AX112" s="210" t="str">
        <f t="shared" si="37"/>
        <v/>
      </c>
      <c r="AY112" s="210" t="str">
        <f t="shared" si="38"/>
        <v/>
      </c>
      <c r="AZ112" s="197" t="str">
        <f t="shared" si="39"/>
        <v/>
      </c>
      <c r="BA112" s="197" t="str">
        <f t="shared" si="40"/>
        <v/>
      </c>
      <c r="BB112" s="197" t="str">
        <f t="shared" si="41"/>
        <v/>
      </c>
      <c r="BC112" s="197" t="str">
        <f t="shared" si="42"/>
        <v/>
      </c>
      <c r="BD112" s="197">
        <f t="shared" si="43"/>
        <v>0</v>
      </c>
      <c r="BE112" s="163" t="s">
        <v>155</v>
      </c>
      <c r="BF112" s="162" t="s">
        <v>163</v>
      </c>
    </row>
    <row r="113" spans="1:58">
      <c r="A113" s="195">
        <f t="shared" si="44"/>
        <v>36</v>
      </c>
      <c r="B113" s="195">
        <f t="shared" si="45"/>
        <v>5</v>
      </c>
      <c r="C113" s="196" t="str">
        <f t="shared" si="23"/>
        <v>3605</v>
      </c>
      <c r="D113" s="159" t="s">
        <v>27</v>
      </c>
      <c r="E113" s="190">
        <v>2013</v>
      </c>
      <c r="F113" s="162" t="s">
        <v>264</v>
      </c>
      <c r="G113" s="162" t="s">
        <v>234</v>
      </c>
      <c r="H113" s="197" t="str">
        <f>IF(VLOOKUP(G113,income,R113-1985,FALSE)="UM","Upper-middle",IF(VLOOKUP(G113,income,R113-1985,FALSE)="LM","Lower-middle",IF(VLOOKUP(G113,income,R113-1985,FALSE)="L","Low")))</f>
        <v>Upper-middle</v>
      </c>
      <c r="I113" s="163">
        <v>0</v>
      </c>
      <c r="J113" s="162" t="s">
        <v>167</v>
      </c>
      <c r="K113" s="162" t="s">
        <v>146</v>
      </c>
      <c r="L113" s="207" t="str">
        <f t="shared" si="26"/>
        <v>Others</v>
      </c>
      <c r="M113" s="162" t="s">
        <v>1551</v>
      </c>
      <c r="N113" s="163" t="s">
        <v>148</v>
      </c>
      <c r="O113" s="162" t="s">
        <v>159</v>
      </c>
      <c r="P113" s="162" t="s">
        <v>150</v>
      </c>
      <c r="Q113" s="162" t="s">
        <v>151</v>
      </c>
      <c r="R113" s="163">
        <v>2009</v>
      </c>
      <c r="S113" s="191">
        <v>16.34</v>
      </c>
      <c r="T113" s="198">
        <f>IF(ISNUMBER(S113),S113/VLOOKUP($Q113,xRates!$A$1:$BL$267,studies!$R113-xRates!$B$1+2,FALSE),"")</f>
        <v>16.34</v>
      </c>
      <c r="U113" s="163">
        <v>20</v>
      </c>
      <c r="V113" s="198">
        <f>IF(ISNUMBER(U113),U113/VLOOKUP($Q113,xRates!$A$1:$BL$267,studies!$R113-xRates!$B$1+2,FALSE),"")</f>
        <v>20</v>
      </c>
      <c r="W113" s="163">
        <v>0</v>
      </c>
      <c r="X113" s="163">
        <v>0</v>
      </c>
      <c r="Y113" s="163">
        <v>1</v>
      </c>
      <c r="Z113" s="163">
        <v>1</v>
      </c>
      <c r="AA113" s="163">
        <v>1</v>
      </c>
      <c r="AB113" s="163" t="s">
        <v>152</v>
      </c>
      <c r="AC113" s="193">
        <v>999999</v>
      </c>
      <c r="AD113" s="201">
        <f>IF(ISNUMBER(AC113),AC113/VLOOKUP($Q113,xRates!$A$1:$BL$267,studies!$R113-xRates!$B$1+2,FALSE),"")</f>
        <v>999999</v>
      </c>
      <c r="AE113" s="200">
        <f t="shared" si="27"/>
        <v>0</v>
      </c>
      <c r="AF113" s="201">
        <f>VLOOKUP(G113,gdppc,R113-1958,FALSE)</f>
        <v>4165</v>
      </c>
      <c r="AG113" s="195" t="str">
        <f t="shared" si="28"/>
        <v>Not cost-effective</v>
      </c>
      <c r="AH113" s="195" t="str">
        <f t="shared" si="29"/>
        <v>Not cost-effective</v>
      </c>
      <c r="AI113" s="204">
        <f t="shared" si="30"/>
        <v>240.09579831932774</v>
      </c>
      <c r="AJ113" s="205">
        <f>IFERROR(VLOOKUP(G113,ochalek,11,FALSE),"")</f>
        <v>1.08</v>
      </c>
      <c r="AK113" s="195" t="str">
        <f t="shared" si="31"/>
        <v>Not cost-effective</v>
      </c>
      <c r="AL113" s="205">
        <f>IFERROR(VLOOKUP(G113,ochalek,10,FALSE),"")</f>
        <v>0.64</v>
      </c>
      <c r="AM113" s="207" t="str">
        <f t="shared" si="32"/>
        <v>Not cost-effective</v>
      </c>
      <c r="AN113" s="205">
        <f>IFERROR(VLOOKUP(G113,woods,6,FALSE),"")</f>
        <v>0.65445260705966679</v>
      </c>
      <c r="AO113" s="195" t="str">
        <f t="shared" si="33"/>
        <v>Not cost-effective</v>
      </c>
      <c r="AP113" s="205">
        <f>IFERROR(VLOOKUP(G113,woods,5,FALSE),"")</f>
        <v>0.16633817117601385</v>
      </c>
      <c r="AQ113" s="195" t="str">
        <f t="shared" si="34"/>
        <v>Not cost-effective</v>
      </c>
      <c r="AR113" s="205">
        <f>IFERROR(VLOOKUP(G113,riviere,8,FALSE),"")</f>
        <v>0.89355279235247609</v>
      </c>
      <c r="AS113" s="195" t="str">
        <f t="shared" si="35"/>
        <v>Not cost-effective</v>
      </c>
      <c r="AT113" s="205">
        <f>IFERROR(VLOOKUP(G113,riviere,7,FALSE),"")</f>
        <v>0.37030115719111623</v>
      </c>
      <c r="AU113" s="195" t="str">
        <f t="shared" si="36"/>
        <v>Not cost-effective</v>
      </c>
      <c r="AV113" s="162" t="s">
        <v>161</v>
      </c>
      <c r="AW113" s="162" t="s">
        <v>154</v>
      </c>
      <c r="AX113" s="210" t="str">
        <f t="shared" si="37"/>
        <v/>
      </c>
      <c r="AY113" s="210" t="str">
        <f t="shared" si="38"/>
        <v/>
      </c>
      <c r="AZ113" s="197" t="str">
        <f t="shared" si="39"/>
        <v/>
      </c>
      <c r="BA113" s="197" t="str">
        <f t="shared" si="40"/>
        <v/>
      </c>
      <c r="BB113" s="197" t="str">
        <f t="shared" si="41"/>
        <v/>
      </c>
      <c r="BC113" s="197" t="str">
        <f t="shared" si="42"/>
        <v/>
      </c>
      <c r="BD113" s="197">
        <f t="shared" si="43"/>
        <v>0</v>
      </c>
      <c r="BE113" s="163" t="s">
        <v>155</v>
      </c>
      <c r="BF113" s="162" t="s">
        <v>163</v>
      </c>
    </row>
    <row r="114" spans="1:58">
      <c r="A114" s="195">
        <f t="shared" si="44"/>
        <v>37</v>
      </c>
      <c r="B114" s="195">
        <f t="shared" si="45"/>
        <v>1</v>
      </c>
      <c r="C114" s="196" t="str">
        <f t="shared" si="23"/>
        <v>3701</v>
      </c>
      <c r="D114" s="159" t="s">
        <v>265</v>
      </c>
      <c r="E114" s="190">
        <v>2015</v>
      </c>
      <c r="F114" s="162" t="s">
        <v>266</v>
      </c>
      <c r="G114" s="162" t="s">
        <v>267</v>
      </c>
      <c r="H114" s="197" t="str">
        <f>IF(VLOOKUP(G114,income,R114-1985,FALSE)="UM","Upper-middle",IF(VLOOKUP(G114,income,R114-1985,FALSE)="LM","Lower-middle",IF(VLOOKUP(G114,income,R114-1985,FALSE)="L","Low")))</f>
        <v>Lower-middle</v>
      </c>
      <c r="I114" s="163">
        <v>0</v>
      </c>
      <c r="J114" s="162" t="s">
        <v>166</v>
      </c>
      <c r="K114" s="162" t="s">
        <v>147</v>
      </c>
      <c r="L114" s="207" t="str">
        <f t="shared" si="26"/>
        <v>PCV10 vs NoVax</v>
      </c>
      <c r="M114" s="162" t="s">
        <v>1551</v>
      </c>
      <c r="N114" s="163" t="s">
        <v>148</v>
      </c>
      <c r="O114" s="162" t="s">
        <v>159</v>
      </c>
      <c r="P114" s="162" t="s">
        <v>150</v>
      </c>
      <c r="Q114" s="162" t="s">
        <v>151</v>
      </c>
      <c r="R114" s="163">
        <v>2009</v>
      </c>
      <c r="S114" s="191">
        <v>14.85</v>
      </c>
      <c r="T114" s="198">
        <f>IF(ISNUMBER(S114),S114/VLOOKUP($Q114,xRates!$A$1:$BL$267,studies!$R114-xRates!$B$1+2,FALSE),"")</f>
        <v>14.85</v>
      </c>
      <c r="V114" s="198" t="str">
        <f>IF(ISNUMBER(U114),U114/VLOOKUP($Q114,xRates!$A$1:$BL$267,studies!$R114-xRates!$B$1+2,FALSE),"")</f>
        <v/>
      </c>
      <c r="W114" s="163">
        <v>0</v>
      </c>
      <c r="X114" s="163">
        <v>0</v>
      </c>
      <c r="Y114" s="163">
        <v>1</v>
      </c>
      <c r="Z114" s="163">
        <v>1</v>
      </c>
      <c r="AA114" s="163">
        <v>1</v>
      </c>
      <c r="AB114" s="163" t="s">
        <v>190</v>
      </c>
      <c r="AC114" s="193">
        <v>3851</v>
      </c>
      <c r="AD114" s="201">
        <f>IF(ISNUMBER(AC114),AC114/VLOOKUP($Q114,xRates!$A$1:$BL$267,studies!$R114-xRates!$B$1+2,FALSE),"")</f>
        <v>3851</v>
      </c>
      <c r="AE114" s="200">
        <f t="shared" si="27"/>
        <v>0</v>
      </c>
      <c r="AF114" s="201">
        <f>VLOOKUP(G114,gdppc,R114-1958,FALSE)</f>
        <v>3920.2</v>
      </c>
      <c r="AG114" s="195" t="str">
        <f t="shared" si="28"/>
        <v>Cost-effective</v>
      </c>
      <c r="AH114" s="195" t="str">
        <f t="shared" si="29"/>
        <v>Cost-effective</v>
      </c>
      <c r="AI114" s="204">
        <f t="shared" si="30"/>
        <v>0.98234783939594927</v>
      </c>
      <c r="AJ114" s="205">
        <f>IFERROR(VLOOKUP(G114,ochalek,11,FALSE),"")</f>
        <v>1.42</v>
      </c>
      <c r="AK114" s="195" t="str">
        <f t="shared" si="31"/>
        <v>Cost-effective</v>
      </c>
      <c r="AL114" s="205">
        <f>IFERROR(VLOOKUP(G114,ochalek,10,FALSE),"")</f>
        <v>0.83</v>
      </c>
      <c r="AM114" s="207" t="str">
        <f t="shared" si="32"/>
        <v>Not cost-effective</v>
      </c>
      <c r="AN114" s="205">
        <f>IFERROR(VLOOKUP(G114,woods,6,FALSE),"")</f>
        <v>0.33989517688899978</v>
      </c>
      <c r="AO114" s="195" t="str">
        <f t="shared" si="33"/>
        <v>Not cost-effective</v>
      </c>
      <c r="AP114" s="205">
        <f>IFERROR(VLOOKUP(G114,woods,5,FALSE),"")</f>
        <v>7.549759780370624E-2</v>
      </c>
      <c r="AQ114" s="195" t="str">
        <f t="shared" si="34"/>
        <v>Not cost-effective</v>
      </c>
      <c r="AR114" s="205">
        <f>IFERROR(VLOOKUP(G114,riviere,8,FALSE),"")</f>
        <v>1.1109197975136884</v>
      </c>
      <c r="AS114" s="195" t="str">
        <f t="shared" si="35"/>
        <v>Cost-effective</v>
      </c>
      <c r="AT114" s="205">
        <f>IFERROR(VLOOKUP(G114,riviere,7,FALSE),"")</f>
        <v>0.46041530355728499</v>
      </c>
      <c r="AU114" s="195" t="str">
        <f t="shared" si="36"/>
        <v>Not cost-effective</v>
      </c>
      <c r="AV114" s="162" t="s">
        <v>161</v>
      </c>
      <c r="AW114" s="162" t="s">
        <v>162</v>
      </c>
      <c r="AX114" s="210">
        <f t="shared" si="37"/>
        <v>0</v>
      </c>
      <c r="AY114" s="210">
        <f t="shared" si="38"/>
        <v>1</v>
      </c>
      <c r="AZ114" s="197">
        <f t="shared" si="39"/>
        <v>1</v>
      </c>
      <c r="BA114" s="197">
        <f t="shared" si="40"/>
        <v>1</v>
      </c>
      <c r="BB114" s="197">
        <f t="shared" si="41"/>
        <v>0</v>
      </c>
      <c r="BC114" s="197">
        <f t="shared" si="42"/>
        <v>1</v>
      </c>
      <c r="BD114" s="197">
        <f t="shared" si="43"/>
        <v>4</v>
      </c>
      <c r="BE114" s="163" t="s">
        <v>148</v>
      </c>
      <c r="BF114" s="162" t="s">
        <v>156</v>
      </c>
    </row>
    <row r="115" spans="1:58">
      <c r="A115" s="195">
        <f t="shared" si="44"/>
        <v>37</v>
      </c>
      <c r="B115" s="195">
        <f t="shared" si="45"/>
        <v>2</v>
      </c>
      <c r="C115" s="196" t="str">
        <f t="shared" si="23"/>
        <v>3702</v>
      </c>
      <c r="D115" s="159" t="s">
        <v>265</v>
      </c>
      <c r="E115" s="190">
        <v>2015</v>
      </c>
      <c r="F115" s="162" t="s">
        <v>266</v>
      </c>
      <c r="G115" s="162" t="s">
        <v>267</v>
      </c>
      <c r="H115" s="197" t="str">
        <f>IF(VLOOKUP(G115,income,R115-1985,FALSE)="UM","Upper-middle",IF(VLOOKUP(G115,income,R115-1985,FALSE)="LM","Lower-middle",IF(VLOOKUP(G115,income,R115-1985,FALSE)="L","Low")))</f>
        <v>Lower-middle</v>
      </c>
      <c r="I115" s="163">
        <v>0</v>
      </c>
      <c r="J115" s="162" t="s">
        <v>166</v>
      </c>
      <c r="K115" s="162" t="s">
        <v>147</v>
      </c>
      <c r="L115" s="207" t="str">
        <f t="shared" si="26"/>
        <v>PCV10 vs NoVax</v>
      </c>
      <c r="M115" s="162" t="s">
        <v>1551</v>
      </c>
      <c r="N115" s="163" t="s">
        <v>155</v>
      </c>
      <c r="O115" s="162" t="s">
        <v>149</v>
      </c>
      <c r="P115" s="162" t="s">
        <v>150</v>
      </c>
      <c r="Q115" s="162" t="s">
        <v>151</v>
      </c>
      <c r="R115" s="163">
        <v>2009</v>
      </c>
      <c r="S115" s="191">
        <v>14.85</v>
      </c>
      <c r="T115" s="198">
        <f>IF(ISNUMBER(S115),S115/VLOOKUP($Q115,xRates!$A$1:$BL$267,studies!$R115-xRates!$B$1+2,FALSE),"")</f>
        <v>14.85</v>
      </c>
      <c r="V115" s="198" t="str">
        <f>IF(ISNUMBER(U115),U115/VLOOKUP($Q115,xRates!$A$1:$BL$267,studies!$R115-xRates!$B$1+2,FALSE),"")</f>
        <v/>
      </c>
      <c r="W115" s="163">
        <v>0</v>
      </c>
      <c r="X115" s="163">
        <v>0</v>
      </c>
      <c r="Y115" s="163">
        <v>1</v>
      </c>
      <c r="Z115" s="163">
        <v>1</v>
      </c>
      <c r="AA115" s="163">
        <v>1</v>
      </c>
      <c r="AB115" s="163" t="s">
        <v>190</v>
      </c>
      <c r="AC115" s="193">
        <v>1920</v>
      </c>
      <c r="AD115" s="201">
        <f>IF(ISNUMBER(AC115),AC115/VLOOKUP($Q115,xRates!$A$1:$BL$267,studies!$R115-xRates!$B$1+2,FALSE),"")</f>
        <v>1920</v>
      </c>
      <c r="AE115" s="200">
        <f t="shared" si="27"/>
        <v>0</v>
      </c>
      <c r="AF115" s="201">
        <f>VLOOKUP(G115,gdppc,R115-1958,FALSE)</f>
        <v>3920.2</v>
      </c>
      <c r="AG115" s="195" t="str">
        <f t="shared" si="28"/>
        <v>Cost-effective</v>
      </c>
      <c r="AH115" s="195" t="str">
        <f t="shared" si="29"/>
        <v>Cost-effective</v>
      </c>
      <c r="AI115" s="204">
        <f t="shared" si="30"/>
        <v>0.48977093005458905</v>
      </c>
      <c r="AJ115" s="205">
        <f>IFERROR(VLOOKUP(G115,ochalek,11,FALSE),"")</f>
        <v>1.42</v>
      </c>
      <c r="AK115" s="195" t="str">
        <f t="shared" si="31"/>
        <v>Cost-effective</v>
      </c>
      <c r="AL115" s="205">
        <f>IFERROR(VLOOKUP(G115,ochalek,10,FALSE),"")</f>
        <v>0.83</v>
      </c>
      <c r="AM115" s="207" t="str">
        <f t="shared" si="32"/>
        <v>Cost-effective</v>
      </c>
      <c r="AN115" s="205">
        <f>IFERROR(VLOOKUP(G115,woods,6,FALSE),"")</f>
        <v>0.33989517688899978</v>
      </c>
      <c r="AO115" s="195" t="str">
        <f t="shared" si="33"/>
        <v>Not cost-effective</v>
      </c>
      <c r="AP115" s="205">
        <f>IFERROR(VLOOKUP(G115,woods,5,FALSE),"")</f>
        <v>7.549759780370624E-2</v>
      </c>
      <c r="AQ115" s="195" t="str">
        <f t="shared" si="34"/>
        <v>Not cost-effective</v>
      </c>
      <c r="AR115" s="205">
        <f>IFERROR(VLOOKUP(G115,riviere,8,FALSE),"")</f>
        <v>1.1109197975136884</v>
      </c>
      <c r="AS115" s="195" t="str">
        <f t="shared" si="35"/>
        <v>Cost-effective</v>
      </c>
      <c r="AT115" s="205">
        <f>IFERROR(VLOOKUP(G115,riviere,7,FALSE),"")</f>
        <v>0.46041530355728499</v>
      </c>
      <c r="AU115" s="195" t="str">
        <f t="shared" si="36"/>
        <v>Not cost-effective</v>
      </c>
      <c r="AV115" s="162" t="s">
        <v>161</v>
      </c>
      <c r="AW115" s="162" t="s">
        <v>162</v>
      </c>
      <c r="AX115" s="210">
        <f t="shared" si="37"/>
        <v>0</v>
      </c>
      <c r="AY115" s="210">
        <f t="shared" si="38"/>
        <v>0</v>
      </c>
      <c r="AZ115" s="197">
        <f t="shared" si="39"/>
        <v>1</v>
      </c>
      <c r="BA115" s="197">
        <f t="shared" si="40"/>
        <v>1</v>
      </c>
      <c r="BB115" s="197">
        <f t="shared" si="41"/>
        <v>0</v>
      </c>
      <c r="BC115" s="197">
        <f t="shared" si="42"/>
        <v>1</v>
      </c>
      <c r="BD115" s="197">
        <f t="shared" si="43"/>
        <v>3</v>
      </c>
      <c r="BE115" s="163" t="s">
        <v>148</v>
      </c>
      <c r="BF115" s="162" t="s">
        <v>156</v>
      </c>
    </row>
    <row r="116" spans="1:58">
      <c r="A116" s="195">
        <f t="shared" si="44"/>
        <v>37</v>
      </c>
      <c r="B116" s="195">
        <f t="shared" si="45"/>
        <v>3</v>
      </c>
      <c r="C116" s="196" t="str">
        <f t="shared" si="23"/>
        <v>3703</v>
      </c>
      <c r="D116" s="159" t="s">
        <v>265</v>
      </c>
      <c r="E116" s="190">
        <v>2015</v>
      </c>
      <c r="F116" s="162" t="s">
        <v>266</v>
      </c>
      <c r="G116" s="162" t="s">
        <v>267</v>
      </c>
      <c r="H116" s="197" t="str">
        <f>IF(VLOOKUP(G116,income,R116-1985,FALSE)="UM","Upper-middle",IF(VLOOKUP(G116,income,R116-1985,FALSE)="LM","Lower-middle",IF(VLOOKUP(G116,income,R116-1985,FALSE)="L","Low")))</f>
        <v>Lower-middle</v>
      </c>
      <c r="I116" s="163">
        <v>0</v>
      </c>
      <c r="J116" s="162" t="s">
        <v>167</v>
      </c>
      <c r="K116" s="162" t="s">
        <v>147</v>
      </c>
      <c r="L116" s="207" t="str">
        <f t="shared" si="26"/>
        <v>PCV13 vs NoVax</v>
      </c>
      <c r="M116" s="162" t="s">
        <v>1551</v>
      </c>
      <c r="N116" s="163" t="s">
        <v>148</v>
      </c>
      <c r="O116" s="162" t="s">
        <v>159</v>
      </c>
      <c r="P116" s="162" t="s">
        <v>150</v>
      </c>
      <c r="Q116" s="162" t="s">
        <v>151</v>
      </c>
      <c r="R116" s="163">
        <v>2009</v>
      </c>
      <c r="S116" s="191">
        <v>20</v>
      </c>
      <c r="T116" s="198">
        <f>IF(ISNUMBER(S116),S116/VLOOKUP($Q116,xRates!$A$1:$BL$267,studies!$R116-xRates!$B$1+2,FALSE),"")</f>
        <v>20</v>
      </c>
      <c r="V116" s="198" t="str">
        <f>IF(ISNUMBER(U116),U116/VLOOKUP($Q116,xRates!$A$1:$BL$267,studies!$R116-xRates!$B$1+2,FALSE),"")</f>
        <v/>
      </c>
      <c r="W116" s="163">
        <v>0</v>
      </c>
      <c r="X116" s="163">
        <v>0</v>
      </c>
      <c r="Y116" s="163">
        <v>1</v>
      </c>
      <c r="Z116" s="163">
        <v>1</v>
      </c>
      <c r="AA116" s="163">
        <v>1</v>
      </c>
      <c r="AB116" s="163" t="s">
        <v>190</v>
      </c>
      <c r="AC116" s="193">
        <v>4901</v>
      </c>
      <c r="AD116" s="201">
        <f>IF(ISNUMBER(AC116),AC116/VLOOKUP($Q116,xRates!$A$1:$BL$267,studies!$R116-xRates!$B$1+2,FALSE),"")</f>
        <v>4901</v>
      </c>
      <c r="AE116" s="200">
        <f t="shared" si="27"/>
        <v>0</v>
      </c>
      <c r="AF116" s="201">
        <f>VLOOKUP(G116,gdppc,R116-1958,FALSE)</f>
        <v>3920.2</v>
      </c>
      <c r="AG116" s="195" t="str">
        <f t="shared" si="28"/>
        <v>Not cost-effective</v>
      </c>
      <c r="AH116" s="195" t="str">
        <f t="shared" si="29"/>
        <v>Cost-effective</v>
      </c>
      <c r="AI116" s="204">
        <f t="shared" si="30"/>
        <v>1.2501913167695526</v>
      </c>
      <c r="AJ116" s="205">
        <f>IFERROR(VLOOKUP(G116,ochalek,11,FALSE),"")</f>
        <v>1.42</v>
      </c>
      <c r="AK116" s="195" t="str">
        <f t="shared" si="31"/>
        <v>Cost-effective</v>
      </c>
      <c r="AL116" s="205">
        <f>IFERROR(VLOOKUP(G116,ochalek,10,FALSE),"")</f>
        <v>0.83</v>
      </c>
      <c r="AM116" s="207" t="str">
        <f t="shared" si="32"/>
        <v>Not cost-effective</v>
      </c>
      <c r="AN116" s="205">
        <f>IFERROR(VLOOKUP(G116,woods,6,FALSE),"")</f>
        <v>0.33989517688899978</v>
      </c>
      <c r="AO116" s="195" t="str">
        <f t="shared" si="33"/>
        <v>Not cost-effective</v>
      </c>
      <c r="AP116" s="205">
        <f>IFERROR(VLOOKUP(G116,woods,5,FALSE),"")</f>
        <v>7.549759780370624E-2</v>
      </c>
      <c r="AQ116" s="195" t="str">
        <f t="shared" si="34"/>
        <v>Not cost-effective</v>
      </c>
      <c r="AR116" s="205">
        <f>IFERROR(VLOOKUP(G116,riviere,8,FALSE),"")</f>
        <v>1.1109197975136884</v>
      </c>
      <c r="AS116" s="195" t="str">
        <f t="shared" si="35"/>
        <v>Not cost-effective</v>
      </c>
      <c r="AT116" s="205">
        <f>IFERROR(VLOOKUP(G116,riviere,7,FALSE),"")</f>
        <v>0.46041530355728499</v>
      </c>
      <c r="AU116" s="195" t="str">
        <f t="shared" si="36"/>
        <v>Not cost-effective</v>
      </c>
      <c r="AV116" s="162" t="s">
        <v>161</v>
      </c>
      <c r="AW116" s="162" t="s">
        <v>162</v>
      </c>
      <c r="AX116" s="210">
        <f t="shared" si="37"/>
        <v>0</v>
      </c>
      <c r="AY116" s="210">
        <f t="shared" si="38"/>
        <v>1</v>
      </c>
      <c r="AZ116" s="197">
        <f t="shared" si="39"/>
        <v>1</v>
      </c>
      <c r="BA116" s="197">
        <f t="shared" si="40"/>
        <v>1</v>
      </c>
      <c r="BB116" s="197">
        <f t="shared" si="41"/>
        <v>1</v>
      </c>
      <c r="BC116" s="197">
        <f t="shared" si="42"/>
        <v>1</v>
      </c>
      <c r="BD116" s="197">
        <f t="shared" si="43"/>
        <v>5</v>
      </c>
      <c r="BE116" s="163" t="s">
        <v>148</v>
      </c>
      <c r="BF116" s="162" t="s">
        <v>156</v>
      </c>
    </row>
    <row r="117" spans="1:58">
      <c r="A117" s="195">
        <f t="shared" si="44"/>
        <v>37</v>
      </c>
      <c r="B117" s="195">
        <f t="shared" si="45"/>
        <v>4</v>
      </c>
      <c r="C117" s="196" t="str">
        <f t="shared" si="23"/>
        <v>3704</v>
      </c>
      <c r="D117" s="159" t="s">
        <v>265</v>
      </c>
      <c r="E117" s="190">
        <v>2015</v>
      </c>
      <c r="F117" s="162" t="s">
        <v>266</v>
      </c>
      <c r="G117" s="162" t="s">
        <v>267</v>
      </c>
      <c r="H117" s="197" t="str">
        <f>IF(VLOOKUP(G117,income,R117-1985,FALSE)="UM","Upper-middle",IF(VLOOKUP(G117,income,R117-1985,FALSE)="LM","Lower-middle",IF(VLOOKUP(G117,income,R117-1985,FALSE)="L","Low")))</f>
        <v>Lower-middle</v>
      </c>
      <c r="I117" s="163">
        <v>0</v>
      </c>
      <c r="J117" s="162" t="s">
        <v>167</v>
      </c>
      <c r="K117" s="162" t="s">
        <v>147</v>
      </c>
      <c r="L117" s="207" t="str">
        <f t="shared" si="26"/>
        <v>PCV13 vs NoVax</v>
      </c>
      <c r="M117" s="162" t="s">
        <v>1551</v>
      </c>
      <c r="N117" s="163" t="s">
        <v>155</v>
      </c>
      <c r="O117" s="162" t="s">
        <v>149</v>
      </c>
      <c r="P117" s="162" t="s">
        <v>150</v>
      </c>
      <c r="Q117" s="162" t="s">
        <v>151</v>
      </c>
      <c r="R117" s="163">
        <v>2009</v>
      </c>
      <c r="S117" s="191">
        <v>20</v>
      </c>
      <c r="T117" s="198">
        <f>IF(ISNUMBER(S117),S117/VLOOKUP($Q117,xRates!$A$1:$BL$267,studies!$R117-xRates!$B$1+2,FALSE),"")</f>
        <v>20</v>
      </c>
      <c r="V117" s="198" t="str">
        <f>IF(ISNUMBER(U117),U117/VLOOKUP($Q117,xRates!$A$1:$BL$267,studies!$R117-xRates!$B$1+2,FALSE),"")</f>
        <v/>
      </c>
      <c r="W117" s="163">
        <v>0</v>
      </c>
      <c r="X117" s="163">
        <v>0</v>
      </c>
      <c r="Y117" s="163">
        <v>1</v>
      </c>
      <c r="Z117" s="163">
        <v>1</v>
      </c>
      <c r="AA117" s="163">
        <v>1</v>
      </c>
      <c r="AB117" s="163" t="s">
        <v>190</v>
      </c>
      <c r="AC117" s="193">
        <v>3657</v>
      </c>
      <c r="AD117" s="201">
        <f>IF(ISNUMBER(AC117),AC117/VLOOKUP($Q117,xRates!$A$1:$BL$267,studies!$R117-xRates!$B$1+2,FALSE),"")</f>
        <v>3657</v>
      </c>
      <c r="AE117" s="200">
        <f t="shared" si="27"/>
        <v>0</v>
      </c>
      <c r="AF117" s="201">
        <f>VLOOKUP(G117,gdppc,R117-1958,FALSE)</f>
        <v>3920.2</v>
      </c>
      <c r="AG117" s="195" t="str">
        <f t="shared" si="28"/>
        <v>Cost-effective</v>
      </c>
      <c r="AH117" s="195" t="str">
        <f t="shared" si="29"/>
        <v>Cost-effective</v>
      </c>
      <c r="AI117" s="204">
        <f t="shared" si="30"/>
        <v>0.93286056833835018</v>
      </c>
      <c r="AJ117" s="205">
        <f>IFERROR(VLOOKUP(G117,ochalek,11,FALSE),"")</f>
        <v>1.42</v>
      </c>
      <c r="AK117" s="195" t="str">
        <f t="shared" si="31"/>
        <v>Cost-effective</v>
      </c>
      <c r="AL117" s="205">
        <f>IFERROR(VLOOKUP(G117,ochalek,10,FALSE),"")</f>
        <v>0.83</v>
      </c>
      <c r="AM117" s="207" t="str">
        <f t="shared" si="32"/>
        <v>Not cost-effective</v>
      </c>
      <c r="AN117" s="205">
        <f>IFERROR(VLOOKUP(G117,woods,6,FALSE),"")</f>
        <v>0.33989517688899978</v>
      </c>
      <c r="AO117" s="195" t="str">
        <f t="shared" si="33"/>
        <v>Not cost-effective</v>
      </c>
      <c r="AP117" s="205">
        <f>IFERROR(VLOOKUP(G117,woods,5,FALSE),"")</f>
        <v>7.549759780370624E-2</v>
      </c>
      <c r="AQ117" s="195" t="str">
        <f t="shared" si="34"/>
        <v>Not cost-effective</v>
      </c>
      <c r="AR117" s="205">
        <f>IFERROR(VLOOKUP(G117,riviere,8,FALSE),"")</f>
        <v>1.1109197975136884</v>
      </c>
      <c r="AS117" s="195" t="str">
        <f t="shared" si="35"/>
        <v>Cost-effective</v>
      </c>
      <c r="AT117" s="205">
        <f>IFERROR(VLOOKUP(G117,riviere,7,FALSE),"")</f>
        <v>0.46041530355728499</v>
      </c>
      <c r="AU117" s="195" t="str">
        <f t="shared" si="36"/>
        <v>Not cost-effective</v>
      </c>
      <c r="AV117" s="162" t="s">
        <v>161</v>
      </c>
      <c r="AW117" s="162" t="s">
        <v>162</v>
      </c>
      <c r="AX117" s="210">
        <f t="shared" si="37"/>
        <v>0</v>
      </c>
      <c r="AY117" s="210">
        <f t="shared" si="38"/>
        <v>1</v>
      </c>
      <c r="AZ117" s="197">
        <f t="shared" si="39"/>
        <v>1</v>
      </c>
      <c r="BA117" s="197">
        <f t="shared" si="40"/>
        <v>1</v>
      </c>
      <c r="BB117" s="197">
        <f t="shared" si="41"/>
        <v>0</v>
      </c>
      <c r="BC117" s="197">
        <f t="shared" si="42"/>
        <v>1</v>
      </c>
      <c r="BD117" s="197">
        <f t="shared" si="43"/>
        <v>4</v>
      </c>
      <c r="BE117" s="163" t="s">
        <v>148</v>
      </c>
      <c r="BF117" s="162" t="s">
        <v>156</v>
      </c>
    </row>
    <row r="118" spans="1:58">
      <c r="A118" s="195">
        <f t="shared" si="44"/>
        <v>37</v>
      </c>
      <c r="B118" s="195">
        <f t="shared" si="45"/>
        <v>5</v>
      </c>
      <c r="C118" s="196" t="str">
        <f t="shared" si="23"/>
        <v>3705</v>
      </c>
      <c r="D118" s="159" t="s">
        <v>265</v>
      </c>
      <c r="E118" s="190">
        <v>2015</v>
      </c>
      <c r="F118" s="162" t="s">
        <v>266</v>
      </c>
      <c r="G118" s="162" t="s">
        <v>267</v>
      </c>
      <c r="H118" s="197" t="str">
        <f>IF(VLOOKUP(G118,income,R118-1985,FALSE)="UM","Upper-middle",IF(VLOOKUP(G118,income,R118-1985,FALSE)="LM","Lower-middle",IF(VLOOKUP(G118,income,R118-1985,FALSE)="L","Low")))</f>
        <v>Lower-middle</v>
      </c>
      <c r="I118" s="163">
        <v>0</v>
      </c>
      <c r="J118" s="162" t="s">
        <v>167</v>
      </c>
      <c r="K118" s="162" t="s">
        <v>166</v>
      </c>
      <c r="L118" s="207" t="str">
        <f t="shared" si="26"/>
        <v>PCV13 vs PCV10</v>
      </c>
      <c r="M118" s="162" t="s">
        <v>1551</v>
      </c>
      <c r="N118" s="163" t="s">
        <v>148</v>
      </c>
      <c r="O118" s="162" t="s">
        <v>159</v>
      </c>
      <c r="P118" s="162" t="s">
        <v>150</v>
      </c>
      <c r="Q118" s="162" t="s">
        <v>151</v>
      </c>
      <c r="R118" s="163">
        <v>2009</v>
      </c>
      <c r="S118" s="191">
        <v>20</v>
      </c>
      <c r="T118" s="198">
        <f>IF(ISNUMBER(S118),S118/VLOOKUP($Q118,xRates!$A$1:$BL$267,studies!$R118-xRates!$B$1+2,FALSE),"")</f>
        <v>20</v>
      </c>
      <c r="U118" s="163">
        <v>14.85</v>
      </c>
      <c r="V118" s="198">
        <f>IF(ISNUMBER(U118),U118/VLOOKUP($Q118,xRates!$A$1:$BL$267,studies!$R118-xRates!$B$1+2,FALSE),"")</f>
        <v>14.85</v>
      </c>
      <c r="W118" s="163">
        <v>0</v>
      </c>
      <c r="X118" s="163">
        <v>0</v>
      </c>
      <c r="Y118" s="163">
        <v>1</v>
      </c>
      <c r="Z118" s="163">
        <v>1</v>
      </c>
      <c r="AA118" s="163">
        <v>1</v>
      </c>
      <c r="AB118" s="163" t="s">
        <v>190</v>
      </c>
      <c r="AC118" s="193">
        <v>12181</v>
      </c>
      <c r="AD118" s="201">
        <f>IF(ISNUMBER(AC118),AC118/VLOOKUP($Q118,xRates!$A$1:$BL$267,studies!$R118-xRates!$B$1+2,FALSE),"")</f>
        <v>12181</v>
      </c>
      <c r="AE118" s="200">
        <f t="shared" si="27"/>
        <v>0</v>
      </c>
      <c r="AF118" s="201">
        <f>VLOOKUP(G118,gdppc,R118-1958,FALSE)</f>
        <v>3920.2</v>
      </c>
      <c r="AG118" s="195" t="str">
        <f t="shared" si="28"/>
        <v>Not cost-effective</v>
      </c>
      <c r="AH118" s="195" t="str">
        <f t="shared" si="29"/>
        <v>Not cost-effective</v>
      </c>
      <c r="AI118" s="204">
        <f t="shared" si="30"/>
        <v>3.1072394265598695</v>
      </c>
      <c r="AJ118" s="205">
        <f>IFERROR(VLOOKUP(G118,ochalek,11,FALSE),"")</f>
        <v>1.42</v>
      </c>
      <c r="AK118" s="195" t="str">
        <f t="shared" si="31"/>
        <v>Not cost-effective</v>
      </c>
      <c r="AL118" s="205">
        <f>IFERROR(VLOOKUP(G118,ochalek,10,FALSE),"")</f>
        <v>0.83</v>
      </c>
      <c r="AM118" s="207" t="str">
        <f t="shared" si="32"/>
        <v>Not cost-effective</v>
      </c>
      <c r="AN118" s="205">
        <f>IFERROR(VLOOKUP(G118,woods,6,FALSE),"")</f>
        <v>0.33989517688899978</v>
      </c>
      <c r="AO118" s="195" t="str">
        <f t="shared" si="33"/>
        <v>Not cost-effective</v>
      </c>
      <c r="AP118" s="205">
        <f>IFERROR(VLOOKUP(G118,woods,5,FALSE),"")</f>
        <v>7.549759780370624E-2</v>
      </c>
      <c r="AQ118" s="195" t="str">
        <f t="shared" si="34"/>
        <v>Not cost-effective</v>
      </c>
      <c r="AR118" s="205">
        <f>IFERROR(VLOOKUP(G118,riviere,8,FALSE),"")</f>
        <v>1.1109197975136884</v>
      </c>
      <c r="AS118" s="195" t="str">
        <f t="shared" si="35"/>
        <v>Not cost-effective</v>
      </c>
      <c r="AT118" s="205">
        <f>IFERROR(VLOOKUP(G118,riviere,7,FALSE),"")</f>
        <v>0.46041530355728499</v>
      </c>
      <c r="AU118" s="195" t="str">
        <f t="shared" si="36"/>
        <v>Not cost-effective</v>
      </c>
      <c r="AV118" s="162" t="s">
        <v>161</v>
      </c>
      <c r="AW118" s="162" t="s">
        <v>154</v>
      </c>
      <c r="AX118" s="210" t="str">
        <f t="shared" si="37"/>
        <v/>
      </c>
      <c r="AY118" s="210" t="str">
        <f t="shared" si="38"/>
        <v/>
      </c>
      <c r="AZ118" s="197" t="str">
        <f t="shared" si="39"/>
        <v/>
      </c>
      <c r="BA118" s="197" t="str">
        <f t="shared" si="40"/>
        <v/>
      </c>
      <c r="BB118" s="197" t="str">
        <f t="shared" si="41"/>
        <v/>
      </c>
      <c r="BC118" s="197" t="str">
        <f t="shared" si="42"/>
        <v/>
      </c>
      <c r="BD118" s="197">
        <f t="shared" si="43"/>
        <v>0</v>
      </c>
      <c r="BE118" s="163" t="s">
        <v>148</v>
      </c>
      <c r="BF118" s="162" t="s">
        <v>156</v>
      </c>
    </row>
    <row r="119" spans="1:58">
      <c r="A119" s="195">
        <f t="shared" si="44"/>
        <v>37</v>
      </c>
      <c r="B119" s="195">
        <f t="shared" si="45"/>
        <v>6</v>
      </c>
      <c r="C119" s="196" t="str">
        <f t="shared" si="23"/>
        <v>3706</v>
      </c>
      <c r="D119" s="159" t="s">
        <v>265</v>
      </c>
      <c r="E119" s="190">
        <v>2015</v>
      </c>
      <c r="F119" s="162" t="s">
        <v>266</v>
      </c>
      <c r="G119" s="162" t="s">
        <v>267</v>
      </c>
      <c r="H119" s="197" t="str">
        <f>IF(VLOOKUP(G119,income,R119-1985,FALSE)="UM","Upper-middle",IF(VLOOKUP(G119,income,R119-1985,FALSE)="LM","Lower-middle",IF(VLOOKUP(G119,income,R119-1985,FALSE)="L","Low")))</f>
        <v>Lower-middle</v>
      </c>
      <c r="I119" s="163">
        <v>0</v>
      </c>
      <c r="J119" s="162" t="s">
        <v>167</v>
      </c>
      <c r="K119" s="162" t="s">
        <v>166</v>
      </c>
      <c r="L119" s="207" t="str">
        <f t="shared" si="26"/>
        <v>PCV13 vs PCV10</v>
      </c>
      <c r="M119" s="162" t="s">
        <v>1551</v>
      </c>
      <c r="N119" s="163" t="s">
        <v>155</v>
      </c>
      <c r="O119" s="162" t="s">
        <v>149</v>
      </c>
      <c r="P119" s="162" t="s">
        <v>150</v>
      </c>
      <c r="Q119" s="162" t="s">
        <v>151</v>
      </c>
      <c r="R119" s="163">
        <v>2009</v>
      </c>
      <c r="S119" s="191">
        <v>20</v>
      </c>
      <c r="T119" s="198">
        <f>IF(ISNUMBER(S119),S119/VLOOKUP($Q119,xRates!$A$1:$BL$267,studies!$R119-xRates!$B$1+2,FALSE),"")</f>
        <v>20</v>
      </c>
      <c r="U119" s="163">
        <v>14.85</v>
      </c>
      <c r="V119" s="198">
        <f>IF(ISNUMBER(U119),U119/VLOOKUP($Q119,xRates!$A$1:$BL$267,studies!$R119-xRates!$B$1+2,FALSE),"")</f>
        <v>14.85</v>
      </c>
      <c r="W119" s="163">
        <v>0</v>
      </c>
      <c r="X119" s="163">
        <v>0</v>
      </c>
      <c r="Y119" s="163">
        <v>1</v>
      </c>
      <c r="Z119" s="163">
        <v>1</v>
      </c>
      <c r="AA119" s="163">
        <v>1</v>
      </c>
      <c r="AB119" s="163" t="s">
        <v>190</v>
      </c>
      <c r="AC119" s="193">
        <v>3851</v>
      </c>
      <c r="AD119" s="201">
        <f>IF(ISNUMBER(AC119),AC119/VLOOKUP($Q119,xRates!$A$1:$BL$267,studies!$R119-xRates!$B$1+2,FALSE),"")</f>
        <v>3851</v>
      </c>
      <c r="AE119" s="200">
        <f t="shared" si="27"/>
        <v>0</v>
      </c>
      <c r="AF119" s="201">
        <f>VLOOKUP(G119,gdppc,R119-1958,FALSE)</f>
        <v>3920.2</v>
      </c>
      <c r="AG119" s="195" t="str">
        <f t="shared" si="28"/>
        <v>Cost-effective</v>
      </c>
      <c r="AH119" s="195" t="str">
        <f t="shared" si="29"/>
        <v>Cost-effective</v>
      </c>
      <c r="AI119" s="204">
        <f t="shared" si="30"/>
        <v>0.98234783939594927</v>
      </c>
      <c r="AJ119" s="205">
        <f>IFERROR(VLOOKUP(G119,ochalek,11,FALSE),"")</f>
        <v>1.42</v>
      </c>
      <c r="AK119" s="195" t="str">
        <f t="shared" si="31"/>
        <v>Cost-effective</v>
      </c>
      <c r="AL119" s="205">
        <f>IFERROR(VLOOKUP(G119,ochalek,10,FALSE),"")</f>
        <v>0.83</v>
      </c>
      <c r="AM119" s="207" t="str">
        <f t="shared" si="32"/>
        <v>Not cost-effective</v>
      </c>
      <c r="AN119" s="205">
        <f>IFERROR(VLOOKUP(G119,woods,6,FALSE),"")</f>
        <v>0.33989517688899978</v>
      </c>
      <c r="AO119" s="195" t="str">
        <f t="shared" si="33"/>
        <v>Not cost-effective</v>
      </c>
      <c r="AP119" s="205">
        <f>IFERROR(VLOOKUP(G119,woods,5,FALSE),"")</f>
        <v>7.549759780370624E-2</v>
      </c>
      <c r="AQ119" s="195" t="str">
        <f t="shared" si="34"/>
        <v>Not cost-effective</v>
      </c>
      <c r="AR119" s="205">
        <f>IFERROR(VLOOKUP(G119,riviere,8,FALSE),"")</f>
        <v>1.1109197975136884</v>
      </c>
      <c r="AS119" s="195" t="str">
        <f t="shared" si="35"/>
        <v>Cost-effective</v>
      </c>
      <c r="AT119" s="205">
        <f>IFERROR(VLOOKUP(G119,riviere,7,FALSE),"")</f>
        <v>0.46041530355728499</v>
      </c>
      <c r="AU119" s="195" t="str">
        <f t="shared" si="36"/>
        <v>Not cost-effective</v>
      </c>
      <c r="AV119" s="162" t="s">
        <v>161</v>
      </c>
      <c r="AW119" s="162" t="s">
        <v>162</v>
      </c>
      <c r="AX119" s="210">
        <f t="shared" si="37"/>
        <v>0</v>
      </c>
      <c r="AY119" s="210">
        <f t="shared" si="38"/>
        <v>1</v>
      </c>
      <c r="AZ119" s="197">
        <f t="shared" si="39"/>
        <v>1</v>
      </c>
      <c r="BA119" s="197">
        <f t="shared" si="40"/>
        <v>1</v>
      </c>
      <c r="BB119" s="197">
        <f t="shared" si="41"/>
        <v>0</v>
      </c>
      <c r="BC119" s="197">
        <f t="shared" si="42"/>
        <v>1</v>
      </c>
      <c r="BD119" s="197">
        <f t="shared" si="43"/>
        <v>4</v>
      </c>
      <c r="BE119" s="163" t="s">
        <v>148</v>
      </c>
      <c r="BF119" s="162" t="s">
        <v>156</v>
      </c>
    </row>
    <row r="120" spans="1:58">
      <c r="A120" s="195">
        <f t="shared" si="44"/>
        <v>38</v>
      </c>
      <c r="B120" s="195">
        <f t="shared" si="45"/>
        <v>1</v>
      </c>
      <c r="C120" s="196" t="str">
        <f t="shared" si="23"/>
        <v>3801</v>
      </c>
      <c r="D120" s="159" t="s">
        <v>268</v>
      </c>
      <c r="E120" s="190">
        <v>2015</v>
      </c>
      <c r="F120" s="162" t="s">
        <v>269</v>
      </c>
      <c r="G120" s="162" t="s">
        <v>270</v>
      </c>
      <c r="H120" s="197" t="str">
        <f>IF(VLOOKUP(G120,income,R120-1985,FALSE)="UM","Upper-middle",IF(VLOOKUP(G120,income,R120-1985,FALSE)="LM","Lower-middle",IF(VLOOKUP(G120,income,R120-1985,FALSE)="L","Low")))</f>
        <v>Lower-middle</v>
      </c>
      <c r="I120" s="163">
        <v>0</v>
      </c>
      <c r="J120" s="162" t="s">
        <v>166</v>
      </c>
      <c r="K120" s="162" t="s">
        <v>147</v>
      </c>
      <c r="L120" s="207" t="str">
        <f t="shared" si="26"/>
        <v>PCV10 vs NoVax</v>
      </c>
      <c r="M120" s="162" t="s">
        <v>1551</v>
      </c>
      <c r="N120" s="163" t="s">
        <v>148</v>
      </c>
      <c r="O120" s="162" t="s">
        <v>159</v>
      </c>
      <c r="P120" s="162" t="s">
        <v>150</v>
      </c>
      <c r="Q120" s="162" t="s">
        <v>151</v>
      </c>
      <c r="R120" s="163">
        <v>2012</v>
      </c>
      <c r="S120" s="191">
        <v>3.5</v>
      </c>
      <c r="T120" s="198">
        <f>IF(ISNUMBER(S120),S120/VLOOKUP($Q120,xRates!$A$1:$BL$267,studies!$R120-xRates!$B$1+2,FALSE),"")</f>
        <v>3.5</v>
      </c>
      <c r="V120" s="198" t="str">
        <f>IF(ISNUMBER(U120),U120/VLOOKUP($Q120,xRates!$A$1:$BL$267,studies!$R120-xRates!$B$1+2,FALSE),"")</f>
        <v/>
      </c>
      <c r="W120" s="163">
        <v>1</v>
      </c>
      <c r="X120" s="163">
        <v>1</v>
      </c>
      <c r="Y120" s="163">
        <v>1</v>
      </c>
      <c r="Z120" s="163">
        <v>1</v>
      </c>
      <c r="AA120" s="163">
        <v>1</v>
      </c>
      <c r="AB120" s="163" t="s">
        <v>190</v>
      </c>
      <c r="AC120" s="193">
        <v>1599</v>
      </c>
      <c r="AD120" s="201">
        <f>IF(ISNUMBER(AC120),AC120/VLOOKUP($Q120,xRates!$A$1:$BL$267,studies!$R120-xRates!$B$1+2,FALSE),"")</f>
        <v>1599</v>
      </c>
      <c r="AE120" s="200">
        <f t="shared" si="27"/>
        <v>0</v>
      </c>
      <c r="AF120" s="201">
        <f>VLOOKUP(G120,gdppc,R120-1958,FALSE)</f>
        <v>4530.7</v>
      </c>
      <c r="AG120" s="195" t="str">
        <f t="shared" si="28"/>
        <v>Cost-effective</v>
      </c>
      <c r="AH120" s="195" t="str">
        <f t="shared" si="29"/>
        <v>Cost-effective</v>
      </c>
      <c r="AI120" s="204">
        <f t="shared" si="30"/>
        <v>0.3529255964861942</v>
      </c>
      <c r="AJ120" s="205">
        <f>IFERROR(VLOOKUP(G120,ochalek,11,FALSE),"")</f>
        <v>0.27</v>
      </c>
      <c r="AK120" s="195" t="str">
        <f t="shared" si="31"/>
        <v>Not cost-effective</v>
      </c>
      <c r="AL120" s="205">
        <f>IFERROR(VLOOKUP(G120,ochalek,10,FALSE),"")</f>
        <v>0.2</v>
      </c>
      <c r="AM120" s="207" t="str">
        <f t="shared" si="32"/>
        <v>Not cost-effective</v>
      </c>
      <c r="AN120" s="205">
        <f>IFERROR(VLOOKUP(G120,woods,6,FALSE),"")</f>
        <v>0.39261460101867574</v>
      </c>
      <c r="AO120" s="195" t="str">
        <f t="shared" si="33"/>
        <v>Cost-effective</v>
      </c>
      <c r="AP120" s="205">
        <f>IFERROR(VLOOKUP(G120,woods,5,FALSE),"")</f>
        <v>7.7674023769100167E-2</v>
      </c>
      <c r="AQ120" s="195" t="str">
        <f t="shared" si="34"/>
        <v>Not cost-effective</v>
      </c>
      <c r="AR120" s="205">
        <f>IFERROR(VLOOKUP(G120,riviere,8,FALSE),"")</f>
        <v>1.0241916773880582</v>
      </c>
      <c r="AS120" s="195" t="str">
        <f t="shared" si="35"/>
        <v>Cost-effective</v>
      </c>
      <c r="AT120" s="205">
        <f>IFERROR(VLOOKUP(G120,riviere,7,FALSE),"")</f>
        <v>0.42435618923080165</v>
      </c>
      <c r="AU120" s="195" t="str">
        <f t="shared" si="36"/>
        <v>Cost-effective</v>
      </c>
      <c r="AV120" s="162" t="s">
        <v>153</v>
      </c>
      <c r="AW120" s="162" t="s">
        <v>162</v>
      </c>
      <c r="AX120" s="210">
        <f t="shared" si="37"/>
        <v>1</v>
      </c>
      <c r="AY120" s="210">
        <f t="shared" si="38"/>
        <v>1</v>
      </c>
      <c r="AZ120" s="197">
        <f t="shared" si="39"/>
        <v>0</v>
      </c>
      <c r="BA120" s="197">
        <f t="shared" si="40"/>
        <v>1</v>
      </c>
      <c r="BB120" s="197">
        <f t="shared" si="41"/>
        <v>0</v>
      </c>
      <c r="BC120" s="197">
        <f t="shared" si="42"/>
        <v>0</v>
      </c>
      <c r="BD120" s="197">
        <f t="shared" si="43"/>
        <v>3</v>
      </c>
      <c r="BE120" s="163" t="s">
        <v>155</v>
      </c>
      <c r="BF120" s="162" t="s">
        <v>156</v>
      </c>
    </row>
    <row r="121" spans="1:58">
      <c r="A121" s="195">
        <f t="shared" si="44"/>
        <v>38</v>
      </c>
      <c r="B121" s="195">
        <f t="shared" si="45"/>
        <v>2</v>
      </c>
      <c r="C121" s="196" t="str">
        <f t="shared" si="23"/>
        <v>3802</v>
      </c>
      <c r="D121" s="159" t="s">
        <v>268</v>
      </c>
      <c r="E121" s="190">
        <v>2015</v>
      </c>
      <c r="F121" s="162" t="s">
        <v>269</v>
      </c>
      <c r="G121" s="162" t="s">
        <v>270</v>
      </c>
      <c r="H121" s="197" t="str">
        <f>IF(VLOOKUP(G121,income,R121-1985,FALSE)="UM","Upper-middle",IF(VLOOKUP(G121,income,R121-1985,FALSE)="LM","Lower-middle",IF(VLOOKUP(G121,income,R121-1985,FALSE)="L","Low")))</f>
        <v>Lower-middle</v>
      </c>
      <c r="I121" s="163">
        <v>0</v>
      </c>
      <c r="J121" s="162" t="s">
        <v>166</v>
      </c>
      <c r="K121" s="162" t="s">
        <v>147</v>
      </c>
      <c r="L121" s="207" t="str">
        <f t="shared" si="26"/>
        <v>PCV10 vs NoVax</v>
      </c>
      <c r="M121" s="162" t="s">
        <v>1551</v>
      </c>
      <c r="N121" s="163" t="s">
        <v>148</v>
      </c>
      <c r="O121" s="162" t="s">
        <v>159</v>
      </c>
      <c r="P121" s="162" t="s">
        <v>150</v>
      </c>
      <c r="Q121" s="162" t="s">
        <v>151</v>
      </c>
      <c r="R121" s="163">
        <v>2012</v>
      </c>
      <c r="S121" s="191">
        <v>3.5</v>
      </c>
      <c r="T121" s="198">
        <f>IF(ISNUMBER(S121),S121/VLOOKUP($Q121,xRates!$A$1:$BL$267,studies!$R121-xRates!$B$1+2,FALSE),"")</f>
        <v>3.5</v>
      </c>
      <c r="V121" s="198" t="str">
        <f>IF(ISNUMBER(U121),U121/VLOOKUP($Q121,xRates!$A$1:$BL$267,studies!$R121-xRates!$B$1+2,FALSE),"")</f>
        <v/>
      </c>
      <c r="W121" s="163">
        <v>0</v>
      </c>
      <c r="X121" s="163">
        <v>1</v>
      </c>
      <c r="Y121" s="163">
        <v>1</v>
      </c>
      <c r="Z121" s="163">
        <v>1</v>
      </c>
      <c r="AA121" s="163">
        <v>1</v>
      </c>
      <c r="AB121" s="163" t="s">
        <v>152</v>
      </c>
      <c r="AC121" s="190">
        <v>2200</v>
      </c>
      <c r="AD121" s="213">
        <f>IF(ISNUMBER(AC121),AC121/VLOOKUP($Q121,xRates!$A$1:$BL$267,studies!$R121-xRates!$B$1+2,FALSE),"")</f>
        <v>2200</v>
      </c>
      <c r="AE121" s="200">
        <f t="shared" si="27"/>
        <v>0</v>
      </c>
      <c r="AF121" s="200">
        <f>VLOOKUP(G121,gdppc,R121-1958,FALSE)</f>
        <v>4530.7</v>
      </c>
      <c r="AG121" s="195" t="str">
        <f t="shared" si="28"/>
        <v>Cost-effective</v>
      </c>
      <c r="AH121" s="195" t="str">
        <f t="shared" si="29"/>
        <v>Cost-effective</v>
      </c>
      <c r="AI121" s="204">
        <f t="shared" si="30"/>
        <v>0.48557618028119276</v>
      </c>
      <c r="AJ121" s="205">
        <f>IFERROR(VLOOKUP(G121,ochalek,11,FALSE),"")</f>
        <v>0.27</v>
      </c>
      <c r="AK121" s="195" t="str">
        <f t="shared" si="31"/>
        <v>Not cost-effective</v>
      </c>
      <c r="AL121" s="205">
        <f>IFERROR(VLOOKUP(G121,ochalek,10,FALSE),"")</f>
        <v>0.2</v>
      </c>
      <c r="AM121" s="207" t="str">
        <f t="shared" si="32"/>
        <v>Not cost-effective</v>
      </c>
      <c r="AN121" s="205">
        <f>IFERROR(VLOOKUP(G121,woods,6,FALSE),"")</f>
        <v>0.39261460101867574</v>
      </c>
      <c r="AO121" s="195" t="str">
        <f t="shared" si="33"/>
        <v>Not cost-effective</v>
      </c>
      <c r="AP121" s="205">
        <f>IFERROR(VLOOKUP(G121,woods,5,FALSE),"")</f>
        <v>7.7674023769100167E-2</v>
      </c>
      <c r="AQ121" s="195" t="str">
        <f t="shared" si="34"/>
        <v>Not cost-effective</v>
      </c>
      <c r="AR121" s="205">
        <f>IFERROR(VLOOKUP(G121,riviere,8,FALSE),"")</f>
        <v>1.0241916773880582</v>
      </c>
      <c r="AS121" s="195" t="str">
        <f t="shared" si="35"/>
        <v>Cost-effective</v>
      </c>
      <c r="AT121" s="205">
        <f>IFERROR(VLOOKUP(G121,riviere,7,FALSE),"")</f>
        <v>0.42435618923080165</v>
      </c>
      <c r="AU121" s="195" t="str">
        <f t="shared" si="36"/>
        <v>Not cost-effective</v>
      </c>
      <c r="AV121" s="162" t="s">
        <v>153</v>
      </c>
      <c r="AW121" s="162" t="s">
        <v>162</v>
      </c>
      <c r="AX121" s="210">
        <f t="shared" si="37"/>
        <v>1</v>
      </c>
      <c r="AY121" s="210">
        <f t="shared" si="38"/>
        <v>1</v>
      </c>
      <c r="AZ121" s="197">
        <f t="shared" si="39"/>
        <v>1</v>
      </c>
      <c r="BA121" s="197">
        <f t="shared" si="40"/>
        <v>1</v>
      </c>
      <c r="BB121" s="197">
        <f t="shared" si="41"/>
        <v>0</v>
      </c>
      <c r="BC121" s="197">
        <f t="shared" si="42"/>
        <v>1</v>
      </c>
      <c r="BD121" s="197">
        <f t="shared" si="43"/>
        <v>5</v>
      </c>
      <c r="BE121" s="163" t="s">
        <v>155</v>
      </c>
      <c r="BF121" s="162" t="s">
        <v>156</v>
      </c>
    </row>
    <row r="122" spans="1:58">
      <c r="A122" s="195">
        <f t="shared" si="44"/>
        <v>39</v>
      </c>
      <c r="B122" s="195">
        <f t="shared" si="45"/>
        <v>1</v>
      </c>
      <c r="C122" s="196" t="str">
        <f t="shared" si="23"/>
        <v>3901</v>
      </c>
      <c r="D122" s="159" t="s">
        <v>271</v>
      </c>
      <c r="E122" s="190">
        <v>2015</v>
      </c>
      <c r="F122" s="162" t="s">
        <v>272</v>
      </c>
      <c r="G122" s="162" t="s">
        <v>241</v>
      </c>
      <c r="H122" s="197" t="str">
        <f>IF(VLOOKUP(G122,income,R122-1985,FALSE)="UM","Upper-middle",IF(VLOOKUP(G122,income,R122-1985,FALSE)="LM","Lower-middle",IF(VLOOKUP(G122,income,R122-1985,FALSE)="L","Low")))</f>
        <v>Upper-middle</v>
      </c>
      <c r="I122" s="163">
        <v>0</v>
      </c>
      <c r="J122" s="162" t="s">
        <v>167</v>
      </c>
      <c r="K122" s="162" t="s">
        <v>147</v>
      </c>
      <c r="L122" s="207" t="str">
        <f t="shared" si="26"/>
        <v>PCV13 vs NoVax</v>
      </c>
      <c r="M122" s="162" t="s">
        <v>1552</v>
      </c>
      <c r="N122" s="163" t="s">
        <v>148</v>
      </c>
      <c r="O122" s="162" t="s">
        <v>159</v>
      </c>
      <c r="P122" s="162" t="s">
        <v>150</v>
      </c>
      <c r="Q122" s="162" t="s">
        <v>151</v>
      </c>
      <c r="R122" s="163">
        <v>2013</v>
      </c>
      <c r="S122" s="191">
        <v>15.68</v>
      </c>
      <c r="T122" s="198">
        <f>IF(ISNUMBER(S122),S122/VLOOKUP($Q122,xRates!$A$1:$BL$267,studies!$R122-xRates!$B$1+2,FALSE),"")</f>
        <v>15.68</v>
      </c>
      <c r="V122" s="198" t="str">
        <f>IF(ISNUMBER(U122),U122/VLOOKUP($Q122,xRates!$A$1:$BL$267,studies!$R122-xRates!$B$1+2,FALSE),"")</f>
        <v/>
      </c>
      <c r="W122" s="163">
        <v>0</v>
      </c>
      <c r="X122" s="163">
        <v>0</v>
      </c>
      <c r="Y122" s="163">
        <v>1</v>
      </c>
      <c r="Z122" s="163">
        <v>1</v>
      </c>
      <c r="AA122" s="163">
        <v>1</v>
      </c>
      <c r="AB122" s="163" t="s">
        <v>263</v>
      </c>
      <c r="AC122" s="193">
        <v>489.26</v>
      </c>
      <c r="AD122" s="201">
        <f>IF(ISNUMBER(AC122),AC122/VLOOKUP($Q122,xRates!$A$1:$BL$267,studies!$R122-xRates!$B$1+2,FALSE),"")</f>
        <v>489.26</v>
      </c>
      <c r="AE122" s="200">
        <f t="shared" si="27"/>
        <v>0</v>
      </c>
      <c r="AF122" s="201">
        <f>VLOOKUP(G122,gdppc,R122-1958,FALSE)</f>
        <v>8263.6</v>
      </c>
      <c r="AG122" s="195" t="str">
        <f t="shared" si="28"/>
        <v>Cost-effective</v>
      </c>
      <c r="AH122" s="195" t="str">
        <f t="shared" si="29"/>
        <v>Cost-effective</v>
      </c>
      <c r="AI122" s="204">
        <f t="shared" si="30"/>
        <v>5.9206641173338494E-2</v>
      </c>
      <c r="AJ122" s="205">
        <f>IFERROR(VLOOKUP(G122,ochalek,11,FALSE),"")</f>
        <v>1.89</v>
      </c>
      <c r="AK122" s="195" t="str">
        <f t="shared" si="31"/>
        <v>Cost-effective</v>
      </c>
      <c r="AL122" s="205">
        <f>IFERROR(VLOOKUP(G122,ochalek,10,FALSE),"")</f>
        <v>1.17</v>
      </c>
      <c r="AM122" s="207" t="str">
        <f t="shared" si="32"/>
        <v>Cost-effective</v>
      </c>
      <c r="AN122" s="205">
        <f>IFERROR(VLOOKUP(G122,woods,6,FALSE),"")</f>
        <v>0.6677477128612227</v>
      </c>
      <c r="AO122" s="195" t="str">
        <f t="shared" si="33"/>
        <v>Cost-effective</v>
      </c>
      <c r="AP122" s="205">
        <f>IFERROR(VLOOKUP(G122,woods,5,FALSE),"")</f>
        <v>0.16578730819497556</v>
      </c>
      <c r="AQ122" s="195" t="str">
        <f t="shared" si="34"/>
        <v>Cost-effective</v>
      </c>
      <c r="AR122" s="205">
        <f>IFERROR(VLOOKUP(G122,riviere,8,FALSE),"")</f>
        <v>1.3213703099510603</v>
      </c>
      <c r="AS122" s="195" t="str">
        <f t="shared" si="35"/>
        <v>Cost-effective</v>
      </c>
      <c r="AT122" s="205">
        <f>IFERROR(VLOOKUP(G122,riviere,7,FALSE),"")</f>
        <v>0.54765788860405495</v>
      </c>
      <c r="AU122" s="195" t="str">
        <f t="shared" si="36"/>
        <v>Cost-effective</v>
      </c>
      <c r="AV122" s="162" t="s">
        <v>153</v>
      </c>
      <c r="AW122" s="162" t="s">
        <v>162</v>
      </c>
      <c r="AX122" s="210">
        <f t="shared" si="37"/>
        <v>0</v>
      </c>
      <c r="AY122" s="210">
        <f t="shared" si="38"/>
        <v>0</v>
      </c>
      <c r="AZ122" s="197">
        <f t="shared" si="39"/>
        <v>0</v>
      </c>
      <c r="BA122" s="197">
        <f t="shared" si="40"/>
        <v>0</v>
      </c>
      <c r="BB122" s="197">
        <f t="shared" si="41"/>
        <v>0</v>
      </c>
      <c r="BC122" s="197">
        <f t="shared" si="42"/>
        <v>0</v>
      </c>
      <c r="BD122" s="197">
        <f t="shared" si="43"/>
        <v>0</v>
      </c>
      <c r="BE122" s="163" t="s">
        <v>155</v>
      </c>
      <c r="BF122" s="162" t="s">
        <v>163</v>
      </c>
    </row>
    <row r="123" spans="1:58">
      <c r="A123" s="195">
        <f t="shared" si="44"/>
        <v>39</v>
      </c>
      <c r="B123" s="195">
        <f t="shared" si="45"/>
        <v>2</v>
      </c>
      <c r="C123" s="196" t="str">
        <f t="shared" si="23"/>
        <v>3902</v>
      </c>
      <c r="D123" s="159" t="s">
        <v>271</v>
      </c>
      <c r="E123" s="190">
        <v>2015</v>
      </c>
      <c r="F123" s="162" t="s">
        <v>272</v>
      </c>
      <c r="G123" s="162" t="s">
        <v>241</v>
      </c>
      <c r="H123" s="197" t="str">
        <f>IF(VLOOKUP(G123,income,R123-1985,FALSE)="UM","Upper-middle",IF(VLOOKUP(G123,income,R123-1985,FALSE)="LM","Lower-middle",IF(VLOOKUP(G123,income,R123-1985,FALSE)="L","Low")))</f>
        <v>Upper-middle</v>
      </c>
      <c r="I123" s="163">
        <v>0</v>
      </c>
      <c r="J123" s="162" t="s">
        <v>166</v>
      </c>
      <c r="K123" s="162" t="s">
        <v>147</v>
      </c>
      <c r="L123" s="207" t="str">
        <f t="shared" si="26"/>
        <v>PCV10 vs NoVax</v>
      </c>
      <c r="M123" s="162" t="s">
        <v>1552</v>
      </c>
      <c r="N123" s="163" t="s">
        <v>148</v>
      </c>
      <c r="O123" s="162" t="s">
        <v>159</v>
      </c>
      <c r="P123" s="162" t="s">
        <v>150</v>
      </c>
      <c r="Q123" s="162" t="s">
        <v>151</v>
      </c>
      <c r="R123" s="163">
        <v>2013</v>
      </c>
      <c r="S123" s="191">
        <v>14.12</v>
      </c>
      <c r="T123" s="198">
        <f>IF(ISNUMBER(S123),S123/VLOOKUP($Q123,xRates!$A$1:$BL$267,studies!$R123-xRates!$B$1+2,FALSE),"")</f>
        <v>14.12</v>
      </c>
      <c r="V123" s="198" t="str">
        <f>IF(ISNUMBER(U123),U123/VLOOKUP($Q123,xRates!$A$1:$BL$267,studies!$R123-xRates!$B$1+2,FALSE),"")</f>
        <v/>
      </c>
      <c r="W123" s="163">
        <v>0</v>
      </c>
      <c r="X123" s="163">
        <v>0</v>
      </c>
      <c r="Y123" s="163">
        <v>1</v>
      </c>
      <c r="Z123" s="163">
        <v>1</v>
      </c>
      <c r="AA123" s="163">
        <v>1</v>
      </c>
      <c r="AB123" s="163" t="s">
        <v>263</v>
      </c>
      <c r="AC123" s="193">
        <v>813.41</v>
      </c>
      <c r="AD123" s="201">
        <f>IF(ISNUMBER(AC123),AC123/VLOOKUP($Q123,xRates!$A$1:$BL$267,studies!$R123-xRates!$B$1+2,FALSE),"")</f>
        <v>813.41</v>
      </c>
      <c r="AE123" s="200">
        <f t="shared" si="27"/>
        <v>0</v>
      </c>
      <c r="AF123" s="201">
        <f>VLOOKUP(G123,gdppc,R123-1958,FALSE)</f>
        <v>8263.6</v>
      </c>
      <c r="AG123" s="195" t="str">
        <f t="shared" si="28"/>
        <v>Cost-effective</v>
      </c>
      <c r="AH123" s="195" t="str">
        <f t="shared" si="29"/>
        <v>Cost-effective</v>
      </c>
      <c r="AI123" s="204">
        <f t="shared" si="30"/>
        <v>9.8432886393339455E-2</v>
      </c>
      <c r="AJ123" s="205">
        <f>IFERROR(VLOOKUP(G123,ochalek,11,FALSE),"")</f>
        <v>1.89</v>
      </c>
      <c r="AK123" s="195" t="str">
        <f t="shared" si="31"/>
        <v>Cost-effective</v>
      </c>
      <c r="AL123" s="205">
        <f>IFERROR(VLOOKUP(G123,ochalek,10,FALSE),"")</f>
        <v>1.17</v>
      </c>
      <c r="AM123" s="207" t="str">
        <f t="shared" si="32"/>
        <v>Cost-effective</v>
      </c>
      <c r="AN123" s="205">
        <f>IFERROR(VLOOKUP(G123,woods,6,FALSE),"")</f>
        <v>0.6677477128612227</v>
      </c>
      <c r="AO123" s="195" t="str">
        <f t="shared" si="33"/>
        <v>Cost-effective</v>
      </c>
      <c r="AP123" s="205">
        <f>IFERROR(VLOOKUP(G123,woods,5,FALSE),"")</f>
        <v>0.16578730819497556</v>
      </c>
      <c r="AQ123" s="195" t="str">
        <f t="shared" si="34"/>
        <v>Cost-effective</v>
      </c>
      <c r="AR123" s="205">
        <f>IFERROR(VLOOKUP(G123,riviere,8,FALSE),"")</f>
        <v>1.3213703099510603</v>
      </c>
      <c r="AS123" s="195" t="str">
        <f t="shared" si="35"/>
        <v>Cost-effective</v>
      </c>
      <c r="AT123" s="205">
        <f>IFERROR(VLOOKUP(G123,riviere,7,FALSE),"")</f>
        <v>0.54765788860405495</v>
      </c>
      <c r="AU123" s="195" t="str">
        <f t="shared" si="36"/>
        <v>Cost-effective</v>
      </c>
      <c r="AV123" s="162" t="s">
        <v>153</v>
      </c>
      <c r="AW123" s="162" t="s">
        <v>162</v>
      </c>
      <c r="AX123" s="210">
        <f t="shared" si="37"/>
        <v>0</v>
      </c>
      <c r="AY123" s="210">
        <f t="shared" si="38"/>
        <v>0</v>
      </c>
      <c r="AZ123" s="197">
        <f t="shared" si="39"/>
        <v>0</v>
      </c>
      <c r="BA123" s="197">
        <f t="shared" si="40"/>
        <v>0</v>
      </c>
      <c r="BB123" s="197">
        <f t="shared" si="41"/>
        <v>0</v>
      </c>
      <c r="BC123" s="197">
        <f t="shared" si="42"/>
        <v>0</v>
      </c>
      <c r="BD123" s="197">
        <f t="shared" si="43"/>
        <v>0</v>
      </c>
      <c r="BE123" s="163" t="s">
        <v>155</v>
      </c>
      <c r="BF123" s="162" t="s">
        <v>163</v>
      </c>
    </row>
    <row r="124" spans="1:58">
      <c r="A124" s="195">
        <f t="shared" si="44"/>
        <v>39</v>
      </c>
      <c r="B124" s="195">
        <f t="shared" si="45"/>
        <v>3</v>
      </c>
      <c r="C124" s="196" t="str">
        <f t="shared" si="23"/>
        <v>3903</v>
      </c>
      <c r="D124" s="159" t="s">
        <v>271</v>
      </c>
      <c r="E124" s="190">
        <v>2015</v>
      </c>
      <c r="F124" s="162" t="s">
        <v>272</v>
      </c>
      <c r="G124" s="162" t="s">
        <v>241</v>
      </c>
      <c r="H124" s="197" t="str">
        <f>IF(VLOOKUP(G124,income,R124-1985,FALSE)="UM","Upper-middle",IF(VLOOKUP(G124,income,R124-1985,FALSE)="LM","Lower-middle",IF(VLOOKUP(G124,income,R124-1985,FALSE)="L","Low")))</f>
        <v>Upper-middle</v>
      </c>
      <c r="I124" s="163">
        <v>0</v>
      </c>
      <c r="J124" s="162" t="s">
        <v>167</v>
      </c>
      <c r="K124" s="162" t="s">
        <v>166</v>
      </c>
      <c r="L124" s="207" t="str">
        <f t="shared" si="26"/>
        <v>PCV13 vs PCV10</v>
      </c>
      <c r="M124" s="162" t="s">
        <v>1552</v>
      </c>
      <c r="N124" s="163" t="s">
        <v>148</v>
      </c>
      <c r="O124" s="164" t="s">
        <v>159</v>
      </c>
      <c r="P124" s="162" t="s">
        <v>150</v>
      </c>
      <c r="Q124" s="162" t="s">
        <v>151</v>
      </c>
      <c r="R124" s="190">
        <v>2013</v>
      </c>
      <c r="S124" s="191">
        <v>15.68</v>
      </c>
      <c r="T124" s="198">
        <f>IF(ISNUMBER(S124),S124/VLOOKUP($Q124,xRates!$A$1:$BL$267,studies!$R124-xRates!$B$1+2,FALSE),"")</f>
        <v>15.68</v>
      </c>
      <c r="U124" s="163">
        <v>14.12</v>
      </c>
      <c r="V124" s="198">
        <f>IF(ISNUMBER(U124),U124/VLOOKUP($Q124,xRates!$A$1:$BL$267,studies!$R124-xRates!$B$1+2,FALSE),"")</f>
        <v>14.12</v>
      </c>
      <c r="W124" s="163">
        <v>0</v>
      </c>
      <c r="X124" s="163">
        <v>0</v>
      </c>
      <c r="Y124" s="163">
        <v>1</v>
      </c>
      <c r="Z124" s="163">
        <v>1</v>
      </c>
      <c r="AA124" s="163">
        <v>1</v>
      </c>
      <c r="AB124" s="163" t="s">
        <v>263</v>
      </c>
      <c r="AC124" s="190">
        <v>-417.53</v>
      </c>
      <c r="AD124" s="213">
        <f>IF(ISNUMBER(AC124),AC124/VLOOKUP($Q124,xRates!$A$1:$BL$267,studies!$R124-xRates!$B$1+2,FALSE),"")</f>
        <v>-417.53</v>
      </c>
      <c r="AE124" s="200">
        <f t="shared" si="27"/>
        <v>1</v>
      </c>
      <c r="AF124" s="200">
        <f>VLOOKUP(G124,gdppc,R124-1958,FALSE)</f>
        <v>8263.6</v>
      </c>
      <c r="AG124" s="195" t="str">
        <f t="shared" si="28"/>
        <v>Cost-saving</v>
      </c>
      <c r="AH124" s="195" t="str">
        <f t="shared" si="29"/>
        <v>Cost-saving</v>
      </c>
      <c r="AI124" s="204">
        <f t="shared" si="30"/>
        <v>-5.052640495667747E-2</v>
      </c>
      <c r="AJ124" s="205">
        <f>IFERROR(VLOOKUP(G124,ochalek,11,FALSE),"")</f>
        <v>1.89</v>
      </c>
      <c r="AK124" s="195" t="str">
        <f t="shared" si="31"/>
        <v>Cost-saving</v>
      </c>
      <c r="AL124" s="205">
        <f>IFERROR(VLOOKUP(G124,ochalek,10,FALSE),"")</f>
        <v>1.17</v>
      </c>
      <c r="AM124" s="207" t="str">
        <f t="shared" si="32"/>
        <v>Cost-saving</v>
      </c>
      <c r="AN124" s="205">
        <f>IFERROR(VLOOKUP(G124,woods,6,FALSE),"")</f>
        <v>0.6677477128612227</v>
      </c>
      <c r="AO124" s="195" t="str">
        <f t="shared" si="33"/>
        <v>Cost-saving</v>
      </c>
      <c r="AP124" s="205">
        <f>IFERROR(VLOOKUP(G124,woods,5,FALSE),"")</f>
        <v>0.16578730819497556</v>
      </c>
      <c r="AQ124" s="195" t="str">
        <f t="shared" si="34"/>
        <v>Cost-saving</v>
      </c>
      <c r="AR124" s="205">
        <f>IFERROR(VLOOKUP(G124,riviere,8,FALSE),"")</f>
        <v>1.3213703099510603</v>
      </c>
      <c r="AS124" s="195" t="str">
        <f t="shared" si="35"/>
        <v>Cost-saving</v>
      </c>
      <c r="AT124" s="205">
        <f>IFERROR(VLOOKUP(G124,riviere,7,FALSE),"")</f>
        <v>0.54765788860405495</v>
      </c>
      <c r="AU124" s="195" t="str">
        <f t="shared" si="36"/>
        <v>Cost-saving</v>
      </c>
      <c r="AV124" s="162" t="s">
        <v>176</v>
      </c>
      <c r="AW124" s="156" t="s">
        <v>186</v>
      </c>
      <c r="AX124" s="210" t="str">
        <f t="shared" si="37"/>
        <v/>
      </c>
      <c r="AY124" s="210" t="str">
        <f t="shared" si="38"/>
        <v/>
      </c>
      <c r="AZ124" s="197" t="str">
        <f t="shared" si="39"/>
        <v/>
      </c>
      <c r="BA124" s="197" t="str">
        <f t="shared" si="40"/>
        <v/>
      </c>
      <c r="BB124" s="197" t="str">
        <f t="shared" si="41"/>
        <v/>
      </c>
      <c r="BC124" s="197" t="str">
        <f t="shared" si="42"/>
        <v/>
      </c>
      <c r="BD124" s="197">
        <f t="shared" si="43"/>
        <v>0</v>
      </c>
      <c r="BE124" s="163" t="s">
        <v>155</v>
      </c>
      <c r="BF124" s="162" t="s">
        <v>163</v>
      </c>
    </row>
    <row r="125" spans="1:58">
      <c r="A125" s="195">
        <f t="shared" si="44"/>
        <v>40</v>
      </c>
      <c r="B125" s="195">
        <f t="shared" si="45"/>
        <v>1</v>
      </c>
      <c r="C125" s="196" t="str">
        <f t="shared" si="23"/>
        <v>4001</v>
      </c>
      <c r="D125" s="159" t="s">
        <v>273</v>
      </c>
      <c r="E125" s="190">
        <v>2010</v>
      </c>
      <c r="F125" s="162" t="s">
        <v>274</v>
      </c>
      <c r="G125" s="162" t="s">
        <v>211</v>
      </c>
      <c r="H125" s="197" t="str">
        <f>IF(VLOOKUP(G125,income,R125-1985,FALSE)="UM","Upper-middle",IF(VLOOKUP(G125,income,R125-1985,FALSE)="LM","Lower-middle",IF(VLOOKUP(G125,income,R125-1985,FALSE)="L","Low")))</f>
        <v>Lower-middle</v>
      </c>
      <c r="I125" s="163">
        <v>0</v>
      </c>
      <c r="J125" s="162" t="s">
        <v>166</v>
      </c>
      <c r="K125" s="162" t="s">
        <v>147</v>
      </c>
      <c r="L125" s="207" t="str">
        <f t="shared" si="26"/>
        <v>PCV10 vs NoVax</v>
      </c>
      <c r="M125" s="162" t="s">
        <v>1551</v>
      </c>
      <c r="N125" s="163" t="s">
        <v>148</v>
      </c>
      <c r="O125" s="162" t="s">
        <v>149</v>
      </c>
      <c r="P125" s="162" t="s">
        <v>215</v>
      </c>
      <c r="Q125" s="162" t="s">
        <v>211</v>
      </c>
      <c r="R125" s="163">
        <v>2004</v>
      </c>
      <c r="S125" s="191">
        <v>31</v>
      </c>
      <c r="T125" s="198">
        <f>IF(ISNUMBER(S125),S125/VLOOKUP($Q125,xRates!$A$1:$BL$267,studies!$R125-xRates!$B$1+2,FALSE),"")</f>
        <v>10.580204778156997</v>
      </c>
      <c r="V125" s="198" t="str">
        <f>IF(ISNUMBER(U125),U125/VLOOKUP($Q125,xRates!$A$1:$BL$267,studies!$R125-xRates!$B$1+2,FALSE),"")</f>
        <v/>
      </c>
      <c r="W125" s="163">
        <v>0</v>
      </c>
      <c r="X125" s="163">
        <v>0</v>
      </c>
      <c r="Y125" s="163">
        <v>1</v>
      </c>
      <c r="Z125" s="163">
        <v>1</v>
      </c>
      <c r="AA125" s="163">
        <v>1</v>
      </c>
      <c r="AB125" s="163" t="s">
        <v>190</v>
      </c>
      <c r="AC125" s="193">
        <v>22066</v>
      </c>
      <c r="AD125" s="201">
        <f>IF(ISNUMBER(AC125),AC125/VLOOKUP($Q125,xRates!$A$1:$BL$267,studies!$R125-xRates!$B$1+2,FALSE),"")</f>
        <v>7531.0580204778153</v>
      </c>
      <c r="AE125" s="200">
        <f t="shared" si="27"/>
        <v>0</v>
      </c>
      <c r="AF125" s="201">
        <f>VLOOKUP(G125,gdppc,R125-1958,FALSE)</f>
        <v>3623.2</v>
      </c>
      <c r="AG125" s="195" t="str">
        <f t="shared" si="28"/>
        <v>Not cost-effective</v>
      </c>
      <c r="AH125" s="195" t="str">
        <f t="shared" si="29"/>
        <v>Cost-effective</v>
      </c>
      <c r="AI125" s="204">
        <f t="shared" si="30"/>
        <v>2.0785653622427178</v>
      </c>
      <c r="AJ125" s="205">
        <f>IFERROR(VLOOKUP(G125,ochalek,11,FALSE),"")</f>
        <v>1.0900000000000001</v>
      </c>
      <c r="AK125" s="195" t="str">
        <f t="shared" si="31"/>
        <v>Not cost-effective</v>
      </c>
      <c r="AL125" s="205">
        <f>IFERROR(VLOOKUP(G125,ochalek,10,FALSE),"")</f>
        <v>0.71</v>
      </c>
      <c r="AM125" s="207" t="str">
        <f t="shared" si="32"/>
        <v>Not cost-effective</v>
      </c>
      <c r="AN125" s="205">
        <f>IFERROR(VLOOKUP(G125,woods,6,FALSE),"")</f>
        <v>0.61540469547909216</v>
      </c>
      <c r="AO125" s="195" t="str">
        <f t="shared" si="33"/>
        <v>Not cost-effective</v>
      </c>
      <c r="AP125" s="205">
        <f>IFERROR(VLOOKUP(G125,woods,5,FALSE),"")</f>
        <v>0.19520989346254874</v>
      </c>
      <c r="AQ125" s="195" t="str">
        <f t="shared" si="34"/>
        <v>Not cost-effective</v>
      </c>
      <c r="AR125" s="205">
        <f>IFERROR(VLOOKUP(G125,riviere,8,FALSE),"")</f>
        <v>1.6838320916192782</v>
      </c>
      <c r="AS125" s="195" t="str">
        <f t="shared" si="35"/>
        <v>Not cost-effective</v>
      </c>
      <c r="AT125" s="205">
        <f>IFERROR(VLOOKUP(G125,riviere,7,FALSE),"")</f>
        <v>0.69788475235435776</v>
      </c>
      <c r="AU125" s="195" t="str">
        <f t="shared" si="36"/>
        <v>Not cost-effective</v>
      </c>
      <c r="AV125" s="162" t="s">
        <v>161</v>
      </c>
      <c r="AW125" s="162" t="s">
        <v>162</v>
      </c>
      <c r="AX125" s="210">
        <f t="shared" si="37"/>
        <v>1</v>
      </c>
      <c r="AY125" s="210">
        <f t="shared" si="38"/>
        <v>1</v>
      </c>
      <c r="AZ125" s="197">
        <f t="shared" si="39"/>
        <v>1</v>
      </c>
      <c r="BA125" s="197">
        <f t="shared" si="40"/>
        <v>1</v>
      </c>
      <c r="BB125" s="197">
        <f t="shared" si="41"/>
        <v>1</v>
      </c>
      <c r="BC125" s="197">
        <f t="shared" si="42"/>
        <v>1</v>
      </c>
      <c r="BD125" s="197">
        <f t="shared" si="43"/>
        <v>6</v>
      </c>
      <c r="BE125" s="163" t="s">
        <v>155</v>
      </c>
      <c r="BF125" s="162" t="s">
        <v>177</v>
      </c>
    </row>
    <row r="126" spans="1:58">
      <c r="A126" s="195">
        <f t="shared" si="44"/>
        <v>40</v>
      </c>
      <c r="B126" s="195">
        <f t="shared" si="45"/>
        <v>2</v>
      </c>
      <c r="C126" s="196" t="str">
        <f t="shared" si="23"/>
        <v>4002</v>
      </c>
      <c r="D126" s="159" t="s">
        <v>273</v>
      </c>
      <c r="E126" s="190">
        <v>2010</v>
      </c>
      <c r="F126" s="162" t="s">
        <v>274</v>
      </c>
      <c r="G126" s="162" t="s">
        <v>211</v>
      </c>
      <c r="H126" s="197" t="str">
        <f>IF(VLOOKUP(G126,income,R126-1985,FALSE)="UM","Upper-middle",IF(VLOOKUP(G126,income,R126-1985,FALSE)="LM","Lower-middle",IF(VLOOKUP(G126,income,R126-1985,FALSE)="L","Low")))</f>
        <v>Lower-middle</v>
      </c>
      <c r="I126" s="163">
        <v>0</v>
      </c>
      <c r="J126" s="162" t="s">
        <v>166</v>
      </c>
      <c r="K126" s="162" t="s">
        <v>147</v>
      </c>
      <c r="L126" s="207" t="str">
        <f t="shared" si="26"/>
        <v>PCV10 vs NoVax</v>
      </c>
      <c r="M126" s="162" t="s">
        <v>1551</v>
      </c>
      <c r="N126" s="163" t="s">
        <v>155</v>
      </c>
      <c r="O126" s="162" t="s">
        <v>159</v>
      </c>
      <c r="P126" s="162" t="s">
        <v>215</v>
      </c>
      <c r="Q126" s="162" t="s">
        <v>211</v>
      </c>
      <c r="R126" s="163">
        <v>2004</v>
      </c>
      <c r="S126" s="191">
        <v>31</v>
      </c>
      <c r="T126" s="198">
        <f>IF(ISNUMBER(S126),S126/VLOOKUP($Q126,xRates!$A$1:$BL$267,studies!$R126-xRates!$B$1+2,FALSE),"")</f>
        <v>10.580204778156997</v>
      </c>
      <c r="V126" s="198" t="str">
        <f>IF(ISNUMBER(U126),U126/VLOOKUP($Q126,xRates!$A$1:$BL$267,studies!$R126-xRates!$B$1+2,FALSE),"")</f>
        <v/>
      </c>
      <c r="W126" s="163">
        <v>0</v>
      </c>
      <c r="X126" s="163">
        <v>0</v>
      </c>
      <c r="Y126" s="163">
        <v>1</v>
      </c>
      <c r="Z126" s="163">
        <v>1</v>
      </c>
      <c r="AA126" s="163">
        <v>1</v>
      </c>
      <c r="AB126" s="163" t="s">
        <v>190</v>
      </c>
      <c r="AC126" s="193">
        <v>24930</v>
      </c>
      <c r="AD126" s="201">
        <f>IF(ISNUMBER(AC126),AC126/VLOOKUP($Q126,xRates!$A$1:$BL$267,studies!$R126-xRates!$B$1+2,FALSE),"")</f>
        <v>8508.5324232081912</v>
      </c>
      <c r="AE126" s="200">
        <f t="shared" si="27"/>
        <v>0</v>
      </c>
      <c r="AF126" s="201">
        <f>VLOOKUP(G126,gdppc,R126-1958,FALSE)</f>
        <v>3623.2</v>
      </c>
      <c r="AG126" s="195" t="str">
        <f t="shared" si="28"/>
        <v>Not cost-effective</v>
      </c>
      <c r="AH126" s="195" t="str">
        <f t="shared" si="29"/>
        <v>Cost-effective</v>
      </c>
      <c r="AI126" s="204">
        <f t="shared" si="30"/>
        <v>2.3483474340936716</v>
      </c>
      <c r="AJ126" s="205">
        <f>IFERROR(VLOOKUP(G126,ochalek,11,FALSE),"")</f>
        <v>1.0900000000000001</v>
      </c>
      <c r="AK126" s="195" t="str">
        <f t="shared" si="31"/>
        <v>Not cost-effective</v>
      </c>
      <c r="AL126" s="205">
        <f>IFERROR(VLOOKUP(G126,ochalek,10,FALSE),"")</f>
        <v>0.71</v>
      </c>
      <c r="AM126" s="207" t="str">
        <f t="shared" si="32"/>
        <v>Not cost-effective</v>
      </c>
      <c r="AN126" s="205">
        <f>IFERROR(VLOOKUP(G126,woods,6,FALSE),"")</f>
        <v>0.61540469547909216</v>
      </c>
      <c r="AO126" s="195" t="str">
        <f t="shared" si="33"/>
        <v>Not cost-effective</v>
      </c>
      <c r="AP126" s="205">
        <f>IFERROR(VLOOKUP(G126,woods,5,FALSE),"")</f>
        <v>0.19520989346254874</v>
      </c>
      <c r="AQ126" s="195" t="str">
        <f t="shared" si="34"/>
        <v>Not cost-effective</v>
      </c>
      <c r="AR126" s="205">
        <f>IFERROR(VLOOKUP(G126,riviere,8,FALSE),"")</f>
        <v>1.6838320916192782</v>
      </c>
      <c r="AS126" s="195" t="str">
        <f t="shared" si="35"/>
        <v>Not cost-effective</v>
      </c>
      <c r="AT126" s="205">
        <f>IFERROR(VLOOKUP(G126,riviere,7,FALSE),"")</f>
        <v>0.69788475235435776</v>
      </c>
      <c r="AU126" s="195" t="str">
        <f t="shared" si="36"/>
        <v>Not cost-effective</v>
      </c>
      <c r="AV126" s="162" t="s">
        <v>161</v>
      </c>
      <c r="AW126" s="162" t="s">
        <v>162</v>
      </c>
      <c r="AX126" s="210">
        <f t="shared" si="37"/>
        <v>1</v>
      </c>
      <c r="AY126" s="210">
        <f t="shared" si="38"/>
        <v>1</v>
      </c>
      <c r="AZ126" s="197">
        <f t="shared" si="39"/>
        <v>1</v>
      </c>
      <c r="BA126" s="197">
        <f t="shared" si="40"/>
        <v>1</v>
      </c>
      <c r="BB126" s="197">
        <f t="shared" si="41"/>
        <v>1</v>
      </c>
      <c r="BC126" s="197">
        <f t="shared" si="42"/>
        <v>1</v>
      </c>
      <c r="BD126" s="197">
        <f t="shared" si="43"/>
        <v>6</v>
      </c>
      <c r="BE126" s="163" t="s">
        <v>155</v>
      </c>
      <c r="BF126" s="162" t="s">
        <v>177</v>
      </c>
    </row>
    <row r="127" spans="1:58">
      <c r="A127" s="195">
        <f t="shared" si="44"/>
        <v>41</v>
      </c>
      <c r="B127" s="195">
        <f t="shared" si="45"/>
        <v>1</v>
      </c>
      <c r="C127" s="196" t="str">
        <f t="shared" si="23"/>
        <v>4101</v>
      </c>
      <c r="D127" s="159" t="s">
        <v>275</v>
      </c>
      <c r="E127" s="190">
        <v>2013</v>
      </c>
      <c r="F127" s="162" t="s">
        <v>276</v>
      </c>
      <c r="G127" s="162" t="s">
        <v>259</v>
      </c>
      <c r="H127" s="197" t="str">
        <f>IF(VLOOKUP(G127,income,R127-1985,FALSE)="UM","Upper-middle",IF(VLOOKUP(G127,income,R127-1985,FALSE)="LM","Lower-middle",IF(VLOOKUP(G127,income,R127-1985,FALSE)="L","Low")))</f>
        <v>Upper-middle</v>
      </c>
      <c r="I127" s="163">
        <v>0</v>
      </c>
      <c r="J127" s="162" t="s">
        <v>146</v>
      </c>
      <c r="K127" s="162" t="s">
        <v>147</v>
      </c>
      <c r="L127" s="207" t="str">
        <f t="shared" si="26"/>
        <v>PCV7 vs NoVax</v>
      </c>
      <c r="M127" s="162" t="s">
        <v>1552</v>
      </c>
      <c r="N127" s="163" t="s">
        <v>148</v>
      </c>
      <c r="O127" s="162" t="s">
        <v>159</v>
      </c>
      <c r="P127" s="162" t="s">
        <v>150</v>
      </c>
      <c r="Q127" s="162" t="s">
        <v>151</v>
      </c>
      <c r="R127" s="163">
        <v>2011</v>
      </c>
      <c r="S127" s="191">
        <v>30</v>
      </c>
      <c r="T127" s="198">
        <f>IF(ISNUMBER(S127),S127/VLOOKUP($Q127,xRates!$A$1:$BL$267,studies!$R127-xRates!$B$1+2,FALSE),"")</f>
        <v>30</v>
      </c>
      <c r="V127" s="198" t="str">
        <f>IF(ISNUMBER(U127),U127/VLOOKUP($Q127,xRates!$A$1:$BL$267,studies!$R127-xRates!$B$1+2,FALSE),"")</f>
        <v/>
      </c>
      <c r="W127" s="163">
        <v>0</v>
      </c>
      <c r="X127" s="163">
        <v>0</v>
      </c>
      <c r="Y127" s="163">
        <v>1</v>
      </c>
      <c r="Z127" s="163">
        <v>1</v>
      </c>
      <c r="AA127" s="163">
        <v>1</v>
      </c>
      <c r="AB127" s="163" t="s">
        <v>263</v>
      </c>
      <c r="AC127" s="193">
        <v>7109</v>
      </c>
      <c r="AD127" s="201">
        <f>IF(ISNUMBER(AC127),AC127/VLOOKUP($Q127,xRates!$A$1:$BL$267,studies!$R127-xRates!$B$1+2,FALSE),"")</f>
        <v>7109</v>
      </c>
      <c r="AE127" s="200">
        <f t="shared" si="27"/>
        <v>0</v>
      </c>
      <c r="AF127" s="201">
        <f>VLOOKUP(G127,gdppc,R127-1958,FALSE)</f>
        <v>11300.8</v>
      </c>
      <c r="AG127" s="195" t="str">
        <f t="shared" si="28"/>
        <v>Cost-effective</v>
      </c>
      <c r="AH127" s="195" t="str">
        <f t="shared" si="29"/>
        <v>Cost-effective</v>
      </c>
      <c r="AI127" s="204">
        <f t="shared" si="30"/>
        <v>0.62907050828259947</v>
      </c>
      <c r="AJ127" s="205">
        <f>IFERROR(VLOOKUP(G127,ochalek,11,FALSE),"")</f>
        <v>1.43</v>
      </c>
      <c r="AK127" s="195" t="str">
        <f t="shared" si="31"/>
        <v>Cost-effective</v>
      </c>
      <c r="AL127" s="205">
        <f>IFERROR(VLOOKUP(G127,ochalek,10,FALSE),"")</f>
        <v>0.82</v>
      </c>
      <c r="AM127" s="207" t="str">
        <f t="shared" si="32"/>
        <v>Cost-effective</v>
      </c>
      <c r="AN127" s="205">
        <f>IFERROR(VLOOKUP(G127,woods,6,FALSE),"")</f>
        <v>0.54546755497606969</v>
      </c>
      <c r="AO127" s="195" t="str">
        <f t="shared" si="33"/>
        <v>Not cost-effective</v>
      </c>
      <c r="AP127" s="205">
        <f>IFERROR(VLOOKUP(G127,woods,5,FALSE),"")</f>
        <v>0.23453276303445642</v>
      </c>
      <c r="AQ127" s="195" t="str">
        <f t="shared" si="34"/>
        <v>Not cost-effective</v>
      </c>
      <c r="AR127" s="205">
        <f>IFERROR(VLOOKUP(G127,riviere,8,FALSE),"")</f>
        <v>0.75243613950561017</v>
      </c>
      <c r="AS127" s="195" t="str">
        <f t="shared" si="35"/>
        <v>Cost-effective</v>
      </c>
      <c r="AT127" s="205">
        <f>IFERROR(VLOOKUP(G127,riviere,7,FALSE),"")</f>
        <v>0.31186926232176576</v>
      </c>
      <c r="AU127" s="195" t="str">
        <f t="shared" si="36"/>
        <v>Not cost-effective</v>
      </c>
      <c r="AV127" s="162" t="s">
        <v>176</v>
      </c>
      <c r="AW127" s="162" t="s">
        <v>162</v>
      </c>
      <c r="AX127" s="210">
        <f t="shared" si="37"/>
        <v>0</v>
      </c>
      <c r="AY127" s="210">
        <f t="shared" si="38"/>
        <v>0</v>
      </c>
      <c r="AZ127" s="197">
        <f t="shared" si="39"/>
        <v>1</v>
      </c>
      <c r="BA127" s="197">
        <f t="shared" si="40"/>
        <v>1</v>
      </c>
      <c r="BB127" s="197">
        <f t="shared" si="41"/>
        <v>0</v>
      </c>
      <c r="BC127" s="197">
        <f t="shared" si="42"/>
        <v>1</v>
      </c>
      <c r="BD127" s="197">
        <f t="shared" si="43"/>
        <v>3</v>
      </c>
      <c r="BE127" s="163" t="s">
        <v>155</v>
      </c>
      <c r="BF127" s="162" t="s">
        <v>156</v>
      </c>
    </row>
    <row r="128" spans="1:58">
      <c r="A128" s="195">
        <f t="shared" si="44"/>
        <v>41</v>
      </c>
      <c r="B128" s="195">
        <f t="shared" si="45"/>
        <v>2</v>
      </c>
      <c r="C128" s="196" t="str">
        <f t="shared" si="23"/>
        <v>4102</v>
      </c>
      <c r="D128" s="159" t="s">
        <v>275</v>
      </c>
      <c r="E128" s="190">
        <v>2013</v>
      </c>
      <c r="F128" s="162" t="s">
        <v>276</v>
      </c>
      <c r="G128" s="162" t="s">
        <v>259</v>
      </c>
      <c r="H128" s="197" t="str">
        <f>IF(VLOOKUP(G128,income,R128-1985,FALSE)="UM","Upper-middle",IF(VLOOKUP(G128,income,R128-1985,FALSE)="LM","Lower-middle",IF(VLOOKUP(G128,income,R128-1985,FALSE)="L","Low")))</f>
        <v>Upper-middle</v>
      </c>
      <c r="I128" s="163">
        <v>0</v>
      </c>
      <c r="J128" s="162" t="s">
        <v>166</v>
      </c>
      <c r="K128" s="162" t="s">
        <v>147</v>
      </c>
      <c r="L128" s="207" t="str">
        <f t="shared" si="26"/>
        <v>PCV10 vs NoVax</v>
      </c>
      <c r="M128" s="162" t="s">
        <v>1552</v>
      </c>
      <c r="N128" s="163" t="s">
        <v>148</v>
      </c>
      <c r="O128" s="162" t="s">
        <v>159</v>
      </c>
      <c r="P128" s="162" t="s">
        <v>150</v>
      </c>
      <c r="Q128" s="162" t="s">
        <v>151</v>
      </c>
      <c r="R128" s="163">
        <v>2011</v>
      </c>
      <c r="S128" s="191">
        <v>30</v>
      </c>
      <c r="T128" s="198">
        <f>IF(ISNUMBER(S128),S128/VLOOKUP($Q128,xRates!$A$1:$BL$267,studies!$R128-xRates!$B$1+2,FALSE),"")</f>
        <v>30</v>
      </c>
      <c r="V128" s="198" t="str">
        <f>IF(ISNUMBER(U128),U128/VLOOKUP($Q128,xRates!$A$1:$BL$267,studies!$R128-xRates!$B$1+2,FALSE),"")</f>
        <v/>
      </c>
      <c r="W128" s="163">
        <v>0</v>
      </c>
      <c r="X128" s="163">
        <v>0</v>
      </c>
      <c r="Y128" s="163">
        <v>1</v>
      </c>
      <c r="Z128" s="163">
        <v>1</v>
      </c>
      <c r="AA128" s="163">
        <v>1</v>
      </c>
      <c r="AB128" s="163" t="s">
        <v>263</v>
      </c>
      <c r="AC128" s="193">
        <v>6784</v>
      </c>
      <c r="AD128" s="201">
        <f>IF(ISNUMBER(AC128),AC128/VLOOKUP($Q128,xRates!$A$1:$BL$267,studies!$R128-xRates!$B$1+2,FALSE),"")</f>
        <v>6784</v>
      </c>
      <c r="AE128" s="200">
        <f t="shared" si="27"/>
        <v>0</v>
      </c>
      <c r="AF128" s="201">
        <f>VLOOKUP(G128,gdppc,R128-1958,FALSE)</f>
        <v>11300.8</v>
      </c>
      <c r="AG128" s="195" t="str">
        <f t="shared" si="28"/>
        <v>Cost-effective</v>
      </c>
      <c r="AH128" s="195" t="str">
        <f t="shared" si="29"/>
        <v>Cost-effective</v>
      </c>
      <c r="AI128" s="204">
        <f t="shared" si="30"/>
        <v>0.60031148237292942</v>
      </c>
      <c r="AJ128" s="205">
        <f>IFERROR(VLOOKUP(G128,ochalek,11,FALSE),"")</f>
        <v>1.43</v>
      </c>
      <c r="AK128" s="195" t="str">
        <f t="shared" si="31"/>
        <v>Cost-effective</v>
      </c>
      <c r="AL128" s="205">
        <f>IFERROR(VLOOKUP(G128,ochalek,10,FALSE),"")</f>
        <v>0.82</v>
      </c>
      <c r="AM128" s="207" t="str">
        <f t="shared" si="32"/>
        <v>Cost-effective</v>
      </c>
      <c r="AN128" s="205">
        <f>IFERROR(VLOOKUP(G128,woods,6,FALSE),"")</f>
        <v>0.54546755497606969</v>
      </c>
      <c r="AO128" s="195" t="str">
        <f t="shared" si="33"/>
        <v>Not cost-effective</v>
      </c>
      <c r="AP128" s="205">
        <f>IFERROR(VLOOKUP(G128,woods,5,FALSE),"")</f>
        <v>0.23453276303445642</v>
      </c>
      <c r="AQ128" s="195" t="str">
        <f t="shared" si="34"/>
        <v>Not cost-effective</v>
      </c>
      <c r="AR128" s="205">
        <f>IFERROR(VLOOKUP(G128,riviere,8,FALSE),"")</f>
        <v>0.75243613950561017</v>
      </c>
      <c r="AS128" s="195" t="str">
        <f t="shared" si="35"/>
        <v>Cost-effective</v>
      </c>
      <c r="AT128" s="205">
        <f>IFERROR(VLOOKUP(G128,riviere,7,FALSE),"")</f>
        <v>0.31186926232176576</v>
      </c>
      <c r="AU128" s="195" t="str">
        <f t="shared" si="36"/>
        <v>Not cost-effective</v>
      </c>
      <c r="AV128" s="162" t="s">
        <v>176</v>
      </c>
      <c r="AW128" s="162" t="s">
        <v>162</v>
      </c>
      <c r="AX128" s="210">
        <f t="shared" si="37"/>
        <v>0</v>
      </c>
      <c r="AY128" s="210">
        <f t="shared" si="38"/>
        <v>0</v>
      </c>
      <c r="AZ128" s="197">
        <f t="shared" si="39"/>
        <v>1</v>
      </c>
      <c r="BA128" s="197">
        <f t="shared" si="40"/>
        <v>1</v>
      </c>
      <c r="BB128" s="197">
        <f t="shared" si="41"/>
        <v>0</v>
      </c>
      <c r="BC128" s="197">
        <f t="shared" si="42"/>
        <v>1</v>
      </c>
      <c r="BD128" s="197">
        <f t="shared" si="43"/>
        <v>3</v>
      </c>
      <c r="BE128" s="163" t="s">
        <v>155</v>
      </c>
      <c r="BF128" s="162" t="s">
        <v>156</v>
      </c>
    </row>
    <row r="129" spans="1:58">
      <c r="A129" s="195">
        <f t="shared" si="44"/>
        <v>41</v>
      </c>
      <c r="B129" s="195">
        <f t="shared" si="45"/>
        <v>3</v>
      </c>
      <c r="C129" s="196" t="str">
        <f t="shared" si="23"/>
        <v>4103</v>
      </c>
      <c r="D129" s="159" t="s">
        <v>275</v>
      </c>
      <c r="E129" s="190">
        <v>2013</v>
      </c>
      <c r="F129" s="162" t="s">
        <v>276</v>
      </c>
      <c r="G129" s="162" t="s">
        <v>259</v>
      </c>
      <c r="H129" s="197" t="str">
        <f>IF(VLOOKUP(G129,income,R129-1985,FALSE)="UM","Upper-middle",IF(VLOOKUP(G129,income,R129-1985,FALSE)="LM","Lower-middle",IF(VLOOKUP(G129,income,R129-1985,FALSE)="L","Low")))</f>
        <v>Upper-middle</v>
      </c>
      <c r="I129" s="163">
        <v>0</v>
      </c>
      <c r="J129" s="162" t="s">
        <v>167</v>
      </c>
      <c r="K129" s="162" t="s">
        <v>147</v>
      </c>
      <c r="L129" s="207" t="str">
        <f t="shared" si="26"/>
        <v>PCV13 vs NoVax</v>
      </c>
      <c r="M129" s="162" t="s">
        <v>1552</v>
      </c>
      <c r="N129" s="163" t="s">
        <v>148</v>
      </c>
      <c r="O129" s="162" t="s">
        <v>159</v>
      </c>
      <c r="P129" s="162" t="s">
        <v>150</v>
      </c>
      <c r="Q129" s="162" t="s">
        <v>151</v>
      </c>
      <c r="R129" s="163">
        <v>2011</v>
      </c>
      <c r="S129" s="191">
        <v>30</v>
      </c>
      <c r="T129" s="198">
        <f>IF(ISNUMBER(S129),S129/VLOOKUP($Q129,xRates!$A$1:$BL$267,studies!$R129-xRates!$B$1+2,FALSE),"")</f>
        <v>30</v>
      </c>
      <c r="V129" s="198" t="str">
        <f>IF(ISNUMBER(U129),U129/VLOOKUP($Q129,xRates!$A$1:$BL$267,studies!$R129-xRates!$B$1+2,FALSE),"")</f>
        <v/>
      </c>
      <c r="W129" s="163">
        <v>0</v>
      </c>
      <c r="X129" s="163">
        <v>0</v>
      </c>
      <c r="Y129" s="163">
        <v>1</v>
      </c>
      <c r="Z129" s="163">
        <v>1</v>
      </c>
      <c r="AA129" s="163">
        <v>1</v>
      </c>
      <c r="AB129" s="163" t="s">
        <v>263</v>
      </c>
      <c r="AC129" s="193">
        <v>6696</v>
      </c>
      <c r="AD129" s="201">
        <f>IF(ISNUMBER(AC129),AC129/VLOOKUP($Q129,xRates!$A$1:$BL$267,studies!$R129-xRates!$B$1+2,FALSE),"")</f>
        <v>6696</v>
      </c>
      <c r="AE129" s="200">
        <f t="shared" si="27"/>
        <v>0</v>
      </c>
      <c r="AF129" s="201">
        <f>VLOOKUP(G129,gdppc,R129-1958,FALSE)</f>
        <v>11300.8</v>
      </c>
      <c r="AG129" s="195" t="str">
        <f t="shared" si="28"/>
        <v>Cost-effective</v>
      </c>
      <c r="AH129" s="195" t="str">
        <f t="shared" si="29"/>
        <v>Cost-effective</v>
      </c>
      <c r="AI129" s="204">
        <f t="shared" si="30"/>
        <v>0.59252442304969566</v>
      </c>
      <c r="AJ129" s="205">
        <f>IFERROR(VLOOKUP(G129,ochalek,11,FALSE),"")</f>
        <v>1.43</v>
      </c>
      <c r="AK129" s="195" t="str">
        <f t="shared" si="31"/>
        <v>Cost-effective</v>
      </c>
      <c r="AL129" s="205">
        <f>IFERROR(VLOOKUP(G129,ochalek,10,FALSE),"")</f>
        <v>0.82</v>
      </c>
      <c r="AM129" s="207" t="str">
        <f t="shared" si="32"/>
        <v>Cost-effective</v>
      </c>
      <c r="AN129" s="205">
        <f>IFERROR(VLOOKUP(G129,woods,6,FALSE),"")</f>
        <v>0.54546755497606969</v>
      </c>
      <c r="AO129" s="195" t="str">
        <f t="shared" si="33"/>
        <v>Not cost-effective</v>
      </c>
      <c r="AP129" s="205">
        <f>IFERROR(VLOOKUP(G129,woods,5,FALSE),"")</f>
        <v>0.23453276303445642</v>
      </c>
      <c r="AQ129" s="195" t="str">
        <f t="shared" si="34"/>
        <v>Not cost-effective</v>
      </c>
      <c r="AR129" s="205">
        <f>IFERROR(VLOOKUP(G129,riviere,8,FALSE),"")</f>
        <v>0.75243613950561017</v>
      </c>
      <c r="AS129" s="195" t="str">
        <f t="shared" si="35"/>
        <v>Cost-effective</v>
      </c>
      <c r="AT129" s="205">
        <f>IFERROR(VLOOKUP(G129,riviere,7,FALSE),"")</f>
        <v>0.31186926232176576</v>
      </c>
      <c r="AU129" s="195" t="str">
        <f t="shared" si="36"/>
        <v>Not cost-effective</v>
      </c>
      <c r="AV129" s="162" t="s">
        <v>176</v>
      </c>
      <c r="AW129" s="162" t="s">
        <v>162</v>
      </c>
      <c r="AX129" s="210">
        <f t="shared" si="37"/>
        <v>0</v>
      </c>
      <c r="AY129" s="210">
        <f t="shared" si="38"/>
        <v>0</v>
      </c>
      <c r="AZ129" s="197">
        <f t="shared" si="39"/>
        <v>1</v>
      </c>
      <c r="BA129" s="197">
        <f t="shared" si="40"/>
        <v>1</v>
      </c>
      <c r="BB129" s="197">
        <f t="shared" si="41"/>
        <v>0</v>
      </c>
      <c r="BC129" s="197">
        <f t="shared" si="42"/>
        <v>1</v>
      </c>
      <c r="BD129" s="197">
        <f t="shared" si="43"/>
        <v>3</v>
      </c>
      <c r="BE129" s="163" t="s">
        <v>155</v>
      </c>
      <c r="BF129" s="162" t="s">
        <v>156</v>
      </c>
    </row>
    <row r="130" spans="1:58">
      <c r="A130" s="195">
        <f t="shared" si="44"/>
        <v>42</v>
      </c>
      <c r="B130" s="195">
        <f t="shared" si="45"/>
        <v>1</v>
      </c>
      <c r="C130" s="196" t="str">
        <f t="shared" ref="C130:C193" si="46">_xlfn.CONCAT(TEXT(A130,"00"),TEXT(B130,"00"))</f>
        <v>4201</v>
      </c>
      <c r="D130" s="159" t="s">
        <v>277</v>
      </c>
      <c r="E130" s="163">
        <v>2010</v>
      </c>
      <c r="F130" s="162" t="s">
        <v>278</v>
      </c>
      <c r="G130" s="162" t="s">
        <v>241</v>
      </c>
      <c r="H130" s="197" t="str">
        <f>IF(VLOOKUP(G130,income,R130-1985,FALSE)="UM","Upper-middle",IF(VLOOKUP(G130,income,R130-1985,FALSE)="LM","Lower-middle",IF(VLOOKUP(G130,income,R130-1985,FALSE)="L","Low")))</f>
        <v>Lower-middle</v>
      </c>
      <c r="I130" s="163">
        <v>0</v>
      </c>
      <c r="J130" s="162" t="s">
        <v>146</v>
      </c>
      <c r="K130" s="162" t="s">
        <v>147</v>
      </c>
      <c r="L130" s="207" t="str">
        <f t="shared" si="26"/>
        <v>PCV7 vs NoVax</v>
      </c>
      <c r="M130" s="162" t="s">
        <v>1551</v>
      </c>
      <c r="N130" s="163" t="s">
        <v>148</v>
      </c>
      <c r="O130" s="162" t="s">
        <v>159</v>
      </c>
      <c r="P130" s="162" t="s">
        <v>150</v>
      </c>
      <c r="Q130" s="162" t="s">
        <v>151</v>
      </c>
      <c r="R130" s="163">
        <v>2006</v>
      </c>
      <c r="S130" s="191">
        <v>35</v>
      </c>
      <c r="T130" s="198">
        <f>IF(ISNUMBER(S130),S130/VLOOKUP($Q130,xRates!$A$1:$BL$267,studies!$R130-xRates!$B$1+2,FALSE),"")</f>
        <v>35</v>
      </c>
      <c r="V130" s="198" t="str">
        <f>IF(ISNUMBER(U130),U130/VLOOKUP($Q130,xRates!$A$1:$BL$267,studies!$R130-xRates!$B$1+2,FALSE),"")</f>
        <v/>
      </c>
      <c r="W130" s="163">
        <v>0</v>
      </c>
      <c r="X130" s="163">
        <v>0</v>
      </c>
      <c r="Y130" s="163">
        <v>1</v>
      </c>
      <c r="Z130" s="163">
        <v>1</v>
      </c>
      <c r="AA130" s="163">
        <v>1</v>
      </c>
      <c r="AB130" s="163" t="s">
        <v>263</v>
      </c>
      <c r="AC130" s="193">
        <v>752</v>
      </c>
      <c r="AD130" s="201">
        <f>IF(ISNUMBER(AC130),AC130/VLOOKUP($Q130,xRates!$A$1:$BL$267,studies!$R130-xRates!$B$1+2,FALSE),"")</f>
        <v>752</v>
      </c>
      <c r="AE130" s="200">
        <f t="shared" si="27"/>
        <v>0</v>
      </c>
      <c r="AF130" s="201">
        <f>VLOOKUP(G130,gdppc,R130-1958,FALSE)</f>
        <v>3782.6</v>
      </c>
      <c r="AG130" s="195" t="str">
        <f t="shared" si="28"/>
        <v>Cost-effective</v>
      </c>
      <c r="AH130" s="195" t="str">
        <f t="shared" si="29"/>
        <v>Cost-effective</v>
      </c>
      <c r="AI130" s="204">
        <f t="shared" si="30"/>
        <v>0.19880505472426374</v>
      </c>
      <c r="AJ130" s="205">
        <f>IFERROR(VLOOKUP(G130,ochalek,11,FALSE),"")</f>
        <v>1.89</v>
      </c>
      <c r="AK130" s="195" t="str">
        <f t="shared" si="31"/>
        <v>Cost-effective</v>
      </c>
      <c r="AL130" s="205">
        <f>IFERROR(VLOOKUP(G130,ochalek,10,FALSE),"")</f>
        <v>1.17</v>
      </c>
      <c r="AM130" s="207" t="str">
        <f t="shared" si="32"/>
        <v>Cost-effective</v>
      </c>
      <c r="AN130" s="205">
        <f>IFERROR(VLOOKUP(G130,woods,6,FALSE),"")</f>
        <v>0.6677477128612227</v>
      </c>
      <c r="AO130" s="195" t="str">
        <f t="shared" si="33"/>
        <v>Cost-effective</v>
      </c>
      <c r="AP130" s="205">
        <f>IFERROR(VLOOKUP(G130,woods,5,FALSE),"")</f>
        <v>0.16578730819497556</v>
      </c>
      <c r="AQ130" s="195" t="str">
        <f t="shared" si="34"/>
        <v>Not cost-effective</v>
      </c>
      <c r="AR130" s="205">
        <f>IFERROR(VLOOKUP(G130,riviere,8,FALSE),"")</f>
        <v>1.3213703099510603</v>
      </c>
      <c r="AS130" s="195" t="str">
        <f t="shared" si="35"/>
        <v>Cost-effective</v>
      </c>
      <c r="AT130" s="205">
        <f>IFERROR(VLOOKUP(G130,riviere,7,FALSE),"")</f>
        <v>0.54765788860405495</v>
      </c>
      <c r="AU130" s="195" t="str">
        <f t="shared" si="36"/>
        <v>Cost-effective</v>
      </c>
      <c r="AV130" s="162" t="s">
        <v>176</v>
      </c>
      <c r="AW130" s="162" t="s">
        <v>162</v>
      </c>
      <c r="AX130" s="210">
        <f t="shared" si="37"/>
        <v>0</v>
      </c>
      <c r="AY130" s="210">
        <f t="shared" si="38"/>
        <v>0</v>
      </c>
      <c r="AZ130" s="197">
        <f t="shared" si="39"/>
        <v>0</v>
      </c>
      <c r="BA130" s="197">
        <f t="shared" si="40"/>
        <v>1</v>
      </c>
      <c r="BB130" s="197">
        <f t="shared" si="41"/>
        <v>0</v>
      </c>
      <c r="BC130" s="197">
        <f t="shared" si="42"/>
        <v>0</v>
      </c>
      <c r="BD130" s="197">
        <f t="shared" si="43"/>
        <v>1</v>
      </c>
      <c r="BE130" s="163" t="s">
        <v>155</v>
      </c>
      <c r="BF130" s="162" t="s">
        <v>156</v>
      </c>
    </row>
    <row r="131" spans="1:58">
      <c r="A131" s="195">
        <f t="shared" ref="A131:A162" si="47">IF(F131=F130,A130,A130+1)</f>
        <v>43</v>
      </c>
      <c r="B131" s="195">
        <f t="shared" ref="B131:B162" si="48">IF(F131=F130,B130+1,1)</f>
        <v>1</v>
      </c>
      <c r="C131" s="196" t="str">
        <f t="shared" si="46"/>
        <v>4301</v>
      </c>
      <c r="D131" s="159" t="s">
        <v>279</v>
      </c>
      <c r="E131" s="163">
        <v>2013</v>
      </c>
      <c r="F131" s="162" t="s">
        <v>280</v>
      </c>
      <c r="G131" s="182" t="s">
        <v>221</v>
      </c>
      <c r="H131" s="197" t="str">
        <f>IF(VLOOKUP(G131,income,R131-1985,FALSE)="UM","Upper-middle",IF(VLOOKUP(G131,income,R131-1985,FALSE)="LM","Lower-middle",IF(VLOOKUP(G131,income,R131-1985,FALSE)="L","Low")))</f>
        <v>Upper-middle</v>
      </c>
      <c r="I131" s="163">
        <v>0</v>
      </c>
      <c r="J131" s="162" t="s">
        <v>166</v>
      </c>
      <c r="K131" s="162" t="s">
        <v>147</v>
      </c>
      <c r="L131" s="207" t="str">
        <f t="shared" ref="L131:L194" si="49">IF(OR(_xlfn.CONCAT(J131," vs ",K131)="PCV7 vs NoVax",_xlfn.CONCAT(J131," vs ",K131)="PCV10 vs NoVax",_xlfn.CONCAT(J131," vs ",K131)="PCV13 vs NoVax",_xlfn.CONCAT(J131," vs ",K131)="PCV13 vs PCV10"),_xlfn.CONCAT(J131," vs ",K131),"Others")</f>
        <v>PCV10 vs NoVax</v>
      </c>
      <c r="M131" s="162" t="s">
        <v>1552</v>
      </c>
      <c r="N131" s="163" t="s">
        <v>148</v>
      </c>
      <c r="O131" s="162" t="s">
        <v>159</v>
      </c>
      <c r="P131" s="162" t="s">
        <v>150</v>
      </c>
      <c r="Q131" s="162" t="s">
        <v>151</v>
      </c>
      <c r="R131" s="236">
        <v>2009</v>
      </c>
      <c r="S131" s="191">
        <v>20</v>
      </c>
      <c r="T131" s="198">
        <f>IF(ISNUMBER(S131),S131/VLOOKUP($Q131,xRates!$A$1:$BL$267,studies!$R131-xRates!$B$1+2,FALSE),"")</f>
        <v>20</v>
      </c>
      <c r="V131" s="198" t="str">
        <f>IF(ISNUMBER(U131),U131/VLOOKUP($Q131,xRates!$A$1:$BL$267,studies!$R131-xRates!$B$1+2,FALSE),"")</f>
        <v/>
      </c>
      <c r="W131" s="163">
        <v>0</v>
      </c>
      <c r="X131" s="163">
        <v>0</v>
      </c>
      <c r="Y131" s="163">
        <v>1</v>
      </c>
      <c r="Z131" s="163">
        <v>1</v>
      </c>
      <c r="AA131" s="163">
        <v>1</v>
      </c>
      <c r="AB131" s="163" t="s">
        <v>152</v>
      </c>
      <c r="AC131" s="193">
        <v>3347.53</v>
      </c>
      <c r="AD131" s="201">
        <f>IF(ISNUMBER(AC131),AC131/VLOOKUP($Q131,xRates!$A$1:$BL$267,studies!$R131-xRates!$B$1+2,FALSE),"")</f>
        <v>3347.53</v>
      </c>
      <c r="AE131" s="200">
        <f t="shared" ref="AE131:AE194" si="50">IF(AD131&lt;0, 1, 0)</f>
        <v>0</v>
      </c>
      <c r="AF131" s="201">
        <f>VLOOKUP(G131,gdppc,R131-1958,FALSE)</f>
        <v>8184.4</v>
      </c>
      <c r="AG131" s="195" t="str">
        <f t="shared" ref="AG131:AG194" si="51">IF(AD131="NA", ".", IF(AD131&lt;0,"Cost-saving",IF(AD131&lt;=AF131,"Cost-effective",IF(AD131&gt;AF131&amp;AD131&lt;&gt;"NA","Not cost-effective","Missing"))))</f>
        <v>Cost-effective</v>
      </c>
      <c r="AH131" s="195" t="str">
        <f t="shared" ref="AH131:AH194" si="52">IF(AD131="NA", ".", IF(AD131&lt;0,"Cost-saving",IF(AD131&lt;=AF131*3,"Cost-effective",IF(AD131&gt;AF131*3&amp;AD131&lt;&gt;"NA","Not cost-effective","Missing"))))</f>
        <v>Cost-effective</v>
      </c>
      <c r="AI131" s="204">
        <f t="shared" ref="AI131:AI194" si="53">IFERROR(AD131/AF131,"")</f>
        <v>0.40901348907678026</v>
      </c>
      <c r="AJ131" s="205">
        <f>IFERROR(VLOOKUP(G131,ochalek,11,FALSE),"")</f>
        <v>0.56000000000000005</v>
      </c>
      <c r="AK131" s="195" t="str">
        <f t="shared" ref="AK131:AK194" si="54">IF(AI131&lt;0,"Cost-saving", IF(AJ131="", "NA", IF(AI131&lt;AJ131, "Cost-effective", "Not cost-effective")))</f>
        <v>Cost-effective</v>
      </c>
      <c r="AL131" s="205">
        <f>IFERROR(VLOOKUP(G131,ochalek,10,FALSE),"")</f>
        <v>0.37</v>
      </c>
      <c r="AM131" s="207" t="str">
        <f t="shared" ref="AM131:AM194" si="55">IF(AI131&lt;0,"Cost-saving", IF(AL131="", "NA", IF(AI131&lt;AL131, "Cost-effective", "Not cost-effective")))</f>
        <v>Not cost-effective</v>
      </c>
      <c r="AN131" s="205" t="str">
        <f>IFERROR(VLOOKUP(G131,woods,6,FALSE),"")</f>
        <v/>
      </c>
      <c r="AO131" s="195" t="str">
        <f t="shared" ref="AO131:AO194" si="56">IF(AI131&lt;0,"Cost-saving", IF(AN131="", "NA", IF(AI131&lt;AN131, "Cost-effective", "Not cost-effective")))</f>
        <v>NA</v>
      </c>
      <c r="AP131" s="205" t="str">
        <f>IFERROR(VLOOKUP(G131,woods,5,FALSE),"")</f>
        <v/>
      </c>
      <c r="AQ131" s="195" t="str">
        <f t="shared" ref="AQ131:AQ194" si="57">IF(AI131&lt;0,"Cost-saving", IF(AP131="", "NA", IF(AI131&lt;AP131, "Cost-effective", "Not cost-effective")))</f>
        <v>NA</v>
      </c>
      <c r="AR131" s="205">
        <f>IFERROR(VLOOKUP(G131,riviere,8,FALSE),"")</f>
        <v>1.6478818109738349</v>
      </c>
      <c r="AS131" s="195" t="str">
        <f t="shared" ref="AS131:AS194" si="58">IF(AI131&lt;0,"Cost-saving", IF(AR131="", "NA", IF(AI131&lt;AR131, "Cost-effective", "Not cost-effective")))</f>
        <v>Cost-effective</v>
      </c>
      <c r="AT131" s="205">
        <f>IFERROR(VLOOKUP(G131,riviere,7,FALSE),"")</f>
        <v>0.68297921454881216</v>
      </c>
      <c r="AU131" s="195" t="str">
        <f t="shared" ref="AU131:AU194" si="59">IF(AI131&lt;0,"Cost-saving", IF(AT131="", "NA", IF(AI131&lt;AT131, "Cost-effective", "Not cost-effective")))</f>
        <v>Cost-effective</v>
      </c>
      <c r="AV131" s="162" t="s">
        <v>161</v>
      </c>
      <c r="AW131" s="162" t="s">
        <v>162</v>
      </c>
      <c r="AX131" s="210">
        <f t="shared" ref="AX131:AX194" si="60">IF(AW131="Cost-Effective",IF(AK131="Not Cost-Effective",1,0),"")</f>
        <v>0</v>
      </c>
      <c r="AY131" s="210">
        <f t="shared" ref="AY131:AY194" si="61">IF(AW131="Cost-Effective",IF(AM131="Not Cost-Effective",1,0),"")</f>
        <v>1</v>
      </c>
      <c r="AZ131" s="197">
        <f t="shared" ref="AZ131:AZ194" si="62">IF(AW131="Cost-Effective",IF(AO131="Not Cost-Effective",1,0),"")</f>
        <v>0</v>
      </c>
      <c r="BA131" s="197">
        <f t="shared" ref="BA131:BA194" si="63">IF(AW131="Cost-Effective",IF(AQ131="Not Cost-Effective",1,0),"")</f>
        <v>0</v>
      </c>
      <c r="BB131" s="197">
        <f t="shared" ref="BB131:BB194" si="64">IF(AW131="Cost-Effective",IF(AS131="Not Cost-Effective",1,0),"")</f>
        <v>0</v>
      </c>
      <c r="BC131" s="197">
        <f t="shared" ref="BC131:BC194" si="65">IF(AW131="Cost-Effective",IF(AU131="Not Cost-Effective",1,0),"")</f>
        <v>0</v>
      </c>
      <c r="BD131" s="197">
        <f t="shared" ref="BD131:BD194" si="66">SUM(AX131:BC131)</f>
        <v>1</v>
      </c>
      <c r="BE131" s="163" t="s">
        <v>155</v>
      </c>
      <c r="BF131" s="162" t="s">
        <v>163</v>
      </c>
    </row>
    <row r="132" spans="1:58">
      <c r="A132" s="195">
        <f t="shared" si="47"/>
        <v>43</v>
      </c>
      <c r="B132" s="195">
        <f t="shared" si="48"/>
        <v>2</v>
      </c>
      <c r="C132" s="196" t="str">
        <f t="shared" si="46"/>
        <v>4302</v>
      </c>
      <c r="D132" s="159" t="s">
        <v>279</v>
      </c>
      <c r="E132" s="163">
        <v>2013</v>
      </c>
      <c r="F132" s="162" t="s">
        <v>280</v>
      </c>
      <c r="G132" s="182" t="s">
        <v>221</v>
      </c>
      <c r="H132" s="197" t="str">
        <f>IF(VLOOKUP(G132,income,R132-1985,FALSE)="UM","Upper-middle",IF(VLOOKUP(G132,income,R132-1985,FALSE)="LM","Lower-middle",IF(VLOOKUP(G132,income,R132-1985,FALSE)="L","Low")))</f>
        <v>Upper-middle</v>
      </c>
      <c r="I132" s="163">
        <v>0</v>
      </c>
      <c r="J132" s="162" t="s">
        <v>166</v>
      </c>
      <c r="K132" s="162" t="s">
        <v>147</v>
      </c>
      <c r="L132" s="207" t="str">
        <f t="shared" si="49"/>
        <v>PCV10 vs NoVax</v>
      </c>
      <c r="M132" s="162" t="s">
        <v>1552</v>
      </c>
      <c r="N132" s="163" t="s">
        <v>155</v>
      </c>
      <c r="O132" s="162" t="s">
        <v>149</v>
      </c>
      <c r="P132" s="162" t="s">
        <v>150</v>
      </c>
      <c r="Q132" s="162" t="s">
        <v>151</v>
      </c>
      <c r="R132" s="236">
        <v>2009</v>
      </c>
      <c r="S132" s="191">
        <v>20</v>
      </c>
      <c r="T132" s="198">
        <f>IF(ISNUMBER(S132),S132/VLOOKUP($Q132,xRates!$A$1:$BL$267,studies!$R132-xRates!$B$1+2,FALSE),"")</f>
        <v>20</v>
      </c>
      <c r="V132" s="198" t="str">
        <f>IF(ISNUMBER(U132),U132/VLOOKUP($Q132,xRates!$A$1:$BL$267,studies!$R132-xRates!$B$1+2,FALSE),"")</f>
        <v/>
      </c>
      <c r="W132" s="163">
        <v>0</v>
      </c>
      <c r="X132" s="163">
        <v>0</v>
      </c>
      <c r="Y132" s="163">
        <v>1</v>
      </c>
      <c r="Z132" s="163">
        <v>1</v>
      </c>
      <c r="AA132" s="163">
        <v>1</v>
      </c>
      <c r="AB132" s="163" t="s">
        <v>152</v>
      </c>
      <c r="AC132" s="193">
        <v>1509.59</v>
      </c>
      <c r="AD132" s="201">
        <f>IF(ISNUMBER(AC132),AC132/VLOOKUP($Q132,xRates!$A$1:$BL$267,studies!$R132-xRates!$B$1+2,FALSE),"")</f>
        <v>1509.59</v>
      </c>
      <c r="AE132" s="200">
        <f t="shared" si="50"/>
        <v>0</v>
      </c>
      <c r="AF132" s="201">
        <f>VLOOKUP(G132,gdppc,R132-1958,FALSE)</f>
        <v>8184.4</v>
      </c>
      <c r="AG132" s="195" t="str">
        <f t="shared" si="51"/>
        <v>Cost-effective</v>
      </c>
      <c r="AH132" s="195" t="str">
        <f t="shared" si="52"/>
        <v>Cost-effective</v>
      </c>
      <c r="AI132" s="204">
        <f t="shared" si="53"/>
        <v>0.18444724109281072</v>
      </c>
      <c r="AJ132" s="205">
        <f>IFERROR(VLOOKUP(G132,ochalek,11,FALSE),"")</f>
        <v>0.56000000000000005</v>
      </c>
      <c r="AK132" s="195" t="str">
        <f t="shared" si="54"/>
        <v>Cost-effective</v>
      </c>
      <c r="AL132" s="205">
        <f>IFERROR(VLOOKUP(G132,ochalek,10,FALSE),"")</f>
        <v>0.37</v>
      </c>
      <c r="AM132" s="207" t="str">
        <f t="shared" si="55"/>
        <v>Cost-effective</v>
      </c>
      <c r="AN132" s="205" t="str">
        <f>IFERROR(VLOOKUP(G132,woods,6,FALSE),"")</f>
        <v/>
      </c>
      <c r="AO132" s="195" t="str">
        <f t="shared" si="56"/>
        <v>NA</v>
      </c>
      <c r="AP132" s="205" t="str">
        <f>IFERROR(VLOOKUP(G132,woods,5,FALSE),"")</f>
        <v/>
      </c>
      <c r="AQ132" s="195" t="str">
        <f t="shared" si="57"/>
        <v>NA</v>
      </c>
      <c r="AR132" s="205">
        <f>IFERROR(VLOOKUP(G132,riviere,8,FALSE),"")</f>
        <v>1.6478818109738349</v>
      </c>
      <c r="AS132" s="195" t="str">
        <f t="shared" si="58"/>
        <v>Cost-effective</v>
      </c>
      <c r="AT132" s="205">
        <f>IFERROR(VLOOKUP(G132,riviere,7,FALSE),"")</f>
        <v>0.68297921454881216</v>
      </c>
      <c r="AU132" s="195" t="str">
        <f t="shared" si="59"/>
        <v>Cost-effective</v>
      </c>
      <c r="AV132" s="162" t="s">
        <v>161</v>
      </c>
      <c r="AW132" s="162" t="s">
        <v>162</v>
      </c>
      <c r="AX132" s="210">
        <f t="shared" si="60"/>
        <v>0</v>
      </c>
      <c r="AY132" s="210">
        <f t="shared" si="61"/>
        <v>0</v>
      </c>
      <c r="AZ132" s="197">
        <f t="shared" si="62"/>
        <v>0</v>
      </c>
      <c r="BA132" s="197">
        <f t="shared" si="63"/>
        <v>0</v>
      </c>
      <c r="BB132" s="197">
        <f t="shared" si="64"/>
        <v>0</v>
      </c>
      <c r="BC132" s="197">
        <f t="shared" si="65"/>
        <v>0</v>
      </c>
      <c r="BD132" s="197">
        <f t="shared" si="66"/>
        <v>0</v>
      </c>
      <c r="BE132" s="163" t="s">
        <v>155</v>
      </c>
      <c r="BF132" s="162" t="s">
        <v>163</v>
      </c>
    </row>
    <row r="133" spans="1:58">
      <c r="A133" s="195">
        <f t="shared" si="47"/>
        <v>43</v>
      </c>
      <c r="B133" s="195">
        <f t="shared" si="48"/>
        <v>3</v>
      </c>
      <c r="C133" s="196" t="str">
        <f t="shared" si="46"/>
        <v>4303</v>
      </c>
      <c r="D133" s="159" t="s">
        <v>279</v>
      </c>
      <c r="E133" s="163">
        <v>2013</v>
      </c>
      <c r="F133" s="162" t="s">
        <v>280</v>
      </c>
      <c r="G133" s="182" t="s">
        <v>221</v>
      </c>
      <c r="H133" s="197" t="str">
        <f>IF(VLOOKUP(G133,income,R133-1985,FALSE)="UM","Upper-middle",IF(VLOOKUP(G133,income,R133-1985,FALSE)="LM","Lower-middle",IF(VLOOKUP(G133,income,R133-1985,FALSE)="L","Low")))</f>
        <v>Upper-middle</v>
      </c>
      <c r="I133" s="163">
        <v>0</v>
      </c>
      <c r="J133" s="162" t="s">
        <v>166</v>
      </c>
      <c r="K133" s="162" t="s">
        <v>147</v>
      </c>
      <c r="L133" s="207" t="str">
        <f t="shared" si="49"/>
        <v>PCV10 vs NoVax</v>
      </c>
      <c r="M133" s="162" t="s">
        <v>1552</v>
      </c>
      <c r="N133" s="163" t="s">
        <v>155</v>
      </c>
      <c r="O133" s="162" t="s">
        <v>159</v>
      </c>
      <c r="P133" s="162" t="s">
        <v>150</v>
      </c>
      <c r="Q133" s="162" t="s">
        <v>151</v>
      </c>
      <c r="R133" s="236">
        <v>2009</v>
      </c>
      <c r="S133" s="191">
        <v>20</v>
      </c>
      <c r="T133" s="198">
        <f>IF(ISNUMBER(S133),S133/VLOOKUP($Q133,xRates!$A$1:$BL$267,studies!$R133-xRates!$B$1+2,FALSE),"")</f>
        <v>20</v>
      </c>
      <c r="V133" s="198" t="str">
        <f>IF(ISNUMBER(U133),U133/VLOOKUP($Q133,xRates!$A$1:$BL$267,studies!$R133-xRates!$B$1+2,FALSE),"")</f>
        <v/>
      </c>
      <c r="W133" s="163">
        <v>1</v>
      </c>
      <c r="X133" s="163">
        <v>0</v>
      </c>
      <c r="Y133" s="163">
        <v>1</v>
      </c>
      <c r="Z133" s="163">
        <v>1</v>
      </c>
      <c r="AA133" s="163">
        <v>1</v>
      </c>
      <c r="AB133" s="163" t="s">
        <v>152</v>
      </c>
      <c r="AC133" s="193">
        <v>3295.13</v>
      </c>
      <c r="AD133" s="201">
        <f>IF(ISNUMBER(AC133),AC133/VLOOKUP($Q133,xRates!$A$1:$BL$267,studies!$R133-xRates!$B$1+2,FALSE),"")</f>
        <v>3295.13</v>
      </c>
      <c r="AE133" s="200">
        <f t="shared" si="50"/>
        <v>0</v>
      </c>
      <c r="AF133" s="201">
        <f>VLOOKUP(G133,gdppc,R133-1958,FALSE)</f>
        <v>8184.4</v>
      </c>
      <c r="AG133" s="195" t="str">
        <f t="shared" si="51"/>
        <v>Cost-effective</v>
      </c>
      <c r="AH133" s="195" t="str">
        <f t="shared" si="52"/>
        <v>Cost-effective</v>
      </c>
      <c r="AI133" s="204">
        <f t="shared" si="53"/>
        <v>0.40261106495283716</v>
      </c>
      <c r="AJ133" s="205">
        <f>IFERROR(VLOOKUP(G133,ochalek,11,FALSE),"")</f>
        <v>0.56000000000000005</v>
      </c>
      <c r="AK133" s="195" t="str">
        <f t="shared" si="54"/>
        <v>Cost-effective</v>
      </c>
      <c r="AL133" s="205">
        <f>IFERROR(VLOOKUP(G133,ochalek,10,FALSE),"")</f>
        <v>0.37</v>
      </c>
      <c r="AM133" s="207" t="str">
        <f t="shared" si="55"/>
        <v>Not cost-effective</v>
      </c>
      <c r="AN133" s="205" t="str">
        <f>IFERROR(VLOOKUP(G133,woods,6,FALSE),"")</f>
        <v/>
      </c>
      <c r="AO133" s="195" t="str">
        <f t="shared" si="56"/>
        <v>NA</v>
      </c>
      <c r="AP133" s="205" t="str">
        <f>IFERROR(VLOOKUP(G133,woods,5,FALSE),"")</f>
        <v/>
      </c>
      <c r="AQ133" s="195" t="str">
        <f t="shared" si="57"/>
        <v>NA</v>
      </c>
      <c r="AR133" s="205">
        <f>IFERROR(VLOOKUP(G133,riviere,8,FALSE),"")</f>
        <v>1.6478818109738349</v>
      </c>
      <c r="AS133" s="195" t="str">
        <f t="shared" si="58"/>
        <v>Cost-effective</v>
      </c>
      <c r="AT133" s="205">
        <f>IFERROR(VLOOKUP(G133,riviere,7,FALSE),"")</f>
        <v>0.68297921454881216</v>
      </c>
      <c r="AU133" s="195" t="str">
        <f t="shared" si="59"/>
        <v>Cost-effective</v>
      </c>
      <c r="AV133" s="162" t="s">
        <v>161</v>
      </c>
      <c r="AW133" s="162" t="s">
        <v>162</v>
      </c>
      <c r="AX133" s="210">
        <f t="shared" si="60"/>
        <v>0</v>
      </c>
      <c r="AY133" s="210">
        <f t="shared" si="61"/>
        <v>1</v>
      </c>
      <c r="AZ133" s="197">
        <f t="shared" si="62"/>
        <v>0</v>
      </c>
      <c r="BA133" s="197">
        <f t="shared" si="63"/>
        <v>0</v>
      </c>
      <c r="BB133" s="197">
        <f t="shared" si="64"/>
        <v>0</v>
      </c>
      <c r="BC133" s="197">
        <f t="shared" si="65"/>
        <v>0</v>
      </c>
      <c r="BD133" s="197">
        <f t="shared" si="66"/>
        <v>1</v>
      </c>
      <c r="BE133" s="163" t="s">
        <v>155</v>
      </c>
      <c r="BF133" s="162" t="s">
        <v>163</v>
      </c>
    </row>
    <row r="134" spans="1:58">
      <c r="A134" s="195">
        <f t="shared" si="47"/>
        <v>43</v>
      </c>
      <c r="B134" s="195">
        <f t="shared" si="48"/>
        <v>4</v>
      </c>
      <c r="C134" s="196" t="str">
        <f t="shared" si="46"/>
        <v>4304</v>
      </c>
      <c r="D134" s="159" t="s">
        <v>279</v>
      </c>
      <c r="E134" s="163">
        <v>2013</v>
      </c>
      <c r="F134" s="162" t="s">
        <v>280</v>
      </c>
      <c r="G134" s="182" t="s">
        <v>221</v>
      </c>
      <c r="H134" s="197" t="str">
        <f>IF(VLOOKUP(G134,income,R134-1985,FALSE)="UM","Upper-middle",IF(VLOOKUP(G134,income,R134-1985,FALSE)="LM","Lower-middle",IF(VLOOKUP(G134,income,R134-1985,FALSE)="L","Low")))</f>
        <v>Upper-middle</v>
      </c>
      <c r="I134" s="163">
        <v>0</v>
      </c>
      <c r="J134" s="162" t="s">
        <v>166</v>
      </c>
      <c r="K134" s="162" t="s">
        <v>147</v>
      </c>
      <c r="L134" s="207" t="str">
        <f t="shared" si="49"/>
        <v>PCV10 vs NoVax</v>
      </c>
      <c r="M134" s="162" t="s">
        <v>1552</v>
      </c>
      <c r="N134" s="163" t="s">
        <v>155</v>
      </c>
      <c r="O134" s="162" t="s">
        <v>159</v>
      </c>
      <c r="P134" s="162" t="s">
        <v>150</v>
      </c>
      <c r="Q134" s="162" t="s">
        <v>151</v>
      </c>
      <c r="R134" s="236">
        <v>2009</v>
      </c>
      <c r="S134" s="191">
        <v>20</v>
      </c>
      <c r="T134" s="198">
        <f>IF(ISNUMBER(S134),S134/VLOOKUP($Q134,xRates!$A$1:$BL$267,studies!$R134-xRates!$B$1+2,FALSE),"")</f>
        <v>20</v>
      </c>
      <c r="V134" s="198" t="str">
        <f>IF(ISNUMBER(U134),U134/VLOOKUP($Q134,xRates!$A$1:$BL$267,studies!$R134-xRates!$B$1+2,FALSE),"")</f>
        <v/>
      </c>
      <c r="W134" s="163">
        <v>1</v>
      </c>
      <c r="X134" s="163">
        <v>1</v>
      </c>
      <c r="Y134" s="163">
        <v>1</v>
      </c>
      <c r="Z134" s="163">
        <v>1</v>
      </c>
      <c r="AA134" s="163">
        <v>1</v>
      </c>
      <c r="AB134" s="163" t="s">
        <v>152</v>
      </c>
      <c r="AC134" s="193">
        <v>1454.51</v>
      </c>
      <c r="AD134" s="201">
        <f>IF(ISNUMBER(AC134),AC134/VLOOKUP($Q134,xRates!$A$1:$BL$267,studies!$R134-xRates!$B$1+2,FALSE),"")</f>
        <v>1454.51</v>
      </c>
      <c r="AE134" s="200">
        <f t="shared" si="50"/>
        <v>0</v>
      </c>
      <c r="AF134" s="201">
        <f>VLOOKUP(G134,gdppc,R134-1958,FALSE)</f>
        <v>8184.4</v>
      </c>
      <c r="AG134" s="195" t="str">
        <f t="shared" si="51"/>
        <v>Cost-effective</v>
      </c>
      <c r="AH134" s="195" t="str">
        <f t="shared" si="52"/>
        <v>Cost-effective</v>
      </c>
      <c r="AI134" s="204">
        <f t="shared" si="53"/>
        <v>0.17771736474268121</v>
      </c>
      <c r="AJ134" s="205">
        <f>IFERROR(VLOOKUP(G134,ochalek,11,FALSE),"")</f>
        <v>0.56000000000000005</v>
      </c>
      <c r="AK134" s="195" t="str">
        <f t="shared" si="54"/>
        <v>Cost-effective</v>
      </c>
      <c r="AL134" s="205">
        <f>IFERROR(VLOOKUP(G134,ochalek,10,FALSE),"")</f>
        <v>0.37</v>
      </c>
      <c r="AM134" s="207" t="str">
        <f t="shared" si="55"/>
        <v>Cost-effective</v>
      </c>
      <c r="AN134" s="205" t="str">
        <f>IFERROR(VLOOKUP(G134,woods,6,FALSE),"")</f>
        <v/>
      </c>
      <c r="AO134" s="195" t="str">
        <f t="shared" si="56"/>
        <v>NA</v>
      </c>
      <c r="AP134" s="205" t="str">
        <f>IFERROR(VLOOKUP(G134,woods,5,FALSE),"")</f>
        <v/>
      </c>
      <c r="AQ134" s="195" t="str">
        <f t="shared" si="57"/>
        <v>NA</v>
      </c>
      <c r="AR134" s="205">
        <f>IFERROR(VLOOKUP(G134,riviere,8,FALSE),"")</f>
        <v>1.6478818109738349</v>
      </c>
      <c r="AS134" s="195" t="str">
        <f t="shared" si="58"/>
        <v>Cost-effective</v>
      </c>
      <c r="AT134" s="205">
        <f>IFERROR(VLOOKUP(G134,riviere,7,FALSE),"")</f>
        <v>0.68297921454881216</v>
      </c>
      <c r="AU134" s="195" t="str">
        <f t="shared" si="59"/>
        <v>Cost-effective</v>
      </c>
      <c r="AV134" s="162" t="s">
        <v>161</v>
      </c>
      <c r="AW134" s="162" t="s">
        <v>162</v>
      </c>
      <c r="AX134" s="210">
        <f t="shared" si="60"/>
        <v>0</v>
      </c>
      <c r="AY134" s="210">
        <f t="shared" si="61"/>
        <v>0</v>
      </c>
      <c r="AZ134" s="197">
        <f t="shared" si="62"/>
        <v>0</v>
      </c>
      <c r="BA134" s="197">
        <f t="shared" si="63"/>
        <v>0</v>
      </c>
      <c r="BB134" s="197">
        <f t="shared" si="64"/>
        <v>0</v>
      </c>
      <c r="BC134" s="197">
        <f t="shared" si="65"/>
        <v>0</v>
      </c>
      <c r="BD134" s="197">
        <f t="shared" si="66"/>
        <v>0</v>
      </c>
      <c r="BE134" s="163" t="s">
        <v>155</v>
      </c>
      <c r="BF134" s="162" t="s">
        <v>163</v>
      </c>
    </row>
    <row r="135" spans="1:58">
      <c r="A135" s="195">
        <f t="shared" si="47"/>
        <v>43</v>
      </c>
      <c r="B135" s="195">
        <f t="shared" si="48"/>
        <v>5</v>
      </c>
      <c r="C135" s="196" t="str">
        <f t="shared" si="46"/>
        <v>4305</v>
      </c>
      <c r="D135" s="159" t="s">
        <v>279</v>
      </c>
      <c r="E135" s="163">
        <v>2013</v>
      </c>
      <c r="F135" s="162" t="s">
        <v>280</v>
      </c>
      <c r="G135" s="182" t="s">
        <v>211</v>
      </c>
      <c r="H135" s="197" t="str">
        <f>IF(VLOOKUP(G135,income,R135-1985,FALSE)="UM","Upper-middle",IF(VLOOKUP(G135,income,R135-1985,FALSE)="LM","Lower-middle",IF(VLOOKUP(G135,income,R135-1985,FALSE)="L","Low")))</f>
        <v>Upper-middle</v>
      </c>
      <c r="I135" s="163">
        <v>0</v>
      </c>
      <c r="J135" s="162" t="s">
        <v>166</v>
      </c>
      <c r="K135" s="162" t="s">
        <v>147</v>
      </c>
      <c r="L135" s="207" t="str">
        <f t="shared" si="49"/>
        <v>PCV10 vs NoVax</v>
      </c>
      <c r="M135" s="162" t="s">
        <v>1552</v>
      </c>
      <c r="N135" s="163" t="s">
        <v>148</v>
      </c>
      <c r="O135" s="162" t="s">
        <v>159</v>
      </c>
      <c r="P135" s="162" t="s">
        <v>150</v>
      </c>
      <c r="Q135" s="162" t="s">
        <v>151</v>
      </c>
      <c r="R135" s="236">
        <v>2008</v>
      </c>
      <c r="S135" s="191">
        <v>20</v>
      </c>
      <c r="T135" s="198">
        <f>IF(ISNUMBER(S135),S135/VLOOKUP($Q135,xRates!$A$1:$BL$267,studies!$R135-xRates!$B$1+2,FALSE),"")</f>
        <v>20</v>
      </c>
      <c r="V135" s="198" t="str">
        <f>IF(ISNUMBER(U135),U135/VLOOKUP($Q135,xRates!$A$1:$BL$267,studies!$R135-xRates!$B$1+2,FALSE),"")</f>
        <v/>
      </c>
      <c r="W135" s="163">
        <v>0</v>
      </c>
      <c r="X135" s="163">
        <v>0</v>
      </c>
      <c r="Y135" s="163">
        <v>1</v>
      </c>
      <c r="Z135" s="163">
        <v>1</v>
      </c>
      <c r="AA135" s="163">
        <v>1</v>
      </c>
      <c r="AB135" s="163" t="s">
        <v>152</v>
      </c>
      <c r="AC135" s="193">
        <v>7088.64</v>
      </c>
      <c r="AD135" s="201">
        <f>IF(ISNUMBER(AC135),AC135/VLOOKUP($Q135,xRates!$A$1:$BL$267,studies!$R135-xRates!$B$1+2,FALSE),"")</f>
        <v>7088.64</v>
      </c>
      <c r="AE135" s="200">
        <f t="shared" si="50"/>
        <v>0</v>
      </c>
      <c r="AF135" s="201">
        <f>VLOOKUP(G135,gdppc,R135-1958,FALSE)</f>
        <v>8801.7999999999993</v>
      </c>
      <c r="AG135" s="195" t="str">
        <f t="shared" si="51"/>
        <v>Cost-effective</v>
      </c>
      <c r="AH135" s="195" t="str">
        <f t="shared" si="52"/>
        <v>Cost-effective</v>
      </c>
      <c r="AI135" s="204">
        <f t="shared" si="53"/>
        <v>0.80536253948056091</v>
      </c>
      <c r="AJ135" s="205">
        <f>IFERROR(VLOOKUP(G135,ochalek,11,FALSE),"")</f>
        <v>1.0900000000000001</v>
      </c>
      <c r="AK135" s="195" t="str">
        <f t="shared" si="54"/>
        <v>Cost-effective</v>
      </c>
      <c r="AL135" s="205">
        <f>IFERROR(VLOOKUP(G135,ochalek,10,FALSE),"")</f>
        <v>0.71</v>
      </c>
      <c r="AM135" s="207" t="str">
        <f t="shared" si="55"/>
        <v>Not cost-effective</v>
      </c>
      <c r="AN135" s="205">
        <f>IFERROR(VLOOKUP(G135,woods,6,FALSE),"")</f>
        <v>0.61540469547909216</v>
      </c>
      <c r="AO135" s="195" t="str">
        <f t="shared" si="56"/>
        <v>Not cost-effective</v>
      </c>
      <c r="AP135" s="205">
        <f>IFERROR(VLOOKUP(G135,woods,5,FALSE),"")</f>
        <v>0.19520989346254874</v>
      </c>
      <c r="AQ135" s="195" t="str">
        <f t="shared" si="57"/>
        <v>Not cost-effective</v>
      </c>
      <c r="AR135" s="205">
        <f>IFERROR(VLOOKUP(G135,riviere,8,FALSE),"")</f>
        <v>1.6838320916192782</v>
      </c>
      <c r="AS135" s="195" t="str">
        <f t="shared" si="58"/>
        <v>Cost-effective</v>
      </c>
      <c r="AT135" s="205">
        <f>IFERROR(VLOOKUP(G135,riviere,7,FALSE),"")</f>
        <v>0.69788475235435776</v>
      </c>
      <c r="AU135" s="195" t="str">
        <f t="shared" si="59"/>
        <v>Not cost-effective</v>
      </c>
      <c r="AV135" s="162" t="s">
        <v>161</v>
      </c>
      <c r="AW135" s="162" t="s">
        <v>162</v>
      </c>
      <c r="AX135" s="210">
        <f t="shared" si="60"/>
        <v>0</v>
      </c>
      <c r="AY135" s="210">
        <f t="shared" si="61"/>
        <v>1</v>
      </c>
      <c r="AZ135" s="197">
        <f t="shared" si="62"/>
        <v>1</v>
      </c>
      <c r="BA135" s="197">
        <f t="shared" si="63"/>
        <v>1</v>
      </c>
      <c r="BB135" s="197">
        <f t="shared" si="64"/>
        <v>0</v>
      </c>
      <c r="BC135" s="197">
        <f t="shared" si="65"/>
        <v>1</v>
      </c>
      <c r="BD135" s="197">
        <f t="shared" si="66"/>
        <v>4</v>
      </c>
      <c r="BE135" s="163" t="s">
        <v>155</v>
      </c>
      <c r="BF135" s="162" t="s">
        <v>163</v>
      </c>
    </row>
    <row r="136" spans="1:58">
      <c r="A136" s="195">
        <f t="shared" si="47"/>
        <v>43</v>
      </c>
      <c r="B136" s="195">
        <f t="shared" si="48"/>
        <v>6</v>
      </c>
      <c r="C136" s="196" t="str">
        <f t="shared" si="46"/>
        <v>4306</v>
      </c>
      <c r="D136" s="159" t="s">
        <v>279</v>
      </c>
      <c r="E136" s="163">
        <v>2013</v>
      </c>
      <c r="F136" s="162" t="s">
        <v>280</v>
      </c>
      <c r="G136" s="182" t="s">
        <v>211</v>
      </c>
      <c r="H136" s="197" t="str">
        <f>IF(VLOOKUP(G136,income,R136-1985,FALSE)="UM","Upper-middle",IF(VLOOKUP(G136,income,R136-1985,FALSE)="LM","Lower-middle",IF(VLOOKUP(G136,income,R136-1985,FALSE)="L","Low")))</f>
        <v>Upper-middle</v>
      </c>
      <c r="I136" s="163">
        <v>0</v>
      </c>
      <c r="J136" s="162" t="s">
        <v>166</v>
      </c>
      <c r="K136" s="162" t="s">
        <v>147</v>
      </c>
      <c r="L136" s="207" t="str">
        <f t="shared" si="49"/>
        <v>PCV10 vs NoVax</v>
      </c>
      <c r="M136" s="162" t="s">
        <v>1552</v>
      </c>
      <c r="N136" s="163" t="s">
        <v>155</v>
      </c>
      <c r="O136" s="162" t="s">
        <v>149</v>
      </c>
      <c r="P136" s="162" t="s">
        <v>150</v>
      </c>
      <c r="Q136" s="162" t="s">
        <v>151</v>
      </c>
      <c r="R136" s="236">
        <v>2008</v>
      </c>
      <c r="S136" s="191">
        <v>20</v>
      </c>
      <c r="T136" s="198">
        <f>IF(ISNUMBER(S136),S136/VLOOKUP($Q136,xRates!$A$1:$BL$267,studies!$R136-xRates!$B$1+2,FALSE),"")</f>
        <v>20</v>
      </c>
      <c r="V136" s="198" t="str">
        <f>IF(ISNUMBER(U136),U136/VLOOKUP($Q136,xRates!$A$1:$BL$267,studies!$R136-xRates!$B$1+2,FALSE),"")</f>
        <v/>
      </c>
      <c r="W136" s="163">
        <v>0</v>
      </c>
      <c r="X136" s="163">
        <v>0</v>
      </c>
      <c r="Y136" s="163">
        <v>1</v>
      </c>
      <c r="Z136" s="163">
        <v>1</v>
      </c>
      <c r="AA136" s="163">
        <v>1</v>
      </c>
      <c r="AB136" s="163" t="s">
        <v>152</v>
      </c>
      <c r="AC136" s="193">
        <v>4810.99</v>
      </c>
      <c r="AD136" s="201">
        <f>IF(ISNUMBER(AC136),AC136/VLOOKUP($Q136,xRates!$A$1:$BL$267,studies!$R136-xRates!$B$1+2,FALSE),"")</f>
        <v>4810.99</v>
      </c>
      <c r="AE136" s="200">
        <f t="shared" si="50"/>
        <v>0</v>
      </c>
      <c r="AF136" s="201">
        <f>VLOOKUP(G136,gdppc,R136-1958,FALSE)</f>
        <v>8801.7999999999993</v>
      </c>
      <c r="AG136" s="195" t="str">
        <f t="shared" si="51"/>
        <v>Cost-effective</v>
      </c>
      <c r="AH136" s="195" t="str">
        <f t="shared" si="52"/>
        <v>Cost-effective</v>
      </c>
      <c r="AI136" s="204">
        <f t="shared" si="53"/>
        <v>0.54659160626235548</v>
      </c>
      <c r="AJ136" s="205">
        <f>IFERROR(VLOOKUP(G136,ochalek,11,FALSE),"")</f>
        <v>1.0900000000000001</v>
      </c>
      <c r="AK136" s="195" t="str">
        <f t="shared" si="54"/>
        <v>Cost-effective</v>
      </c>
      <c r="AL136" s="205">
        <f>IFERROR(VLOOKUP(G136,ochalek,10,FALSE),"")</f>
        <v>0.71</v>
      </c>
      <c r="AM136" s="207" t="str">
        <f t="shared" si="55"/>
        <v>Cost-effective</v>
      </c>
      <c r="AN136" s="205">
        <f>IFERROR(VLOOKUP(G136,woods,6,FALSE),"")</f>
        <v>0.61540469547909216</v>
      </c>
      <c r="AO136" s="195" t="str">
        <f t="shared" si="56"/>
        <v>Cost-effective</v>
      </c>
      <c r="AP136" s="205">
        <f>IFERROR(VLOOKUP(G136,woods,5,FALSE),"")</f>
        <v>0.19520989346254874</v>
      </c>
      <c r="AQ136" s="195" t="str">
        <f t="shared" si="57"/>
        <v>Not cost-effective</v>
      </c>
      <c r="AR136" s="205">
        <f>IFERROR(VLOOKUP(G136,riviere,8,FALSE),"")</f>
        <v>1.6838320916192782</v>
      </c>
      <c r="AS136" s="195" t="str">
        <f t="shared" si="58"/>
        <v>Cost-effective</v>
      </c>
      <c r="AT136" s="205">
        <f>IFERROR(VLOOKUP(G136,riviere,7,FALSE),"")</f>
        <v>0.69788475235435776</v>
      </c>
      <c r="AU136" s="195" t="str">
        <f t="shared" si="59"/>
        <v>Cost-effective</v>
      </c>
      <c r="AV136" s="162" t="s">
        <v>161</v>
      </c>
      <c r="AW136" s="162" t="s">
        <v>162</v>
      </c>
      <c r="AX136" s="210">
        <f t="shared" si="60"/>
        <v>0</v>
      </c>
      <c r="AY136" s="210">
        <f t="shared" si="61"/>
        <v>0</v>
      </c>
      <c r="AZ136" s="197">
        <f t="shared" si="62"/>
        <v>0</v>
      </c>
      <c r="BA136" s="197">
        <f t="shared" si="63"/>
        <v>1</v>
      </c>
      <c r="BB136" s="197">
        <f t="shared" si="64"/>
        <v>0</v>
      </c>
      <c r="BC136" s="197">
        <f t="shared" si="65"/>
        <v>0</v>
      </c>
      <c r="BD136" s="197">
        <f t="shared" si="66"/>
        <v>1</v>
      </c>
      <c r="BE136" s="163" t="s">
        <v>155</v>
      </c>
      <c r="BF136" s="162" t="s">
        <v>163</v>
      </c>
    </row>
    <row r="137" spans="1:58">
      <c r="A137" s="195">
        <f t="shared" si="47"/>
        <v>43</v>
      </c>
      <c r="B137" s="195">
        <f t="shared" si="48"/>
        <v>7</v>
      </c>
      <c r="C137" s="196" t="str">
        <f t="shared" si="46"/>
        <v>4307</v>
      </c>
      <c r="D137" s="159" t="s">
        <v>279</v>
      </c>
      <c r="E137" s="163">
        <v>2013</v>
      </c>
      <c r="F137" s="162" t="s">
        <v>280</v>
      </c>
      <c r="G137" s="182" t="s">
        <v>211</v>
      </c>
      <c r="H137" s="197" t="str">
        <f>IF(VLOOKUP(G137,income,R137-1985,FALSE)="UM","Upper-middle",IF(VLOOKUP(G137,income,R137-1985,FALSE)="LM","Lower-middle",IF(VLOOKUP(G137,income,R137-1985,FALSE)="L","Low")))</f>
        <v>Upper-middle</v>
      </c>
      <c r="I137" s="163">
        <v>0</v>
      </c>
      <c r="J137" s="162" t="s">
        <v>166</v>
      </c>
      <c r="K137" s="162" t="s">
        <v>147</v>
      </c>
      <c r="L137" s="207" t="str">
        <f t="shared" si="49"/>
        <v>PCV10 vs NoVax</v>
      </c>
      <c r="M137" s="162" t="s">
        <v>1552</v>
      </c>
      <c r="N137" s="163" t="s">
        <v>155</v>
      </c>
      <c r="O137" s="162" t="s">
        <v>159</v>
      </c>
      <c r="P137" s="162" t="s">
        <v>150</v>
      </c>
      <c r="Q137" s="162" t="s">
        <v>151</v>
      </c>
      <c r="R137" s="236">
        <v>2008</v>
      </c>
      <c r="S137" s="191">
        <v>20</v>
      </c>
      <c r="T137" s="198">
        <f>IF(ISNUMBER(S137),S137/VLOOKUP($Q137,xRates!$A$1:$BL$267,studies!$R137-xRates!$B$1+2,FALSE),"")</f>
        <v>20</v>
      </c>
      <c r="V137" s="198" t="str">
        <f>IF(ISNUMBER(U137),U137/VLOOKUP($Q137,xRates!$A$1:$BL$267,studies!$R137-xRates!$B$1+2,FALSE),"")</f>
        <v/>
      </c>
      <c r="W137" s="163">
        <v>1</v>
      </c>
      <c r="X137" s="163">
        <v>0</v>
      </c>
      <c r="Y137" s="163">
        <v>1</v>
      </c>
      <c r="Z137" s="163">
        <v>1</v>
      </c>
      <c r="AA137" s="163">
        <v>1</v>
      </c>
      <c r="AB137" s="163" t="s">
        <v>152</v>
      </c>
      <c r="AC137" s="193">
        <v>6293.05</v>
      </c>
      <c r="AD137" s="201">
        <f>IF(ISNUMBER(AC137),AC137/VLOOKUP($Q137,xRates!$A$1:$BL$267,studies!$R137-xRates!$B$1+2,FALSE),"")</f>
        <v>6293.05</v>
      </c>
      <c r="AE137" s="200">
        <f t="shared" si="50"/>
        <v>0</v>
      </c>
      <c r="AF137" s="201">
        <f>VLOOKUP(G137,gdppc,R137-1958,FALSE)</f>
        <v>8801.7999999999993</v>
      </c>
      <c r="AG137" s="195" t="str">
        <f t="shared" si="51"/>
        <v>Cost-effective</v>
      </c>
      <c r="AH137" s="195" t="str">
        <f t="shared" si="52"/>
        <v>Cost-effective</v>
      </c>
      <c r="AI137" s="204">
        <f t="shared" si="53"/>
        <v>0.71497307368947272</v>
      </c>
      <c r="AJ137" s="205">
        <f>IFERROR(VLOOKUP(G137,ochalek,11,FALSE),"")</f>
        <v>1.0900000000000001</v>
      </c>
      <c r="AK137" s="195" t="str">
        <f t="shared" si="54"/>
        <v>Cost-effective</v>
      </c>
      <c r="AL137" s="205">
        <f>IFERROR(VLOOKUP(G137,ochalek,10,FALSE),"")</f>
        <v>0.71</v>
      </c>
      <c r="AM137" s="207" t="str">
        <f t="shared" si="55"/>
        <v>Not cost-effective</v>
      </c>
      <c r="AN137" s="205">
        <f>IFERROR(VLOOKUP(G137,woods,6,FALSE),"")</f>
        <v>0.61540469547909216</v>
      </c>
      <c r="AO137" s="195" t="str">
        <f t="shared" si="56"/>
        <v>Not cost-effective</v>
      </c>
      <c r="AP137" s="205">
        <f>IFERROR(VLOOKUP(G137,woods,5,FALSE),"")</f>
        <v>0.19520989346254874</v>
      </c>
      <c r="AQ137" s="195" t="str">
        <f t="shared" si="57"/>
        <v>Not cost-effective</v>
      </c>
      <c r="AR137" s="205">
        <f>IFERROR(VLOOKUP(G137,riviere,8,FALSE),"")</f>
        <v>1.6838320916192782</v>
      </c>
      <c r="AS137" s="195" t="str">
        <f t="shared" si="58"/>
        <v>Cost-effective</v>
      </c>
      <c r="AT137" s="205">
        <f>IFERROR(VLOOKUP(G137,riviere,7,FALSE),"")</f>
        <v>0.69788475235435776</v>
      </c>
      <c r="AU137" s="195" t="str">
        <f t="shared" si="59"/>
        <v>Not cost-effective</v>
      </c>
      <c r="AV137" s="162" t="s">
        <v>161</v>
      </c>
      <c r="AW137" s="162" t="s">
        <v>162</v>
      </c>
      <c r="AX137" s="210">
        <f t="shared" si="60"/>
        <v>0</v>
      </c>
      <c r="AY137" s="210">
        <f t="shared" si="61"/>
        <v>1</v>
      </c>
      <c r="AZ137" s="197">
        <f t="shared" si="62"/>
        <v>1</v>
      </c>
      <c r="BA137" s="197">
        <f t="shared" si="63"/>
        <v>1</v>
      </c>
      <c r="BB137" s="197">
        <f t="shared" si="64"/>
        <v>0</v>
      </c>
      <c r="BC137" s="197">
        <f t="shared" si="65"/>
        <v>1</v>
      </c>
      <c r="BD137" s="197">
        <f t="shared" si="66"/>
        <v>4</v>
      </c>
      <c r="BE137" s="163" t="s">
        <v>155</v>
      </c>
      <c r="BF137" s="162" t="s">
        <v>163</v>
      </c>
    </row>
    <row r="138" spans="1:58">
      <c r="A138" s="195">
        <f t="shared" si="47"/>
        <v>43</v>
      </c>
      <c r="B138" s="195">
        <f t="shared" si="48"/>
        <v>8</v>
      </c>
      <c r="C138" s="196" t="str">
        <f t="shared" si="46"/>
        <v>4308</v>
      </c>
      <c r="D138" s="159" t="s">
        <v>279</v>
      </c>
      <c r="E138" s="163">
        <v>2013</v>
      </c>
      <c r="F138" s="162" t="s">
        <v>280</v>
      </c>
      <c r="G138" s="182" t="s">
        <v>211</v>
      </c>
      <c r="H138" s="197" t="str">
        <f>IF(VLOOKUP(G138,income,R138-1985,FALSE)="UM","Upper-middle",IF(VLOOKUP(G138,income,R138-1985,FALSE)="LM","Lower-middle",IF(VLOOKUP(G138,income,R138-1985,FALSE)="L","Low")))</f>
        <v>Upper-middle</v>
      </c>
      <c r="I138" s="163">
        <v>0</v>
      </c>
      <c r="J138" s="162" t="s">
        <v>166</v>
      </c>
      <c r="K138" s="162" t="s">
        <v>147</v>
      </c>
      <c r="L138" s="207" t="str">
        <f t="shared" si="49"/>
        <v>PCV10 vs NoVax</v>
      </c>
      <c r="M138" s="162" t="s">
        <v>1552</v>
      </c>
      <c r="N138" s="163" t="s">
        <v>155</v>
      </c>
      <c r="O138" s="162" t="s">
        <v>159</v>
      </c>
      <c r="P138" s="162" t="s">
        <v>150</v>
      </c>
      <c r="Q138" s="162" t="s">
        <v>151</v>
      </c>
      <c r="R138" s="236">
        <v>2008</v>
      </c>
      <c r="S138" s="191">
        <v>20</v>
      </c>
      <c r="T138" s="198">
        <f>IF(ISNUMBER(S138),S138/VLOOKUP($Q138,xRates!$A$1:$BL$267,studies!$R138-xRates!$B$1+2,FALSE),"")</f>
        <v>20</v>
      </c>
      <c r="V138" s="198" t="str">
        <f>IF(ISNUMBER(U138),U138/VLOOKUP($Q138,xRates!$A$1:$BL$267,studies!$R138-xRates!$B$1+2,FALSE),"")</f>
        <v/>
      </c>
      <c r="W138" s="163">
        <v>1</v>
      </c>
      <c r="X138" s="163">
        <v>1</v>
      </c>
      <c r="Y138" s="163">
        <v>1</v>
      </c>
      <c r="Z138" s="163">
        <v>1</v>
      </c>
      <c r="AA138" s="163">
        <v>1</v>
      </c>
      <c r="AB138" s="163" t="s">
        <v>152</v>
      </c>
      <c r="AC138" s="193">
        <v>4024.69</v>
      </c>
      <c r="AD138" s="201">
        <f>IF(ISNUMBER(AC138),AC138/VLOOKUP($Q138,xRates!$A$1:$BL$267,studies!$R138-xRates!$B$1+2,FALSE),"")</f>
        <v>4024.69</v>
      </c>
      <c r="AE138" s="200">
        <f t="shared" si="50"/>
        <v>0</v>
      </c>
      <c r="AF138" s="201">
        <f>VLOOKUP(G138,gdppc,R138-1958,FALSE)</f>
        <v>8801.7999999999993</v>
      </c>
      <c r="AG138" s="195" t="str">
        <f t="shared" si="51"/>
        <v>Cost-effective</v>
      </c>
      <c r="AH138" s="195" t="str">
        <f t="shared" si="52"/>
        <v>Cost-effective</v>
      </c>
      <c r="AI138" s="204">
        <f t="shared" si="53"/>
        <v>0.45725760639869123</v>
      </c>
      <c r="AJ138" s="205">
        <f>IFERROR(VLOOKUP(G138,ochalek,11,FALSE),"")</f>
        <v>1.0900000000000001</v>
      </c>
      <c r="AK138" s="195" t="str">
        <f t="shared" si="54"/>
        <v>Cost-effective</v>
      </c>
      <c r="AL138" s="205">
        <f>IFERROR(VLOOKUP(G138,ochalek,10,FALSE),"")</f>
        <v>0.71</v>
      </c>
      <c r="AM138" s="207" t="str">
        <f t="shared" si="55"/>
        <v>Cost-effective</v>
      </c>
      <c r="AN138" s="205">
        <f>IFERROR(VLOOKUP(G138,woods,6,FALSE),"")</f>
        <v>0.61540469547909216</v>
      </c>
      <c r="AO138" s="195" t="str">
        <f t="shared" si="56"/>
        <v>Cost-effective</v>
      </c>
      <c r="AP138" s="205">
        <f>IFERROR(VLOOKUP(G138,woods,5,FALSE),"")</f>
        <v>0.19520989346254874</v>
      </c>
      <c r="AQ138" s="195" t="str">
        <f t="shared" si="57"/>
        <v>Not cost-effective</v>
      </c>
      <c r="AR138" s="205">
        <f>IFERROR(VLOOKUP(G138,riviere,8,FALSE),"")</f>
        <v>1.6838320916192782</v>
      </c>
      <c r="AS138" s="195" t="str">
        <f t="shared" si="58"/>
        <v>Cost-effective</v>
      </c>
      <c r="AT138" s="205">
        <f>IFERROR(VLOOKUP(G138,riviere,7,FALSE),"")</f>
        <v>0.69788475235435776</v>
      </c>
      <c r="AU138" s="195" t="str">
        <f t="shared" si="59"/>
        <v>Cost-effective</v>
      </c>
      <c r="AV138" s="162" t="s">
        <v>161</v>
      </c>
      <c r="AW138" s="162" t="s">
        <v>162</v>
      </c>
      <c r="AX138" s="210">
        <f t="shared" si="60"/>
        <v>0</v>
      </c>
      <c r="AY138" s="210">
        <f t="shared" si="61"/>
        <v>0</v>
      </c>
      <c r="AZ138" s="197">
        <f t="shared" si="62"/>
        <v>0</v>
      </c>
      <c r="BA138" s="197">
        <f t="shared" si="63"/>
        <v>1</v>
      </c>
      <c r="BB138" s="197">
        <f t="shared" si="64"/>
        <v>0</v>
      </c>
      <c r="BC138" s="197">
        <f t="shared" si="65"/>
        <v>0</v>
      </c>
      <c r="BD138" s="197">
        <f t="shared" si="66"/>
        <v>1</v>
      </c>
      <c r="BE138" s="163" t="s">
        <v>155</v>
      </c>
      <c r="BF138" s="162" t="s">
        <v>163</v>
      </c>
    </row>
    <row r="139" spans="1:58">
      <c r="A139" s="195">
        <f t="shared" si="47"/>
        <v>43</v>
      </c>
      <c r="B139" s="195">
        <f t="shared" si="48"/>
        <v>9</v>
      </c>
      <c r="C139" s="196" t="str">
        <f t="shared" si="46"/>
        <v>4309</v>
      </c>
      <c r="D139" s="159" t="s">
        <v>279</v>
      </c>
      <c r="E139" s="163">
        <v>2013</v>
      </c>
      <c r="F139" s="162" t="s">
        <v>280</v>
      </c>
      <c r="G139" s="182" t="s">
        <v>241</v>
      </c>
      <c r="H139" s="197" t="str">
        <f>IF(VLOOKUP(G139,income,R139-1985,FALSE)="UM","Upper-middle",IF(VLOOKUP(G139,income,R139-1985,FALSE)="LM","Lower-middle",IF(VLOOKUP(G139,income,R139-1985,FALSE)="L","Low")))</f>
        <v>Upper-middle</v>
      </c>
      <c r="I139" s="163">
        <v>0</v>
      </c>
      <c r="J139" s="162" t="s">
        <v>166</v>
      </c>
      <c r="K139" s="162" t="s">
        <v>147</v>
      </c>
      <c r="L139" s="207" t="str">
        <f t="shared" si="49"/>
        <v>PCV10 vs NoVax</v>
      </c>
      <c r="M139" s="162" t="s">
        <v>1552</v>
      </c>
      <c r="N139" s="163" t="s">
        <v>148</v>
      </c>
      <c r="O139" s="162" t="s">
        <v>159</v>
      </c>
      <c r="P139" s="162" t="s">
        <v>150</v>
      </c>
      <c r="Q139" s="162" t="s">
        <v>151</v>
      </c>
      <c r="R139" s="236">
        <v>2008</v>
      </c>
      <c r="S139" s="191">
        <v>20</v>
      </c>
      <c r="T139" s="198">
        <f>IF(ISNUMBER(S139),S139/VLOOKUP($Q139,xRates!$A$1:$BL$267,studies!$R139-xRates!$B$1+2,FALSE),"")</f>
        <v>20</v>
      </c>
      <c r="V139" s="198" t="str">
        <f>IF(ISNUMBER(U139),U139/VLOOKUP($Q139,xRates!$A$1:$BL$267,studies!$R139-xRates!$B$1+2,FALSE),"")</f>
        <v/>
      </c>
      <c r="W139" s="163">
        <v>0</v>
      </c>
      <c r="X139" s="163">
        <v>0</v>
      </c>
      <c r="Y139" s="163">
        <v>1</v>
      </c>
      <c r="Z139" s="163">
        <v>1</v>
      </c>
      <c r="AA139" s="163">
        <v>1</v>
      </c>
      <c r="AB139" s="163" t="s">
        <v>152</v>
      </c>
      <c r="AC139" s="193">
        <v>4021.37</v>
      </c>
      <c r="AD139" s="201">
        <f>IF(ISNUMBER(AC139),AC139/VLOOKUP($Q139,xRates!$A$1:$BL$267,studies!$R139-xRates!$B$1+2,FALSE),"")</f>
        <v>4021.37</v>
      </c>
      <c r="AE139" s="200">
        <f t="shared" si="50"/>
        <v>0</v>
      </c>
      <c r="AF139" s="201">
        <f>VLOOKUP(G139,gdppc,R139-1958,FALSE)</f>
        <v>5534.7</v>
      </c>
      <c r="AG139" s="195" t="str">
        <f t="shared" si="51"/>
        <v>Cost-effective</v>
      </c>
      <c r="AH139" s="195" t="str">
        <f t="shared" si="52"/>
        <v>Cost-effective</v>
      </c>
      <c r="AI139" s="204">
        <f t="shared" si="53"/>
        <v>0.72657415939436643</v>
      </c>
      <c r="AJ139" s="205">
        <f>IFERROR(VLOOKUP(G139,ochalek,11,FALSE),"")</f>
        <v>1.89</v>
      </c>
      <c r="AK139" s="195" t="str">
        <f t="shared" si="54"/>
        <v>Cost-effective</v>
      </c>
      <c r="AL139" s="205">
        <f>IFERROR(VLOOKUP(G139,ochalek,10,FALSE),"")</f>
        <v>1.17</v>
      </c>
      <c r="AM139" s="207" t="str">
        <f t="shared" si="55"/>
        <v>Cost-effective</v>
      </c>
      <c r="AN139" s="205">
        <f>IFERROR(VLOOKUP(G139,woods,6,FALSE),"")</f>
        <v>0.6677477128612227</v>
      </c>
      <c r="AO139" s="195" t="str">
        <f t="shared" si="56"/>
        <v>Not cost-effective</v>
      </c>
      <c r="AP139" s="205">
        <f>IFERROR(VLOOKUP(G139,woods,5,FALSE),"")</f>
        <v>0.16578730819497556</v>
      </c>
      <c r="AQ139" s="195" t="str">
        <f t="shared" si="57"/>
        <v>Not cost-effective</v>
      </c>
      <c r="AR139" s="205">
        <f>IFERROR(VLOOKUP(G139,riviere,8,FALSE),"")</f>
        <v>1.3213703099510603</v>
      </c>
      <c r="AS139" s="195" t="str">
        <f t="shared" si="58"/>
        <v>Cost-effective</v>
      </c>
      <c r="AT139" s="205">
        <f>IFERROR(VLOOKUP(G139,riviere,7,FALSE),"")</f>
        <v>0.54765788860405495</v>
      </c>
      <c r="AU139" s="195" t="str">
        <f t="shared" si="59"/>
        <v>Not cost-effective</v>
      </c>
      <c r="AV139" s="162" t="s">
        <v>161</v>
      </c>
      <c r="AW139" s="162" t="s">
        <v>162</v>
      </c>
      <c r="AX139" s="210">
        <f t="shared" si="60"/>
        <v>0</v>
      </c>
      <c r="AY139" s="210">
        <f t="shared" si="61"/>
        <v>0</v>
      </c>
      <c r="AZ139" s="197">
        <f t="shared" si="62"/>
        <v>1</v>
      </c>
      <c r="BA139" s="197">
        <f t="shared" si="63"/>
        <v>1</v>
      </c>
      <c r="BB139" s="197">
        <f t="shared" si="64"/>
        <v>0</v>
      </c>
      <c r="BC139" s="197">
        <f t="shared" si="65"/>
        <v>1</v>
      </c>
      <c r="BD139" s="197">
        <f t="shared" si="66"/>
        <v>3</v>
      </c>
      <c r="BE139" s="163" t="s">
        <v>155</v>
      </c>
      <c r="BF139" s="162" t="s">
        <v>163</v>
      </c>
    </row>
    <row r="140" spans="1:58">
      <c r="A140" s="195">
        <f t="shared" si="47"/>
        <v>43</v>
      </c>
      <c r="B140" s="195">
        <f t="shared" si="48"/>
        <v>10</v>
      </c>
      <c r="C140" s="196" t="str">
        <f t="shared" si="46"/>
        <v>4310</v>
      </c>
      <c r="D140" s="159" t="s">
        <v>279</v>
      </c>
      <c r="E140" s="163">
        <v>2013</v>
      </c>
      <c r="F140" s="162" t="s">
        <v>280</v>
      </c>
      <c r="G140" s="182" t="s">
        <v>241</v>
      </c>
      <c r="H140" s="197" t="str">
        <f>IF(VLOOKUP(G140,income,R140-1985,FALSE)="UM","Upper-middle",IF(VLOOKUP(G140,income,R140-1985,FALSE)="LM","Lower-middle",IF(VLOOKUP(G140,income,R140-1985,FALSE)="L","Low")))</f>
        <v>Upper-middle</v>
      </c>
      <c r="I140" s="163">
        <v>0</v>
      </c>
      <c r="J140" s="162" t="s">
        <v>166</v>
      </c>
      <c r="K140" s="162" t="s">
        <v>147</v>
      </c>
      <c r="L140" s="207" t="str">
        <f t="shared" si="49"/>
        <v>PCV10 vs NoVax</v>
      </c>
      <c r="M140" s="162" t="s">
        <v>1552</v>
      </c>
      <c r="N140" s="163" t="s">
        <v>155</v>
      </c>
      <c r="O140" s="162" t="s">
        <v>149</v>
      </c>
      <c r="P140" s="162" t="s">
        <v>150</v>
      </c>
      <c r="Q140" s="162" t="s">
        <v>151</v>
      </c>
      <c r="R140" s="236">
        <v>2008</v>
      </c>
      <c r="S140" s="191">
        <v>20</v>
      </c>
      <c r="T140" s="198">
        <f>IF(ISNUMBER(S140),S140/VLOOKUP($Q140,xRates!$A$1:$BL$267,studies!$R140-xRates!$B$1+2,FALSE),"")</f>
        <v>20</v>
      </c>
      <c r="V140" s="198" t="str">
        <f>IF(ISNUMBER(U140),U140/VLOOKUP($Q140,xRates!$A$1:$BL$267,studies!$R140-xRates!$B$1+2,FALSE),"")</f>
        <v/>
      </c>
      <c r="W140" s="163">
        <v>0</v>
      </c>
      <c r="X140" s="163">
        <v>0</v>
      </c>
      <c r="Y140" s="163">
        <v>1</v>
      </c>
      <c r="Z140" s="163">
        <v>1</v>
      </c>
      <c r="AA140" s="163">
        <v>1</v>
      </c>
      <c r="AB140" s="163" t="s">
        <v>152</v>
      </c>
      <c r="AC140" s="193">
        <v>2433.3200000000002</v>
      </c>
      <c r="AD140" s="201">
        <f>IF(ISNUMBER(AC140),AC140/VLOOKUP($Q140,xRates!$A$1:$BL$267,studies!$R140-xRates!$B$1+2,FALSE),"")</f>
        <v>2433.3200000000002</v>
      </c>
      <c r="AE140" s="200">
        <f t="shared" si="50"/>
        <v>0</v>
      </c>
      <c r="AF140" s="201">
        <f>VLOOKUP(G140,gdppc,R140-1958,FALSE)</f>
        <v>5534.7</v>
      </c>
      <c r="AG140" s="195" t="str">
        <f t="shared" si="51"/>
        <v>Cost-effective</v>
      </c>
      <c r="AH140" s="195" t="str">
        <f t="shared" si="52"/>
        <v>Cost-effective</v>
      </c>
      <c r="AI140" s="204">
        <f t="shared" si="53"/>
        <v>0.43964803873742031</v>
      </c>
      <c r="AJ140" s="205">
        <f>IFERROR(VLOOKUP(G140,ochalek,11,FALSE),"")</f>
        <v>1.89</v>
      </c>
      <c r="AK140" s="195" t="str">
        <f t="shared" si="54"/>
        <v>Cost-effective</v>
      </c>
      <c r="AL140" s="205">
        <f>IFERROR(VLOOKUP(G140,ochalek,10,FALSE),"")</f>
        <v>1.17</v>
      </c>
      <c r="AM140" s="207" t="str">
        <f t="shared" si="55"/>
        <v>Cost-effective</v>
      </c>
      <c r="AN140" s="205">
        <f>IFERROR(VLOOKUP(G140,woods,6,FALSE),"")</f>
        <v>0.6677477128612227</v>
      </c>
      <c r="AO140" s="195" t="str">
        <f t="shared" si="56"/>
        <v>Cost-effective</v>
      </c>
      <c r="AP140" s="205">
        <f>IFERROR(VLOOKUP(G140,woods,5,FALSE),"")</f>
        <v>0.16578730819497556</v>
      </c>
      <c r="AQ140" s="195" t="str">
        <f t="shared" si="57"/>
        <v>Not cost-effective</v>
      </c>
      <c r="AR140" s="205">
        <f>IFERROR(VLOOKUP(G140,riviere,8,FALSE),"")</f>
        <v>1.3213703099510603</v>
      </c>
      <c r="AS140" s="195" t="str">
        <f t="shared" si="58"/>
        <v>Cost-effective</v>
      </c>
      <c r="AT140" s="205">
        <f>IFERROR(VLOOKUP(G140,riviere,7,FALSE),"")</f>
        <v>0.54765788860405495</v>
      </c>
      <c r="AU140" s="195" t="str">
        <f t="shared" si="59"/>
        <v>Cost-effective</v>
      </c>
      <c r="AV140" s="162" t="s">
        <v>161</v>
      </c>
      <c r="AW140" s="162" t="s">
        <v>162</v>
      </c>
      <c r="AX140" s="210">
        <f t="shared" si="60"/>
        <v>0</v>
      </c>
      <c r="AY140" s="210">
        <f t="shared" si="61"/>
        <v>0</v>
      </c>
      <c r="AZ140" s="197">
        <f t="shared" si="62"/>
        <v>0</v>
      </c>
      <c r="BA140" s="197">
        <f t="shared" si="63"/>
        <v>1</v>
      </c>
      <c r="BB140" s="197">
        <f t="shared" si="64"/>
        <v>0</v>
      </c>
      <c r="BC140" s="197">
        <f t="shared" si="65"/>
        <v>0</v>
      </c>
      <c r="BD140" s="197">
        <f t="shared" si="66"/>
        <v>1</v>
      </c>
      <c r="BE140" s="163" t="s">
        <v>155</v>
      </c>
      <c r="BF140" s="162" t="s">
        <v>163</v>
      </c>
    </row>
    <row r="141" spans="1:58">
      <c r="A141" s="195">
        <f t="shared" si="47"/>
        <v>43</v>
      </c>
      <c r="B141" s="195">
        <f t="shared" si="48"/>
        <v>11</v>
      </c>
      <c r="C141" s="196" t="str">
        <f t="shared" si="46"/>
        <v>4311</v>
      </c>
      <c r="D141" s="159" t="s">
        <v>279</v>
      </c>
      <c r="E141" s="163">
        <v>2013</v>
      </c>
      <c r="F141" s="162" t="s">
        <v>280</v>
      </c>
      <c r="G141" s="182" t="s">
        <v>241</v>
      </c>
      <c r="H141" s="197" t="str">
        <f>IF(VLOOKUP(G141,income,R141-1985,FALSE)="UM","Upper-middle",IF(VLOOKUP(G141,income,R141-1985,FALSE)="LM","Lower-middle",IF(VLOOKUP(G141,income,R141-1985,FALSE)="L","Low")))</f>
        <v>Upper-middle</v>
      </c>
      <c r="I141" s="163">
        <v>0</v>
      </c>
      <c r="J141" s="162" t="s">
        <v>166</v>
      </c>
      <c r="K141" s="162" t="s">
        <v>147</v>
      </c>
      <c r="L141" s="207" t="str">
        <f t="shared" si="49"/>
        <v>PCV10 vs NoVax</v>
      </c>
      <c r="M141" s="162" t="s">
        <v>1552</v>
      </c>
      <c r="N141" s="163" t="s">
        <v>155</v>
      </c>
      <c r="O141" s="162" t="s">
        <v>159</v>
      </c>
      <c r="P141" s="162" t="s">
        <v>150</v>
      </c>
      <c r="Q141" s="162" t="s">
        <v>151</v>
      </c>
      <c r="R141" s="236">
        <v>2008</v>
      </c>
      <c r="S141" s="191">
        <v>20</v>
      </c>
      <c r="T141" s="198">
        <f>IF(ISNUMBER(S141),S141/VLOOKUP($Q141,xRates!$A$1:$BL$267,studies!$R141-xRates!$B$1+2,FALSE),"")</f>
        <v>20</v>
      </c>
      <c r="V141" s="198" t="str">
        <f>IF(ISNUMBER(U141),U141/VLOOKUP($Q141,xRates!$A$1:$BL$267,studies!$R141-xRates!$B$1+2,FALSE),"")</f>
        <v/>
      </c>
      <c r="W141" s="163">
        <v>1</v>
      </c>
      <c r="X141" s="163">
        <v>0</v>
      </c>
      <c r="Y141" s="163">
        <v>1</v>
      </c>
      <c r="Z141" s="163">
        <v>1</v>
      </c>
      <c r="AA141" s="163">
        <v>1</v>
      </c>
      <c r="AB141" s="163" t="s">
        <v>152</v>
      </c>
      <c r="AC141" s="193">
        <v>3885.8</v>
      </c>
      <c r="AD141" s="201">
        <f>IF(ISNUMBER(AC141),AC141/VLOOKUP($Q141,xRates!$A$1:$BL$267,studies!$R141-xRates!$B$1+2,FALSE),"")</f>
        <v>3885.8</v>
      </c>
      <c r="AE141" s="200">
        <f t="shared" si="50"/>
        <v>0</v>
      </c>
      <c r="AF141" s="201">
        <f>VLOOKUP(G141,gdppc,R141-1958,FALSE)</f>
        <v>5534.7</v>
      </c>
      <c r="AG141" s="195" t="str">
        <f t="shared" si="51"/>
        <v>Cost-effective</v>
      </c>
      <c r="AH141" s="195" t="str">
        <f t="shared" si="52"/>
        <v>Cost-effective</v>
      </c>
      <c r="AI141" s="204">
        <f t="shared" si="53"/>
        <v>0.70207960684409276</v>
      </c>
      <c r="AJ141" s="205">
        <f>IFERROR(VLOOKUP(G141,ochalek,11,FALSE),"")</f>
        <v>1.89</v>
      </c>
      <c r="AK141" s="195" t="str">
        <f t="shared" si="54"/>
        <v>Cost-effective</v>
      </c>
      <c r="AL141" s="205">
        <f>IFERROR(VLOOKUP(G141,ochalek,10,FALSE),"")</f>
        <v>1.17</v>
      </c>
      <c r="AM141" s="207" t="str">
        <f t="shared" si="55"/>
        <v>Cost-effective</v>
      </c>
      <c r="AN141" s="205">
        <f>IFERROR(VLOOKUP(G141,woods,6,FALSE),"")</f>
        <v>0.6677477128612227</v>
      </c>
      <c r="AO141" s="195" t="str">
        <f t="shared" si="56"/>
        <v>Not cost-effective</v>
      </c>
      <c r="AP141" s="205">
        <f>IFERROR(VLOOKUP(G141,woods,5,FALSE),"")</f>
        <v>0.16578730819497556</v>
      </c>
      <c r="AQ141" s="195" t="str">
        <f t="shared" si="57"/>
        <v>Not cost-effective</v>
      </c>
      <c r="AR141" s="205">
        <f>IFERROR(VLOOKUP(G141,riviere,8,FALSE),"")</f>
        <v>1.3213703099510603</v>
      </c>
      <c r="AS141" s="195" t="str">
        <f t="shared" si="58"/>
        <v>Cost-effective</v>
      </c>
      <c r="AT141" s="205">
        <f>IFERROR(VLOOKUP(G141,riviere,7,FALSE),"")</f>
        <v>0.54765788860405495</v>
      </c>
      <c r="AU141" s="195" t="str">
        <f t="shared" si="59"/>
        <v>Not cost-effective</v>
      </c>
      <c r="AV141" s="162" t="s">
        <v>161</v>
      </c>
      <c r="AW141" s="162" t="s">
        <v>162</v>
      </c>
      <c r="AX141" s="210">
        <f t="shared" si="60"/>
        <v>0</v>
      </c>
      <c r="AY141" s="210">
        <f t="shared" si="61"/>
        <v>0</v>
      </c>
      <c r="AZ141" s="197">
        <f t="shared" si="62"/>
        <v>1</v>
      </c>
      <c r="BA141" s="197">
        <f t="shared" si="63"/>
        <v>1</v>
      </c>
      <c r="BB141" s="197">
        <f t="shared" si="64"/>
        <v>0</v>
      </c>
      <c r="BC141" s="197">
        <f t="shared" si="65"/>
        <v>1</v>
      </c>
      <c r="BD141" s="197">
        <f t="shared" si="66"/>
        <v>3</v>
      </c>
      <c r="BE141" s="163" t="s">
        <v>155</v>
      </c>
      <c r="BF141" s="162" t="s">
        <v>163</v>
      </c>
    </row>
    <row r="142" spans="1:58">
      <c r="A142" s="195">
        <f t="shared" si="47"/>
        <v>43</v>
      </c>
      <c r="B142" s="195">
        <f t="shared" si="48"/>
        <v>12</v>
      </c>
      <c r="C142" s="196" t="str">
        <f t="shared" si="46"/>
        <v>4312</v>
      </c>
      <c r="D142" s="159" t="s">
        <v>279</v>
      </c>
      <c r="E142" s="163">
        <v>2013</v>
      </c>
      <c r="F142" s="162" t="s">
        <v>280</v>
      </c>
      <c r="G142" s="182" t="s">
        <v>241</v>
      </c>
      <c r="H142" s="197" t="str">
        <f>IF(VLOOKUP(G142,income,R142-1985,FALSE)="UM","Upper-middle",IF(VLOOKUP(G142,income,R142-1985,FALSE)="LM","Lower-middle",IF(VLOOKUP(G142,income,R142-1985,FALSE)="L","Low")))</f>
        <v>Upper-middle</v>
      </c>
      <c r="I142" s="163">
        <v>0</v>
      </c>
      <c r="J142" s="162" t="s">
        <v>166</v>
      </c>
      <c r="K142" s="162" t="s">
        <v>147</v>
      </c>
      <c r="L142" s="207" t="str">
        <f t="shared" si="49"/>
        <v>PCV10 vs NoVax</v>
      </c>
      <c r="M142" s="162" t="s">
        <v>1552</v>
      </c>
      <c r="N142" s="163" t="s">
        <v>155</v>
      </c>
      <c r="O142" s="162" t="s">
        <v>159</v>
      </c>
      <c r="P142" s="162" t="s">
        <v>150</v>
      </c>
      <c r="Q142" s="162" t="s">
        <v>151</v>
      </c>
      <c r="R142" s="236">
        <v>2008</v>
      </c>
      <c r="S142" s="191">
        <v>20</v>
      </c>
      <c r="T142" s="198">
        <f>IF(ISNUMBER(S142),S142/VLOOKUP($Q142,xRates!$A$1:$BL$267,studies!$R142-xRates!$B$1+2,FALSE),"")</f>
        <v>20</v>
      </c>
      <c r="V142" s="198" t="str">
        <f>IF(ISNUMBER(U142),U142/VLOOKUP($Q142,xRates!$A$1:$BL$267,studies!$R142-xRates!$B$1+2,FALSE),"")</f>
        <v/>
      </c>
      <c r="W142" s="163">
        <v>1</v>
      </c>
      <c r="X142" s="163">
        <v>1</v>
      </c>
      <c r="Y142" s="163">
        <v>1</v>
      </c>
      <c r="Z142" s="163">
        <v>1</v>
      </c>
      <c r="AA142" s="163">
        <v>1</v>
      </c>
      <c r="AB142" s="163" t="s">
        <v>152</v>
      </c>
      <c r="AC142" s="193">
        <v>2295.77</v>
      </c>
      <c r="AD142" s="201">
        <f>IF(ISNUMBER(AC142),AC142/VLOOKUP($Q142,xRates!$A$1:$BL$267,studies!$R142-xRates!$B$1+2,FALSE),"")</f>
        <v>2295.77</v>
      </c>
      <c r="AE142" s="200">
        <f t="shared" si="50"/>
        <v>0</v>
      </c>
      <c r="AF142" s="201">
        <f>VLOOKUP(G142,gdppc,R142-1958,FALSE)</f>
        <v>5534.7</v>
      </c>
      <c r="AG142" s="195" t="str">
        <f t="shared" si="51"/>
        <v>Cost-effective</v>
      </c>
      <c r="AH142" s="195" t="str">
        <f t="shared" si="52"/>
        <v>Cost-effective</v>
      </c>
      <c r="AI142" s="204">
        <f t="shared" si="53"/>
        <v>0.41479574322004809</v>
      </c>
      <c r="AJ142" s="205">
        <f>IFERROR(VLOOKUP(G142,ochalek,11,FALSE),"")</f>
        <v>1.89</v>
      </c>
      <c r="AK142" s="195" t="str">
        <f t="shared" si="54"/>
        <v>Cost-effective</v>
      </c>
      <c r="AL142" s="205">
        <f>IFERROR(VLOOKUP(G142,ochalek,10,FALSE),"")</f>
        <v>1.17</v>
      </c>
      <c r="AM142" s="207" t="str">
        <f t="shared" si="55"/>
        <v>Cost-effective</v>
      </c>
      <c r="AN142" s="205">
        <f>IFERROR(VLOOKUP(G142,woods,6,FALSE),"")</f>
        <v>0.6677477128612227</v>
      </c>
      <c r="AO142" s="195" t="str">
        <f t="shared" si="56"/>
        <v>Cost-effective</v>
      </c>
      <c r="AP142" s="205">
        <f>IFERROR(VLOOKUP(G142,woods,5,FALSE),"")</f>
        <v>0.16578730819497556</v>
      </c>
      <c r="AQ142" s="195" t="str">
        <f t="shared" si="57"/>
        <v>Not cost-effective</v>
      </c>
      <c r="AR142" s="205">
        <f>IFERROR(VLOOKUP(G142,riviere,8,FALSE),"")</f>
        <v>1.3213703099510603</v>
      </c>
      <c r="AS142" s="195" t="str">
        <f t="shared" si="58"/>
        <v>Cost-effective</v>
      </c>
      <c r="AT142" s="205">
        <f>IFERROR(VLOOKUP(G142,riviere,7,FALSE),"")</f>
        <v>0.54765788860405495</v>
      </c>
      <c r="AU142" s="195" t="str">
        <f t="shared" si="59"/>
        <v>Cost-effective</v>
      </c>
      <c r="AV142" s="162" t="s">
        <v>161</v>
      </c>
      <c r="AW142" s="162" t="s">
        <v>162</v>
      </c>
      <c r="AX142" s="210">
        <f t="shared" si="60"/>
        <v>0</v>
      </c>
      <c r="AY142" s="210">
        <f t="shared" si="61"/>
        <v>0</v>
      </c>
      <c r="AZ142" s="197">
        <f t="shared" si="62"/>
        <v>0</v>
      </c>
      <c r="BA142" s="197">
        <f t="shared" si="63"/>
        <v>1</v>
      </c>
      <c r="BB142" s="197">
        <f t="shared" si="64"/>
        <v>0</v>
      </c>
      <c r="BC142" s="197">
        <f t="shared" si="65"/>
        <v>0</v>
      </c>
      <c r="BD142" s="197">
        <f t="shared" si="66"/>
        <v>1</v>
      </c>
      <c r="BE142" s="163" t="s">
        <v>155</v>
      </c>
      <c r="BF142" s="162" t="s">
        <v>163</v>
      </c>
    </row>
    <row r="143" spans="1:58">
      <c r="A143" s="195">
        <f t="shared" si="47"/>
        <v>43</v>
      </c>
      <c r="B143" s="195">
        <f t="shared" si="48"/>
        <v>13</v>
      </c>
      <c r="C143" s="196" t="str">
        <f t="shared" si="46"/>
        <v>4313</v>
      </c>
      <c r="D143" s="159" t="s">
        <v>279</v>
      </c>
      <c r="E143" s="163">
        <v>2013</v>
      </c>
      <c r="F143" s="162" t="s">
        <v>280</v>
      </c>
      <c r="G143" s="182" t="s">
        <v>281</v>
      </c>
      <c r="H143" s="197" t="str">
        <f>IF(VLOOKUP(G143,income,R143-1985,FALSE)="UM","Upper-middle",IF(VLOOKUP(G143,income,R143-1985,FALSE)="LM","Lower-middle",IF(VLOOKUP(G143,income,R143-1985,FALSE)="L","Low")))</f>
        <v>Upper-middle</v>
      </c>
      <c r="I143" s="163">
        <v>0</v>
      </c>
      <c r="J143" s="162" t="s">
        <v>166</v>
      </c>
      <c r="K143" s="162" t="s">
        <v>147</v>
      </c>
      <c r="L143" s="207" t="str">
        <f t="shared" si="49"/>
        <v>PCV10 vs NoVax</v>
      </c>
      <c r="M143" s="162" t="s">
        <v>1552</v>
      </c>
      <c r="N143" s="163" t="s">
        <v>148</v>
      </c>
      <c r="O143" s="162" t="s">
        <v>159</v>
      </c>
      <c r="P143" s="162" t="s">
        <v>150</v>
      </c>
      <c r="Q143" s="162" t="s">
        <v>151</v>
      </c>
      <c r="R143" s="236">
        <v>2008</v>
      </c>
      <c r="S143" s="191">
        <v>20</v>
      </c>
      <c r="T143" s="198">
        <f>IF(ISNUMBER(S143),S143/VLOOKUP($Q143,xRates!$A$1:$BL$267,studies!$R143-xRates!$B$1+2,FALSE),"")</f>
        <v>20</v>
      </c>
      <c r="V143" s="198" t="str">
        <f>IF(ISNUMBER(U143),U143/VLOOKUP($Q143,xRates!$A$1:$BL$267,studies!$R143-xRates!$B$1+2,FALSE),"")</f>
        <v/>
      </c>
      <c r="W143" s="163">
        <v>0</v>
      </c>
      <c r="X143" s="163">
        <v>0</v>
      </c>
      <c r="Y143" s="163">
        <v>1</v>
      </c>
      <c r="Z143" s="163">
        <v>1</v>
      </c>
      <c r="AA143" s="163">
        <v>1</v>
      </c>
      <c r="AB143" s="163" t="s">
        <v>152</v>
      </c>
      <c r="AC143" s="193">
        <v>4594.33</v>
      </c>
      <c r="AD143" s="201">
        <f>IF(ISNUMBER(AC143),AC143/VLOOKUP($Q143,xRates!$A$1:$BL$267,studies!$R143-xRates!$B$1+2,FALSE),"")</f>
        <v>4594.33</v>
      </c>
      <c r="AE143" s="200">
        <f t="shared" si="50"/>
        <v>0</v>
      </c>
      <c r="AF143" s="201">
        <f>VLOOKUP(G143,gdppc,R143-1958,FALSE)</f>
        <v>10590</v>
      </c>
      <c r="AG143" s="195" t="str">
        <f t="shared" si="51"/>
        <v>Cost-effective</v>
      </c>
      <c r="AH143" s="195" t="str">
        <f t="shared" si="52"/>
        <v>Cost-effective</v>
      </c>
      <c r="AI143" s="204">
        <f t="shared" si="53"/>
        <v>0.43383663833805475</v>
      </c>
      <c r="AJ143" s="205">
        <f>IFERROR(VLOOKUP(G143,ochalek,11,FALSE),"")</f>
        <v>0.97</v>
      </c>
      <c r="AK143" s="195" t="str">
        <f t="shared" si="54"/>
        <v>Cost-effective</v>
      </c>
      <c r="AL143" s="205">
        <f>IFERROR(VLOOKUP(G143,ochalek,10,FALSE),"")</f>
        <v>0.64</v>
      </c>
      <c r="AM143" s="207" t="str">
        <f t="shared" si="55"/>
        <v>Cost-effective</v>
      </c>
      <c r="AN143" s="205">
        <f>IFERROR(VLOOKUP(G143,woods,6,FALSE),"")</f>
        <v>0.59633311243649212</v>
      </c>
      <c r="AO143" s="195" t="str">
        <f t="shared" si="56"/>
        <v>Cost-effective</v>
      </c>
      <c r="AP143" s="205">
        <f>IFERROR(VLOOKUP(G143,woods,5,FALSE),"")</f>
        <v>0.21294455489286504</v>
      </c>
      <c r="AQ143" s="195" t="str">
        <f t="shared" si="57"/>
        <v>Not cost-effective</v>
      </c>
      <c r="AR143" s="205">
        <f>IFERROR(VLOOKUP(G143,riviere,8,FALSE),"")</f>
        <v>0.87938205585264406</v>
      </c>
      <c r="AS143" s="195" t="str">
        <f t="shared" si="58"/>
        <v>Cost-effective</v>
      </c>
      <c r="AT143" s="205">
        <f>IFERROR(VLOOKUP(G143,riviere,7,FALSE),"")</f>
        <v>0.36446054472619938</v>
      </c>
      <c r="AU143" s="195" t="str">
        <f t="shared" si="59"/>
        <v>Not cost-effective</v>
      </c>
      <c r="AV143" s="162" t="s">
        <v>161</v>
      </c>
      <c r="AW143" s="162" t="s">
        <v>162</v>
      </c>
      <c r="AX143" s="210">
        <f t="shared" si="60"/>
        <v>0</v>
      </c>
      <c r="AY143" s="210">
        <f t="shared" si="61"/>
        <v>0</v>
      </c>
      <c r="AZ143" s="197">
        <f t="shared" si="62"/>
        <v>0</v>
      </c>
      <c r="BA143" s="197">
        <f t="shared" si="63"/>
        <v>1</v>
      </c>
      <c r="BB143" s="197">
        <f t="shared" si="64"/>
        <v>0</v>
      </c>
      <c r="BC143" s="197">
        <f t="shared" si="65"/>
        <v>1</v>
      </c>
      <c r="BD143" s="197">
        <f t="shared" si="66"/>
        <v>2</v>
      </c>
      <c r="BE143" s="163" t="s">
        <v>155</v>
      </c>
      <c r="BF143" s="162" t="s">
        <v>163</v>
      </c>
    </row>
    <row r="144" spans="1:58">
      <c r="A144" s="195">
        <f t="shared" si="47"/>
        <v>43</v>
      </c>
      <c r="B144" s="195">
        <f t="shared" si="48"/>
        <v>14</v>
      </c>
      <c r="C144" s="196" t="str">
        <f t="shared" si="46"/>
        <v>4314</v>
      </c>
      <c r="D144" s="159" t="s">
        <v>279</v>
      </c>
      <c r="E144" s="163">
        <v>2013</v>
      </c>
      <c r="F144" s="162" t="s">
        <v>280</v>
      </c>
      <c r="G144" s="182" t="s">
        <v>281</v>
      </c>
      <c r="H144" s="197" t="str">
        <f>IF(VLOOKUP(G144,income,R144-1985,FALSE)="UM","Upper-middle",IF(VLOOKUP(G144,income,R144-1985,FALSE)="LM","Lower-middle",IF(VLOOKUP(G144,income,R144-1985,FALSE)="L","Low")))</f>
        <v>Upper-middle</v>
      </c>
      <c r="I144" s="163">
        <v>0</v>
      </c>
      <c r="J144" s="162" t="s">
        <v>166</v>
      </c>
      <c r="K144" s="162" t="s">
        <v>147</v>
      </c>
      <c r="L144" s="207" t="str">
        <f t="shared" si="49"/>
        <v>PCV10 vs NoVax</v>
      </c>
      <c r="M144" s="162" t="s">
        <v>1552</v>
      </c>
      <c r="N144" s="163" t="s">
        <v>155</v>
      </c>
      <c r="O144" s="162" t="s">
        <v>149</v>
      </c>
      <c r="P144" s="162" t="s">
        <v>150</v>
      </c>
      <c r="Q144" s="162" t="s">
        <v>151</v>
      </c>
      <c r="R144" s="236">
        <v>2008</v>
      </c>
      <c r="S144" s="191">
        <v>20</v>
      </c>
      <c r="T144" s="198">
        <f>IF(ISNUMBER(S144),S144/VLOOKUP($Q144,xRates!$A$1:$BL$267,studies!$R144-xRates!$B$1+2,FALSE),"")</f>
        <v>20</v>
      </c>
      <c r="V144" s="198" t="str">
        <f>IF(ISNUMBER(U144),U144/VLOOKUP($Q144,xRates!$A$1:$BL$267,studies!$R144-xRates!$B$1+2,FALSE),"")</f>
        <v/>
      </c>
      <c r="W144" s="163">
        <v>0</v>
      </c>
      <c r="X144" s="163">
        <v>0</v>
      </c>
      <c r="Y144" s="163">
        <v>1</v>
      </c>
      <c r="Z144" s="163">
        <v>1</v>
      </c>
      <c r="AA144" s="163">
        <v>1</v>
      </c>
      <c r="AB144" s="163" t="s">
        <v>152</v>
      </c>
      <c r="AC144" s="193">
        <v>3243.41</v>
      </c>
      <c r="AD144" s="201">
        <f>IF(ISNUMBER(AC144),AC144/VLOOKUP($Q144,xRates!$A$1:$BL$267,studies!$R144-xRates!$B$1+2,FALSE),"")</f>
        <v>3243.41</v>
      </c>
      <c r="AE144" s="200">
        <f t="shared" si="50"/>
        <v>0</v>
      </c>
      <c r="AF144" s="201">
        <f>VLOOKUP(G144,gdppc,R144-1958,FALSE)</f>
        <v>10590</v>
      </c>
      <c r="AG144" s="195" t="str">
        <f t="shared" si="51"/>
        <v>Cost-effective</v>
      </c>
      <c r="AH144" s="195" t="str">
        <f t="shared" si="52"/>
        <v>Cost-effective</v>
      </c>
      <c r="AI144" s="204">
        <f t="shared" si="53"/>
        <v>0.3062710103871577</v>
      </c>
      <c r="AJ144" s="205">
        <f>IFERROR(VLOOKUP(G144,ochalek,11,FALSE),"")</f>
        <v>0.97</v>
      </c>
      <c r="AK144" s="195" t="str">
        <f t="shared" si="54"/>
        <v>Cost-effective</v>
      </c>
      <c r="AL144" s="205">
        <f>IFERROR(VLOOKUP(G144,ochalek,10,FALSE),"")</f>
        <v>0.64</v>
      </c>
      <c r="AM144" s="207" t="str">
        <f t="shared" si="55"/>
        <v>Cost-effective</v>
      </c>
      <c r="AN144" s="205">
        <f>IFERROR(VLOOKUP(G144,woods,6,FALSE),"")</f>
        <v>0.59633311243649212</v>
      </c>
      <c r="AO144" s="195" t="str">
        <f t="shared" si="56"/>
        <v>Cost-effective</v>
      </c>
      <c r="AP144" s="205">
        <f>IFERROR(VLOOKUP(G144,woods,5,FALSE),"")</f>
        <v>0.21294455489286504</v>
      </c>
      <c r="AQ144" s="195" t="str">
        <f t="shared" si="57"/>
        <v>Not cost-effective</v>
      </c>
      <c r="AR144" s="205">
        <f>IFERROR(VLOOKUP(G144,riviere,8,FALSE),"")</f>
        <v>0.87938205585264406</v>
      </c>
      <c r="AS144" s="195" t="str">
        <f t="shared" si="58"/>
        <v>Cost-effective</v>
      </c>
      <c r="AT144" s="205">
        <f>IFERROR(VLOOKUP(G144,riviere,7,FALSE),"")</f>
        <v>0.36446054472619938</v>
      </c>
      <c r="AU144" s="195" t="str">
        <f t="shared" si="59"/>
        <v>Cost-effective</v>
      </c>
      <c r="AV144" s="162" t="s">
        <v>161</v>
      </c>
      <c r="AW144" s="162" t="s">
        <v>162</v>
      </c>
      <c r="AX144" s="210">
        <f t="shared" si="60"/>
        <v>0</v>
      </c>
      <c r="AY144" s="210">
        <f t="shared" si="61"/>
        <v>0</v>
      </c>
      <c r="AZ144" s="197">
        <f t="shared" si="62"/>
        <v>0</v>
      </c>
      <c r="BA144" s="197">
        <f t="shared" si="63"/>
        <v>1</v>
      </c>
      <c r="BB144" s="197">
        <f t="shared" si="64"/>
        <v>0</v>
      </c>
      <c r="BC144" s="197">
        <f t="shared" si="65"/>
        <v>0</v>
      </c>
      <c r="BD144" s="197">
        <f t="shared" si="66"/>
        <v>1</v>
      </c>
      <c r="BE144" s="163" t="s">
        <v>155</v>
      </c>
      <c r="BF144" s="162" t="s">
        <v>163</v>
      </c>
    </row>
    <row r="145" spans="1:58">
      <c r="A145" s="195">
        <f t="shared" si="47"/>
        <v>43</v>
      </c>
      <c r="B145" s="195">
        <f t="shared" si="48"/>
        <v>15</v>
      </c>
      <c r="C145" s="196" t="str">
        <f t="shared" si="46"/>
        <v>4315</v>
      </c>
      <c r="D145" s="159" t="s">
        <v>279</v>
      </c>
      <c r="E145" s="163">
        <v>2013</v>
      </c>
      <c r="F145" s="162" t="s">
        <v>280</v>
      </c>
      <c r="G145" s="182" t="s">
        <v>281</v>
      </c>
      <c r="H145" s="197" t="str">
        <f>IF(VLOOKUP(G145,income,R145-1985,FALSE)="UM","Upper-middle",IF(VLOOKUP(G145,income,R145-1985,FALSE)="LM","Lower-middle",IF(VLOOKUP(G145,income,R145-1985,FALSE)="L","Low")))</f>
        <v>Upper-middle</v>
      </c>
      <c r="I145" s="163">
        <v>0</v>
      </c>
      <c r="J145" s="162" t="s">
        <v>166</v>
      </c>
      <c r="K145" s="162" t="s">
        <v>147</v>
      </c>
      <c r="L145" s="207" t="str">
        <f t="shared" si="49"/>
        <v>PCV10 vs NoVax</v>
      </c>
      <c r="M145" s="162" t="s">
        <v>1552</v>
      </c>
      <c r="N145" s="163" t="s">
        <v>155</v>
      </c>
      <c r="O145" s="162" t="s">
        <v>159</v>
      </c>
      <c r="P145" s="162" t="s">
        <v>150</v>
      </c>
      <c r="Q145" s="162" t="s">
        <v>151</v>
      </c>
      <c r="R145" s="236">
        <v>2008</v>
      </c>
      <c r="S145" s="191">
        <v>20</v>
      </c>
      <c r="T145" s="198">
        <f>IF(ISNUMBER(S145),S145/VLOOKUP($Q145,xRates!$A$1:$BL$267,studies!$R145-xRates!$B$1+2,FALSE),"")</f>
        <v>20</v>
      </c>
      <c r="V145" s="198" t="str">
        <f>IF(ISNUMBER(U145),U145/VLOOKUP($Q145,xRates!$A$1:$BL$267,studies!$R145-xRates!$B$1+2,FALSE),"")</f>
        <v/>
      </c>
      <c r="W145" s="163">
        <v>1</v>
      </c>
      <c r="X145" s="163">
        <v>0</v>
      </c>
      <c r="Y145" s="163">
        <v>1</v>
      </c>
      <c r="Z145" s="163">
        <v>1</v>
      </c>
      <c r="AA145" s="163">
        <v>1</v>
      </c>
      <c r="AB145" s="163" t="s">
        <v>152</v>
      </c>
      <c r="AC145" s="193">
        <v>4144.01</v>
      </c>
      <c r="AD145" s="201">
        <f>IF(ISNUMBER(AC145),AC145/VLOOKUP($Q145,xRates!$A$1:$BL$267,studies!$R145-xRates!$B$1+2,FALSE),"")</f>
        <v>4144.01</v>
      </c>
      <c r="AE145" s="200">
        <f t="shared" si="50"/>
        <v>0</v>
      </c>
      <c r="AF145" s="201">
        <f>VLOOKUP(G145,gdppc,R145-1958,FALSE)</f>
        <v>10590</v>
      </c>
      <c r="AG145" s="195" t="str">
        <f t="shared" si="51"/>
        <v>Cost-effective</v>
      </c>
      <c r="AH145" s="195" t="str">
        <f t="shared" si="52"/>
        <v>Cost-effective</v>
      </c>
      <c r="AI145" s="204">
        <f t="shared" si="53"/>
        <v>0.39131350330500475</v>
      </c>
      <c r="AJ145" s="205">
        <f>IFERROR(VLOOKUP(G145,ochalek,11,FALSE),"")</f>
        <v>0.97</v>
      </c>
      <c r="AK145" s="195" t="str">
        <f t="shared" si="54"/>
        <v>Cost-effective</v>
      </c>
      <c r="AL145" s="205">
        <f>IFERROR(VLOOKUP(G145,ochalek,10,FALSE),"")</f>
        <v>0.64</v>
      </c>
      <c r="AM145" s="207" t="str">
        <f t="shared" si="55"/>
        <v>Cost-effective</v>
      </c>
      <c r="AN145" s="205">
        <f>IFERROR(VLOOKUP(G145,woods,6,FALSE),"")</f>
        <v>0.59633311243649212</v>
      </c>
      <c r="AO145" s="195" t="str">
        <f t="shared" si="56"/>
        <v>Cost-effective</v>
      </c>
      <c r="AP145" s="205">
        <f>IFERROR(VLOOKUP(G145,woods,5,FALSE),"")</f>
        <v>0.21294455489286504</v>
      </c>
      <c r="AQ145" s="195" t="str">
        <f t="shared" si="57"/>
        <v>Not cost-effective</v>
      </c>
      <c r="AR145" s="205">
        <f>IFERROR(VLOOKUP(G145,riviere,8,FALSE),"")</f>
        <v>0.87938205585264406</v>
      </c>
      <c r="AS145" s="195" t="str">
        <f t="shared" si="58"/>
        <v>Cost-effective</v>
      </c>
      <c r="AT145" s="205">
        <f>IFERROR(VLOOKUP(G145,riviere,7,FALSE),"")</f>
        <v>0.36446054472619938</v>
      </c>
      <c r="AU145" s="195" t="str">
        <f t="shared" si="59"/>
        <v>Not cost-effective</v>
      </c>
      <c r="AV145" s="162" t="s">
        <v>161</v>
      </c>
      <c r="AW145" s="162" t="s">
        <v>162</v>
      </c>
      <c r="AX145" s="210">
        <f t="shared" si="60"/>
        <v>0</v>
      </c>
      <c r="AY145" s="210">
        <f t="shared" si="61"/>
        <v>0</v>
      </c>
      <c r="AZ145" s="197">
        <f t="shared" si="62"/>
        <v>0</v>
      </c>
      <c r="BA145" s="197">
        <f t="shared" si="63"/>
        <v>1</v>
      </c>
      <c r="BB145" s="197">
        <f t="shared" si="64"/>
        <v>0</v>
      </c>
      <c r="BC145" s="197">
        <f t="shared" si="65"/>
        <v>1</v>
      </c>
      <c r="BD145" s="197">
        <f t="shared" si="66"/>
        <v>2</v>
      </c>
      <c r="BE145" s="163" t="s">
        <v>155</v>
      </c>
      <c r="BF145" s="162" t="s">
        <v>163</v>
      </c>
    </row>
    <row r="146" spans="1:58">
      <c r="A146" s="195">
        <f t="shared" si="47"/>
        <v>43</v>
      </c>
      <c r="B146" s="195">
        <f t="shared" si="48"/>
        <v>16</v>
      </c>
      <c r="C146" s="196" t="str">
        <f t="shared" si="46"/>
        <v>4316</v>
      </c>
      <c r="D146" s="159" t="s">
        <v>279</v>
      </c>
      <c r="E146" s="163">
        <v>2013</v>
      </c>
      <c r="F146" s="162" t="s">
        <v>280</v>
      </c>
      <c r="G146" s="182" t="s">
        <v>281</v>
      </c>
      <c r="H146" s="197" t="str">
        <f>IF(VLOOKUP(G146,income,R146-1985,FALSE)="UM","Upper-middle",IF(VLOOKUP(G146,income,R146-1985,FALSE)="LM","Lower-middle",IF(VLOOKUP(G146,income,R146-1985,FALSE)="L","Low")))</f>
        <v>Upper-middle</v>
      </c>
      <c r="I146" s="163">
        <v>0</v>
      </c>
      <c r="J146" s="162" t="s">
        <v>166</v>
      </c>
      <c r="K146" s="162" t="s">
        <v>147</v>
      </c>
      <c r="L146" s="207" t="str">
        <f t="shared" si="49"/>
        <v>PCV10 vs NoVax</v>
      </c>
      <c r="M146" s="162" t="s">
        <v>1552</v>
      </c>
      <c r="N146" s="163" t="s">
        <v>155</v>
      </c>
      <c r="O146" s="162" t="s">
        <v>159</v>
      </c>
      <c r="P146" s="162" t="s">
        <v>150</v>
      </c>
      <c r="Q146" s="162" t="s">
        <v>151</v>
      </c>
      <c r="R146" s="236">
        <v>2008</v>
      </c>
      <c r="S146" s="191">
        <v>20</v>
      </c>
      <c r="T146" s="198">
        <f>IF(ISNUMBER(S146),S146/VLOOKUP($Q146,xRates!$A$1:$BL$267,studies!$R146-xRates!$B$1+2,FALSE),"")</f>
        <v>20</v>
      </c>
      <c r="V146" s="198" t="str">
        <f>IF(ISNUMBER(U146),U146/VLOOKUP($Q146,xRates!$A$1:$BL$267,studies!$R146-xRates!$B$1+2,FALSE),"")</f>
        <v/>
      </c>
      <c r="W146" s="163">
        <v>1</v>
      </c>
      <c r="X146" s="163">
        <v>1</v>
      </c>
      <c r="Y146" s="163">
        <v>1</v>
      </c>
      <c r="Z146" s="163">
        <v>1</v>
      </c>
      <c r="AA146" s="163">
        <v>1</v>
      </c>
      <c r="AB146" s="163" t="s">
        <v>152</v>
      </c>
      <c r="AC146" s="193">
        <v>2790.71</v>
      </c>
      <c r="AD146" s="201">
        <f>IF(ISNUMBER(AC146),AC146/VLOOKUP($Q146,xRates!$A$1:$BL$267,studies!$R146-xRates!$B$1+2,FALSE),"")</f>
        <v>2790.71</v>
      </c>
      <c r="AE146" s="200">
        <f t="shared" si="50"/>
        <v>0</v>
      </c>
      <c r="AF146" s="201">
        <f>VLOOKUP(G146,gdppc,R146-1958,FALSE)</f>
        <v>10590</v>
      </c>
      <c r="AG146" s="195" t="str">
        <f t="shared" si="51"/>
        <v>Cost-effective</v>
      </c>
      <c r="AH146" s="195" t="str">
        <f t="shared" si="52"/>
        <v>Cost-effective</v>
      </c>
      <c r="AI146" s="204">
        <f t="shared" si="53"/>
        <v>0.26352313503305003</v>
      </c>
      <c r="AJ146" s="205">
        <f>IFERROR(VLOOKUP(G146,ochalek,11,FALSE),"")</f>
        <v>0.97</v>
      </c>
      <c r="AK146" s="195" t="str">
        <f t="shared" si="54"/>
        <v>Cost-effective</v>
      </c>
      <c r="AL146" s="205">
        <f>IFERROR(VLOOKUP(G146,ochalek,10,FALSE),"")</f>
        <v>0.64</v>
      </c>
      <c r="AM146" s="207" t="str">
        <f t="shared" si="55"/>
        <v>Cost-effective</v>
      </c>
      <c r="AN146" s="205">
        <f>IFERROR(VLOOKUP(G146,woods,6,FALSE),"")</f>
        <v>0.59633311243649212</v>
      </c>
      <c r="AO146" s="195" t="str">
        <f t="shared" si="56"/>
        <v>Cost-effective</v>
      </c>
      <c r="AP146" s="205">
        <f>IFERROR(VLOOKUP(G146,woods,5,FALSE),"")</f>
        <v>0.21294455489286504</v>
      </c>
      <c r="AQ146" s="195" t="str">
        <f t="shared" si="57"/>
        <v>Not cost-effective</v>
      </c>
      <c r="AR146" s="205">
        <f>IFERROR(VLOOKUP(G146,riviere,8,FALSE),"")</f>
        <v>0.87938205585264406</v>
      </c>
      <c r="AS146" s="195" t="str">
        <f t="shared" si="58"/>
        <v>Cost-effective</v>
      </c>
      <c r="AT146" s="205">
        <f>IFERROR(VLOOKUP(G146,riviere,7,FALSE),"")</f>
        <v>0.36446054472619938</v>
      </c>
      <c r="AU146" s="195" t="str">
        <f t="shared" si="59"/>
        <v>Cost-effective</v>
      </c>
      <c r="AV146" s="162" t="s">
        <v>161</v>
      </c>
      <c r="AW146" s="162" t="s">
        <v>162</v>
      </c>
      <c r="AX146" s="210">
        <f t="shared" si="60"/>
        <v>0</v>
      </c>
      <c r="AY146" s="210">
        <f t="shared" si="61"/>
        <v>0</v>
      </c>
      <c r="AZ146" s="197">
        <f t="shared" si="62"/>
        <v>0</v>
      </c>
      <c r="BA146" s="197">
        <f t="shared" si="63"/>
        <v>1</v>
      </c>
      <c r="BB146" s="197">
        <f t="shared" si="64"/>
        <v>0</v>
      </c>
      <c r="BC146" s="197">
        <f t="shared" si="65"/>
        <v>0</v>
      </c>
      <c r="BD146" s="197">
        <f t="shared" si="66"/>
        <v>1</v>
      </c>
      <c r="BE146" s="163" t="s">
        <v>155</v>
      </c>
      <c r="BF146" s="162" t="s">
        <v>163</v>
      </c>
    </row>
    <row r="147" spans="1:58">
      <c r="A147" s="195">
        <f t="shared" si="47"/>
        <v>43</v>
      </c>
      <c r="B147" s="195">
        <f t="shared" si="48"/>
        <v>17</v>
      </c>
      <c r="C147" s="196" t="str">
        <f t="shared" si="46"/>
        <v>4317</v>
      </c>
      <c r="D147" s="159" t="s">
        <v>279</v>
      </c>
      <c r="E147" s="163">
        <v>2013</v>
      </c>
      <c r="F147" s="162" t="s">
        <v>280</v>
      </c>
      <c r="G147" s="182" t="s">
        <v>234</v>
      </c>
      <c r="H147" s="197" t="str">
        <f>IF(VLOOKUP(G147,income,R147-1985,FALSE)="UM","Upper-middle",IF(VLOOKUP(G147,income,R147-1985,FALSE)="LM","Lower-middle",IF(VLOOKUP(G147,income,R147-1985,FALSE)="L","Low")))</f>
        <v>Upper-middle</v>
      </c>
      <c r="I147" s="163">
        <v>0</v>
      </c>
      <c r="J147" s="162" t="s">
        <v>166</v>
      </c>
      <c r="K147" s="162" t="s">
        <v>147</v>
      </c>
      <c r="L147" s="207" t="str">
        <f t="shared" si="49"/>
        <v>PCV10 vs NoVax</v>
      </c>
      <c r="M147" s="162" t="s">
        <v>1552</v>
      </c>
      <c r="N147" s="163" t="s">
        <v>148</v>
      </c>
      <c r="O147" s="162" t="s">
        <v>159</v>
      </c>
      <c r="P147" s="162" t="s">
        <v>150</v>
      </c>
      <c r="Q147" s="162" t="s">
        <v>151</v>
      </c>
      <c r="R147" s="236">
        <v>2009</v>
      </c>
      <c r="S147" s="191">
        <v>20</v>
      </c>
      <c r="T147" s="198">
        <f>IF(ISNUMBER(S147),S147/VLOOKUP($Q147,xRates!$A$1:$BL$267,studies!$R147-xRates!$B$1+2,FALSE),"")</f>
        <v>20</v>
      </c>
      <c r="V147" s="198" t="str">
        <f>IF(ISNUMBER(U147),U147/VLOOKUP($Q147,xRates!$A$1:$BL$267,studies!$R147-xRates!$B$1+2,FALSE),"")</f>
        <v/>
      </c>
      <c r="W147" s="163">
        <v>0</v>
      </c>
      <c r="X147" s="163">
        <v>0</v>
      </c>
      <c r="Y147" s="163">
        <v>1</v>
      </c>
      <c r="Z147" s="163">
        <v>1</v>
      </c>
      <c r="AA147" s="163">
        <v>1</v>
      </c>
      <c r="AB147" s="163" t="s">
        <v>152</v>
      </c>
      <c r="AC147" s="193">
        <v>2975.23</v>
      </c>
      <c r="AD147" s="201">
        <f>IF(ISNUMBER(AC147),AC147/VLOOKUP($Q147,xRates!$A$1:$BL$267,studies!$R147-xRates!$B$1+2,FALSE),"")</f>
        <v>2975.23</v>
      </c>
      <c r="AE147" s="200">
        <f t="shared" si="50"/>
        <v>0</v>
      </c>
      <c r="AF147" s="201">
        <f>VLOOKUP(G147,gdppc,R147-1958,FALSE)</f>
        <v>4165</v>
      </c>
      <c r="AG147" s="195" t="str">
        <f t="shared" si="51"/>
        <v>Cost-effective</v>
      </c>
      <c r="AH147" s="195" t="str">
        <f t="shared" si="52"/>
        <v>Cost-effective</v>
      </c>
      <c r="AI147" s="204">
        <f t="shared" si="53"/>
        <v>0.71434093637454987</v>
      </c>
      <c r="AJ147" s="205">
        <f>IFERROR(VLOOKUP(G147,ochalek,11,FALSE),"")</f>
        <v>1.08</v>
      </c>
      <c r="AK147" s="195" t="str">
        <f t="shared" si="54"/>
        <v>Cost-effective</v>
      </c>
      <c r="AL147" s="205">
        <f>IFERROR(VLOOKUP(G147,ochalek,10,FALSE),"")</f>
        <v>0.64</v>
      </c>
      <c r="AM147" s="207" t="str">
        <f t="shared" si="55"/>
        <v>Not cost-effective</v>
      </c>
      <c r="AN147" s="205">
        <f>IFERROR(VLOOKUP(G147,woods,6,FALSE),"")</f>
        <v>0.65445260705966679</v>
      </c>
      <c r="AO147" s="195" t="str">
        <f t="shared" si="56"/>
        <v>Not cost-effective</v>
      </c>
      <c r="AP147" s="205">
        <f>IFERROR(VLOOKUP(G147,woods,5,FALSE),"")</f>
        <v>0.16633817117601385</v>
      </c>
      <c r="AQ147" s="195" t="str">
        <f t="shared" si="57"/>
        <v>Not cost-effective</v>
      </c>
      <c r="AR147" s="205">
        <f>IFERROR(VLOOKUP(G147,riviere,8,FALSE),"")</f>
        <v>0.89355279235247609</v>
      </c>
      <c r="AS147" s="195" t="str">
        <f t="shared" si="58"/>
        <v>Cost-effective</v>
      </c>
      <c r="AT147" s="205">
        <f>IFERROR(VLOOKUP(G147,riviere,7,FALSE),"")</f>
        <v>0.37030115719111623</v>
      </c>
      <c r="AU147" s="195" t="str">
        <f t="shared" si="59"/>
        <v>Not cost-effective</v>
      </c>
      <c r="AV147" s="162" t="s">
        <v>161</v>
      </c>
      <c r="AW147" s="162" t="s">
        <v>162</v>
      </c>
      <c r="AX147" s="210">
        <f t="shared" si="60"/>
        <v>0</v>
      </c>
      <c r="AY147" s="210">
        <f t="shared" si="61"/>
        <v>1</v>
      </c>
      <c r="AZ147" s="197">
        <f t="shared" si="62"/>
        <v>1</v>
      </c>
      <c r="BA147" s="197">
        <f t="shared" si="63"/>
        <v>1</v>
      </c>
      <c r="BB147" s="197">
        <f t="shared" si="64"/>
        <v>0</v>
      </c>
      <c r="BC147" s="197">
        <f t="shared" si="65"/>
        <v>1</v>
      </c>
      <c r="BD147" s="197">
        <f t="shared" si="66"/>
        <v>4</v>
      </c>
      <c r="BE147" s="163" t="s">
        <v>155</v>
      </c>
      <c r="BF147" s="162" t="s">
        <v>163</v>
      </c>
    </row>
    <row r="148" spans="1:58">
      <c r="A148" s="195">
        <f t="shared" si="47"/>
        <v>43</v>
      </c>
      <c r="B148" s="195">
        <f t="shared" si="48"/>
        <v>18</v>
      </c>
      <c r="C148" s="196" t="str">
        <f t="shared" si="46"/>
        <v>4318</v>
      </c>
      <c r="D148" s="159" t="s">
        <v>279</v>
      </c>
      <c r="E148" s="163">
        <v>2013</v>
      </c>
      <c r="F148" s="162" t="s">
        <v>280</v>
      </c>
      <c r="G148" s="182" t="s">
        <v>234</v>
      </c>
      <c r="H148" s="197" t="str">
        <f>IF(VLOOKUP(G148,income,R148-1985,FALSE)="UM","Upper-middle",IF(VLOOKUP(G148,income,R148-1985,FALSE)="LM","Lower-middle",IF(VLOOKUP(G148,income,R148-1985,FALSE)="L","Low")))</f>
        <v>Upper-middle</v>
      </c>
      <c r="I148" s="163">
        <v>0</v>
      </c>
      <c r="J148" s="162" t="s">
        <v>166</v>
      </c>
      <c r="K148" s="162" t="s">
        <v>147</v>
      </c>
      <c r="L148" s="207" t="str">
        <f t="shared" si="49"/>
        <v>PCV10 vs NoVax</v>
      </c>
      <c r="M148" s="162" t="s">
        <v>1552</v>
      </c>
      <c r="N148" s="163" t="s">
        <v>155</v>
      </c>
      <c r="O148" s="162" t="s">
        <v>149</v>
      </c>
      <c r="P148" s="162" t="s">
        <v>150</v>
      </c>
      <c r="Q148" s="162" t="s">
        <v>151</v>
      </c>
      <c r="R148" s="236">
        <v>2009</v>
      </c>
      <c r="S148" s="191">
        <v>20</v>
      </c>
      <c r="T148" s="198">
        <f>IF(ISNUMBER(S148),S148/VLOOKUP($Q148,xRates!$A$1:$BL$267,studies!$R148-xRates!$B$1+2,FALSE),"")</f>
        <v>20</v>
      </c>
      <c r="V148" s="198" t="str">
        <f>IF(ISNUMBER(U148),U148/VLOOKUP($Q148,xRates!$A$1:$BL$267,studies!$R148-xRates!$B$1+2,FALSE),"")</f>
        <v/>
      </c>
      <c r="W148" s="163">
        <v>0</v>
      </c>
      <c r="X148" s="163">
        <v>0</v>
      </c>
      <c r="Y148" s="163">
        <v>1</v>
      </c>
      <c r="Z148" s="163">
        <v>1</v>
      </c>
      <c r="AA148" s="163">
        <v>1</v>
      </c>
      <c r="AB148" s="163" t="s">
        <v>152</v>
      </c>
      <c r="AC148" s="193">
        <v>1535.87</v>
      </c>
      <c r="AD148" s="201">
        <f>IF(ISNUMBER(AC148),AC148/VLOOKUP($Q148,xRates!$A$1:$BL$267,studies!$R148-xRates!$B$1+2,FALSE),"")</f>
        <v>1535.87</v>
      </c>
      <c r="AE148" s="200">
        <f t="shared" si="50"/>
        <v>0</v>
      </c>
      <c r="AF148" s="201">
        <f>VLOOKUP(G148,gdppc,R148-1958,FALSE)</f>
        <v>4165</v>
      </c>
      <c r="AG148" s="195" t="str">
        <f t="shared" si="51"/>
        <v>Cost-effective</v>
      </c>
      <c r="AH148" s="195" t="str">
        <f t="shared" si="52"/>
        <v>Cost-effective</v>
      </c>
      <c r="AI148" s="204">
        <f t="shared" si="53"/>
        <v>0.36875630252100838</v>
      </c>
      <c r="AJ148" s="205">
        <f>IFERROR(VLOOKUP(G148,ochalek,11,FALSE),"")</f>
        <v>1.08</v>
      </c>
      <c r="AK148" s="195" t="str">
        <f t="shared" si="54"/>
        <v>Cost-effective</v>
      </c>
      <c r="AL148" s="205">
        <f>IFERROR(VLOOKUP(G148,ochalek,10,FALSE),"")</f>
        <v>0.64</v>
      </c>
      <c r="AM148" s="207" t="str">
        <f t="shared" si="55"/>
        <v>Cost-effective</v>
      </c>
      <c r="AN148" s="205">
        <f>IFERROR(VLOOKUP(G148,woods,6,FALSE),"")</f>
        <v>0.65445260705966679</v>
      </c>
      <c r="AO148" s="195" t="str">
        <f t="shared" si="56"/>
        <v>Cost-effective</v>
      </c>
      <c r="AP148" s="205">
        <f>IFERROR(VLOOKUP(G148,woods,5,FALSE),"")</f>
        <v>0.16633817117601385</v>
      </c>
      <c r="AQ148" s="195" t="str">
        <f t="shared" si="57"/>
        <v>Not cost-effective</v>
      </c>
      <c r="AR148" s="205">
        <f>IFERROR(VLOOKUP(G148,riviere,8,FALSE),"")</f>
        <v>0.89355279235247609</v>
      </c>
      <c r="AS148" s="195" t="str">
        <f t="shared" si="58"/>
        <v>Cost-effective</v>
      </c>
      <c r="AT148" s="205">
        <f>IFERROR(VLOOKUP(G148,riviere,7,FALSE),"")</f>
        <v>0.37030115719111623</v>
      </c>
      <c r="AU148" s="195" t="str">
        <f t="shared" si="59"/>
        <v>Cost-effective</v>
      </c>
      <c r="AV148" s="162" t="s">
        <v>161</v>
      </c>
      <c r="AW148" s="162" t="s">
        <v>162</v>
      </c>
      <c r="AX148" s="210">
        <f t="shared" si="60"/>
        <v>0</v>
      </c>
      <c r="AY148" s="210">
        <f t="shared" si="61"/>
        <v>0</v>
      </c>
      <c r="AZ148" s="197">
        <f t="shared" si="62"/>
        <v>0</v>
      </c>
      <c r="BA148" s="197">
        <f t="shared" si="63"/>
        <v>1</v>
      </c>
      <c r="BB148" s="197">
        <f t="shared" si="64"/>
        <v>0</v>
      </c>
      <c r="BC148" s="197">
        <f t="shared" si="65"/>
        <v>0</v>
      </c>
      <c r="BD148" s="197">
        <f t="shared" si="66"/>
        <v>1</v>
      </c>
      <c r="BE148" s="163" t="s">
        <v>155</v>
      </c>
      <c r="BF148" s="162" t="s">
        <v>163</v>
      </c>
    </row>
    <row r="149" spans="1:58">
      <c r="A149" s="195">
        <f t="shared" si="47"/>
        <v>43</v>
      </c>
      <c r="B149" s="195">
        <f t="shared" si="48"/>
        <v>19</v>
      </c>
      <c r="C149" s="196" t="str">
        <f t="shared" si="46"/>
        <v>4319</v>
      </c>
      <c r="D149" s="159" t="s">
        <v>279</v>
      </c>
      <c r="E149" s="163">
        <v>2013</v>
      </c>
      <c r="F149" s="162" t="s">
        <v>280</v>
      </c>
      <c r="G149" s="182" t="s">
        <v>234</v>
      </c>
      <c r="H149" s="197" t="str">
        <f>IF(VLOOKUP(G149,income,R149-1985,FALSE)="UM","Upper-middle",IF(VLOOKUP(G149,income,R149-1985,FALSE)="LM","Lower-middle",IF(VLOOKUP(G149,income,R149-1985,FALSE)="L","Low")))</f>
        <v>Upper-middle</v>
      </c>
      <c r="I149" s="163">
        <v>0</v>
      </c>
      <c r="J149" s="162" t="s">
        <v>166</v>
      </c>
      <c r="K149" s="162" t="s">
        <v>147</v>
      </c>
      <c r="L149" s="207" t="str">
        <f t="shared" si="49"/>
        <v>PCV10 vs NoVax</v>
      </c>
      <c r="M149" s="162" t="s">
        <v>1552</v>
      </c>
      <c r="N149" s="163" t="s">
        <v>155</v>
      </c>
      <c r="O149" s="162" t="s">
        <v>159</v>
      </c>
      <c r="P149" s="162" t="s">
        <v>150</v>
      </c>
      <c r="Q149" s="162" t="s">
        <v>151</v>
      </c>
      <c r="R149" s="236">
        <v>2009</v>
      </c>
      <c r="S149" s="191">
        <v>20</v>
      </c>
      <c r="T149" s="198">
        <f>IF(ISNUMBER(S149),S149/VLOOKUP($Q149,xRates!$A$1:$BL$267,studies!$R149-xRates!$B$1+2,FALSE),"")</f>
        <v>20</v>
      </c>
      <c r="V149" s="198" t="str">
        <f>IF(ISNUMBER(U149),U149/VLOOKUP($Q149,xRates!$A$1:$BL$267,studies!$R149-xRates!$B$1+2,FALSE),"")</f>
        <v/>
      </c>
      <c r="W149" s="163">
        <v>1</v>
      </c>
      <c r="X149" s="163">
        <v>0</v>
      </c>
      <c r="Y149" s="163">
        <v>1</v>
      </c>
      <c r="Z149" s="163">
        <v>1</v>
      </c>
      <c r="AA149" s="163">
        <v>1</v>
      </c>
      <c r="AB149" s="163" t="s">
        <v>152</v>
      </c>
      <c r="AC149" s="193">
        <v>2920.73</v>
      </c>
      <c r="AD149" s="201">
        <f>IF(ISNUMBER(AC149),AC149/VLOOKUP($Q149,xRates!$A$1:$BL$267,studies!$R149-xRates!$B$1+2,FALSE),"")</f>
        <v>2920.73</v>
      </c>
      <c r="AE149" s="200">
        <f t="shared" si="50"/>
        <v>0</v>
      </c>
      <c r="AF149" s="201">
        <f>VLOOKUP(G149,gdppc,R149-1958,FALSE)</f>
        <v>4165</v>
      </c>
      <c r="AG149" s="195" t="str">
        <f t="shared" si="51"/>
        <v>Cost-effective</v>
      </c>
      <c r="AH149" s="195" t="str">
        <f t="shared" si="52"/>
        <v>Cost-effective</v>
      </c>
      <c r="AI149" s="204">
        <f t="shared" si="53"/>
        <v>0.70125570228091239</v>
      </c>
      <c r="AJ149" s="205">
        <f>IFERROR(VLOOKUP(G149,ochalek,11,FALSE),"")</f>
        <v>1.08</v>
      </c>
      <c r="AK149" s="195" t="str">
        <f t="shared" si="54"/>
        <v>Cost-effective</v>
      </c>
      <c r="AL149" s="205">
        <f>IFERROR(VLOOKUP(G149,ochalek,10,FALSE),"")</f>
        <v>0.64</v>
      </c>
      <c r="AM149" s="207" t="str">
        <f t="shared" si="55"/>
        <v>Not cost-effective</v>
      </c>
      <c r="AN149" s="205">
        <f>IFERROR(VLOOKUP(G149,woods,6,FALSE),"")</f>
        <v>0.65445260705966679</v>
      </c>
      <c r="AO149" s="195" t="str">
        <f t="shared" si="56"/>
        <v>Not cost-effective</v>
      </c>
      <c r="AP149" s="205">
        <f>IFERROR(VLOOKUP(G149,woods,5,FALSE),"")</f>
        <v>0.16633817117601385</v>
      </c>
      <c r="AQ149" s="195" t="str">
        <f t="shared" si="57"/>
        <v>Not cost-effective</v>
      </c>
      <c r="AR149" s="205">
        <f>IFERROR(VLOOKUP(G149,riviere,8,FALSE),"")</f>
        <v>0.89355279235247609</v>
      </c>
      <c r="AS149" s="195" t="str">
        <f t="shared" si="58"/>
        <v>Cost-effective</v>
      </c>
      <c r="AT149" s="205">
        <f>IFERROR(VLOOKUP(G149,riviere,7,FALSE),"")</f>
        <v>0.37030115719111623</v>
      </c>
      <c r="AU149" s="195" t="str">
        <f t="shared" si="59"/>
        <v>Not cost-effective</v>
      </c>
      <c r="AV149" s="162" t="s">
        <v>161</v>
      </c>
      <c r="AW149" s="162" t="s">
        <v>162</v>
      </c>
      <c r="AX149" s="210">
        <f t="shared" si="60"/>
        <v>0</v>
      </c>
      <c r="AY149" s="210">
        <f t="shared" si="61"/>
        <v>1</v>
      </c>
      <c r="AZ149" s="197">
        <f t="shared" si="62"/>
        <v>1</v>
      </c>
      <c r="BA149" s="197">
        <f t="shared" si="63"/>
        <v>1</v>
      </c>
      <c r="BB149" s="197">
        <f t="shared" si="64"/>
        <v>0</v>
      </c>
      <c r="BC149" s="197">
        <f t="shared" si="65"/>
        <v>1</v>
      </c>
      <c r="BD149" s="197">
        <f t="shared" si="66"/>
        <v>4</v>
      </c>
      <c r="BE149" s="163" t="s">
        <v>155</v>
      </c>
      <c r="BF149" s="162" t="s">
        <v>163</v>
      </c>
    </row>
    <row r="150" spans="1:58">
      <c r="A150" s="195">
        <f t="shared" si="47"/>
        <v>43</v>
      </c>
      <c r="B150" s="195">
        <f t="shared" si="48"/>
        <v>20</v>
      </c>
      <c r="C150" s="196" t="str">
        <f t="shared" si="46"/>
        <v>4320</v>
      </c>
      <c r="D150" s="159" t="s">
        <v>279</v>
      </c>
      <c r="E150" s="163">
        <v>2013</v>
      </c>
      <c r="F150" s="162" t="s">
        <v>280</v>
      </c>
      <c r="G150" s="182" t="s">
        <v>234</v>
      </c>
      <c r="H150" s="197" t="str">
        <f>IF(VLOOKUP(G150,income,R150-1985,FALSE)="UM","Upper-middle",IF(VLOOKUP(G150,income,R150-1985,FALSE)="LM","Lower-middle",IF(VLOOKUP(G150,income,R150-1985,FALSE)="L","Low")))</f>
        <v>Upper-middle</v>
      </c>
      <c r="I150" s="163">
        <v>0</v>
      </c>
      <c r="J150" s="162" t="s">
        <v>166</v>
      </c>
      <c r="K150" s="162" t="s">
        <v>147</v>
      </c>
      <c r="L150" s="207" t="str">
        <f t="shared" si="49"/>
        <v>PCV10 vs NoVax</v>
      </c>
      <c r="M150" s="162" t="s">
        <v>1552</v>
      </c>
      <c r="N150" s="163" t="s">
        <v>155</v>
      </c>
      <c r="O150" s="162" t="s">
        <v>159</v>
      </c>
      <c r="P150" s="162" t="s">
        <v>150</v>
      </c>
      <c r="Q150" s="162" t="s">
        <v>151</v>
      </c>
      <c r="R150" s="236">
        <v>2009</v>
      </c>
      <c r="S150" s="191">
        <v>20</v>
      </c>
      <c r="T150" s="198">
        <f>IF(ISNUMBER(S150),S150/VLOOKUP($Q150,xRates!$A$1:$BL$267,studies!$R150-xRates!$B$1+2,FALSE),"")</f>
        <v>20</v>
      </c>
      <c r="V150" s="198" t="str">
        <f>IF(ISNUMBER(U150),U150/VLOOKUP($Q150,xRates!$A$1:$BL$267,studies!$R150-xRates!$B$1+2,FALSE),"")</f>
        <v/>
      </c>
      <c r="W150" s="163">
        <v>1</v>
      </c>
      <c r="X150" s="163">
        <v>1</v>
      </c>
      <c r="Y150" s="163">
        <v>1</v>
      </c>
      <c r="Z150" s="163">
        <v>1</v>
      </c>
      <c r="AA150" s="163">
        <v>1</v>
      </c>
      <c r="AB150" s="163" t="s">
        <v>152</v>
      </c>
      <c r="AC150" s="193">
        <v>1478.95</v>
      </c>
      <c r="AD150" s="201">
        <f>IF(ISNUMBER(AC150),AC150/VLOOKUP($Q150,xRates!$A$1:$BL$267,studies!$R150-xRates!$B$1+2,FALSE),"")</f>
        <v>1478.95</v>
      </c>
      <c r="AE150" s="200">
        <f t="shared" si="50"/>
        <v>0</v>
      </c>
      <c r="AF150" s="201">
        <f>VLOOKUP(G150,gdppc,R150-1958,FALSE)</f>
        <v>4165</v>
      </c>
      <c r="AG150" s="195" t="str">
        <f t="shared" si="51"/>
        <v>Cost-effective</v>
      </c>
      <c r="AH150" s="195" t="str">
        <f t="shared" si="52"/>
        <v>Cost-effective</v>
      </c>
      <c r="AI150" s="204">
        <f t="shared" si="53"/>
        <v>0.35509003601440575</v>
      </c>
      <c r="AJ150" s="205">
        <f>IFERROR(VLOOKUP(G150,ochalek,11,FALSE),"")</f>
        <v>1.08</v>
      </c>
      <c r="AK150" s="195" t="str">
        <f t="shared" si="54"/>
        <v>Cost-effective</v>
      </c>
      <c r="AL150" s="205">
        <f>IFERROR(VLOOKUP(G150,ochalek,10,FALSE),"")</f>
        <v>0.64</v>
      </c>
      <c r="AM150" s="207" t="str">
        <f t="shared" si="55"/>
        <v>Cost-effective</v>
      </c>
      <c r="AN150" s="205">
        <f>IFERROR(VLOOKUP(G150,woods,6,FALSE),"")</f>
        <v>0.65445260705966679</v>
      </c>
      <c r="AO150" s="195" t="str">
        <f t="shared" si="56"/>
        <v>Cost-effective</v>
      </c>
      <c r="AP150" s="205">
        <f>IFERROR(VLOOKUP(G150,woods,5,FALSE),"")</f>
        <v>0.16633817117601385</v>
      </c>
      <c r="AQ150" s="195" t="str">
        <f t="shared" si="57"/>
        <v>Not cost-effective</v>
      </c>
      <c r="AR150" s="205">
        <f>IFERROR(VLOOKUP(G150,riviere,8,FALSE),"")</f>
        <v>0.89355279235247609</v>
      </c>
      <c r="AS150" s="195" t="str">
        <f t="shared" si="58"/>
        <v>Cost-effective</v>
      </c>
      <c r="AT150" s="205">
        <f>IFERROR(VLOOKUP(G150,riviere,7,FALSE),"")</f>
        <v>0.37030115719111623</v>
      </c>
      <c r="AU150" s="195" t="str">
        <f t="shared" si="59"/>
        <v>Cost-effective</v>
      </c>
      <c r="AV150" s="162" t="s">
        <v>161</v>
      </c>
      <c r="AW150" s="162" t="s">
        <v>162</v>
      </c>
      <c r="AX150" s="210">
        <f t="shared" si="60"/>
        <v>0</v>
      </c>
      <c r="AY150" s="210">
        <f t="shared" si="61"/>
        <v>0</v>
      </c>
      <c r="AZ150" s="197">
        <f t="shared" si="62"/>
        <v>0</v>
      </c>
      <c r="BA150" s="197">
        <f t="shared" si="63"/>
        <v>1</v>
      </c>
      <c r="BB150" s="197">
        <f t="shared" si="64"/>
        <v>0</v>
      </c>
      <c r="BC150" s="197">
        <f t="shared" si="65"/>
        <v>0</v>
      </c>
      <c r="BD150" s="197">
        <f t="shared" si="66"/>
        <v>1</v>
      </c>
      <c r="BE150" s="163" t="s">
        <v>155</v>
      </c>
      <c r="BF150" s="162" t="s">
        <v>163</v>
      </c>
    </row>
    <row r="151" spans="1:58">
      <c r="A151" s="195">
        <f t="shared" si="47"/>
        <v>44</v>
      </c>
      <c r="B151" s="195">
        <f t="shared" si="48"/>
        <v>1</v>
      </c>
      <c r="C151" s="196" t="str">
        <f t="shared" si="46"/>
        <v>4401</v>
      </c>
      <c r="D151" s="159" t="s">
        <v>58</v>
      </c>
      <c r="E151" s="163">
        <v>2010</v>
      </c>
      <c r="F151" s="162" t="s">
        <v>282</v>
      </c>
      <c r="G151" s="182" t="s">
        <v>221</v>
      </c>
      <c r="H151" s="197" t="str">
        <f>IF(VLOOKUP(G151,income,R151-1985,FALSE)="UM","Upper-middle",IF(VLOOKUP(G151,income,R151-1985,FALSE)="LM","Lower-middle",IF(VLOOKUP(G151,income,R151-1985,FALSE)="L","Low")))</f>
        <v>Upper-middle</v>
      </c>
      <c r="I151" s="163">
        <v>0</v>
      </c>
      <c r="J151" s="162" t="s">
        <v>146</v>
      </c>
      <c r="K151" s="162" t="s">
        <v>147</v>
      </c>
      <c r="L151" s="207" t="str">
        <f t="shared" si="49"/>
        <v>PCV7 vs NoVax</v>
      </c>
      <c r="M151" s="162" t="s">
        <v>1552</v>
      </c>
      <c r="N151" s="163" t="s">
        <v>148</v>
      </c>
      <c r="O151" s="162" t="s">
        <v>149</v>
      </c>
      <c r="P151" s="162" t="s">
        <v>150</v>
      </c>
      <c r="Q151" s="162" t="s">
        <v>151</v>
      </c>
      <c r="R151" s="163">
        <v>2007</v>
      </c>
      <c r="S151" s="191">
        <v>26.5</v>
      </c>
      <c r="T151" s="198">
        <f>IF(ISNUMBER(S151),S151/VLOOKUP($Q151,xRates!$A$1:$BL$267,studies!$R151-xRates!$B$1+2,FALSE),"")</f>
        <v>26.5</v>
      </c>
      <c r="V151" s="198" t="str">
        <f>IF(ISNUMBER(U151),U151/VLOOKUP($Q151,xRates!$A$1:$BL$267,studies!$R151-xRates!$B$1+2,FALSE),"")</f>
        <v/>
      </c>
      <c r="W151" s="163">
        <v>0</v>
      </c>
      <c r="X151" s="163">
        <v>0</v>
      </c>
      <c r="Y151" s="163">
        <v>1</v>
      </c>
      <c r="Z151" s="163">
        <v>1</v>
      </c>
      <c r="AA151" s="163">
        <v>1</v>
      </c>
      <c r="AB151" s="163" t="s">
        <v>263</v>
      </c>
      <c r="AC151" s="193">
        <v>5599.42</v>
      </c>
      <c r="AD151" s="201">
        <f>IF(ISNUMBER(AC151),AC151/VLOOKUP($Q151,xRates!$A$1:$BL$267,studies!$R151-xRates!$B$1+2,FALSE),"")</f>
        <v>5599.42</v>
      </c>
      <c r="AE151" s="200">
        <f t="shared" si="50"/>
        <v>0</v>
      </c>
      <c r="AF151" s="201">
        <f>VLOOKUP(G151,gdppc,R151-1958,FALSE)</f>
        <v>7210.6</v>
      </c>
      <c r="AG151" s="195" t="str">
        <f t="shared" si="51"/>
        <v>Cost-effective</v>
      </c>
      <c r="AH151" s="195" t="str">
        <f t="shared" si="52"/>
        <v>Cost-effective</v>
      </c>
      <c r="AI151" s="204">
        <f t="shared" si="53"/>
        <v>0.77655396222228379</v>
      </c>
      <c r="AJ151" s="205">
        <f>IFERROR(VLOOKUP(G151,ochalek,11,FALSE),"")</f>
        <v>0.56000000000000005</v>
      </c>
      <c r="AK151" s="195" t="str">
        <f t="shared" si="54"/>
        <v>Not cost-effective</v>
      </c>
      <c r="AL151" s="205">
        <f>IFERROR(VLOOKUP(G151,ochalek,10,FALSE),"")</f>
        <v>0.37</v>
      </c>
      <c r="AM151" s="207" t="str">
        <f t="shared" si="55"/>
        <v>Not cost-effective</v>
      </c>
      <c r="AN151" s="205" t="str">
        <f>IFERROR(VLOOKUP(G151,woods,6,FALSE),"")</f>
        <v/>
      </c>
      <c r="AO151" s="195" t="str">
        <f t="shared" si="56"/>
        <v>NA</v>
      </c>
      <c r="AP151" s="205" t="str">
        <f>IFERROR(VLOOKUP(G151,woods,5,FALSE),"")</f>
        <v/>
      </c>
      <c r="AQ151" s="195" t="str">
        <f t="shared" si="57"/>
        <v>NA</v>
      </c>
      <c r="AR151" s="205">
        <f>IFERROR(VLOOKUP(G151,riviere,8,FALSE),"")</f>
        <v>1.6478818109738349</v>
      </c>
      <c r="AS151" s="195" t="str">
        <f t="shared" si="58"/>
        <v>Cost-effective</v>
      </c>
      <c r="AT151" s="205">
        <f>IFERROR(VLOOKUP(G151,riviere,7,FALSE),"")</f>
        <v>0.68297921454881216</v>
      </c>
      <c r="AU151" s="195" t="str">
        <f t="shared" si="59"/>
        <v>Not cost-effective</v>
      </c>
      <c r="AV151" s="162" t="s">
        <v>153</v>
      </c>
      <c r="AW151" s="162" t="s">
        <v>162</v>
      </c>
      <c r="AX151" s="210">
        <f t="shared" si="60"/>
        <v>1</v>
      </c>
      <c r="AY151" s="210">
        <f t="shared" si="61"/>
        <v>1</v>
      </c>
      <c r="AZ151" s="197">
        <f t="shared" si="62"/>
        <v>0</v>
      </c>
      <c r="BA151" s="197">
        <f t="shared" si="63"/>
        <v>0</v>
      </c>
      <c r="BB151" s="197">
        <f t="shared" si="64"/>
        <v>0</v>
      </c>
      <c r="BC151" s="197">
        <f t="shared" si="65"/>
        <v>1</v>
      </c>
      <c r="BD151" s="197">
        <f t="shared" si="66"/>
        <v>3</v>
      </c>
      <c r="BE151" s="163" t="s">
        <v>148</v>
      </c>
      <c r="BF151" s="162" t="s">
        <v>163</v>
      </c>
    </row>
    <row r="152" spans="1:58">
      <c r="A152" s="195">
        <f t="shared" si="47"/>
        <v>44</v>
      </c>
      <c r="B152" s="195">
        <f t="shared" si="48"/>
        <v>2</v>
      </c>
      <c r="C152" s="196" t="str">
        <f t="shared" si="46"/>
        <v>4402</v>
      </c>
      <c r="D152" s="159" t="s">
        <v>58</v>
      </c>
      <c r="E152" s="163">
        <v>2010</v>
      </c>
      <c r="F152" s="162" t="s">
        <v>282</v>
      </c>
      <c r="G152" s="182" t="s">
        <v>221</v>
      </c>
      <c r="H152" s="197" t="str">
        <f>IF(VLOOKUP(G152,income,R152-1985,FALSE)="UM","Upper-middle",IF(VLOOKUP(G152,income,R152-1985,FALSE)="LM","Lower-middle",IF(VLOOKUP(G152,income,R152-1985,FALSE)="L","Low")))</f>
        <v>Upper-middle</v>
      </c>
      <c r="I152" s="163">
        <v>0</v>
      </c>
      <c r="J152" s="162" t="s">
        <v>146</v>
      </c>
      <c r="K152" s="162" t="s">
        <v>147</v>
      </c>
      <c r="L152" s="207" t="str">
        <f t="shared" si="49"/>
        <v>PCV7 vs NoVax</v>
      </c>
      <c r="M152" s="162" t="s">
        <v>1552</v>
      </c>
      <c r="N152" s="163" t="s">
        <v>155</v>
      </c>
      <c r="O152" s="162" t="s">
        <v>149</v>
      </c>
      <c r="P152" s="162" t="s">
        <v>150</v>
      </c>
      <c r="Q152" s="162" t="s">
        <v>151</v>
      </c>
      <c r="R152" s="163">
        <v>2007</v>
      </c>
      <c r="S152" s="191">
        <v>26.5</v>
      </c>
      <c r="T152" s="198">
        <f>IF(ISNUMBER(S152),S152/VLOOKUP($Q152,xRates!$A$1:$BL$267,studies!$R152-xRates!$B$1+2,FALSE),"")</f>
        <v>26.5</v>
      </c>
      <c r="V152" s="198" t="str">
        <f>IF(ISNUMBER(U152),U152/VLOOKUP($Q152,xRates!$A$1:$BL$267,studies!$R152-xRates!$B$1+2,FALSE),"")</f>
        <v/>
      </c>
      <c r="W152" s="163">
        <v>1</v>
      </c>
      <c r="X152" s="163">
        <v>0</v>
      </c>
      <c r="Y152" s="163">
        <v>1</v>
      </c>
      <c r="Z152" s="163">
        <v>1</v>
      </c>
      <c r="AA152" s="163">
        <v>1</v>
      </c>
      <c r="AB152" s="163" t="s">
        <v>263</v>
      </c>
      <c r="AC152" s="193">
        <v>2821.83</v>
      </c>
      <c r="AD152" s="201">
        <f>IF(ISNUMBER(AC152),AC152/VLOOKUP($Q152,xRates!$A$1:$BL$267,studies!$R152-xRates!$B$1+2,FALSE),"")</f>
        <v>2821.83</v>
      </c>
      <c r="AE152" s="200">
        <f t="shared" si="50"/>
        <v>0</v>
      </c>
      <c r="AF152" s="201">
        <f>VLOOKUP(G152,gdppc,R152-1958,FALSE)</f>
        <v>7210.6</v>
      </c>
      <c r="AG152" s="195" t="str">
        <f t="shared" si="51"/>
        <v>Cost-effective</v>
      </c>
      <c r="AH152" s="195" t="str">
        <f t="shared" si="52"/>
        <v>Cost-effective</v>
      </c>
      <c r="AI152" s="204">
        <f t="shared" si="53"/>
        <v>0.39134468698860009</v>
      </c>
      <c r="AJ152" s="205">
        <f>IFERROR(VLOOKUP(G152,ochalek,11,FALSE),"")</f>
        <v>0.56000000000000005</v>
      </c>
      <c r="AK152" s="195" t="str">
        <f t="shared" si="54"/>
        <v>Cost-effective</v>
      </c>
      <c r="AL152" s="205">
        <f>IFERROR(VLOOKUP(G152,ochalek,10,FALSE),"")</f>
        <v>0.37</v>
      </c>
      <c r="AM152" s="207" t="str">
        <f t="shared" si="55"/>
        <v>Not cost-effective</v>
      </c>
      <c r="AN152" s="205" t="str">
        <f>IFERROR(VLOOKUP(G152,woods,6,FALSE),"")</f>
        <v/>
      </c>
      <c r="AO152" s="195" t="str">
        <f t="shared" si="56"/>
        <v>NA</v>
      </c>
      <c r="AP152" s="205" t="str">
        <f>IFERROR(VLOOKUP(G152,woods,5,FALSE),"")</f>
        <v/>
      </c>
      <c r="AQ152" s="195" t="str">
        <f t="shared" si="57"/>
        <v>NA</v>
      </c>
      <c r="AR152" s="205">
        <f>IFERROR(VLOOKUP(G152,riviere,8,FALSE),"")</f>
        <v>1.6478818109738349</v>
      </c>
      <c r="AS152" s="195" t="str">
        <f t="shared" si="58"/>
        <v>Cost-effective</v>
      </c>
      <c r="AT152" s="205">
        <f>IFERROR(VLOOKUP(G152,riviere,7,FALSE),"")</f>
        <v>0.68297921454881216</v>
      </c>
      <c r="AU152" s="195" t="str">
        <f t="shared" si="59"/>
        <v>Cost-effective</v>
      </c>
      <c r="AV152" s="162" t="s">
        <v>153</v>
      </c>
      <c r="AW152" s="162" t="s">
        <v>162</v>
      </c>
      <c r="AX152" s="210">
        <f t="shared" si="60"/>
        <v>0</v>
      </c>
      <c r="AY152" s="210">
        <f t="shared" si="61"/>
        <v>1</v>
      </c>
      <c r="AZ152" s="197">
        <f t="shared" si="62"/>
        <v>0</v>
      </c>
      <c r="BA152" s="197">
        <f t="shared" si="63"/>
        <v>0</v>
      </c>
      <c r="BB152" s="197">
        <f t="shared" si="64"/>
        <v>0</v>
      </c>
      <c r="BC152" s="197">
        <f t="shared" si="65"/>
        <v>0</v>
      </c>
      <c r="BD152" s="197">
        <f t="shared" si="66"/>
        <v>1</v>
      </c>
      <c r="BE152" s="163" t="s">
        <v>148</v>
      </c>
      <c r="BF152" s="162" t="s">
        <v>163</v>
      </c>
    </row>
    <row r="153" spans="1:58">
      <c r="A153" s="195">
        <f t="shared" si="47"/>
        <v>44</v>
      </c>
      <c r="B153" s="195">
        <f t="shared" si="48"/>
        <v>3</v>
      </c>
      <c r="C153" s="196" t="str">
        <f t="shared" si="46"/>
        <v>4403</v>
      </c>
      <c r="D153" s="159" t="s">
        <v>58</v>
      </c>
      <c r="E153" s="163">
        <v>2010</v>
      </c>
      <c r="F153" s="162" t="s">
        <v>282</v>
      </c>
      <c r="G153" s="182" t="s">
        <v>221</v>
      </c>
      <c r="H153" s="197" t="str">
        <f>IF(VLOOKUP(G153,income,R153-1985,FALSE)="UM","Upper-middle",IF(VLOOKUP(G153,income,R153-1985,FALSE)="LM","Lower-middle",IF(VLOOKUP(G153,income,R153-1985,FALSE)="L","Low")))</f>
        <v>Upper-middle</v>
      </c>
      <c r="I153" s="163">
        <v>0</v>
      </c>
      <c r="J153" s="162" t="s">
        <v>146</v>
      </c>
      <c r="K153" s="162" t="s">
        <v>147</v>
      </c>
      <c r="L153" s="207" t="str">
        <f t="shared" si="49"/>
        <v>PCV7 vs NoVax</v>
      </c>
      <c r="M153" s="162" t="s">
        <v>1552</v>
      </c>
      <c r="N153" s="163" t="s">
        <v>155</v>
      </c>
      <c r="O153" s="162" t="s">
        <v>159</v>
      </c>
      <c r="P153" s="162" t="s">
        <v>150</v>
      </c>
      <c r="Q153" s="162" t="s">
        <v>151</v>
      </c>
      <c r="R153" s="163">
        <v>2007</v>
      </c>
      <c r="S153" s="191">
        <v>26.5</v>
      </c>
      <c r="T153" s="198">
        <f>IF(ISNUMBER(S153),S153/VLOOKUP($Q153,xRates!$A$1:$BL$267,studies!$R153-xRates!$B$1+2,FALSE),"")</f>
        <v>26.5</v>
      </c>
      <c r="V153" s="198" t="str">
        <f>IF(ISNUMBER(U153),U153/VLOOKUP($Q153,xRates!$A$1:$BL$267,studies!$R153-xRates!$B$1+2,FALSE),"")</f>
        <v/>
      </c>
      <c r="W153" s="163">
        <v>0</v>
      </c>
      <c r="X153" s="163">
        <v>0</v>
      </c>
      <c r="Y153" s="163">
        <v>1</v>
      </c>
      <c r="Z153" s="163">
        <v>1</v>
      </c>
      <c r="AA153" s="163">
        <v>1</v>
      </c>
      <c r="AB153" s="163" t="s">
        <v>263</v>
      </c>
      <c r="AC153" s="193">
        <v>5827.76</v>
      </c>
      <c r="AD153" s="201">
        <f>IF(ISNUMBER(AC153),AC153/VLOOKUP($Q153,xRates!$A$1:$BL$267,studies!$R153-xRates!$B$1+2,FALSE),"")</f>
        <v>5827.76</v>
      </c>
      <c r="AE153" s="200">
        <f t="shared" si="50"/>
        <v>0</v>
      </c>
      <c r="AF153" s="201">
        <f>VLOOKUP(G153,gdppc,R153-1958,FALSE)</f>
        <v>7210.6</v>
      </c>
      <c r="AG153" s="195" t="str">
        <f t="shared" si="51"/>
        <v>Cost-effective</v>
      </c>
      <c r="AH153" s="195" t="str">
        <f t="shared" si="52"/>
        <v>Cost-effective</v>
      </c>
      <c r="AI153" s="204">
        <f t="shared" si="53"/>
        <v>0.80822122985604528</v>
      </c>
      <c r="AJ153" s="205">
        <f>IFERROR(VLOOKUP(G153,ochalek,11,FALSE),"")</f>
        <v>0.56000000000000005</v>
      </c>
      <c r="AK153" s="195" t="str">
        <f t="shared" si="54"/>
        <v>Not cost-effective</v>
      </c>
      <c r="AL153" s="205">
        <f>IFERROR(VLOOKUP(G153,ochalek,10,FALSE),"")</f>
        <v>0.37</v>
      </c>
      <c r="AM153" s="207" t="str">
        <f t="shared" si="55"/>
        <v>Not cost-effective</v>
      </c>
      <c r="AN153" s="205" t="str">
        <f>IFERROR(VLOOKUP(G153,woods,6,FALSE),"")</f>
        <v/>
      </c>
      <c r="AO153" s="195" t="str">
        <f t="shared" si="56"/>
        <v>NA</v>
      </c>
      <c r="AP153" s="205" t="str">
        <f>IFERROR(VLOOKUP(G153,woods,5,FALSE),"")</f>
        <v/>
      </c>
      <c r="AQ153" s="195" t="str">
        <f t="shared" si="57"/>
        <v>NA</v>
      </c>
      <c r="AR153" s="205">
        <f>IFERROR(VLOOKUP(G153,riviere,8,FALSE),"")</f>
        <v>1.6478818109738349</v>
      </c>
      <c r="AS153" s="195" t="str">
        <f t="shared" si="58"/>
        <v>Cost-effective</v>
      </c>
      <c r="AT153" s="205">
        <f>IFERROR(VLOOKUP(G153,riviere,7,FALSE),"")</f>
        <v>0.68297921454881216</v>
      </c>
      <c r="AU153" s="195" t="str">
        <f t="shared" si="59"/>
        <v>Not cost-effective</v>
      </c>
      <c r="AV153" s="162" t="s">
        <v>153</v>
      </c>
      <c r="AW153" s="162" t="s">
        <v>162</v>
      </c>
      <c r="AX153" s="210">
        <f t="shared" si="60"/>
        <v>1</v>
      </c>
      <c r="AY153" s="210">
        <f t="shared" si="61"/>
        <v>1</v>
      </c>
      <c r="AZ153" s="197">
        <f t="shared" si="62"/>
        <v>0</v>
      </c>
      <c r="BA153" s="197">
        <f t="shared" si="63"/>
        <v>0</v>
      </c>
      <c r="BB153" s="197">
        <f t="shared" si="64"/>
        <v>0</v>
      </c>
      <c r="BC153" s="197">
        <f t="shared" si="65"/>
        <v>1</v>
      </c>
      <c r="BD153" s="197">
        <f t="shared" si="66"/>
        <v>3</v>
      </c>
      <c r="BE153" s="163" t="s">
        <v>148</v>
      </c>
      <c r="BF153" s="162" t="s">
        <v>163</v>
      </c>
    </row>
    <row r="154" spans="1:58">
      <c r="A154" s="195">
        <f t="shared" si="47"/>
        <v>45</v>
      </c>
      <c r="B154" s="195">
        <f t="shared" si="48"/>
        <v>1</v>
      </c>
      <c r="C154" s="196" t="str">
        <f t="shared" si="46"/>
        <v>4501</v>
      </c>
      <c r="D154" s="159" t="s">
        <v>64</v>
      </c>
      <c r="E154" s="163">
        <v>2010</v>
      </c>
      <c r="F154" s="162" t="s">
        <v>283</v>
      </c>
      <c r="G154" s="182" t="s">
        <v>281</v>
      </c>
      <c r="H154" s="197" t="str">
        <f>IF(VLOOKUP(G154,income,R154-1985,FALSE)="UM","Upper-middle",IF(VLOOKUP(G154,income,R154-1985,FALSE)="LM","Lower-middle",IF(VLOOKUP(G154,income,R154-1985,FALSE)="L","Low")))</f>
        <v>Upper-middle</v>
      </c>
      <c r="I154" s="163">
        <v>0</v>
      </c>
      <c r="J154" s="162" t="s">
        <v>166</v>
      </c>
      <c r="K154" s="162" t="s">
        <v>146</v>
      </c>
      <c r="L154" s="207" t="str">
        <f t="shared" si="49"/>
        <v>Others</v>
      </c>
      <c r="M154" s="162" t="s">
        <v>1551</v>
      </c>
      <c r="N154" s="163" t="s">
        <v>148</v>
      </c>
      <c r="O154" s="162" t="s">
        <v>159</v>
      </c>
      <c r="P154" s="162" t="s">
        <v>284</v>
      </c>
      <c r="Q154" s="162" t="s">
        <v>281</v>
      </c>
      <c r="R154" s="163">
        <v>2008</v>
      </c>
      <c r="S154" s="191"/>
      <c r="T154" s="198" t="str">
        <f>IF(ISNUMBER(S154),S154/VLOOKUP($Q154,xRates!$A$1:$BL$267,studies!$R154-xRates!$B$1+2,FALSE),"")</f>
        <v/>
      </c>
      <c r="V154" s="198" t="str">
        <f>IF(ISNUMBER(U154),U154/VLOOKUP($Q154,xRates!$A$1:$BL$267,studies!$R154-xRates!$B$1+2,FALSE),"")</f>
        <v/>
      </c>
      <c r="W154" s="163">
        <v>0</v>
      </c>
      <c r="X154" s="163">
        <v>1</v>
      </c>
      <c r="Y154" s="163">
        <v>1</v>
      </c>
      <c r="Z154" s="163">
        <v>1</v>
      </c>
      <c r="AA154" s="163">
        <v>1</v>
      </c>
      <c r="AB154" s="163" t="s">
        <v>152</v>
      </c>
      <c r="AC154" s="193">
        <f>-228800000/3232.4</f>
        <v>-70783.318896176221</v>
      </c>
      <c r="AD154" s="201">
        <f>IF(ISNUMBER(AC154),AC154/VLOOKUP($Q154,xRates!$A$1:$BL$267,studies!$R154-xRates!$B$1+2,FALSE),"")</f>
        <v>-6359.6872323608459</v>
      </c>
      <c r="AE154" s="200">
        <f t="shared" si="50"/>
        <v>1</v>
      </c>
      <c r="AF154" s="201">
        <f>VLOOKUP(G154,gdppc,R154-1958,FALSE)</f>
        <v>10590</v>
      </c>
      <c r="AG154" s="195" t="str">
        <f t="shared" si="51"/>
        <v>Cost-saving</v>
      </c>
      <c r="AH154" s="195" t="str">
        <f t="shared" si="52"/>
        <v>Cost-saving</v>
      </c>
      <c r="AI154" s="204">
        <f t="shared" si="53"/>
        <v>-0.60053703799441416</v>
      </c>
      <c r="AJ154" s="205">
        <f>IFERROR(VLOOKUP(G154,ochalek,11,FALSE),"")</f>
        <v>0.97</v>
      </c>
      <c r="AK154" s="195" t="str">
        <f t="shared" si="54"/>
        <v>Cost-saving</v>
      </c>
      <c r="AL154" s="205">
        <f>IFERROR(VLOOKUP(G154,ochalek,10,FALSE),"")</f>
        <v>0.64</v>
      </c>
      <c r="AM154" s="207" t="str">
        <f t="shared" si="55"/>
        <v>Cost-saving</v>
      </c>
      <c r="AN154" s="205">
        <f>IFERROR(VLOOKUP(G154,woods,6,FALSE),"")</f>
        <v>0.59633311243649212</v>
      </c>
      <c r="AO154" s="195" t="str">
        <f t="shared" si="56"/>
        <v>Cost-saving</v>
      </c>
      <c r="AP154" s="205">
        <f>IFERROR(VLOOKUP(G154,woods,5,FALSE),"")</f>
        <v>0.21294455489286504</v>
      </c>
      <c r="AQ154" s="195" t="str">
        <f t="shared" si="57"/>
        <v>Cost-saving</v>
      </c>
      <c r="AR154" s="205">
        <f>IFERROR(VLOOKUP(G154,riviere,8,FALSE),"")</f>
        <v>0.87938205585264406</v>
      </c>
      <c r="AS154" s="195" t="str">
        <f t="shared" si="58"/>
        <v>Cost-saving</v>
      </c>
      <c r="AT154" s="205">
        <f>IFERROR(VLOOKUP(G154,riviere,7,FALSE),"")</f>
        <v>0.36446054472619938</v>
      </c>
      <c r="AU154" s="195" t="str">
        <f t="shared" si="59"/>
        <v>Cost-saving</v>
      </c>
      <c r="AV154" s="162" t="s">
        <v>153</v>
      </c>
      <c r="AW154" s="162" t="s">
        <v>186</v>
      </c>
      <c r="AX154" s="210" t="str">
        <f t="shared" si="60"/>
        <v/>
      </c>
      <c r="AY154" s="210" t="str">
        <f t="shared" si="61"/>
        <v/>
      </c>
      <c r="AZ154" s="197" t="str">
        <f t="shared" si="62"/>
        <v/>
      </c>
      <c r="BA154" s="197" t="str">
        <f t="shared" si="63"/>
        <v/>
      </c>
      <c r="BB154" s="197" t="str">
        <f t="shared" si="64"/>
        <v/>
      </c>
      <c r="BC154" s="197" t="str">
        <f t="shared" si="65"/>
        <v/>
      </c>
      <c r="BD154" s="197">
        <f t="shared" si="66"/>
        <v>0</v>
      </c>
      <c r="BE154" s="163" t="s">
        <v>155</v>
      </c>
      <c r="BF154" s="162" t="s">
        <v>163</v>
      </c>
    </row>
    <row r="155" spans="1:58">
      <c r="A155" s="195">
        <f t="shared" si="47"/>
        <v>45</v>
      </c>
      <c r="B155" s="195">
        <f t="shared" si="48"/>
        <v>2</v>
      </c>
      <c r="C155" s="196" t="str">
        <f t="shared" si="46"/>
        <v>4502</v>
      </c>
      <c r="D155" s="159" t="s">
        <v>64</v>
      </c>
      <c r="E155" s="163">
        <v>2010</v>
      </c>
      <c r="F155" s="162" t="s">
        <v>283</v>
      </c>
      <c r="G155" s="182" t="s">
        <v>281</v>
      </c>
      <c r="H155" s="197" t="str">
        <f>IF(VLOOKUP(G155,income,R155-1985,FALSE)="UM","Upper-middle",IF(VLOOKUP(G155,income,R155-1985,FALSE)="LM","Lower-middle",IF(VLOOKUP(G155,income,R155-1985,FALSE)="L","Low")))</f>
        <v>Upper-middle</v>
      </c>
      <c r="I155" s="163">
        <v>0</v>
      </c>
      <c r="J155" s="162" t="s">
        <v>166</v>
      </c>
      <c r="K155" s="162" t="s">
        <v>146</v>
      </c>
      <c r="L155" s="207" t="str">
        <f t="shared" si="49"/>
        <v>Others</v>
      </c>
      <c r="M155" s="162" t="s">
        <v>1551</v>
      </c>
      <c r="N155" s="163" t="s">
        <v>148</v>
      </c>
      <c r="O155" s="162" t="s">
        <v>159</v>
      </c>
      <c r="P155" s="162" t="s">
        <v>284</v>
      </c>
      <c r="Q155" s="162" t="s">
        <v>281</v>
      </c>
      <c r="R155" s="163">
        <v>2008</v>
      </c>
      <c r="S155" s="191"/>
      <c r="T155" s="198" t="str">
        <f>IF(ISNUMBER(S155),S155/VLOOKUP($Q155,xRates!$A$1:$BL$267,studies!$R155-xRates!$B$1+2,FALSE),"")</f>
        <v/>
      </c>
      <c r="V155" s="198" t="str">
        <f>IF(ISNUMBER(U155),U155/VLOOKUP($Q155,xRates!$A$1:$BL$267,studies!$R155-xRates!$B$1+2,FALSE),"")</f>
        <v/>
      </c>
      <c r="W155" s="163">
        <v>1</v>
      </c>
      <c r="X155" s="163">
        <v>1</v>
      </c>
      <c r="Y155" s="163">
        <v>1</v>
      </c>
      <c r="Z155" s="163">
        <v>1</v>
      </c>
      <c r="AA155" s="163">
        <v>1</v>
      </c>
      <c r="AB155" s="163" t="s">
        <v>152</v>
      </c>
      <c r="AC155" s="193">
        <v>-999999</v>
      </c>
      <c r="AD155" s="201">
        <f>IF(ISNUMBER(AC155),AC155/VLOOKUP($Q155,xRates!$A$1:$BL$267,studies!$R155-xRates!$B$1+2,FALSE),"")</f>
        <v>-89847.169811320753</v>
      </c>
      <c r="AE155" s="200">
        <f t="shared" si="50"/>
        <v>1</v>
      </c>
      <c r="AF155" s="201">
        <f>VLOOKUP(G155,gdppc,R155-1958,FALSE)</f>
        <v>10590</v>
      </c>
      <c r="AG155" s="195" t="str">
        <f t="shared" si="51"/>
        <v>Cost-saving</v>
      </c>
      <c r="AH155" s="195" t="str">
        <f t="shared" si="52"/>
        <v>Cost-saving</v>
      </c>
      <c r="AI155" s="204">
        <f t="shared" si="53"/>
        <v>-8.4841520124004486</v>
      </c>
      <c r="AJ155" s="205">
        <f>IFERROR(VLOOKUP(G155,ochalek,11,FALSE),"")</f>
        <v>0.97</v>
      </c>
      <c r="AK155" s="195" t="str">
        <f t="shared" si="54"/>
        <v>Cost-saving</v>
      </c>
      <c r="AL155" s="205">
        <f>IFERROR(VLOOKUP(G155,ochalek,10,FALSE),"")</f>
        <v>0.64</v>
      </c>
      <c r="AM155" s="207" t="str">
        <f t="shared" si="55"/>
        <v>Cost-saving</v>
      </c>
      <c r="AN155" s="205">
        <f>IFERROR(VLOOKUP(G155,woods,6,FALSE),"")</f>
        <v>0.59633311243649212</v>
      </c>
      <c r="AO155" s="195" t="str">
        <f t="shared" si="56"/>
        <v>Cost-saving</v>
      </c>
      <c r="AP155" s="205">
        <f>IFERROR(VLOOKUP(G155,woods,5,FALSE),"")</f>
        <v>0.21294455489286504</v>
      </c>
      <c r="AQ155" s="195" t="str">
        <f t="shared" si="57"/>
        <v>Cost-saving</v>
      </c>
      <c r="AR155" s="205">
        <f>IFERROR(VLOOKUP(G155,riviere,8,FALSE),"")</f>
        <v>0.87938205585264406</v>
      </c>
      <c r="AS155" s="195" t="str">
        <f t="shared" si="58"/>
        <v>Cost-saving</v>
      </c>
      <c r="AT155" s="205">
        <f>IFERROR(VLOOKUP(G155,riviere,7,FALSE),"")</f>
        <v>0.36446054472619938</v>
      </c>
      <c r="AU155" s="195" t="str">
        <f t="shared" si="59"/>
        <v>Cost-saving</v>
      </c>
      <c r="AV155" s="162" t="s">
        <v>153</v>
      </c>
      <c r="AW155" s="162" t="s">
        <v>186</v>
      </c>
      <c r="AX155" s="210" t="str">
        <f t="shared" si="60"/>
        <v/>
      </c>
      <c r="AY155" s="210" t="str">
        <f t="shared" si="61"/>
        <v/>
      </c>
      <c r="AZ155" s="197" t="str">
        <f t="shared" si="62"/>
        <v/>
      </c>
      <c r="BA155" s="197" t="str">
        <f t="shared" si="63"/>
        <v/>
      </c>
      <c r="BB155" s="197" t="str">
        <f t="shared" si="64"/>
        <v/>
      </c>
      <c r="BC155" s="197" t="str">
        <f t="shared" si="65"/>
        <v/>
      </c>
      <c r="BD155" s="197">
        <f t="shared" si="66"/>
        <v>0</v>
      </c>
      <c r="BE155" s="163" t="s">
        <v>155</v>
      </c>
      <c r="BF155" s="162" t="s">
        <v>163</v>
      </c>
    </row>
    <row r="156" spans="1:58">
      <c r="A156" s="195">
        <f t="shared" si="47"/>
        <v>46</v>
      </c>
      <c r="B156" s="195">
        <f t="shared" si="48"/>
        <v>1</v>
      </c>
      <c r="C156" s="196" t="str">
        <f t="shared" si="46"/>
        <v>4601</v>
      </c>
      <c r="D156" s="159" t="s">
        <v>66</v>
      </c>
      <c r="E156" s="163">
        <v>2015</v>
      </c>
      <c r="F156" s="162" t="s">
        <v>285</v>
      </c>
      <c r="G156" s="182" t="s">
        <v>286</v>
      </c>
      <c r="H156" s="197" t="str">
        <f>IF(VLOOKUP(G156,income,R156-1985,FALSE)="UM","Upper-middle",IF(VLOOKUP(G156,income,R156-1985,FALSE)="LM","Lower-middle",IF(VLOOKUP(G156,income,R156-1985,FALSE)="L","Low")))</f>
        <v>Upper-middle</v>
      </c>
      <c r="I156" s="163">
        <v>0</v>
      </c>
      <c r="J156" s="162" t="s">
        <v>166</v>
      </c>
      <c r="K156" s="162" t="s">
        <v>147</v>
      </c>
      <c r="L156" s="207" t="str">
        <f t="shared" si="49"/>
        <v>PCV10 vs NoVax</v>
      </c>
      <c r="M156" s="162" t="s">
        <v>1554</v>
      </c>
      <c r="N156" s="163" t="s">
        <v>148</v>
      </c>
      <c r="O156" s="162" t="s">
        <v>149</v>
      </c>
      <c r="P156" s="162" t="s">
        <v>150</v>
      </c>
      <c r="Q156" s="162" t="s">
        <v>151</v>
      </c>
      <c r="R156" s="163">
        <v>2014</v>
      </c>
      <c r="S156" s="191">
        <v>14.12</v>
      </c>
      <c r="T156" s="198">
        <f>IF(ISNUMBER(S156),S156/VLOOKUP($Q156,xRates!$A$1:$BL$267,studies!$R156-xRates!$B$1+2,FALSE),"")</f>
        <v>14.12</v>
      </c>
      <c r="V156" s="198" t="str">
        <f>IF(ISNUMBER(U156),U156/VLOOKUP($Q156,xRates!$A$1:$BL$267,studies!$R156-xRates!$B$1+2,FALSE),"")</f>
        <v/>
      </c>
      <c r="W156" s="163">
        <v>0</v>
      </c>
      <c r="X156" s="163">
        <v>0</v>
      </c>
      <c r="Y156" s="163">
        <v>1</v>
      </c>
      <c r="Z156" s="163">
        <v>1</v>
      </c>
      <c r="AA156" s="163">
        <v>1</v>
      </c>
      <c r="AB156" s="163" t="s">
        <v>152</v>
      </c>
      <c r="AC156" s="193">
        <v>1340</v>
      </c>
      <c r="AD156" s="201">
        <f>IF(ISNUMBER(AC156),AC156/VLOOKUP($Q156,xRates!$A$1:$BL$267,studies!$R156-xRates!$B$1+2,FALSE),"")</f>
        <v>1340</v>
      </c>
      <c r="AE156" s="200">
        <f t="shared" si="50"/>
        <v>0</v>
      </c>
      <c r="AF156" s="201">
        <f>VLOOKUP(G156,gdppc,R156-1958,FALSE)</f>
        <v>6436.8</v>
      </c>
      <c r="AG156" s="195" t="str">
        <f t="shared" si="51"/>
        <v>Cost-effective</v>
      </c>
      <c r="AH156" s="195" t="str">
        <f t="shared" si="52"/>
        <v>Cost-effective</v>
      </c>
      <c r="AI156" s="204">
        <f t="shared" si="53"/>
        <v>0.20817797663435247</v>
      </c>
      <c r="AJ156" s="205">
        <f>IFERROR(VLOOKUP(G156,ochalek,11,FALSE),"")</f>
        <v>1.1200000000000001</v>
      </c>
      <c r="AK156" s="195" t="str">
        <f t="shared" si="54"/>
        <v>Cost-effective</v>
      </c>
      <c r="AL156" s="205">
        <f>IFERROR(VLOOKUP(G156,ochalek,10,FALSE),"")</f>
        <v>0.72</v>
      </c>
      <c r="AM156" s="207" t="str">
        <f t="shared" si="55"/>
        <v>Cost-effective</v>
      </c>
      <c r="AN156" s="205">
        <f>IFERROR(VLOOKUP(G156,woods,6,FALSE),"")</f>
        <v>0.51953760989905573</v>
      </c>
      <c r="AO156" s="195" t="str">
        <f t="shared" si="56"/>
        <v>Cost-effective</v>
      </c>
      <c r="AP156" s="205">
        <f>IFERROR(VLOOKUP(G156,woods,5,FALSE),"")</f>
        <v>0.13969391077824814</v>
      </c>
      <c r="AQ156" s="195" t="str">
        <f t="shared" si="57"/>
        <v>Not cost-effective</v>
      </c>
      <c r="AR156" s="205">
        <f>IFERROR(VLOOKUP(G156,riviere,8,FALSE),"")</f>
        <v>1.3462933410706515</v>
      </c>
      <c r="AS156" s="195" t="str">
        <f t="shared" si="58"/>
        <v>Cost-effective</v>
      </c>
      <c r="AT156" s="205">
        <f>IFERROR(VLOOKUP(G156,riviere,7,FALSE),"")</f>
        <v>0.5578928703838032</v>
      </c>
      <c r="AU156" s="195" t="str">
        <f t="shared" si="59"/>
        <v>Cost-effective</v>
      </c>
      <c r="AV156" s="162" t="s">
        <v>153</v>
      </c>
      <c r="AW156" s="162" t="s">
        <v>162</v>
      </c>
      <c r="AX156" s="210">
        <f t="shared" si="60"/>
        <v>0</v>
      </c>
      <c r="AY156" s="210">
        <f t="shared" si="61"/>
        <v>0</v>
      </c>
      <c r="AZ156" s="197">
        <f t="shared" si="62"/>
        <v>0</v>
      </c>
      <c r="BA156" s="197">
        <f t="shared" si="63"/>
        <v>1</v>
      </c>
      <c r="BB156" s="197">
        <f t="shared" si="64"/>
        <v>0</v>
      </c>
      <c r="BC156" s="197">
        <f t="shared" si="65"/>
        <v>0</v>
      </c>
      <c r="BD156" s="197">
        <f t="shared" si="66"/>
        <v>1</v>
      </c>
      <c r="BE156" s="163" t="s">
        <v>155</v>
      </c>
      <c r="BF156" s="162" t="s">
        <v>156</v>
      </c>
    </row>
    <row r="157" spans="1:58">
      <c r="A157" s="195">
        <f t="shared" si="47"/>
        <v>46</v>
      </c>
      <c r="B157" s="195">
        <f t="shared" si="48"/>
        <v>2</v>
      </c>
      <c r="C157" s="196" t="str">
        <f t="shared" si="46"/>
        <v>4602</v>
      </c>
      <c r="D157" s="159" t="s">
        <v>66</v>
      </c>
      <c r="E157" s="163">
        <v>2015</v>
      </c>
      <c r="F157" s="162" t="s">
        <v>285</v>
      </c>
      <c r="G157" s="182" t="s">
        <v>286</v>
      </c>
      <c r="H157" s="197" t="str">
        <f>IF(VLOOKUP(G157,income,R157-1985,FALSE)="UM","Upper-middle",IF(VLOOKUP(G157,income,R157-1985,FALSE)="LM","Lower-middle",IF(VLOOKUP(G157,income,R157-1985,FALSE)="L","Low")))</f>
        <v>Upper-middle</v>
      </c>
      <c r="I157" s="163">
        <v>0</v>
      </c>
      <c r="J157" s="162" t="s">
        <v>167</v>
      </c>
      <c r="K157" s="162" t="s">
        <v>147</v>
      </c>
      <c r="L157" s="207" t="str">
        <f t="shared" si="49"/>
        <v>PCV13 vs NoVax</v>
      </c>
      <c r="M157" s="162" t="s">
        <v>1554</v>
      </c>
      <c r="N157" s="163" t="s">
        <v>148</v>
      </c>
      <c r="O157" s="162" t="s">
        <v>149</v>
      </c>
      <c r="P157" s="162" t="s">
        <v>150</v>
      </c>
      <c r="Q157" s="162" t="s">
        <v>151</v>
      </c>
      <c r="R157" s="163">
        <v>2014</v>
      </c>
      <c r="S157" s="191">
        <v>15.68</v>
      </c>
      <c r="T157" s="198">
        <f>IF(ISNUMBER(S157),S157/VLOOKUP($Q157,xRates!$A$1:$BL$267,studies!$R157-xRates!$B$1+2,FALSE),"")</f>
        <v>15.68</v>
      </c>
      <c r="V157" s="198" t="str">
        <f>IF(ISNUMBER(U157),U157/VLOOKUP($Q157,xRates!$A$1:$BL$267,studies!$R157-xRates!$B$1+2,FALSE),"")</f>
        <v/>
      </c>
      <c r="W157" s="163">
        <v>0</v>
      </c>
      <c r="X157" s="163">
        <v>0</v>
      </c>
      <c r="Y157" s="163">
        <v>1</v>
      </c>
      <c r="Z157" s="163">
        <v>1</v>
      </c>
      <c r="AA157" s="163">
        <v>1</v>
      </c>
      <c r="AB157" s="163" t="s">
        <v>152</v>
      </c>
      <c r="AC157" s="193">
        <v>1166</v>
      </c>
      <c r="AD157" s="201">
        <f>IF(ISNUMBER(AC157),AC157/VLOOKUP($Q157,xRates!$A$1:$BL$267,studies!$R157-xRates!$B$1+2,FALSE),"")</f>
        <v>1166</v>
      </c>
      <c r="AE157" s="200">
        <f t="shared" si="50"/>
        <v>0</v>
      </c>
      <c r="AF157" s="201">
        <f>VLOOKUP(G157,gdppc,R157-1958,FALSE)</f>
        <v>6436.8</v>
      </c>
      <c r="AG157" s="195" t="str">
        <f t="shared" si="51"/>
        <v>Cost-effective</v>
      </c>
      <c r="AH157" s="195" t="str">
        <f t="shared" si="52"/>
        <v>Cost-effective</v>
      </c>
      <c r="AI157" s="204">
        <f t="shared" si="53"/>
        <v>0.18114591101168281</v>
      </c>
      <c r="AJ157" s="205">
        <f>IFERROR(VLOOKUP(G157,ochalek,11,FALSE),"")</f>
        <v>1.1200000000000001</v>
      </c>
      <c r="AK157" s="195" t="str">
        <f t="shared" si="54"/>
        <v>Cost-effective</v>
      </c>
      <c r="AL157" s="205">
        <f>IFERROR(VLOOKUP(G157,ochalek,10,FALSE),"")</f>
        <v>0.72</v>
      </c>
      <c r="AM157" s="207" t="str">
        <f t="shared" si="55"/>
        <v>Cost-effective</v>
      </c>
      <c r="AN157" s="205">
        <f>IFERROR(VLOOKUP(G157,woods,6,FALSE),"")</f>
        <v>0.51953760989905573</v>
      </c>
      <c r="AO157" s="195" t="str">
        <f t="shared" si="56"/>
        <v>Cost-effective</v>
      </c>
      <c r="AP157" s="205">
        <f>IFERROR(VLOOKUP(G157,woods,5,FALSE),"")</f>
        <v>0.13969391077824814</v>
      </c>
      <c r="AQ157" s="195" t="str">
        <f t="shared" si="57"/>
        <v>Not cost-effective</v>
      </c>
      <c r="AR157" s="205">
        <f>IFERROR(VLOOKUP(G157,riviere,8,FALSE),"")</f>
        <v>1.3462933410706515</v>
      </c>
      <c r="AS157" s="195" t="str">
        <f t="shared" si="58"/>
        <v>Cost-effective</v>
      </c>
      <c r="AT157" s="205">
        <f>IFERROR(VLOOKUP(G157,riviere,7,FALSE),"")</f>
        <v>0.5578928703838032</v>
      </c>
      <c r="AU157" s="195" t="str">
        <f t="shared" si="59"/>
        <v>Cost-effective</v>
      </c>
      <c r="AV157" s="162" t="s">
        <v>153</v>
      </c>
      <c r="AW157" s="162" t="s">
        <v>162</v>
      </c>
      <c r="AX157" s="210">
        <f t="shared" si="60"/>
        <v>0</v>
      </c>
      <c r="AY157" s="210">
        <f t="shared" si="61"/>
        <v>0</v>
      </c>
      <c r="AZ157" s="197">
        <f t="shared" si="62"/>
        <v>0</v>
      </c>
      <c r="BA157" s="197">
        <f t="shared" si="63"/>
        <v>1</v>
      </c>
      <c r="BB157" s="197">
        <f t="shared" si="64"/>
        <v>0</v>
      </c>
      <c r="BC157" s="197">
        <f t="shared" si="65"/>
        <v>0</v>
      </c>
      <c r="BD157" s="197">
        <f t="shared" si="66"/>
        <v>1</v>
      </c>
      <c r="BE157" s="163" t="s">
        <v>155</v>
      </c>
      <c r="BF157" s="162" t="s">
        <v>156</v>
      </c>
    </row>
    <row r="158" spans="1:58">
      <c r="A158" s="195">
        <f t="shared" si="47"/>
        <v>46</v>
      </c>
      <c r="B158" s="195">
        <f t="shared" si="48"/>
        <v>3</v>
      </c>
      <c r="C158" s="196" t="str">
        <f t="shared" si="46"/>
        <v>4603</v>
      </c>
      <c r="D158" s="159" t="s">
        <v>66</v>
      </c>
      <c r="E158" s="163">
        <v>2015</v>
      </c>
      <c r="F158" s="162" t="s">
        <v>285</v>
      </c>
      <c r="G158" s="182" t="s">
        <v>287</v>
      </c>
      <c r="H158" s="197" t="str">
        <f>IF(VLOOKUP(G158,income,R158-1985,FALSE)="UM","Upper-middle",IF(VLOOKUP(G158,income,R158-1985,FALSE)="LM","Lower-middle",IF(VLOOKUP(G158,income,R158-1985,FALSE)="L","Low")))</f>
        <v>Lower-middle</v>
      </c>
      <c r="I158" s="163">
        <v>0</v>
      </c>
      <c r="J158" s="162" t="s">
        <v>166</v>
      </c>
      <c r="K158" s="162" t="s">
        <v>147</v>
      </c>
      <c r="L158" s="207" t="str">
        <f t="shared" si="49"/>
        <v>PCV10 vs NoVax</v>
      </c>
      <c r="M158" s="162" t="s">
        <v>1554</v>
      </c>
      <c r="N158" s="163" t="s">
        <v>148</v>
      </c>
      <c r="O158" s="162" t="s">
        <v>149</v>
      </c>
      <c r="P158" s="162" t="s">
        <v>150</v>
      </c>
      <c r="Q158" s="162" t="s">
        <v>151</v>
      </c>
      <c r="R158" s="163">
        <v>2014</v>
      </c>
      <c r="S158" s="191">
        <v>14.12</v>
      </c>
      <c r="T158" s="198">
        <f>IF(ISNUMBER(S158),S158/VLOOKUP($Q158,xRates!$A$1:$BL$267,studies!$R158-xRates!$B$1+2,FALSE),"")</f>
        <v>14.12</v>
      </c>
      <c r="V158" s="198" t="str">
        <f>IF(ISNUMBER(U158),U158/VLOOKUP($Q158,xRates!$A$1:$BL$267,studies!$R158-xRates!$B$1+2,FALSE),"")</f>
        <v/>
      </c>
      <c r="W158" s="163">
        <v>0</v>
      </c>
      <c r="X158" s="163">
        <v>0</v>
      </c>
      <c r="Y158" s="163">
        <v>1</v>
      </c>
      <c r="Z158" s="163">
        <v>1</v>
      </c>
      <c r="AA158" s="163">
        <v>1</v>
      </c>
      <c r="AB158" s="163" t="s">
        <v>152</v>
      </c>
      <c r="AC158" s="193">
        <v>796</v>
      </c>
      <c r="AD158" s="201">
        <f>IF(ISNUMBER(AC158),AC158/VLOOKUP($Q158,xRates!$A$1:$BL$267,studies!$R158-xRates!$B$1+2,FALSE),"")</f>
        <v>796</v>
      </c>
      <c r="AE158" s="200">
        <f t="shared" si="50"/>
        <v>0</v>
      </c>
      <c r="AF158" s="201">
        <f>VLOOKUP(G158,gdppc,R158-1958,FALSE)</f>
        <v>2164.4</v>
      </c>
      <c r="AG158" s="195" t="str">
        <f t="shared" si="51"/>
        <v>Cost-effective</v>
      </c>
      <c r="AH158" s="195" t="str">
        <f t="shared" si="52"/>
        <v>Cost-effective</v>
      </c>
      <c r="AI158" s="204">
        <f t="shared" si="53"/>
        <v>0.36776935871373129</v>
      </c>
      <c r="AJ158" s="205">
        <f>IFERROR(VLOOKUP(G158,ochalek,11,FALSE),"")</f>
        <v>1</v>
      </c>
      <c r="AK158" s="195" t="str">
        <f t="shared" si="54"/>
        <v>Cost-effective</v>
      </c>
      <c r="AL158" s="205">
        <f>IFERROR(VLOOKUP(G158,ochalek,10,FALSE),"")</f>
        <v>0.68</v>
      </c>
      <c r="AM158" s="207" t="str">
        <f t="shared" si="55"/>
        <v>Cost-effective</v>
      </c>
      <c r="AN158" s="205">
        <f>IFERROR(VLOOKUP(G158,woods,6,FALSE),"")</f>
        <v>0.57008621524750558</v>
      </c>
      <c r="AO158" s="195" t="str">
        <f t="shared" si="56"/>
        <v>Cost-effective</v>
      </c>
      <c r="AP158" s="205">
        <f>IFERROR(VLOOKUP(G158,woods,5,FALSE),"")</f>
        <v>7.2168943136685079E-2</v>
      </c>
      <c r="AQ158" s="195" t="str">
        <f t="shared" si="57"/>
        <v>Not cost-effective</v>
      </c>
      <c r="AR158" s="205">
        <f>IFERROR(VLOOKUP(G158,riviere,8,FALSE),"")</f>
        <v>0.81368821292775662</v>
      </c>
      <c r="AS158" s="195" t="str">
        <f t="shared" si="58"/>
        <v>Cost-effective</v>
      </c>
      <c r="AT158" s="205">
        <f>IFERROR(VLOOKUP(G158,riviere,7,FALSE),"")</f>
        <v>0.32779667800680407</v>
      </c>
      <c r="AU158" s="195" t="str">
        <f t="shared" si="59"/>
        <v>Not cost-effective</v>
      </c>
      <c r="AV158" s="162" t="s">
        <v>153</v>
      </c>
      <c r="AW158" s="162" t="s">
        <v>162</v>
      </c>
      <c r="AX158" s="210">
        <f t="shared" si="60"/>
        <v>0</v>
      </c>
      <c r="AY158" s="210">
        <f t="shared" si="61"/>
        <v>0</v>
      </c>
      <c r="AZ158" s="197">
        <f t="shared" si="62"/>
        <v>0</v>
      </c>
      <c r="BA158" s="197">
        <f t="shared" si="63"/>
        <v>1</v>
      </c>
      <c r="BB158" s="197">
        <f t="shared" si="64"/>
        <v>0</v>
      </c>
      <c r="BC158" s="197">
        <f t="shared" si="65"/>
        <v>1</v>
      </c>
      <c r="BD158" s="197">
        <f t="shared" si="66"/>
        <v>2</v>
      </c>
      <c r="BE158" s="163" t="s">
        <v>155</v>
      </c>
      <c r="BF158" s="162" t="s">
        <v>156</v>
      </c>
    </row>
    <row r="159" spans="1:58">
      <c r="A159" s="195">
        <f t="shared" si="47"/>
        <v>46</v>
      </c>
      <c r="B159" s="195">
        <f t="shared" si="48"/>
        <v>4</v>
      </c>
      <c r="C159" s="196" t="str">
        <f t="shared" si="46"/>
        <v>4604</v>
      </c>
      <c r="D159" s="159" t="s">
        <v>66</v>
      </c>
      <c r="E159" s="163">
        <v>2015</v>
      </c>
      <c r="F159" s="162" t="s">
        <v>285</v>
      </c>
      <c r="G159" s="182" t="s">
        <v>287</v>
      </c>
      <c r="H159" s="197" t="str">
        <f>IF(VLOOKUP(G159,income,R159-1985,FALSE)="UM","Upper-middle",IF(VLOOKUP(G159,income,R159-1985,FALSE)="LM","Lower-middle",IF(VLOOKUP(G159,income,R159-1985,FALSE)="L","Low")))</f>
        <v>Lower-middle</v>
      </c>
      <c r="I159" s="163">
        <v>0</v>
      </c>
      <c r="J159" s="162" t="s">
        <v>167</v>
      </c>
      <c r="K159" s="162" t="s">
        <v>147</v>
      </c>
      <c r="L159" s="207" t="str">
        <f t="shared" si="49"/>
        <v>PCV13 vs NoVax</v>
      </c>
      <c r="M159" s="162" t="s">
        <v>1554</v>
      </c>
      <c r="N159" s="163" t="s">
        <v>148</v>
      </c>
      <c r="O159" s="162" t="s">
        <v>149</v>
      </c>
      <c r="P159" s="162" t="s">
        <v>150</v>
      </c>
      <c r="Q159" s="162" t="s">
        <v>151</v>
      </c>
      <c r="R159" s="163">
        <v>2014</v>
      </c>
      <c r="S159" s="191">
        <v>15.68</v>
      </c>
      <c r="T159" s="198">
        <f>IF(ISNUMBER(S159),S159/VLOOKUP($Q159,xRates!$A$1:$BL$267,studies!$R159-xRates!$B$1+2,FALSE),"")</f>
        <v>15.68</v>
      </c>
      <c r="V159" s="198" t="str">
        <f>IF(ISNUMBER(U159),U159/VLOOKUP($Q159,xRates!$A$1:$BL$267,studies!$R159-xRates!$B$1+2,FALSE),"")</f>
        <v/>
      </c>
      <c r="W159" s="163">
        <v>0</v>
      </c>
      <c r="X159" s="163">
        <v>0</v>
      </c>
      <c r="Y159" s="163">
        <v>1</v>
      </c>
      <c r="Z159" s="163">
        <v>1</v>
      </c>
      <c r="AA159" s="163">
        <v>1</v>
      </c>
      <c r="AB159" s="163" t="s">
        <v>152</v>
      </c>
      <c r="AC159" s="193">
        <v>691</v>
      </c>
      <c r="AD159" s="201">
        <f>IF(ISNUMBER(AC159),AC159/VLOOKUP($Q159,xRates!$A$1:$BL$267,studies!$R159-xRates!$B$1+2,FALSE),"")</f>
        <v>691</v>
      </c>
      <c r="AE159" s="200">
        <f t="shared" si="50"/>
        <v>0</v>
      </c>
      <c r="AF159" s="201">
        <f>VLOOKUP(G159,gdppc,R159-1958,FALSE)</f>
        <v>2164.4</v>
      </c>
      <c r="AG159" s="195" t="str">
        <f t="shared" si="51"/>
        <v>Cost-effective</v>
      </c>
      <c r="AH159" s="195" t="str">
        <f t="shared" si="52"/>
        <v>Cost-effective</v>
      </c>
      <c r="AI159" s="204">
        <f t="shared" si="53"/>
        <v>0.31925706893365363</v>
      </c>
      <c r="AJ159" s="205">
        <f>IFERROR(VLOOKUP(G159,ochalek,11,FALSE),"")</f>
        <v>1</v>
      </c>
      <c r="AK159" s="195" t="str">
        <f t="shared" si="54"/>
        <v>Cost-effective</v>
      </c>
      <c r="AL159" s="205">
        <f>IFERROR(VLOOKUP(G159,ochalek,10,FALSE),"")</f>
        <v>0.68</v>
      </c>
      <c r="AM159" s="207" t="str">
        <f t="shared" si="55"/>
        <v>Cost-effective</v>
      </c>
      <c r="AN159" s="205">
        <f>IFERROR(VLOOKUP(G159,woods,6,FALSE),"")</f>
        <v>0.57008621524750558</v>
      </c>
      <c r="AO159" s="195" t="str">
        <f t="shared" si="56"/>
        <v>Cost-effective</v>
      </c>
      <c r="AP159" s="205">
        <f>IFERROR(VLOOKUP(G159,woods,5,FALSE),"")</f>
        <v>7.2168943136685079E-2</v>
      </c>
      <c r="AQ159" s="195" t="str">
        <f t="shared" si="57"/>
        <v>Not cost-effective</v>
      </c>
      <c r="AR159" s="205">
        <f>IFERROR(VLOOKUP(G159,riviere,8,FALSE),"")</f>
        <v>0.81368821292775662</v>
      </c>
      <c r="AS159" s="195" t="str">
        <f t="shared" si="58"/>
        <v>Cost-effective</v>
      </c>
      <c r="AT159" s="205">
        <f>IFERROR(VLOOKUP(G159,riviere,7,FALSE),"")</f>
        <v>0.32779667800680407</v>
      </c>
      <c r="AU159" s="195" t="str">
        <f t="shared" si="59"/>
        <v>Cost-effective</v>
      </c>
      <c r="AV159" s="162" t="s">
        <v>153</v>
      </c>
      <c r="AW159" s="162" t="s">
        <v>162</v>
      </c>
      <c r="AX159" s="210">
        <f t="shared" si="60"/>
        <v>0</v>
      </c>
      <c r="AY159" s="210">
        <f t="shared" si="61"/>
        <v>0</v>
      </c>
      <c r="AZ159" s="197">
        <f t="shared" si="62"/>
        <v>0</v>
      </c>
      <c r="BA159" s="197">
        <f t="shared" si="63"/>
        <v>1</v>
      </c>
      <c r="BB159" s="197">
        <f t="shared" si="64"/>
        <v>0</v>
      </c>
      <c r="BC159" s="197">
        <f t="shared" si="65"/>
        <v>0</v>
      </c>
      <c r="BD159" s="197">
        <f t="shared" si="66"/>
        <v>1</v>
      </c>
      <c r="BE159" s="163" t="s">
        <v>155</v>
      </c>
      <c r="BF159" s="162" t="s">
        <v>156</v>
      </c>
    </row>
    <row r="160" spans="1:58">
      <c r="A160" s="195">
        <f t="shared" si="47"/>
        <v>46</v>
      </c>
      <c r="B160" s="195">
        <f t="shared" si="48"/>
        <v>5</v>
      </c>
      <c r="C160" s="196" t="str">
        <f t="shared" si="46"/>
        <v>4605</v>
      </c>
      <c r="D160" s="159" t="s">
        <v>66</v>
      </c>
      <c r="E160" s="163">
        <v>2015</v>
      </c>
      <c r="F160" s="162" t="s">
        <v>285</v>
      </c>
      <c r="G160" s="182" t="s">
        <v>267</v>
      </c>
      <c r="H160" s="197" t="str">
        <f>IF(VLOOKUP(G160,income,R160-1985,FALSE)="UM","Upper-middle",IF(VLOOKUP(G160,income,R160-1985,FALSE)="LM","Lower-middle",IF(VLOOKUP(G160,income,R160-1985,FALSE)="L","Low")))</f>
        <v>Upper-middle</v>
      </c>
      <c r="I160" s="163">
        <v>0</v>
      </c>
      <c r="J160" s="162" t="s">
        <v>166</v>
      </c>
      <c r="K160" s="162" t="s">
        <v>147</v>
      </c>
      <c r="L160" s="207" t="str">
        <f t="shared" si="49"/>
        <v>PCV10 vs NoVax</v>
      </c>
      <c r="M160" s="162" t="s">
        <v>1554</v>
      </c>
      <c r="N160" s="163" t="s">
        <v>148</v>
      </c>
      <c r="O160" s="162" t="s">
        <v>149</v>
      </c>
      <c r="P160" s="162" t="s">
        <v>150</v>
      </c>
      <c r="Q160" s="162" t="s">
        <v>151</v>
      </c>
      <c r="R160" s="163">
        <v>2014</v>
      </c>
      <c r="S160" s="191">
        <v>14.12</v>
      </c>
      <c r="T160" s="198">
        <f>IF(ISNUMBER(S160),S160/VLOOKUP($Q160,xRates!$A$1:$BL$267,studies!$R160-xRates!$B$1+2,FALSE),"")</f>
        <v>14.12</v>
      </c>
      <c r="V160" s="198" t="str">
        <f>IF(ISNUMBER(U160),U160/VLOOKUP($Q160,xRates!$A$1:$BL$267,studies!$R160-xRates!$B$1+2,FALSE),"")</f>
        <v/>
      </c>
      <c r="W160" s="163">
        <v>0</v>
      </c>
      <c r="X160" s="163">
        <v>0</v>
      </c>
      <c r="Y160" s="163">
        <v>1</v>
      </c>
      <c r="Z160" s="163">
        <v>1</v>
      </c>
      <c r="AA160" s="163">
        <v>1</v>
      </c>
      <c r="AB160" s="163" t="s">
        <v>152</v>
      </c>
      <c r="AC160" s="193">
        <v>1226</v>
      </c>
      <c r="AD160" s="201">
        <f>IF(ISNUMBER(AC160),AC160/VLOOKUP($Q160,xRates!$A$1:$BL$267,studies!$R160-xRates!$B$1+2,FALSE),"")</f>
        <v>1226</v>
      </c>
      <c r="AE160" s="200">
        <f t="shared" si="50"/>
        <v>0</v>
      </c>
      <c r="AF160" s="201">
        <f>VLOOKUP(G160,gdppc,R160-1958,FALSE)</f>
        <v>6629.4</v>
      </c>
      <c r="AG160" s="195" t="str">
        <f t="shared" si="51"/>
        <v>Cost-effective</v>
      </c>
      <c r="AH160" s="195" t="str">
        <f t="shared" si="52"/>
        <v>Cost-effective</v>
      </c>
      <c r="AI160" s="204">
        <f t="shared" si="53"/>
        <v>0.1849337798292455</v>
      </c>
      <c r="AJ160" s="205">
        <f>IFERROR(VLOOKUP(G160,ochalek,11,FALSE),"")</f>
        <v>1.42</v>
      </c>
      <c r="AK160" s="195" t="str">
        <f t="shared" si="54"/>
        <v>Cost-effective</v>
      </c>
      <c r="AL160" s="205">
        <f>IFERROR(VLOOKUP(G160,ochalek,10,FALSE),"")</f>
        <v>0.83</v>
      </c>
      <c r="AM160" s="207" t="str">
        <f t="shared" si="55"/>
        <v>Cost-effective</v>
      </c>
      <c r="AN160" s="205">
        <f>IFERROR(VLOOKUP(G160,woods,6,FALSE),"")</f>
        <v>0.33989517688899978</v>
      </c>
      <c r="AO160" s="195" t="str">
        <f t="shared" si="56"/>
        <v>Cost-effective</v>
      </c>
      <c r="AP160" s="205">
        <f>IFERROR(VLOOKUP(G160,woods,5,FALSE),"")</f>
        <v>7.549759780370624E-2</v>
      </c>
      <c r="AQ160" s="195" t="str">
        <f t="shared" si="57"/>
        <v>Not cost-effective</v>
      </c>
      <c r="AR160" s="205">
        <f>IFERROR(VLOOKUP(G160,riviere,8,FALSE),"")</f>
        <v>1.1109197975136884</v>
      </c>
      <c r="AS160" s="195" t="str">
        <f t="shared" si="58"/>
        <v>Cost-effective</v>
      </c>
      <c r="AT160" s="205">
        <f>IFERROR(VLOOKUP(G160,riviere,7,FALSE),"")</f>
        <v>0.46041530355728499</v>
      </c>
      <c r="AU160" s="195" t="str">
        <f t="shared" si="59"/>
        <v>Cost-effective</v>
      </c>
      <c r="AV160" s="162" t="s">
        <v>153</v>
      </c>
      <c r="AW160" s="162" t="s">
        <v>162</v>
      </c>
      <c r="AX160" s="210">
        <f t="shared" si="60"/>
        <v>0</v>
      </c>
      <c r="AY160" s="210">
        <f t="shared" si="61"/>
        <v>0</v>
      </c>
      <c r="AZ160" s="197">
        <f t="shared" si="62"/>
        <v>0</v>
      </c>
      <c r="BA160" s="197">
        <f t="shared" si="63"/>
        <v>1</v>
      </c>
      <c r="BB160" s="197">
        <f t="shared" si="64"/>
        <v>0</v>
      </c>
      <c r="BC160" s="197">
        <f t="shared" si="65"/>
        <v>0</v>
      </c>
      <c r="BD160" s="197">
        <f t="shared" si="66"/>
        <v>1</v>
      </c>
      <c r="BE160" s="163" t="s">
        <v>155</v>
      </c>
      <c r="BF160" s="162" t="s">
        <v>156</v>
      </c>
    </row>
    <row r="161" spans="1:58">
      <c r="A161" s="195">
        <f t="shared" si="47"/>
        <v>46</v>
      </c>
      <c r="B161" s="195">
        <f t="shared" si="48"/>
        <v>6</v>
      </c>
      <c r="C161" s="196" t="str">
        <f t="shared" si="46"/>
        <v>4606</v>
      </c>
      <c r="D161" s="159" t="s">
        <v>66</v>
      </c>
      <c r="E161" s="163">
        <v>2015</v>
      </c>
      <c r="F161" s="162" t="s">
        <v>285</v>
      </c>
      <c r="G161" s="182" t="s">
        <v>267</v>
      </c>
      <c r="H161" s="197" t="str">
        <f>IF(VLOOKUP(G161,income,R161-1985,FALSE)="UM","Upper-middle",IF(VLOOKUP(G161,income,R161-1985,FALSE)="LM","Lower-middle",IF(VLOOKUP(G161,income,R161-1985,FALSE)="L","Low")))</f>
        <v>Upper-middle</v>
      </c>
      <c r="I161" s="163">
        <v>0</v>
      </c>
      <c r="J161" s="162" t="s">
        <v>167</v>
      </c>
      <c r="K161" s="162" t="s">
        <v>147</v>
      </c>
      <c r="L161" s="207" t="str">
        <f t="shared" si="49"/>
        <v>PCV13 vs NoVax</v>
      </c>
      <c r="M161" s="162" t="s">
        <v>1554</v>
      </c>
      <c r="N161" s="163" t="s">
        <v>148</v>
      </c>
      <c r="O161" s="162" t="s">
        <v>149</v>
      </c>
      <c r="P161" s="162" t="s">
        <v>150</v>
      </c>
      <c r="Q161" s="162" t="s">
        <v>151</v>
      </c>
      <c r="R161" s="163">
        <v>2014</v>
      </c>
      <c r="S161" s="191">
        <v>15.68</v>
      </c>
      <c r="T161" s="198">
        <f>IF(ISNUMBER(S161),S161/VLOOKUP($Q161,xRates!$A$1:$BL$267,studies!$R161-xRates!$B$1+2,FALSE),"")</f>
        <v>15.68</v>
      </c>
      <c r="V161" s="198" t="str">
        <f>IF(ISNUMBER(U161),U161/VLOOKUP($Q161,xRates!$A$1:$BL$267,studies!$R161-xRates!$B$1+2,FALSE),"")</f>
        <v/>
      </c>
      <c r="W161" s="163">
        <v>0</v>
      </c>
      <c r="X161" s="163">
        <v>0</v>
      </c>
      <c r="Y161" s="163">
        <v>1</v>
      </c>
      <c r="Z161" s="163">
        <v>1</v>
      </c>
      <c r="AA161" s="163">
        <v>1</v>
      </c>
      <c r="AB161" s="163" t="s">
        <v>152</v>
      </c>
      <c r="AC161" s="193">
        <v>1026</v>
      </c>
      <c r="AD161" s="201">
        <f>IF(ISNUMBER(AC161),AC161/VLOOKUP($Q161,xRates!$A$1:$BL$267,studies!$R161-xRates!$B$1+2,FALSE),"")</f>
        <v>1026</v>
      </c>
      <c r="AE161" s="200">
        <f t="shared" si="50"/>
        <v>0</v>
      </c>
      <c r="AF161" s="201">
        <f>VLOOKUP(G161,gdppc,R161-1958,FALSE)</f>
        <v>6629.4</v>
      </c>
      <c r="AG161" s="195" t="str">
        <f t="shared" si="51"/>
        <v>Cost-effective</v>
      </c>
      <c r="AH161" s="195" t="str">
        <f t="shared" si="52"/>
        <v>Cost-effective</v>
      </c>
      <c r="AI161" s="204">
        <f t="shared" si="53"/>
        <v>0.15476513711648113</v>
      </c>
      <c r="AJ161" s="205">
        <f>IFERROR(VLOOKUP(G161,ochalek,11,FALSE),"")</f>
        <v>1.42</v>
      </c>
      <c r="AK161" s="195" t="str">
        <f t="shared" si="54"/>
        <v>Cost-effective</v>
      </c>
      <c r="AL161" s="205">
        <f>IFERROR(VLOOKUP(G161,ochalek,10,FALSE),"")</f>
        <v>0.83</v>
      </c>
      <c r="AM161" s="207" t="str">
        <f t="shared" si="55"/>
        <v>Cost-effective</v>
      </c>
      <c r="AN161" s="205">
        <f>IFERROR(VLOOKUP(G161,woods,6,FALSE),"")</f>
        <v>0.33989517688899978</v>
      </c>
      <c r="AO161" s="195" t="str">
        <f t="shared" si="56"/>
        <v>Cost-effective</v>
      </c>
      <c r="AP161" s="205">
        <f>IFERROR(VLOOKUP(G161,woods,5,FALSE),"")</f>
        <v>7.549759780370624E-2</v>
      </c>
      <c r="AQ161" s="195" t="str">
        <f t="shared" si="57"/>
        <v>Not cost-effective</v>
      </c>
      <c r="AR161" s="205">
        <f>IFERROR(VLOOKUP(G161,riviere,8,FALSE),"")</f>
        <v>1.1109197975136884</v>
      </c>
      <c r="AS161" s="195" t="str">
        <f t="shared" si="58"/>
        <v>Cost-effective</v>
      </c>
      <c r="AT161" s="205">
        <f>IFERROR(VLOOKUP(G161,riviere,7,FALSE),"")</f>
        <v>0.46041530355728499</v>
      </c>
      <c r="AU161" s="195" t="str">
        <f t="shared" si="59"/>
        <v>Cost-effective</v>
      </c>
      <c r="AV161" s="162" t="s">
        <v>153</v>
      </c>
      <c r="AW161" s="162" t="s">
        <v>162</v>
      </c>
      <c r="AX161" s="210">
        <f t="shared" si="60"/>
        <v>0</v>
      </c>
      <c r="AY161" s="210">
        <f t="shared" si="61"/>
        <v>0</v>
      </c>
      <c r="AZ161" s="197">
        <f t="shared" si="62"/>
        <v>0</v>
      </c>
      <c r="BA161" s="197">
        <f t="shared" si="63"/>
        <v>1</v>
      </c>
      <c r="BB161" s="197">
        <f t="shared" si="64"/>
        <v>0</v>
      </c>
      <c r="BC161" s="197">
        <f t="shared" si="65"/>
        <v>0</v>
      </c>
      <c r="BD161" s="197">
        <f t="shared" si="66"/>
        <v>1</v>
      </c>
      <c r="BE161" s="163" t="s">
        <v>155</v>
      </c>
      <c r="BF161" s="162" t="s">
        <v>156</v>
      </c>
    </row>
    <row r="162" spans="1:58">
      <c r="A162" s="195">
        <f t="shared" si="47"/>
        <v>47</v>
      </c>
      <c r="B162" s="195">
        <f t="shared" si="48"/>
        <v>1</v>
      </c>
      <c r="C162" s="196" t="str">
        <f t="shared" si="46"/>
        <v>4701</v>
      </c>
      <c r="D162" s="159" t="s">
        <v>69</v>
      </c>
      <c r="E162" s="163">
        <v>2018</v>
      </c>
      <c r="F162" s="162" t="s">
        <v>288</v>
      </c>
      <c r="G162" s="182" t="s">
        <v>241</v>
      </c>
      <c r="H162" s="197" t="str">
        <f>IF(VLOOKUP(G162,income,R162-1985,FALSE)="UM","Upper-middle",IF(VLOOKUP(G162,income,R162-1985,FALSE)="LM","Lower-middle",IF(VLOOKUP(G162,income,R162-1985,FALSE)="L","Low")))</f>
        <v>Upper-middle</v>
      </c>
      <c r="I162" s="163">
        <v>0</v>
      </c>
      <c r="J162" s="162" t="s">
        <v>167</v>
      </c>
      <c r="K162" s="162" t="s">
        <v>147</v>
      </c>
      <c r="L162" s="207" t="str">
        <f t="shared" si="49"/>
        <v>PCV13 vs NoVax</v>
      </c>
      <c r="M162" s="162" t="s">
        <v>1551</v>
      </c>
      <c r="N162" s="163" t="s">
        <v>148</v>
      </c>
      <c r="O162" s="162" t="s">
        <v>159</v>
      </c>
      <c r="P162" s="162" t="s">
        <v>150</v>
      </c>
      <c r="Q162" s="162" t="s">
        <v>151</v>
      </c>
      <c r="R162" s="163">
        <v>2014</v>
      </c>
      <c r="S162" s="191">
        <v>15.68</v>
      </c>
      <c r="T162" s="198">
        <f>IF(ISNUMBER(S162),S162/VLOOKUP($Q162,xRates!$A$1:$BL$267,studies!$R162-xRates!$B$1+2,FALSE),"")</f>
        <v>15.68</v>
      </c>
      <c r="V162" s="198" t="str">
        <f>IF(ISNUMBER(U162),U162/VLOOKUP($Q162,xRates!$A$1:$BL$267,studies!$R162-xRates!$B$1+2,FALSE),"")</f>
        <v/>
      </c>
      <c r="W162" s="163">
        <v>0</v>
      </c>
      <c r="X162" s="163">
        <v>0</v>
      </c>
      <c r="Y162" s="163">
        <v>1</v>
      </c>
      <c r="Z162" s="163">
        <v>1</v>
      </c>
      <c r="AA162" s="163">
        <v>1</v>
      </c>
      <c r="AB162" s="163" t="s">
        <v>263</v>
      </c>
      <c r="AC162" s="193">
        <v>2319</v>
      </c>
      <c r="AD162" s="201">
        <f>IF(ISNUMBER(AC162),AC162/VLOOKUP($Q162,xRates!$A$1:$BL$267,studies!$R162-xRates!$B$1+2,FALSE),"")</f>
        <v>2319</v>
      </c>
      <c r="AE162" s="200">
        <f t="shared" si="50"/>
        <v>0</v>
      </c>
      <c r="AF162" s="201">
        <f>VLOOKUP(G162,gdppc,R162-1958,FALSE)</f>
        <v>8167.5</v>
      </c>
      <c r="AG162" s="195" t="str">
        <f t="shared" si="51"/>
        <v>Cost-effective</v>
      </c>
      <c r="AH162" s="195" t="str">
        <f t="shared" si="52"/>
        <v>Cost-effective</v>
      </c>
      <c r="AI162" s="204">
        <f t="shared" si="53"/>
        <v>0.28393021120293849</v>
      </c>
      <c r="AJ162" s="205">
        <f>IFERROR(VLOOKUP(G162,ochalek,11,FALSE),"")</f>
        <v>1.89</v>
      </c>
      <c r="AK162" s="195" t="str">
        <f t="shared" si="54"/>
        <v>Cost-effective</v>
      </c>
      <c r="AL162" s="205">
        <f>IFERROR(VLOOKUP(G162,ochalek,10,FALSE),"")</f>
        <v>1.17</v>
      </c>
      <c r="AM162" s="207" t="str">
        <f t="shared" si="55"/>
        <v>Cost-effective</v>
      </c>
      <c r="AN162" s="205">
        <f>IFERROR(VLOOKUP(G162,woods,6,FALSE),"")</f>
        <v>0.6677477128612227</v>
      </c>
      <c r="AO162" s="195" t="str">
        <f t="shared" si="56"/>
        <v>Cost-effective</v>
      </c>
      <c r="AP162" s="205">
        <f>IFERROR(VLOOKUP(G162,woods,5,FALSE),"")</f>
        <v>0.16578730819497556</v>
      </c>
      <c r="AQ162" s="195" t="str">
        <f t="shared" si="57"/>
        <v>Not cost-effective</v>
      </c>
      <c r="AR162" s="205">
        <f>IFERROR(VLOOKUP(G162,riviere,8,FALSE),"")</f>
        <v>1.3213703099510603</v>
      </c>
      <c r="AS162" s="195" t="str">
        <f t="shared" si="58"/>
        <v>Cost-effective</v>
      </c>
      <c r="AT162" s="205">
        <f>IFERROR(VLOOKUP(G162,riviere,7,FALSE),"")</f>
        <v>0.54765788860405495</v>
      </c>
      <c r="AU162" s="195" t="str">
        <f t="shared" si="59"/>
        <v>Cost-effective</v>
      </c>
      <c r="AV162" s="162" t="s">
        <v>176</v>
      </c>
      <c r="AW162" s="162" t="s">
        <v>162</v>
      </c>
      <c r="AX162" s="210">
        <f t="shared" si="60"/>
        <v>0</v>
      </c>
      <c r="AY162" s="210">
        <f t="shared" si="61"/>
        <v>0</v>
      </c>
      <c r="AZ162" s="197">
        <f t="shared" si="62"/>
        <v>0</v>
      </c>
      <c r="BA162" s="197">
        <f t="shared" si="63"/>
        <v>1</v>
      </c>
      <c r="BB162" s="197">
        <f t="shared" si="64"/>
        <v>0</v>
      </c>
      <c r="BC162" s="197">
        <f t="shared" si="65"/>
        <v>0</v>
      </c>
      <c r="BD162" s="197">
        <f t="shared" si="66"/>
        <v>1</v>
      </c>
      <c r="BE162" s="163" t="s">
        <v>155</v>
      </c>
      <c r="BF162" s="162" t="s">
        <v>156</v>
      </c>
    </row>
    <row r="163" spans="1:58">
      <c r="A163" s="195">
        <f t="shared" ref="A163:A199" si="67">IF(F163=F162,A162,A162+1)</f>
        <v>47</v>
      </c>
      <c r="B163" s="195">
        <f t="shared" ref="B163:B199" si="68">IF(F163=F162,B162+1,1)</f>
        <v>2</v>
      </c>
      <c r="C163" s="196" t="str">
        <f t="shared" si="46"/>
        <v>4702</v>
      </c>
      <c r="D163" s="159" t="s">
        <v>69</v>
      </c>
      <c r="E163" s="163">
        <v>2018</v>
      </c>
      <c r="F163" s="162" t="s">
        <v>288</v>
      </c>
      <c r="G163" s="182" t="s">
        <v>241</v>
      </c>
      <c r="H163" s="197" t="str">
        <f>IF(VLOOKUP(G163,income,R163-1985,FALSE)="UM","Upper-middle",IF(VLOOKUP(G163,income,R163-1985,FALSE)="LM","Lower-middle",IF(VLOOKUP(G163,income,R163-1985,FALSE)="L","Low")))</f>
        <v>Upper-middle</v>
      </c>
      <c r="I163" s="163">
        <v>0</v>
      </c>
      <c r="J163" s="162" t="s">
        <v>166</v>
      </c>
      <c r="K163" s="162" t="s">
        <v>147</v>
      </c>
      <c r="L163" s="207" t="str">
        <f t="shared" si="49"/>
        <v>PCV10 vs NoVax</v>
      </c>
      <c r="M163" s="162" t="s">
        <v>1551</v>
      </c>
      <c r="N163" s="163" t="s">
        <v>148</v>
      </c>
      <c r="O163" s="162" t="s">
        <v>159</v>
      </c>
      <c r="P163" s="162" t="s">
        <v>150</v>
      </c>
      <c r="Q163" s="162" t="s">
        <v>151</v>
      </c>
      <c r="R163" s="163">
        <v>2014</v>
      </c>
      <c r="S163" s="191">
        <v>14.12</v>
      </c>
      <c r="T163" s="198">
        <f>IF(ISNUMBER(S163),S163/VLOOKUP($Q163,xRates!$A$1:$BL$267,studies!$R163-xRates!$B$1+2,FALSE),"")</f>
        <v>14.12</v>
      </c>
      <c r="V163" s="198" t="str">
        <f>IF(ISNUMBER(U163),U163/VLOOKUP($Q163,xRates!$A$1:$BL$267,studies!$R163-xRates!$B$1+2,FALSE),"")</f>
        <v/>
      </c>
      <c r="W163" s="163">
        <v>0</v>
      </c>
      <c r="X163" s="163">
        <v>0</v>
      </c>
      <c r="Y163" s="163">
        <v>1</v>
      </c>
      <c r="Z163" s="163">
        <v>1</v>
      </c>
      <c r="AA163" s="163">
        <v>1</v>
      </c>
      <c r="AB163" s="163" t="s">
        <v>263</v>
      </c>
      <c r="AC163" s="193">
        <v>1770</v>
      </c>
      <c r="AD163" s="201">
        <f>IF(ISNUMBER(AC163),AC163/VLOOKUP($Q163,xRates!$A$1:$BL$267,studies!$R163-xRates!$B$1+2,FALSE),"")</f>
        <v>1770</v>
      </c>
      <c r="AE163" s="200">
        <f t="shared" si="50"/>
        <v>0</v>
      </c>
      <c r="AF163" s="201">
        <f>VLOOKUP(G163,gdppc,R163-1958,FALSE)</f>
        <v>8167.5</v>
      </c>
      <c r="AG163" s="195" t="str">
        <f t="shared" si="51"/>
        <v>Cost-effective</v>
      </c>
      <c r="AH163" s="195" t="str">
        <f t="shared" si="52"/>
        <v>Cost-effective</v>
      </c>
      <c r="AI163" s="204">
        <f t="shared" si="53"/>
        <v>0.21671258034894397</v>
      </c>
      <c r="AJ163" s="205">
        <f>IFERROR(VLOOKUP(G163,ochalek,11,FALSE),"")</f>
        <v>1.89</v>
      </c>
      <c r="AK163" s="195" t="str">
        <f t="shared" si="54"/>
        <v>Cost-effective</v>
      </c>
      <c r="AL163" s="205">
        <f>IFERROR(VLOOKUP(G163,ochalek,10,FALSE),"")</f>
        <v>1.17</v>
      </c>
      <c r="AM163" s="207" t="str">
        <f t="shared" si="55"/>
        <v>Cost-effective</v>
      </c>
      <c r="AN163" s="205">
        <f>IFERROR(VLOOKUP(G163,woods,6,FALSE),"")</f>
        <v>0.6677477128612227</v>
      </c>
      <c r="AO163" s="195" t="str">
        <f t="shared" si="56"/>
        <v>Cost-effective</v>
      </c>
      <c r="AP163" s="205">
        <f>IFERROR(VLOOKUP(G163,woods,5,FALSE),"")</f>
        <v>0.16578730819497556</v>
      </c>
      <c r="AQ163" s="195" t="str">
        <f t="shared" si="57"/>
        <v>Not cost-effective</v>
      </c>
      <c r="AR163" s="205">
        <f>IFERROR(VLOOKUP(G163,riviere,8,FALSE),"")</f>
        <v>1.3213703099510603</v>
      </c>
      <c r="AS163" s="195" t="str">
        <f t="shared" si="58"/>
        <v>Cost-effective</v>
      </c>
      <c r="AT163" s="205">
        <f>IFERROR(VLOOKUP(G163,riviere,7,FALSE),"")</f>
        <v>0.54765788860405495</v>
      </c>
      <c r="AU163" s="195" t="str">
        <f t="shared" si="59"/>
        <v>Cost-effective</v>
      </c>
      <c r="AV163" s="162" t="s">
        <v>176</v>
      </c>
      <c r="AW163" s="162" t="s">
        <v>162</v>
      </c>
      <c r="AX163" s="210">
        <f t="shared" si="60"/>
        <v>0</v>
      </c>
      <c r="AY163" s="210">
        <f t="shared" si="61"/>
        <v>0</v>
      </c>
      <c r="AZ163" s="197">
        <f t="shared" si="62"/>
        <v>0</v>
      </c>
      <c r="BA163" s="197">
        <f t="shared" si="63"/>
        <v>1</v>
      </c>
      <c r="BB163" s="197">
        <f t="shared" si="64"/>
        <v>0</v>
      </c>
      <c r="BC163" s="197">
        <f t="shared" si="65"/>
        <v>0</v>
      </c>
      <c r="BD163" s="197">
        <f t="shared" si="66"/>
        <v>1</v>
      </c>
      <c r="BE163" s="163" t="s">
        <v>155</v>
      </c>
      <c r="BF163" s="162" t="s">
        <v>156</v>
      </c>
    </row>
    <row r="164" spans="1:58">
      <c r="A164" s="195">
        <f t="shared" si="67"/>
        <v>47</v>
      </c>
      <c r="B164" s="195">
        <f t="shared" si="68"/>
        <v>3</v>
      </c>
      <c r="C164" s="196" t="str">
        <f t="shared" si="46"/>
        <v>4703</v>
      </c>
      <c r="D164" s="159" t="s">
        <v>69</v>
      </c>
      <c r="E164" s="163">
        <v>2018</v>
      </c>
      <c r="F164" s="162" t="s">
        <v>288</v>
      </c>
      <c r="G164" s="182" t="s">
        <v>241</v>
      </c>
      <c r="H164" s="197" t="str">
        <f>IF(VLOOKUP(G164,income,R164-1985,FALSE)="UM","Upper-middle",IF(VLOOKUP(G164,income,R164-1985,FALSE)="LM","Lower-middle",IF(VLOOKUP(G164,income,R164-1985,FALSE)="L","Low")))</f>
        <v>Upper-middle</v>
      </c>
      <c r="I164" s="163">
        <v>0</v>
      </c>
      <c r="J164" s="162" t="s">
        <v>167</v>
      </c>
      <c r="K164" s="162" t="s">
        <v>166</v>
      </c>
      <c r="L164" s="207" t="str">
        <f t="shared" si="49"/>
        <v>PCV13 vs PCV10</v>
      </c>
      <c r="M164" s="162" t="s">
        <v>1551</v>
      </c>
      <c r="N164" s="163" t="s">
        <v>148</v>
      </c>
      <c r="O164" s="162" t="s">
        <v>159</v>
      </c>
      <c r="P164" s="162" t="s">
        <v>150</v>
      </c>
      <c r="Q164" s="162" t="s">
        <v>151</v>
      </c>
      <c r="R164" s="163">
        <v>2014</v>
      </c>
      <c r="S164" s="191">
        <v>15.68</v>
      </c>
      <c r="T164" s="198">
        <f>IF(ISNUMBER(S164),S164/VLOOKUP($Q164,xRates!$A$1:$BL$267,studies!$R164-xRates!$B$1+2,FALSE),"")</f>
        <v>15.68</v>
      </c>
      <c r="U164" s="163">
        <v>14.12</v>
      </c>
      <c r="V164" s="198">
        <f>IF(ISNUMBER(U164),U164/VLOOKUP($Q164,xRates!$A$1:$BL$267,studies!$R164-xRates!$B$1+2,FALSE),"")</f>
        <v>14.12</v>
      </c>
      <c r="W164" s="163">
        <v>0</v>
      </c>
      <c r="X164" s="163">
        <v>0</v>
      </c>
      <c r="Y164" s="163">
        <v>1</v>
      </c>
      <c r="Z164" s="163">
        <v>1</v>
      </c>
      <c r="AA164" s="163">
        <v>1</v>
      </c>
      <c r="AB164" s="163" t="s">
        <v>263</v>
      </c>
      <c r="AC164" s="193">
        <v>2217</v>
      </c>
      <c r="AD164" s="201">
        <f>IF(ISNUMBER(AC164),AC164/VLOOKUP($Q164,xRates!$A$1:$BL$267,studies!$R164-xRates!$B$1+2,FALSE),"")</f>
        <v>2217</v>
      </c>
      <c r="AE164" s="200">
        <f t="shared" si="50"/>
        <v>0</v>
      </c>
      <c r="AF164" s="201">
        <f>VLOOKUP(G164,gdppc,R164-1958,FALSE)</f>
        <v>8167.5</v>
      </c>
      <c r="AG164" s="195" t="str">
        <f t="shared" si="51"/>
        <v>Cost-effective</v>
      </c>
      <c r="AH164" s="195" t="str">
        <f t="shared" si="52"/>
        <v>Cost-effective</v>
      </c>
      <c r="AI164" s="204">
        <f t="shared" si="53"/>
        <v>0.27144168962350779</v>
      </c>
      <c r="AJ164" s="205">
        <f>IFERROR(VLOOKUP(G164,ochalek,11,FALSE),"")</f>
        <v>1.89</v>
      </c>
      <c r="AK164" s="195" t="str">
        <f t="shared" si="54"/>
        <v>Cost-effective</v>
      </c>
      <c r="AL164" s="205">
        <f>IFERROR(VLOOKUP(G164,ochalek,10,FALSE),"")</f>
        <v>1.17</v>
      </c>
      <c r="AM164" s="207" t="str">
        <f t="shared" si="55"/>
        <v>Cost-effective</v>
      </c>
      <c r="AN164" s="205">
        <f>IFERROR(VLOOKUP(G164,woods,6,FALSE),"")</f>
        <v>0.6677477128612227</v>
      </c>
      <c r="AO164" s="195" t="str">
        <f t="shared" si="56"/>
        <v>Cost-effective</v>
      </c>
      <c r="AP164" s="205">
        <f>IFERROR(VLOOKUP(G164,woods,5,FALSE),"")</f>
        <v>0.16578730819497556</v>
      </c>
      <c r="AQ164" s="195" t="str">
        <f t="shared" si="57"/>
        <v>Not cost-effective</v>
      </c>
      <c r="AR164" s="205">
        <f>IFERROR(VLOOKUP(G164,riviere,8,FALSE),"")</f>
        <v>1.3213703099510603</v>
      </c>
      <c r="AS164" s="195" t="str">
        <f t="shared" si="58"/>
        <v>Cost-effective</v>
      </c>
      <c r="AT164" s="205">
        <f>IFERROR(VLOOKUP(G164,riviere,7,FALSE),"")</f>
        <v>0.54765788860405495</v>
      </c>
      <c r="AU164" s="195" t="str">
        <f t="shared" si="59"/>
        <v>Cost-effective</v>
      </c>
      <c r="AV164" s="162" t="s">
        <v>176</v>
      </c>
      <c r="AW164" s="162" t="s">
        <v>162</v>
      </c>
      <c r="AX164" s="210">
        <f t="shared" si="60"/>
        <v>0</v>
      </c>
      <c r="AY164" s="210">
        <f t="shared" si="61"/>
        <v>0</v>
      </c>
      <c r="AZ164" s="197">
        <f t="shared" si="62"/>
        <v>0</v>
      </c>
      <c r="BA164" s="197">
        <f t="shared" si="63"/>
        <v>1</v>
      </c>
      <c r="BB164" s="197">
        <f t="shared" si="64"/>
        <v>0</v>
      </c>
      <c r="BC164" s="197">
        <f t="shared" si="65"/>
        <v>0</v>
      </c>
      <c r="BD164" s="197">
        <f t="shared" si="66"/>
        <v>1</v>
      </c>
      <c r="BE164" s="163" t="s">
        <v>155</v>
      </c>
      <c r="BF164" s="162" t="s">
        <v>156</v>
      </c>
    </row>
    <row r="165" spans="1:58">
      <c r="A165" s="195">
        <f t="shared" si="67"/>
        <v>48</v>
      </c>
      <c r="B165" s="195">
        <f t="shared" si="68"/>
        <v>1</v>
      </c>
      <c r="C165" s="196" t="str">
        <f t="shared" si="46"/>
        <v>4801</v>
      </c>
      <c r="D165" s="159" t="s">
        <v>71</v>
      </c>
      <c r="E165" s="190">
        <v>2019</v>
      </c>
      <c r="F165" s="162" t="s">
        <v>289</v>
      </c>
      <c r="G165" s="162" t="s">
        <v>259</v>
      </c>
      <c r="H165" s="197" t="str">
        <f>IF(VLOOKUP(G165,income,R165-1985,FALSE)="UM","Upper-middle",IF(VLOOKUP(G165,income,R165-1985,FALSE)="LM","Lower-middle",IF(VLOOKUP(G165,income,R165-1985,FALSE)="L","Low")))</f>
        <v>Upper-middle</v>
      </c>
      <c r="I165" s="163">
        <v>0</v>
      </c>
      <c r="J165" s="162" t="s">
        <v>167</v>
      </c>
      <c r="K165" s="162" t="s">
        <v>166</v>
      </c>
      <c r="L165" s="207" t="str">
        <f t="shared" si="49"/>
        <v>PCV13 vs PCV10</v>
      </c>
      <c r="M165" s="162" t="s">
        <v>1552</v>
      </c>
      <c r="N165" s="163" t="s">
        <v>148</v>
      </c>
      <c r="O165" s="164" t="s">
        <v>159</v>
      </c>
      <c r="P165" s="162" t="s">
        <v>290</v>
      </c>
      <c r="Q165" s="162" t="s">
        <v>291</v>
      </c>
      <c r="R165" s="190">
        <v>2016</v>
      </c>
      <c r="S165" s="191">
        <v>23.78</v>
      </c>
      <c r="T165" s="198">
        <f>IF(ISNUMBER(S165),S165/VLOOKUP($Q165,xRates!$A$1:$BL$267,studies!$R165-xRates!$B$1+2,FALSE),"")</f>
        <v>26.422222222222224</v>
      </c>
      <c r="V165" s="198" t="str">
        <f>IF(ISNUMBER(U165),U165/VLOOKUP($Q165,xRates!$A$1:$BL$267,studies!$R165-xRates!$B$1+2,FALSE),"")</f>
        <v/>
      </c>
      <c r="W165" s="163">
        <v>0</v>
      </c>
      <c r="X165" s="163">
        <v>0</v>
      </c>
      <c r="Y165" s="163">
        <v>1</v>
      </c>
      <c r="Z165" s="163">
        <v>1</v>
      </c>
      <c r="AA165" s="163">
        <v>1</v>
      </c>
      <c r="AB165" s="163" t="s">
        <v>152</v>
      </c>
      <c r="AC165" s="190">
        <v>999999</v>
      </c>
      <c r="AD165" s="213">
        <f>IF(ISNUMBER(AC165),AC165/VLOOKUP($Q165,xRates!$A$1:$BL$267,studies!$R165-xRates!$B$1+2,FALSE),"")</f>
        <v>1111110</v>
      </c>
      <c r="AE165" s="200">
        <f t="shared" si="50"/>
        <v>0</v>
      </c>
      <c r="AF165" s="200">
        <f>VLOOKUP(G165,gdppc,R165-1958,FALSE)</f>
        <v>10970</v>
      </c>
      <c r="AG165" s="195" t="str">
        <f t="shared" si="51"/>
        <v>Not cost-effective</v>
      </c>
      <c r="AH165" s="195" t="str">
        <f t="shared" si="52"/>
        <v>Not cost-effective</v>
      </c>
      <c r="AI165" s="204">
        <f t="shared" si="53"/>
        <v>101.28623518687328</v>
      </c>
      <c r="AJ165" s="205">
        <f>IFERROR(VLOOKUP(G165,ochalek,11,FALSE),"")</f>
        <v>1.43</v>
      </c>
      <c r="AK165" s="195" t="str">
        <f t="shared" si="54"/>
        <v>Not cost-effective</v>
      </c>
      <c r="AL165" s="205">
        <f>IFERROR(VLOOKUP(G165,ochalek,10,FALSE),"")</f>
        <v>0.82</v>
      </c>
      <c r="AM165" s="207" t="str">
        <f t="shared" si="55"/>
        <v>Not cost-effective</v>
      </c>
      <c r="AN165" s="205">
        <f>IFERROR(VLOOKUP(G165,woods,6,FALSE),"")</f>
        <v>0.54546755497606969</v>
      </c>
      <c r="AO165" s="195" t="str">
        <f t="shared" si="56"/>
        <v>Not cost-effective</v>
      </c>
      <c r="AP165" s="205">
        <f>IFERROR(VLOOKUP(G165,woods,5,FALSE),"")</f>
        <v>0.23453276303445642</v>
      </c>
      <c r="AQ165" s="195" t="str">
        <f t="shared" si="57"/>
        <v>Not cost-effective</v>
      </c>
      <c r="AR165" s="205">
        <f>IFERROR(VLOOKUP(G165,riviere,8,FALSE),"")</f>
        <v>0.75243613950561017</v>
      </c>
      <c r="AS165" s="195" t="str">
        <f t="shared" si="58"/>
        <v>Not cost-effective</v>
      </c>
      <c r="AT165" s="205">
        <f>IFERROR(VLOOKUP(G165,riviere,7,FALSE),"")</f>
        <v>0.31186926232176576</v>
      </c>
      <c r="AU165" s="195" t="str">
        <f t="shared" si="59"/>
        <v>Not cost-effective</v>
      </c>
      <c r="AV165" s="162" t="s">
        <v>176</v>
      </c>
      <c r="AW165" s="162" t="s">
        <v>154</v>
      </c>
      <c r="AX165" s="210" t="str">
        <f t="shared" si="60"/>
        <v/>
      </c>
      <c r="AY165" s="210" t="str">
        <f t="shared" si="61"/>
        <v/>
      </c>
      <c r="AZ165" s="197" t="str">
        <f t="shared" si="62"/>
        <v/>
      </c>
      <c r="BA165" s="197" t="str">
        <f t="shared" si="63"/>
        <v/>
      </c>
      <c r="BB165" s="197" t="str">
        <f t="shared" si="64"/>
        <v/>
      </c>
      <c r="BC165" s="197" t="str">
        <f t="shared" si="65"/>
        <v/>
      </c>
      <c r="BD165" s="197">
        <f t="shared" si="66"/>
        <v>0</v>
      </c>
      <c r="BE165" s="163" t="s">
        <v>155</v>
      </c>
      <c r="BF165" s="162" t="s">
        <v>163</v>
      </c>
    </row>
    <row r="166" spans="1:58">
      <c r="A166" s="195">
        <f t="shared" si="67"/>
        <v>49</v>
      </c>
      <c r="B166" s="195">
        <f t="shared" si="68"/>
        <v>1</v>
      </c>
      <c r="C166" s="196" t="str">
        <f t="shared" si="46"/>
        <v>4901</v>
      </c>
      <c r="D166" s="159" t="s">
        <v>73</v>
      </c>
      <c r="E166" s="163">
        <v>2019</v>
      </c>
      <c r="F166" s="162" t="s">
        <v>292</v>
      </c>
      <c r="G166" s="182" t="s">
        <v>293</v>
      </c>
      <c r="H166" s="197" t="str">
        <f>IF(VLOOKUP(G166,income,R166-1985,FALSE)="UM","Upper-middle",IF(VLOOKUP(G166,income,R166-1985,FALSE)="LM","Lower-middle",IF(VLOOKUP(G166,income,R166-1985,FALSE)="L","Low")))</f>
        <v>Lower-middle</v>
      </c>
      <c r="I166" s="163">
        <v>0</v>
      </c>
      <c r="J166" s="162" t="s">
        <v>167</v>
      </c>
      <c r="K166" s="162" t="s">
        <v>147</v>
      </c>
      <c r="L166" s="207" t="str">
        <f t="shared" si="49"/>
        <v>PCV13 vs NoVax</v>
      </c>
      <c r="M166" s="162" t="s">
        <v>1551</v>
      </c>
      <c r="N166" s="163" t="s">
        <v>148</v>
      </c>
      <c r="O166" s="162" t="s">
        <v>159</v>
      </c>
      <c r="P166" s="162" t="s">
        <v>150</v>
      </c>
      <c r="Q166" s="162" t="s">
        <v>151</v>
      </c>
      <c r="R166" s="163">
        <v>2017</v>
      </c>
      <c r="S166" s="191">
        <v>15.7</v>
      </c>
      <c r="T166" s="198">
        <f>IF(ISNUMBER(S166),S166/VLOOKUP($Q166,xRates!$A$1:$BL$267,studies!$R166-xRates!$B$1+2,FALSE),"")</f>
        <v>15.7</v>
      </c>
      <c r="V166" s="198" t="str">
        <f>IF(ISNUMBER(U166),U166/VLOOKUP($Q166,xRates!$A$1:$BL$267,studies!$R166-xRates!$B$1+2,FALSE),"")</f>
        <v/>
      </c>
      <c r="W166" s="163">
        <v>0</v>
      </c>
      <c r="X166" s="163">
        <v>0</v>
      </c>
      <c r="Y166" s="163">
        <v>1</v>
      </c>
      <c r="Z166" s="163">
        <v>1</v>
      </c>
      <c r="AA166" s="163">
        <v>1</v>
      </c>
      <c r="AB166" s="163" t="s">
        <v>152</v>
      </c>
      <c r="AC166" s="193">
        <v>848</v>
      </c>
      <c r="AD166" s="201">
        <f>IF(ISNUMBER(AC166),AC166/VLOOKUP($Q166,xRates!$A$1:$BL$267,studies!$R166-xRates!$B$1+2,FALSE),"")</f>
        <v>848</v>
      </c>
      <c r="AE166" s="200">
        <f t="shared" si="50"/>
        <v>0</v>
      </c>
      <c r="AF166" s="201">
        <f>VLOOKUP(G166,gdppc,R166-1958,FALSE)</f>
        <v>3569.7</v>
      </c>
      <c r="AG166" s="195" t="str">
        <f t="shared" si="51"/>
        <v>Cost-effective</v>
      </c>
      <c r="AH166" s="195" t="str">
        <f t="shared" si="52"/>
        <v>Cost-effective</v>
      </c>
      <c r="AI166" s="204">
        <f t="shared" si="53"/>
        <v>0.23755497660867861</v>
      </c>
      <c r="AJ166" s="205">
        <f>IFERROR(VLOOKUP(G166,ochalek,11,FALSE),"")</f>
        <v>1.22</v>
      </c>
      <c r="AK166" s="195" t="str">
        <f t="shared" si="54"/>
        <v>Cost-effective</v>
      </c>
      <c r="AL166" s="205">
        <f>IFERROR(VLOOKUP(G166,ochalek,10,FALSE),"")</f>
        <v>0.71</v>
      </c>
      <c r="AM166" s="207" t="str">
        <f t="shared" si="55"/>
        <v>Cost-effective</v>
      </c>
      <c r="AN166" s="205">
        <f>IFERROR(VLOOKUP(G166,woods,6,FALSE),"")</f>
        <v>0.60162941299352413</v>
      </c>
      <c r="AO166" s="195" t="str">
        <f t="shared" si="56"/>
        <v>Cost-effective</v>
      </c>
      <c r="AP166" s="205">
        <f>IFERROR(VLOOKUP(G166,woods,5,FALSE),"")</f>
        <v>0.15737065663950978</v>
      </c>
      <c r="AQ166" s="195" t="str">
        <f t="shared" si="57"/>
        <v>Not cost-effective</v>
      </c>
      <c r="AR166" s="205">
        <f>IFERROR(VLOOKUP(G166,riviere,8,FALSE),"")</f>
        <v>0.71021910403128408</v>
      </c>
      <c r="AS166" s="195" t="str">
        <f t="shared" si="58"/>
        <v>Cost-effective</v>
      </c>
      <c r="AT166" s="205">
        <f>IFERROR(VLOOKUP(G166,riviere,7,FALSE),"")</f>
        <v>0.28581287020530216</v>
      </c>
      <c r="AU166" s="195" t="str">
        <f t="shared" si="59"/>
        <v>Cost-effective</v>
      </c>
      <c r="AV166" s="162" t="s">
        <v>153</v>
      </c>
      <c r="AW166" s="162" t="s">
        <v>162</v>
      </c>
      <c r="AX166" s="210">
        <f t="shared" si="60"/>
        <v>0</v>
      </c>
      <c r="AY166" s="210">
        <f t="shared" si="61"/>
        <v>0</v>
      </c>
      <c r="AZ166" s="197">
        <f t="shared" si="62"/>
        <v>0</v>
      </c>
      <c r="BA166" s="197">
        <f t="shared" si="63"/>
        <v>1</v>
      </c>
      <c r="BB166" s="197">
        <f t="shared" si="64"/>
        <v>0</v>
      </c>
      <c r="BC166" s="197">
        <f t="shared" si="65"/>
        <v>0</v>
      </c>
      <c r="BD166" s="197">
        <f t="shared" si="66"/>
        <v>1</v>
      </c>
      <c r="BE166" s="163" t="s">
        <v>155</v>
      </c>
      <c r="BF166" s="162" t="s">
        <v>163</v>
      </c>
    </row>
    <row r="167" spans="1:58">
      <c r="A167" s="195">
        <f t="shared" si="67"/>
        <v>49</v>
      </c>
      <c r="B167" s="195">
        <f t="shared" si="68"/>
        <v>2</v>
      </c>
      <c r="C167" s="196" t="str">
        <f t="shared" si="46"/>
        <v>4902</v>
      </c>
      <c r="D167" s="159" t="s">
        <v>73</v>
      </c>
      <c r="E167" s="163">
        <v>2019</v>
      </c>
      <c r="F167" s="162" t="s">
        <v>292</v>
      </c>
      <c r="G167" s="182" t="s">
        <v>293</v>
      </c>
      <c r="H167" s="197" t="str">
        <f>IF(VLOOKUP(G167,income,R167-1985,FALSE)="UM","Upper-middle",IF(VLOOKUP(G167,income,R167-1985,FALSE)="LM","Lower-middle",IF(VLOOKUP(G167,income,R167-1985,FALSE)="L","Low")))</f>
        <v>Lower-middle</v>
      </c>
      <c r="I167" s="163">
        <v>0</v>
      </c>
      <c r="J167" s="162" t="s">
        <v>166</v>
      </c>
      <c r="K167" s="162" t="s">
        <v>147</v>
      </c>
      <c r="L167" s="207" t="str">
        <f t="shared" si="49"/>
        <v>PCV10 vs NoVax</v>
      </c>
      <c r="M167" s="162" t="s">
        <v>1551</v>
      </c>
      <c r="N167" s="163" t="s">
        <v>148</v>
      </c>
      <c r="O167" s="162" t="s">
        <v>159</v>
      </c>
      <c r="P167" s="162" t="s">
        <v>150</v>
      </c>
      <c r="Q167" s="162" t="s">
        <v>151</v>
      </c>
      <c r="R167" s="163">
        <v>2017</v>
      </c>
      <c r="S167" s="191">
        <v>15.7</v>
      </c>
      <c r="T167" s="198">
        <f>IF(ISNUMBER(S167),S167/VLOOKUP($Q167,xRates!$A$1:$BL$267,studies!$R167-xRates!$B$1+2,FALSE),"")</f>
        <v>15.7</v>
      </c>
      <c r="V167" s="198" t="str">
        <f>IF(ISNUMBER(U167),U167/VLOOKUP($Q167,xRates!$A$1:$BL$267,studies!$R167-xRates!$B$1+2,FALSE),"")</f>
        <v/>
      </c>
      <c r="W167" s="163">
        <v>0</v>
      </c>
      <c r="X167" s="163">
        <v>0</v>
      </c>
      <c r="Y167" s="163">
        <v>1</v>
      </c>
      <c r="Z167" s="163">
        <v>1</v>
      </c>
      <c r="AA167" s="163">
        <v>1</v>
      </c>
      <c r="AB167" s="163" t="s">
        <v>152</v>
      </c>
      <c r="AC167" s="193">
        <v>1366</v>
      </c>
      <c r="AD167" s="201">
        <f>IF(ISNUMBER(AC167),AC167/VLOOKUP($Q167,xRates!$A$1:$BL$267,studies!$R167-xRates!$B$1+2,FALSE),"")</f>
        <v>1366</v>
      </c>
      <c r="AE167" s="200">
        <f t="shared" si="50"/>
        <v>0</v>
      </c>
      <c r="AF167" s="201">
        <f>VLOOKUP(G167,gdppc,R167-1958,FALSE)</f>
        <v>3569.7</v>
      </c>
      <c r="AG167" s="195" t="str">
        <f t="shared" si="51"/>
        <v>Cost-effective</v>
      </c>
      <c r="AH167" s="195" t="str">
        <f t="shared" si="52"/>
        <v>Cost-effective</v>
      </c>
      <c r="AI167" s="204">
        <f t="shared" si="53"/>
        <v>0.38266520996162146</v>
      </c>
      <c r="AJ167" s="205">
        <f>IFERROR(VLOOKUP(G167,ochalek,11,FALSE),"")</f>
        <v>1.22</v>
      </c>
      <c r="AK167" s="195" t="str">
        <f t="shared" si="54"/>
        <v>Cost-effective</v>
      </c>
      <c r="AL167" s="205">
        <f>IFERROR(VLOOKUP(G167,ochalek,10,FALSE),"")</f>
        <v>0.71</v>
      </c>
      <c r="AM167" s="207" t="str">
        <f t="shared" si="55"/>
        <v>Cost-effective</v>
      </c>
      <c r="AN167" s="205">
        <f>IFERROR(VLOOKUP(G167,woods,6,FALSE),"")</f>
        <v>0.60162941299352413</v>
      </c>
      <c r="AO167" s="195" t="str">
        <f t="shared" si="56"/>
        <v>Cost-effective</v>
      </c>
      <c r="AP167" s="205">
        <f>IFERROR(VLOOKUP(G167,woods,5,FALSE),"")</f>
        <v>0.15737065663950978</v>
      </c>
      <c r="AQ167" s="195" t="str">
        <f t="shared" si="57"/>
        <v>Not cost-effective</v>
      </c>
      <c r="AR167" s="205">
        <f>IFERROR(VLOOKUP(G167,riviere,8,FALSE),"")</f>
        <v>0.71021910403128408</v>
      </c>
      <c r="AS167" s="195" t="str">
        <f t="shared" si="58"/>
        <v>Cost-effective</v>
      </c>
      <c r="AT167" s="205">
        <f>IFERROR(VLOOKUP(G167,riviere,7,FALSE),"")</f>
        <v>0.28581287020530216</v>
      </c>
      <c r="AU167" s="195" t="str">
        <f t="shared" si="59"/>
        <v>Not cost-effective</v>
      </c>
      <c r="AV167" s="162" t="s">
        <v>153</v>
      </c>
      <c r="AW167" s="162" t="s">
        <v>162</v>
      </c>
      <c r="AX167" s="210">
        <f t="shared" si="60"/>
        <v>0</v>
      </c>
      <c r="AY167" s="210">
        <f t="shared" si="61"/>
        <v>0</v>
      </c>
      <c r="AZ167" s="197">
        <f t="shared" si="62"/>
        <v>0</v>
      </c>
      <c r="BA167" s="197">
        <f t="shared" si="63"/>
        <v>1</v>
      </c>
      <c r="BB167" s="197">
        <f t="shared" si="64"/>
        <v>0</v>
      </c>
      <c r="BC167" s="197">
        <f t="shared" si="65"/>
        <v>1</v>
      </c>
      <c r="BD167" s="197">
        <f t="shared" si="66"/>
        <v>2</v>
      </c>
      <c r="BE167" s="163" t="s">
        <v>155</v>
      </c>
      <c r="BF167" s="162" t="s">
        <v>163</v>
      </c>
    </row>
    <row r="168" spans="1:58">
      <c r="A168" s="195">
        <f t="shared" si="67"/>
        <v>49</v>
      </c>
      <c r="B168" s="195">
        <f t="shared" si="68"/>
        <v>3</v>
      </c>
      <c r="C168" s="196" t="str">
        <f t="shared" si="46"/>
        <v>4903</v>
      </c>
      <c r="D168" s="159" t="s">
        <v>73</v>
      </c>
      <c r="E168" s="163">
        <v>2019</v>
      </c>
      <c r="F168" s="162" t="s">
        <v>292</v>
      </c>
      <c r="G168" s="182" t="s">
        <v>294</v>
      </c>
      <c r="H168" s="197" t="str">
        <f>IF(VLOOKUP(G168,income,R168-1985,FALSE)="UM","Upper-middle",IF(VLOOKUP(G168,income,R168-1985,FALSE)="LM","Lower-middle",IF(VLOOKUP(G168,income,R168-1985,FALSE)="L","Low")))</f>
        <v>Upper-middle</v>
      </c>
      <c r="I168" s="163">
        <v>0</v>
      </c>
      <c r="J168" s="162" t="s">
        <v>167</v>
      </c>
      <c r="K168" s="162" t="s">
        <v>147</v>
      </c>
      <c r="L168" s="207" t="str">
        <f t="shared" si="49"/>
        <v>PCV13 vs NoVax</v>
      </c>
      <c r="M168" s="162" t="s">
        <v>1551</v>
      </c>
      <c r="N168" s="163" t="s">
        <v>148</v>
      </c>
      <c r="O168" s="162" t="s">
        <v>159</v>
      </c>
      <c r="P168" s="162" t="s">
        <v>150</v>
      </c>
      <c r="Q168" s="162" t="s">
        <v>151</v>
      </c>
      <c r="R168" s="163">
        <v>2017</v>
      </c>
      <c r="S168" s="191">
        <v>15.7</v>
      </c>
      <c r="T168" s="198">
        <f>IF(ISNUMBER(S168),S168/VLOOKUP($Q168,xRates!$A$1:$BL$267,studies!$R168-xRates!$B$1+2,FALSE),"")</f>
        <v>15.7</v>
      </c>
      <c r="V168" s="198" t="str">
        <f>IF(ISNUMBER(U168),U168/VLOOKUP($Q168,xRates!$A$1:$BL$267,studies!$R168-xRates!$B$1+2,FALSE),"")</f>
        <v/>
      </c>
      <c r="W168" s="163">
        <v>0</v>
      </c>
      <c r="X168" s="163">
        <v>0</v>
      </c>
      <c r="Y168" s="163">
        <v>1</v>
      </c>
      <c r="Z168" s="163">
        <v>1</v>
      </c>
      <c r="AA168" s="163">
        <v>1</v>
      </c>
      <c r="AB168" s="163" t="s">
        <v>152</v>
      </c>
      <c r="AC168" s="193">
        <v>308</v>
      </c>
      <c r="AD168" s="201">
        <f>IF(ISNUMBER(AC168),AC168/VLOOKUP($Q168,xRates!$A$1:$BL$267,studies!$R168-xRates!$B$1+2,FALSE),"")</f>
        <v>308</v>
      </c>
      <c r="AE168" s="200">
        <f t="shared" si="50"/>
        <v>0</v>
      </c>
      <c r="AF168" s="201">
        <f>VLOOKUP(G168,gdppc,R168-1958,FALSE)</f>
        <v>4615.8999999999996</v>
      </c>
      <c r="AG168" s="195" t="str">
        <f t="shared" si="51"/>
        <v>Cost-effective</v>
      </c>
      <c r="AH168" s="195" t="str">
        <f t="shared" si="52"/>
        <v>Cost-effective</v>
      </c>
      <c r="AI168" s="204">
        <f t="shared" si="53"/>
        <v>6.6725882276479132E-2</v>
      </c>
      <c r="AJ168" s="205">
        <f>IFERROR(VLOOKUP(G168,ochalek,11,FALSE),"")</f>
        <v>1.54</v>
      </c>
      <c r="AK168" s="195" t="str">
        <f t="shared" si="54"/>
        <v>Cost-effective</v>
      </c>
      <c r="AL168" s="205">
        <f>IFERROR(VLOOKUP(G168,ochalek,10,FALSE),"")</f>
        <v>0.97</v>
      </c>
      <c r="AM168" s="207" t="str">
        <f t="shared" si="55"/>
        <v>Cost-effective</v>
      </c>
      <c r="AN168" s="205">
        <f>IFERROR(VLOOKUP(G168,woods,6,FALSE),"")</f>
        <v>0.61922014326600161</v>
      </c>
      <c r="AO168" s="195" t="str">
        <f t="shared" si="56"/>
        <v>Cost-effective</v>
      </c>
      <c r="AP168" s="205">
        <f>IFERROR(VLOOKUP(G168,woods,5,FALSE),"")</f>
        <v>0.1674193921948153</v>
      </c>
      <c r="AQ168" s="195" t="str">
        <f t="shared" si="57"/>
        <v>Cost-effective</v>
      </c>
      <c r="AR168" s="205">
        <f>IFERROR(VLOOKUP(G168,riviere,8,FALSE),"")</f>
        <v>0.58784574291958225</v>
      </c>
      <c r="AS168" s="195" t="str">
        <f t="shared" si="58"/>
        <v>Cost-effective</v>
      </c>
      <c r="AT168" s="205">
        <f>IFERROR(VLOOKUP(G168,riviere,7,FALSE),"")</f>
        <v>0.23663936778437561</v>
      </c>
      <c r="AU168" s="195" t="str">
        <f t="shared" si="59"/>
        <v>Cost-effective</v>
      </c>
      <c r="AV168" s="162" t="s">
        <v>153</v>
      </c>
      <c r="AW168" s="162" t="s">
        <v>162</v>
      </c>
      <c r="AX168" s="210">
        <f t="shared" si="60"/>
        <v>0</v>
      </c>
      <c r="AY168" s="210">
        <f t="shared" si="61"/>
        <v>0</v>
      </c>
      <c r="AZ168" s="197">
        <f t="shared" si="62"/>
        <v>0</v>
      </c>
      <c r="BA168" s="197">
        <f t="shared" si="63"/>
        <v>0</v>
      </c>
      <c r="BB168" s="197">
        <f t="shared" si="64"/>
        <v>0</v>
      </c>
      <c r="BC168" s="197">
        <f t="shared" si="65"/>
        <v>0</v>
      </c>
      <c r="BD168" s="197">
        <f t="shared" si="66"/>
        <v>0</v>
      </c>
      <c r="BE168" s="163" t="s">
        <v>155</v>
      </c>
      <c r="BF168" s="162" t="s">
        <v>163</v>
      </c>
    </row>
    <row r="169" spans="1:58">
      <c r="A169" s="195">
        <f t="shared" si="67"/>
        <v>49</v>
      </c>
      <c r="B169" s="195">
        <f t="shared" si="68"/>
        <v>4</v>
      </c>
      <c r="C169" s="196" t="str">
        <f t="shared" si="46"/>
        <v>4904</v>
      </c>
      <c r="D169" s="159" t="s">
        <v>73</v>
      </c>
      <c r="E169" s="163">
        <v>2019</v>
      </c>
      <c r="F169" s="162" t="s">
        <v>292</v>
      </c>
      <c r="G169" s="182" t="s">
        <v>294</v>
      </c>
      <c r="H169" s="197" t="str">
        <f>IF(VLOOKUP(G169,income,R169-1985,FALSE)="UM","Upper-middle",IF(VLOOKUP(G169,income,R169-1985,FALSE)="LM","Lower-middle",IF(VLOOKUP(G169,income,R169-1985,FALSE)="L","Low")))</f>
        <v>Upper-middle</v>
      </c>
      <c r="I169" s="163">
        <v>0</v>
      </c>
      <c r="J169" s="162" t="s">
        <v>166</v>
      </c>
      <c r="K169" s="162" t="s">
        <v>147</v>
      </c>
      <c r="L169" s="207" t="str">
        <f t="shared" si="49"/>
        <v>PCV10 vs NoVax</v>
      </c>
      <c r="M169" s="162" t="s">
        <v>1551</v>
      </c>
      <c r="N169" s="163" t="s">
        <v>148</v>
      </c>
      <c r="O169" s="162" t="s">
        <v>159</v>
      </c>
      <c r="P169" s="162" t="s">
        <v>150</v>
      </c>
      <c r="Q169" s="162" t="s">
        <v>151</v>
      </c>
      <c r="R169" s="163">
        <v>2017</v>
      </c>
      <c r="S169" s="191">
        <v>15.7</v>
      </c>
      <c r="T169" s="198">
        <f>IF(ISNUMBER(S169),S169/VLOOKUP($Q169,xRates!$A$1:$BL$267,studies!$R169-xRates!$B$1+2,FALSE),"")</f>
        <v>15.7</v>
      </c>
      <c r="V169" s="198" t="str">
        <f>IF(ISNUMBER(U169),U169/VLOOKUP($Q169,xRates!$A$1:$BL$267,studies!$R169-xRates!$B$1+2,FALSE),"")</f>
        <v/>
      </c>
      <c r="W169" s="163">
        <v>0</v>
      </c>
      <c r="X169" s="163">
        <v>0</v>
      </c>
      <c r="Y169" s="163">
        <v>1</v>
      </c>
      <c r="Z169" s="163">
        <v>1</v>
      </c>
      <c r="AA169" s="163">
        <v>1</v>
      </c>
      <c r="AB169" s="163" t="s">
        <v>152</v>
      </c>
      <c r="AC169" s="193">
        <v>731</v>
      </c>
      <c r="AD169" s="201">
        <f>IF(ISNUMBER(AC169),AC169/VLOOKUP($Q169,xRates!$A$1:$BL$267,studies!$R169-xRates!$B$1+2,FALSE),"")</f>
        <v>731</v>
      </c>
      <c r="AE169" s="200">
        <f t="shared" si="50"/>
        <v>0</v>
      </c>
      <c r="AF169" s="201">
        <f>VLOOKUP(G169,gdppc,R169-1958,FALSE)</f>
        <v>4615.8999999999996</v>
      </c>
      <c r="AG169" s="195" t="str">
        <f t="shared" si="51"/>
        <v>Cost-effective</v>
      </c>
      <c r="AH169" s="195" t="str">
        <f t="shared" si="52"/>
        <v>Cost-effective</v>
      </c>
      <c r="AI169" s="204">
        <f t="shared" si="53"/>
        <v>0.15836564916917611</v>
      </c>
      <c r="AJ169" s="205">
        <f>IFERROR(VLOOKUP(G169,ochalek,11,FALSE),"")</f>
        <v>1.54</v>
      </c>
      <c r="AK169" s="195" t="str">
        <f t="shared" si="54"/>
        <v>Cost-effective</v>
      </c>
      <c r="AL169" s="205">
        <f>IFERROR(VLOOKUP(G169,ochalek,10,FALSE),"")</f>
        <v>0.97</v>
      </c>
      <c r="AM169" s="207" t="str">
        <f t="shared" si="55"/>
        <v>Cost-effective</v>
      </c>
      <c r="AN169" s="205">
        <f>IFERROR(VLOOKUP(G169,woods,6,FALSE),"")</f>
        <v>0.61922014326600161</v>
      </c>
      <c r="AO169" s="195" t="str">
        <f t="shared" si="56"/>
        <v>Cost-effective</v>
      </c>
      <c r="AP169" s="205">
        <f>IFERROR(VLOOKUP(G169,woods,5,FALSE),"")</f>
        <v>0.1674193921948153</v>
      </c>
      <c r="AQ169" s="195" t="str">
        <f t="shared" si="57"/>
        <v>Cost-effective</v>
      </c>
      <c r="AR169" s="205">
        <f>IFERROR(VLOOKUP(G169,riviere,8,FALSE),"")</f>
        <v>0.58784574291958225</v>
      </c>
      <c r="AS169" s="195" t="str">
        <f t="shared" si="58"/>
        <v>Cost-effective</v>
      </c>
      <c r="AT169" s="205">
        <f>IFERROR(VLOOKUP(G169,riviere,7,FALSE),"")</f>
        <v>0.23663936778437561</v>
      </c>
      <c r="AU169" s="195" t="str">
        <f t="shared" si="59"/>
        <v>Cost-effective</v>
      </c>
      <c r="AV169" s="162" t="s">
        <v>153</v>
      </c>
      <c r="AW169" s="162" t="s">
        <v>162</v>
      </c>
      <c r="AX169" s="210">
        <f t="shared" si="60"/>
        <v>0</v>
      </c>
      <c r="AY169" s="210">
        <f t="shared" si="61"/>
        <v>0</v>
      </c>
      <c r="AZ169" s="197">
        <f t="shared" si="62"/>
        <v>0</v>
      </c>
      <c r="BA169" s="197">
        <f t="shared" si="63"/>
        <v>0</v>
      </c>
      <c r="BB169" s="197">
        <f t="shared" si="64"/>
        <v>0</v>
      </c>
      <c r="BC169" s="197">
        <f t="shared" si="65"/>
        <v>0</v>
      </c>
      <c r="BD169" s="197">
        <f t="shared" si="66"/>
        <v>0</v>
      </c>
      <c r="BE169" s="163" t="s">
        <v>155</v>
      </c>
      <c r="BF169" s="162" t="s">
        <v>163</v>
      </c>
    </row>
    <row r="170" spans="1:58">
      <c r="A170" s="195">
        <f t="shared" si="67"/>
        <v>50</v>
      </c>
      <c r="B170" s="195">
        <f t="shared" si="68"/>
        <v>1</v>
      </c>
      <c r="C170" s="196" t="str">
        <f t="shared" si="46"/>
        <v>5001</v>
      </c>
      <c r="D170" s="159" t="s">
        <v>73</v>
      </c>
      <c r="E170" s="163">
        <v>2020</v>
      </c>
      <c r="F170" s="162" t="s">
        <v>295</v>
      </c>
      <c r="G170" s="182" t="s">
        <v>241</v>
      </c>
      <c r="H170" s="197" t="str">
        <f>IF(VLOOKUP(G170,income,R170-1985,FALSE)="UM","Upper-middle",IF(VLOOKUP(G170,income,R170-1985,FALSE)="LM","Lower-middle",IF(VLOOKUP(G170,income,R170-1985,FALSE)="L","Low")))</f>
        <v>Upper-middle</v>
      </c>
      <c r="I170" s="163">
        <v>0</v>
      </c>
      <c r="J170" s="162" t="s">
        <v>167</v>
      </c>
      <c r="K170" s="162" t="s">
        <v>166</v>
      </c>
      <c r="L170" s="207" t="str">
        <f t="shared" si="49"/>
        <v>PCV13 vs PCV10</v>
      </c>
      <c r="M170" s="162" t="s">
        <v>1551</v>
      </c>
      <c r="N170" s="163" t="s">
        <v>148</v>
      </c>
      <c r="O170" s="162" t="s">
        <v>159</v>
      </c>
      <c r="P170" s="162" t="s">
        <v>150</v>
      </c>
      <c r="Q170" s="162" t="s">
        <v>151</v>
      </c>
      <c r="R170" s="163">
        <v>2016</v>
      </c>
      <c r="S170" s="191">
        <v>14.75</v>
      </c>
      <c r="T170" s="198">
        <f>IF(ISNUMBER(S170),S170/VLOOKUP($Q170,xRates!$A$1:$BL$267,studies!$R170-xRates!$B$1+2,FALSE),"")</f>
        <v>14.75</v>
      </c>
      <c r="U170" s="163">
        <v>12.85</v>
      </c>
      <c r="V170" s="198">
        <f>IF(ISNUMBER(U170),U170/VLOOKUP($Q170,xRates!$A$1:$BL$267,studies!$R170-xRates!$B$1+2,FALSE),"")</f>
        <v>12.85</v>
      </c>
      <c r="W170" s="163">
        <v>1</v>
      </c>
      <c r="X170" s="163">
        <v>0</v>
      </c>
      <c r="Y170" s="163">
        <v>1</v>
      </c>
      <c r="Z170" s="163">
        <v>1</v>
      </c>
      <c r="AA170" s="163">
        <v>1</v>
      </c>
      <c r="AB170" s="163" t="s">
        <v>152</v>
      </c>
      <c r="AC170" s="193">
        <f>-59836109/6406</f>
        <v>-9340.6351857633472</v>
      </c>
      <c r="AD170" s="201">
        <f>IF(ISNUMBER(AC170),AC170/VLOOKUP($Q170,xRates!$A$1:$BL$267,studies!$R170-xRates!$B$1+2,FALSE),"")</f>
        <v>-9340.6351857633472</v>
      </c>
      <c r="AE170" s="200">
        <f t="shared" si="50"/>
        <v>1</v>
      </c>
      <c r="AF170" s="201">
        <f>VLOOKUP(G170,gdppc,R170-1958,FALSE)</f>
        <v>5936.3</v>
      </c>
      <c r="AG170" s="195" t="str">
        <f t="shared" si="51"/>
        <v>Cost-saving</v>
      </c>
      <c r="AH170" s="195" t="str">
        <f t="shared" si="52"/>
        <v>Cost-saving</v>
      </c>
      <c r="AI170" s="204">
        <f t="shared" si="53"/>
        <v>-1.573477618341955</v>
      </c>
      <c r="AJ170" s="205">
        <f>IFERROR(VLOOKUP(G170,ochalek,11,FALSE),"")</f>
        <v>1.89</v>
      </c>
      <c r="AK170" s="195" t="str">
        <f t="shared" si="54"/>
        <v>Cost-saving</v>
      </c>
      <c r="AL170" s="205">
        <f>IFERROR(VLOOKUP(G170,ochalek,10,FALSE),"")</f>
        <v>1.17</v>
      </c>
      <c r="AM170" s="207" t="str">
        <f t="shared" si="55"/>
        <v>Cost-saving</v>
      </c>
      <c r="AN170" s="205">
        <f>IFERROR(VLOOKUP(G170,woods,6,FALSE),"")</f>
        <v>0.6677477128612227</v>
      </c>
      <c r="AO170" s="195" t="str">
        <f t="shared" si="56"/>
        <v>Cost-saving</v>
      </c>
      <c r="AP170" s="205">
        <f>IFERROR(VLOOKUP(G170,woods,5,FALSE),"")</f>
        <v>0.16578730819497556</v>
      </c>
      <c r="AQ170" s="195" t="str">
        <f t="shared" si="57"/>
        <v>Cost-saving</v>
      </c>
      <c r="AR170" s="205">
        <f>IFERROR(VLOOKUP(G170,riviere,8,FALSE),"")</f>
        <v>1.3213703099510603</v>
      </c>
      <c r="AS170" s="195" t="str">
        <f t="shared" si="58"/>
        <v>Cost-saving</v>
      </c>
      <c r="AT170" s="205">
        <f>IFERROR(VLOOKUP(G170,riviere,7,FALSE),"")</f>
        <v>0.54765788860405495</v>
      </c>
      <c r="AU170" s="195" t="str">
        <f t="shared" si="59"/>
        <v>Cost-saving</v>
      </c>
      <c r="AV170" s="162" t="s">
        <v>153</v>
      </c>
      <c r="AW170" s="162" t="s">
        <v>186</v>
      </c>
      <c r="AX170" s="210" t="str">
        <f t="shared" si="60"/>
        <v/>
      </c>
      <c r="AY170" s="210" t="str">
        <f t="shared" si="61"/>
        <v/>
      </c>
      <c r="AZ170" s="197" t="str">
        <f t="shared" si="62"/>
        <v/>
      </c>
      <c r="BA170" s="197" t="str">
        <f t="shared" si="63"/>
        <v/>
      </c>
      <c r="BB170" s="197" t="str">
        <f t="shared" si="64"/>
        <v/>
      </c>
      <c r="BC170" s="197" t="str">
        <f t="shared" si="65"/>
        <v/>
      </c>
      <c r="BD170" s="197">
        <f t="shared" si="66"/>
        <v>0</v>
      </c>
      <c r="BE170" s="163" t="s">
        <v>155</v>
      </c>
      <c r="BF170" s="162" t="s">
        <v>163</v>
      </c>
    </row>
    <row r="171" spans="1:58">
      <c r="A171" s="195">
        <f t="shared" si="67"/>
        <v>51</v>
      </c>
      <c r="B171" s="195">
        <f t="shared" si="68"/>
        <v>1</v>
      </c>
      <c r="C171" s="196" t="str">
        <f t="shared" si="46"/>
        <v>5101</v>
      </c>
      <c r="D171" s="159" t="s">
        <v>76</v>
      </c>
      <c r="E171" s="163">
        <v>2021</v>
      </c>
      <c r="F171" s="162" t="s">
        <v>296</v>
      </c>
      <c r="G171" s="162" t="s">
        <v>217</v>
      </c>
      <c r="H171" s="197" t="str">
        <f>IF(VLOOKUP(G171,income,R171-1985,FALSE)="UM","Upper-middle",IF(VLOOKUP(G171,income,R171-1985,FALSE)="LM","Lower-middle",IF(VLOOKUP(G171,income,R171-1985,FALSE)="L","Low")))</f>
        <v>Low</v>
      </c>
      <c r="I171" s="163">
        <v>0</v>
      </c>
      <c r="J171" s="162" t="s">
        <v>167</v>
      </c>
      <c r="K171" s="162" t="s">
        <v>147</v>
      </c>
      <c r="L171" s="207" t="str">
        <f t="shared" si="49"/>
        <v>PCV13 vs NoVax</v>
      </c>
      <c r="M171" s="162" t="s">
        <v>1551</v>
      </c>
      <c r="N171" s="163" t="s">
        <v>148</v>
      </c>
      <c r="O171" s="162" t="s">
        <v>159</v>
      </c>
      <c r="P171" s="162" t="s">
        <v>150</v>
      </c>
      <c r="Q171" s="162" t="s">
        <v>151</v>
      </c>
      <c r="R171" s="163">
        <v>2017</v>
      </c>
      <c r="S171" s="191">
        <v>0.2</v>
      </c>
      <c r="T171" s="198">
        <f>IF(ISNUMBER(S171),S171/VLOOKUP($Q171,xRates!$A$1:$BL$267,studies!$R171-xRates!$B$1+2,FALSE),"")</f>
        <v>0.2</v>
      </c>
      <c r="V171" s="198" t="str">
        <f>IF(ISNUMBER(U171),U171/VLOOKUP($Q171,xRates!$A$1:$BL$267,studies!$R171-xRates!$B$1+2,FALSE),"")</f>
        <v/>
      </c>
      <c r="W171" s="163">
        <v>0</v>
      </c>
      <c r="X171" s="163">
        <v>0</v>
      </c>
      <c r="Y171" s="163">
        <v>1</v>
      </c>
      <c r="Z171" s="163">
        <v>1</v>
      </c>
      <c r="AA171" s="163">
        <v>0</v>
      </c>
      <c r="AB171" s="163" t="s">
        <v>190</v>
      </c>
      <c r="AC171" s="193">
        <v>-999999</v>
      </c>
      <c r="AD171" s="201">
        <f>IF(ISNUMBER(AC171),AC171/VLOOKUP($Q171,xRates!$A$1:$BL$267,studies!$R171-xRates!$B$1+2,FALSE),"")</f>
        <v>-999999</v>
      </c>
      <c r="AE171" s="200">
        <f t="shared" si="50"/>
        <v>1</v>
      </c>
      <c r="AF171" s="201">
        <f>VLOOKUP(G171,gdppc,R171-1958,FALSE)</f>
        <v>632</v>
      </c>
      <c r="AG171" s="195" t="str">
        <f t="shared" si="51"/>
        <v>Cost-saving</v>
      </c>
      <c r="AH171" s="195" t="str">
        <f t="shared" si="52"/>
        <v>Cost-saving</v>
      </c>
      <c r="AI171" s="204">
        <f t="shared" si="53"/>
        <v>-1582.2768987341772</v>
      </c>
      <c r="AJ171" s="205">
        <f>IFERROR(VLOOKUP(G171,ochalek,11,FALSE),"")</f>
        <v>0.69</v>
      </c>
      <c r="AK171" s="195" t="str">
        <f t="shared" si="54"/>
        <v>Cost-saving</v>
      </c>
      <c r="AL171" s="205">
        <f>IFERROR(VLOOKUP(G171,ochalek,10,FALSE),"")</f>
        <v>0.52</v>
      </c>
      <c r="AM171" s="207" t="str">
        <f t="shared" si="55"/>
        <v>Cost-saving</v>
      </c>
      <c r="AN171" s="205">
        <f>IFERROR(VLOOKUP(G171,woods,6,FALSE),"")</f>
        <v>0.38924930491195553</v>
      </c>
      <c r="AO171" s="195" t="str">
        <f t="shared" si="56"/>
        <v>Cost-saving</v>
      </c>
      <c r="AP171" s="205">
        <f>IFERROR(VLOOKUP(G171,woods,5,FALSE),"")</f>
        <v>1.8535681186283598E-2</v>
      </c>
      <c r="AQ171" s="195" t="str">
        <f t="shared" si="57"/>
        <v>Cost-saving</v>
      </c>
      <c r="AR171" s="205">
        <f>IFERROR(VLOOKUP(G171,riviere,8,FALSE),"")</f>
        <v>0.27251348734264769</v>
      </c>
      <c r="AS171" s="195" t="str">
        <f t="shared" si="58"/>
        <v>Cost-saving</v>
      </c>
      <c r="AT171" s="205">
        <f>IFERROR(VLOOKUP(G171,riviere,7,FALSE),"")</f>
        <v>5.3949370590676442E-2</v>
      </c>
      <c r="AU171" s="195" t="str">
        <f t="shared" si="59"/>
        <v>Cost-saving</v>
      </c>
      <c r="AV171" s="162" t="s">
        <v>260</v>
      </c>
      <c r="AW171" s="162" t="s">
        <v>186</v>
      </c>
      <c r="AX171" s="210" t="str">
        <f t="shared" si="60"/>
        <v/>
      </c>
      <c r="AY171" s="210" t="str">
        <f t="shared" si="61"/>
        <v/>
      </c>
      <c r="AZ171" s="197" t="str">
        <f t="shared" si="62"/>
        <v/>
      </c>
      <c r="BA171" s="197" t="str">
        <f t="shared" si="63"/>
        <v/>
      </c>
      <c r="BB171" s="197" t="str">
        <f t="shared" si="64"/>
        <v/>
      </c>
      <c r="BC171" s="197" t="str">
        <f t="shared" si="65"/>
        <v/>
      </c>
      <c r="BD171" s="197">
        <f t="shared" si="66"/>
        <v>0</v>
      </c>
      <c r="BE171" s="163" t="s">
        <v>148</v>
      </c>
      <c r="BF171" s="162" t="s">
        <v>249</v>
      </c>
    </row>
    <row r="172" spans="1:58">
      <c r="A172" s="195">
        <f t="shared" si="67"/>
        <v>51</v>
      </c>
      <c r="B172" s="195">
        <f t="shared" si="68"/>
        <v>2</v>
      </c>
      <c r="C172" s="196" t="str">
        <f t="shared" si="46"/>
        <v>5102</v>
      </c>
      <c r="D172" s="159" t="s">
        <v>76</v>
      </c>
      <c r="E172" s="163">
        <v>2021</v>
      </c>
      <c r="F172" s="162" t="s">
        <v>296</v>
      </c>
      <c r="G172" s="162" t="s">
        <v>217</v>
      </c>
      <c r="H172" s="197" t="str">
        <f>IF(VLOOKUP(G172,income,R172-1985,FALSE)="UM","Upper-middle",IF(VLOOKUP(G172,income,R172-1985,FALSE)="LM","Lower-middle",IF(VLOOKUP(G172,income,R172-1985,FALSE)="L","Low")))</f>
        <v>Low</v>
      </c>
      <c r="I172" s="163">
        <v>0</v>
      </c>
      <c r="J172" s="162" t="s">
        <v>167</v>
      </c>
      <c r="K172" s="162" t="s">
        <v>147</v>
      </c>
      <c r="L172" s="207" t="str">
        <f t="shared" si="49"/>
        <v>PCV13 vs NoVax</v>
      </c>
      <c r="M172" s="162" t="s">
        <v>1551</v>
      </c>
      <c r="N172" s="163" t="s">
        <v>148</v>
      </c>
      <c r="O172" s="162" t="s">
        <v>149</v>
      </c>
      <c r="P172" s="162" t="s">
        <v>150</v>
      </c>
      <c r="Q172" s="162" t="s">
        <v>151</v>
      </c>
      <c r="R172" s="163">
        <v>2017</v>
      </c>
      <c r="S172" s="191">
        <v>0.2</v>
      </c>
      <c r="T172" s="198">
        <f>IF(ISNUMBER(S172),S172/VLOOKUP($Q172,xRates!$A$1:$BL$267,studies!$R172-xRates!$B$1+2,FALSE),"")</f>
        <v>0.2</v>
      </c>
      <c r="V172" s="198" t="str">
        <f>IF(ISNUMBER(U172),U172/VLOOKUP($Q172,xRates!$A$1:$BL$267,studies!$R172-xRates!$B$1+2,FALSE),"")</f>
        <v/>
      </c>
      <c r="W172" s="163">
        <v>0</v>
      </c>
      <c r="X172" s="163">
        <v>0</v>
      </c>
      <c r="Y172" s="163">
        <v>1</v>
      </c>
      <c r="Z172" s="163">
        <v>1</v>
      </c>
      <c r="AA172" s="163">
        <v>0</v>
      </c>
      <c r="AB172" s="163" t="s">
        <v>190</v>
      </c>
      <c r="AC172" s="193">
        <v>-999999</v>
      </c>
      <c r="AD172" s="201">
        <f>IF(ISNUMBER(AC172),AC172/VLOOKUP($Q172,xRates!$A$1:$BL$267,studies!$R172-xRates!$B$1+2,FALSE),"")</f>
        <v>-999999</v>
      </c>
      <c r="AE172" s="200">
        <f t="shared" si="50"/>
        <v>1</v>
      </c>
      <c r="AF172" s="201">
        <f>VLOOKUP(G172,gdppc,R172-1958,FALSE)</f>
        <v>632</v>
      </c>
      <c r="AG172" s="195" t="str">
        <f t="shared" si="51"/>
        <v>Cost-saving</v>
      </c>
      <c r="AH172" s="195" t="str">
        <f t="shared" si="52"/>
        <v>Cost-saving</v>
      </c>
      <c r="AI172" s="204">
        <f t="shared" si="53"/>
        <v>-1582.2768987341772</v>
      </c>
      <c r="AJ172" s="205">
        <f>IFERROR(VLOOKUP(G172,ochalek,11,FALSE),"")</f>
        <v>0.69</v>
      </c>
      <c r="AK172" s="195" t="str">
        <f t="shared" si="54"/>
        <v>Cost-saving</v>
      </c>
      <c r="AL172" s="205">
        <f>IFERROR(VLOOKUP(G172,ochalek,10,FALSE),"")</f>
        <v>0.52</v>
      </c>
      <c r="AM172" s="207" t="str">
        <f t="shared" si="55"/>
        <v>Cost-saving</v>
      </c>
      <c r="AN172" s="205">
        <f>IFERROR(VLOOKUP(G172,woods,6,FALSE),"")</f>
        <v>0.38924930491195553</v>
      </c>
      <c r="AO172" s="195" t="str">
        <f t="shared" si="56"/>
        <v>Cost-saving</v>
      </c>
      <c r="AP172" s="205">
        <f>IFERROR(VLOOKUP(G172,woods,5,FALSE),"")</f>
        <v>1.8535681186283598E-2</v>
      </c>
      <c r="AQ172" s="195" t="str">
        <f t="shared" si="57"/>
        <v>Cost-saving</v>
      </c>
      <c r="AR172" s="205">
        <f>IFERROR(VLOOKUP(G172,riviere,8,FALSE),"")</f>
        <v>0.27251348734264769</v>
      </c>
      <c r="AS172" s="195" t="str">
        <f t="shared" si="58"/>
        <v>Cost-saving</v>
      </c>
      <c r="AT172" s="205">
        <f>IFERROR(VLOOKUP(G172,riviere,7,FALSE),"")</f>
        <v>5.3949370590676442E-2</v>
      </c>
      <c r="AU172" s="195" t="str">
        <f t="shared" si="59"/>
        <v>Cost-saving</v>
      </c>
      <c r="AV172" s="162" t="s">
        <v>260</v>
      </c>
      <c r="AW172" s="162" t="s">
        <v>186</v>
      </c>
      <c r="AX172" s="210" t="str">
        <f t="shared" si="60"/>
        <v/>
      </c>
      <c r="AY172" s="210" t="str">
        <f t="shared" si="61"/>
        <v/>
      </c>
      <c r="AZ172" s="197" t="str">
        <f t="shared" si="62"/>
        <v/>
      </c>
      <c r="BA172" s="197" t="str">
        <f t="shared" si="63"/>
        <v/>
      </c>
      <c r="BB172" s="197" t="str">
        <f t="shared" si="64"/>
        <v/>
      </c>
      <c r="BC172" s="197" t="str">
        <f t="shared" si="65"/>
        <v/>
      </c>
      <c r="BD172" s="197">
        <f t="shared" si="66"/>
        <v>0</v>
      </c>
      <c r="BE172" s="163" t="s">
        <v>148</v>
      </c>
      <c r="BF172" s="162" t="s">
        <v>249</v>
      </c>
    </row>
    <row r="173" spans="1:58">
      <c r="A173" s="195">
        <f t="shared" si="67"/>
        <v>52</v>
      </c>
      <c r="B173" s="195">
        <f t="shared" si="68"/>
        <v>1</v>
      </c>
      <c r="C173" s="196" t="str">
        <f t="shared" si="46"/>
        <v>5201</v>
      </c>
      <c r="D173" s="159" t="s">
        <v>78</v>
      </c>
      <c r="E173" s="163">
        <v>2021</v>
      </c>
      <c r="F173" s="162" t="s">
        <v>297</v>
      </c>
      <c r="G173" s="182" t="s">
        <v>200</v>
      </c>
      <c r="H173" s="197" t="str">
        <f>IF(VLOOKUP(G173,income,R173-1985,FALSE)="UM","Upper-middle",IF(VLOOKUP(G173,income,R173-1985,FALSE)="LM","Lower-middle",IF(VLOOKUP(G173,income,R173-1985,FALSE)="L","Low")))</f>
        <v>Lower-middle</v>
      </c>
      <c r="I173" s="163">
        <v>1</v>
      </c>
      <c r="J173" s="162" t="s">
        <v>167</v>
      </c>
      <c r="K173" s="162" t="s">
        <v>166</v>
      </c>
      <c r="L173" s="207" t="str">
        <f t="shared" si="49"/>
        <v>PCV13 vs PCV10</v>
      </c>
      <c r="M173" s="162" t="s">
        <v>1551</v>
      </c>
      <c r="N173" s="163" t="s">
        <v>148</v>
      </c>
      <c r="O173" s="162" t="s">
        <v>149</v>
      </c>
      <c r="P173" s="162" t="s">
        <v>201</v>
      </c>
      <c r="Q173" s="162" t="s">
        <v>200</v>
      </c>
      <c r="R173" s="163">
        <v>2019</v>
      </c>
      <c r="S173" s="191">
        <v>704.43</v>
      </c>
      <c r="T173" s="198">
        <f>IF(ISNUMBER(S173),S173/VLOOKUP($Q173,xRates!$A$1:$BL$267,studies!$R173-xRates!$B$1+2,FALSE),"")</f>
        <v>13.599034749034749</v>
      </c>
      <c r="U173" s="163">
        <v>624.27</v>
      </c>
      <c r="V173" s="198">
        <f>IF(ISNUMBER(U173),U173/VLOOKUP($Q173,xRates!$A$1:$BL$267,studies!$R173-xRates!$B$1+2,FALSE),"")</f>
        <v>12.051544401544401</v>
      </c>
      <c r="W173" s="163">
        <v>1</v>
      </c>
      <c r="X173" s="163">
        <v>1</v>
      </c>
      <c r="Y173" s="163">
        <v>1</v>
      </c>
      <c r="Z173" s="163">
        <v>1</v>
      </c>
      <c r="AA173" s="163">
        <v>1</v>
      </c>
      <c r="AB173" s="163" t="s">
        <v>152</v>
      </c>
      <c r="AC173" s="193">
        <f>-12274777282/153349</f>
        <v>-80044.716835453772</v>
      </c>
      <c r="AD173" s="201">
        <f>IF(ISNUMBER(AC173),AC173/VLOOKUP($Q173,xRates!$A$1:$BL$267,studies!$R173-xRates!$B$1+2,FALSE),"")</f>
        <v>-1545.264803773239</v>
      </c>
      <c r="AE173" s="200">
        <f t="shared" si="50"/>
        <v>1</v>
      </c>
      <c r="AF173" s="201">
        <f>VLOOKUP(G173,gdppc,R173-1958,FALSE)</f>
        <v>3413.8</v>
      </c>
      <c r="AG173" s="195" t="str">
        <f t="shared" si="51"/>
        <v>Cost-saving</v>
      </c>
      <c r="AH173" s="195" t="str">
        <f t="shared" si="52"/>
        <v>Cost-saving</v>
      </c>
      <c r="AI173" s="204">
        <f t="shared" si="53"/>
        <v>-0.45265241190850047</v>
      </c>
      <c r="AJ173" s="205">
        <f>IFERROR(VLOOKUP(G173,ochalek,11,FALSE),"")</f>
        <v>0.34</v>
      </c>
      <c r="AK173" s="195" t="str">
        <f t="shared" si="54"/>
        <v>Cost-saving</v>
      </c>
      <c r="AL173" s="205">
        <f>IFERROR(VLOOKUP(G173,ochalek,10,FALSE),"")</f>
        <v>0.23</v>
      </c>
      <c r="AM173" s="207" t="str">
        <f t="shared" si="55"/>
        <v>Cost-saving</v>
      </c>
      <c r="AN173" s="205">
        <f>IFERROR(VLOOKUP(G173,woods,6,FALSE),"")</f>
        <v>0.49901671583087515</v>
      </c>
      <c r="AO173" s="195" t="str">
        <f t="shared" si="56"/>
        <v>Cost-saving</v>
      </c>
      <c r="AP173" s="205">
        <f>IFERROR(VLOOKUP(G173,woods,5,FALSE),"")</f>
        <v>8.9900266891417335E-2</v>
      </c>
      <c r="AQ173" s="195" t="str">
        <f t="shared" si="57"/>
        <v>Cost-saving</v>
      </c>
      <c r="AR173" s="205">
        <f>IFERROR(VLOOKUP(G173,riviere,8,FALSE),"")</f>
        <v>0.41039311031694881</v>
      </c>
      <c r="AS173" s="195" t="str">
        <f t="shared" si="58"/>
        <v>Cost-saving</v>
      </c>
      <c r="AT173" s="205">
        <f>IFERROR(VLOOKUP(G173,riviere,7,FALSE),"")</f>
        <v>0.16521178745093443</v>
      </c>
      <c r="AU173" s="195" t="str">
        <f t="shared" si="59"/>
        <v>Cost-saving</v>
      </c>
      <c r="AV173" s="162" t="s">
        <v>298</v>
      </c>
      <c r="AW173" s="162" t="s">
        <v>186</v>
      </c>
      <c r="AX173" s="210" t="str">
        <f t="shared" si="60"/>
        <v/>
      </c>
      <c r="AY173" s="210" t="str">
        <f t="shared" si="61"/>
        <v/>
      </c>
      <c r="AZ173" s="197" t="str">
        <f t="shared" si="62"/>
        <v/>
      </c>
      <c r="BA173" s="197" t="str">
        <f t="shared" si="63"/>
        <v/>
      </c>
      <c r="BB173" s="197" t="str">
        <f t="shared" si="64"/>
        <v/>
      </c>
      <c r="BC173" s="197" t="str">
        <f t="shared" si="65"/>
        <v/>
      </c>
      <c r="BD173" s="197">
        <f t="shared" si="66"/>
        <v>0</v>
      </c>
      <c r="BE173" s="163" t="s">
        <v>155</v>
      </c>
      <c r="BF173" s="162" t="s">
        <v>163</v>
      </c>
    </row>
    <row r="174" spans="1:58">
      <c r="A174" s="195">
        <f t="shared" si="67"/>
        <v>52</v>
      </c>
      <c r="B174" s="195">
        <f t="shared" si="68"/>
        <v>2</v>
      </c>
      <c r="C174" s="196" t="str">
        <f t="shared" si="46"/>
        <v>5202</v>
      </c>
      <c r="D174" s="159" t="s">
        <v>78</v>
      </c>
      <c r="E174" s="163">
        <v>2021</v>
      </c>
      <c r="F174" s="162" t="s">
        <v>297</v>
      </c>
      <c r="G174" s="182" t="s">
        <v>200</v>
      </c>
      <c r="H174" s="197" t="str">
        <f>IF(VLOOKUP(G174,income,R174-1985,FALSE)="UM","Upper-middle",IF(VLOOKUP(G174,income,R174-1985,FALSE)="LM","Lower-middle",IF(VLOOKUP(G174,income,R174-1985,FALSE)="L","Low")))</f>
        <v>Lower-middle</v>
      </c>
      <c r="I174" s="163">
        <v>1</v>
      </c>
      <c r="J174" s="162" t="s">
        <v>167</v>
      </c>
      <c r="K174" s="162" t="s">
        <v>166</v>
      </c>
      <c r="L174" s="207" t="str">
        <f t="shared" si="49"/>
        <v>PCV13 vs PCV10</v>
      </c>
      <c r="M174" s="162" t="s">
        <v>1551</v>
      </c>
      <c r="N174" s="163" t="s">
        <v>148</v>
      </c>
      <c r="O174" s="162" t="s">
        <v>149</v>
      </c>
      <c r="P174" s="162" t="s">
        <v>201</v>
      </c>
      <c r="Q174" s="162" t="s">
        <v>200</v>
      </c>
      <c r="R174" s="163">
        <v>2019</v>
      </c>
      <c r="S174" s="191">
        <v>704.43</v>
      </c>
      <c r="T174" s="198">
        <f>IF(ISNUMBER(S174),S174/VLOOKUP($Q174,xRates!$A$1:$BL$267,studies!$R174-xRates!$B$1+2,FALSE),"")</f>
        <v>13.599034749034749</v>
      </c>
      <c r="U174" s="163">
        <v>624.27</v>
      </c>
      <c r="V174" s="198">
        <f>IF(ISNUMBER(U174),U174/VLOOKUP($Q174,xRates!$A$1:$BL$267,studies!$R174-xRates!$B$1+2,FALSE),"")</f>
        <v>12.051544401544401</v>
      </c>
      <c r="W174" s="163">
        <v>1</v>
      </c>
      <c r="X174" s="163">
        <v>1</v>
      </c>
      <c r="Y174" s="163">
        <v>1</v>
      </c>
      <c r="Z174" s="163">
        <v>1</v>
      </c>
      <c r="AA174" s="163">
        <v>1</v>
      </c>
      <c r="AB174" s="163" t="s">
        <v>152</v>
      </c>
      <c r="AC174" s="193">
        <f>-7383473851/187084</f>
        <v>-39466.089302131666</v>
      </c>
      <c r="AD174" s="201">
        <f>IF(ISNUMBER(AC174),AC174/VLOOKUP($Q174,xRates!$A$1:$BL$267,studies!$R174-xRates!$B$1+2,FALSE),"")</f>
        <v>-761.89361587126768</v>
      </c>
      <c r="AE174" s="200">
        <f t="shared" si="50"/>
        <v>1</v>
      </c>
      <c r="AF174" s="201">
        <f>VLOOKUP(G174,gdppc,R174-1958,FALSE)</f>
        <v>3413.8</v>
      </c>
      <c r="AG174" s="195" t="str">
        <f t="shared" si="51"/>
        <v>Cost-saving</v>
      </c>
      <c r="AH174" s="195" t="str">
        <f t="shared" si="52"/>
        <v>Cost-saving</v>
      </c>
      <c r="AI174" s="204">
        <f t="shared" si="53"/>
        <v>-0.22318050731480099</v>
      </c>
      <c r="AJ174" s="205">
        <f>IFERROR(VLOOKUP(G174,ochalek,11,FALSE),"")</f>
        <v>0.34</v>
      </c>
      <c r="AK174" s="195" t="str">
        <f t="shared" si="54"/>
        <v>Cost-saving</v>
      </c>
      <c r="AL174" s="205">
        <f>IFERROR(VLOOKUP(G174,ochalek,10,FALSE),"")</f>
        <v>0.23</v>
      </c>
      <c r="AM174" s="207" t="str">
        <f t="shared" si="55"/>
        <v>Cost-saving</v>
      </c>
      <c r="AN174" s="205">
        <f>IFERROR(VLOOKUP(G174,woods,6,FALSE),"")</f>
        <v>0.49901671583087515</v>
      </c>
      <c r="AO174" s="195" t="str">
        <f t="shared" si="56"/>
        <v>Cost-saving</v>
      </c>
      <c r="AP174" s="205">
        <f>IFERROR(VLOOKUP(G174,woods,5,FALSE),"")</f>
        <v>8.9900266891417335E-2</v>
      </c>
      <c r="AQ174" s="195" t="str">
        <f t="shared" si="57"/>
        <v>Cost-saving</v>
      </c>
      <c r="AR174" s="205">
        <f>IFERROR(VLOOKUP(G174,riviere,8,FALSE),"")</f>
        <v>0.41039311031694881</v>
      </c>
      <c r="AS174" s="195" t="str">
        <f t="shared" si="58"/>
        <v>Cost-saving</v>
      </c>
      <c r="AT174" s="205">
        <f>IFERROR(VLOOKUP(G174,riviere,7,FALSE),"")</f>
        <v>0.16521178745093443</v>
      </c>
      <c r="AU174" s="195" t="str">
        <f t="shared" si="59"/>
        <v>Cost-saving</v>
      </c>
      <c r="AV174" s="162" t="s">
        <v>298</v>
      </c>
      <c r="AW174" s="162" t="s">
        <v>186</v>
      </c>
      <c r="AX174" s="210" t="str">
        <f t="shared" si="60"/>
        <v/>
      </c>
      <c r="AY174" s="210" t="str">
        <f t="shared" si="61"/>
        <v/>
      </c>
      <c r="AZ174" s="197" t="str">
        <f t="shared" si="62"/>
        <v/>
      </c>
      <c r="BA174" s="197" t="str">
        <f t="shared" si="63"/>
        <v/>
      </c>
      <c r="BB174" s="197" t="str">
        <f t="shared" si="64"/>
        <v/>
      </c>
      <c r="BC174" s="197" t="str">
        <f t="shared" si="65"/>
        <v/>
      </c>
      <c r="BD174" s="197">
        <f t="shared" si="66"/>
        <v>0</v>
      </c>
      <c r="BE174" s="163" t="s">
        <v>155</v>
      </c>
      <c r="BF174" s="162" t="s">
        <v>163</v>
      </c>
    </row>
    <row r="175" spans="1:58">
      <c r="A175" s="195">
        <f t="shared" si="67"/>
        <v>53</v>
      </c>
      <c r="B175" s="195">
        <f t="shared" si="68"/>
        <v>1</v>
      </c>
      <c r="C175" s="196" t="str">
        <f t="shared" si="46"/>
        <v>5301</v>
      </c>
      <c r="D175" s="159" t="s">
        <v>78</v>
      </c>
      <c r="E175" s="163">
        <v>2021</v>
      </c>
      <c r="F175" s="162" t="s">
        <v>299</v>
      </c>
      <c r="G175" s="182" t="s">
        <v>211</v>
      </c>
      <c r="H175" s="197" t="str">
        <f>IF(VLOOKUP(G175,income,R175-1985,FALSE)="UM","Upper-middle",IF(VLOOKUP(G175,income,R175-1985,FALSE)="LM","Lower-middle",IF(VLOOKUP(G175,income,R175-1985,FALSE)="L","Low")))</f>
        <v>Upper-middle</v>
      </c>
      <c r="I175" s="163">
        <v>0</v>
      </c>
      <c r="J175" s="162" t="s">
        <v>167</v>
      </c>
      <c r="K175" s="162" t="s">
        <v>166</v>
      </c>
      <c r="L175" s="207" t="str">
        <f t="shared" si="49"/>
        <v>PCV13 vs PCV10</v>
      </c>
      <c r="M175" s="162" t="s">
        <v>1551</v>
      </c>
      <c r="N175" s="163" t="s">
        <v>148</v>
      </c>
      <c r="O175" s="162" t="s">
        <v>159</v>
      </c>
      <c r="P175" s="162" t="s">
        <v>215</v>
      </c>
      <c r="Q175" s="162" t="s">
        <v>211</v>
      </c>
      <c r="R175" s="163">
        <v>2019</v>
      </c>
      <c r="S175" s="191">
        <v>58.94</v>
      </c>
      <c r="T175" s="198">
        <f>IF(ISNUMBER(S175),S175/VLOOKUP($Q175,xRates!$A$1:$BL$267,studies!$R175-xRates!$B$1+2,FALSE),"")</f>
        <v>14.959390862944161</v>
      </c>
      <c r="U175" s="163">
        <v>57.22</v>
      </c>
      <c r="V175" s="198">
        <f>IF(ISNUMBER(U175),U175/VLOOKUP($Q175,xRates!$A$1:$BL$267,studies!$R175-xRates!$B$1+2,FALSE),"")</f>
        <v>14.522842639593909</v>
      </c>
      <c r="W175" s="163">
        <v>1</v>
      </c>
      <c r="X175" s="163">
        <v>1</v>
      </c>
      <c r="Y175" s="163">
        <v>1</v>
      </c>
      <c r="Z175" s="163">
        <v>1</v>
      </c>
      <c r="AA175" s="163">
        <v>1</v>
      </c>
      <c r="AB175" s="163" t="s">
        <v>152</v>
      </c>
      <c r="AC175" s="193">
        <f>-172101081/20317</f>
        <v>-8470.7919968499282</v>
      </c>
      <c r="AD175" s="201">
        <f>IF(ISNUMBER(AC175),AC175/VLOOKUP($Q175,xRates!$A$1:$BL$267,studies!$R175-xRates!$B$1+2,FALSE),"")</f>
        <v>-2149.9472073223169</v>
      </c>
      <c r="AE175" s="200">
        <f t="shared" si="50"/>
        <v>1</v>
      </c>
      <c r="AF175" s="201">
        <f>VLOOKUP(G175,gdppc,R175-1958,FALSE)</f>
        <v>8845.2999999999993</v>
      </c>
      <c r="AG175" s="195" t="str">
        <f t="shared" si="51"/>
        <v>Cost-saving</v>
      </c>
      <c r="AH175" s="195" t="str">
        <f t="shared" si="52"/>
        <v>Cost-saving</v>
      </c>
      <c r="AI175" s="204">
        <f t="shared" si="53"/>
        <v>-0.2430609710605991</v>
      </c>
      <c r="AJ175" s="205">
        <f>IFERROR(VLOOKUP(G175,ochalek,11,FALSE),"")</f>
        <v>1.0900000000000001</v>
      </c>
      <c r="AK175" s="195" t="str">
        <f t="shared" si="54"/>
        <v>Cost-saving</v>
      </c>
      <c r="AL175" s="205">
        <f>IFERROR(VLOOKUP(G175,ochalek,10,FALSE),"")</f>
        <v>0.71</v>
      </c>
      <c r="AM175" s="207" t="str">
        <f t="shared" si="55"/>
        <v>Cost-saving</v>
      </c>
      <c r="AN175" s="205">
        <f>IFERROR(VLOOKUP(G175,woods,6,FALSE),"")</f>
        <v>0.61540469547909216</v>
      </c>
      <c r="AO175" s="195" t="str">
        <f t="shared" si="56"/>
        <v>Cost-saving</v>
      </c>
      <c r="AP175" s="205">
        <f>IFERROR(VLOOKUP(G175,woods,5,FALSE),"")</f>
        <v>0.19520989346254874</v>
      </c>
      <c r="AQ175" s="195" t="str">
        <f t="shared" si="57"/>
        <v>Cost-saving</v>
      </c>
      <c r="AR175" s="205">
        <f>IFERROR(VLOOKUP(G175,riviere,8,FALSE),"")</f>
        <v>1.6838320916192782</v>
      </c>
      <c r="AS175" s="195" t="str">
        <f t="shared" si="58"/>
        <v>Cost-saving</v>
      </c>
      <c r="AT175" s="205">
        <f>IFERROR(VLOOKUP(G175,riviere,7,FALSE),"")</f>
        <v>0.69788475235435776</v>
      </c>
      <c r="AU175" s="195" t="str">
        <f t="shared" si="59"/>
        <v>Cost-saving</v>
      </c>
      <c r="AV175" s="162" t="s">
        <v>176</v>
      </c>
      <c r="AW175" s="162" t="s">
        <v>186</v>
      </c>
      <c r="AX175" s="210" t="str">
        <f t="shared" si="60"/>
        <v/>
      </c>
      <c r="AY175" s="210" t="str">
        <f t="shared" si="61"/>
        <v/>
      </c>
      <c r="AZ175" s="197" t="str">
        <f t="shared" si="62"/>
        <v/>
      </c>
      <c r="BA175" s="197" t="str">
        <f t="shared" si="63"/>
        <v/>
      </c>
      <c r="BB175" s="197" t="str">
        <f t="shared" si="64"/>
        <v/>
      </c>
      <c r="BC175" s="197" t="str">
        <f t="shared" si="65"/>
        <v/>
      </c>
      <c r="BD175" s="197">
        <f t="shared" si="66"/>
        <v>0</v>
      </c>
      <c r="BE175" s="163" t="s">
        <v>155</v>
      </c>
      <c r="BF175" s="162" t="s">
        <v>163</v>
      </c>
    </row>
    <row r="176" spans="1:58">
      <c r="A176" s="195">
        <f t="shared" si="67"/>
        <v>54</v>
      </c>
      <c r="B176" s="195">
        <f t="shared" si="68"/>
        <v>1</v>
      </c>
      <c r="C176" s="196" t="str">
        <f t="shared" si="46"/>
        <v>5401</v>
      </c>
      <c r="D176" s="159" t="s">
        <v>81</v>
      </c>
      <c r="E176" s="163">
        <v>2021</v>
      </c>
      <c r="F176" s="162" t="s">
        <v>300</v>
      </c>
      <c r="G176" s="182" t="s">
        <v>301</v>
      </c>
      <c r="H176" s="197" t="str">
        <f>IF(VLOOKUP(G176,income,R176-1985,FALSE)="UM","Upper-middle",IF(VLOOKUP(G176,income,R176-1985,FALSE)="LM","Lower-middle",IF(VLOOKUP(G176,income,R176-1985,FALSE)="L","Low")))</f>
        <v>Upper-middle</v>
      </c>
      <c r="I176" s="163">
        <v>1</v>
      </c>
      <c r="J176" s="162" t="s">
        <v>167</v>
      </c>
      <c r="K176" s="162" t="s">
        <v>147</v>
      </c>
      <c r="L176" s="207" t="str">
        <f t="shared" si="49"/>
        <v>PCV13 vs NoVax</v>
      </c>
      <c r="M176" s="162" t="s">
        <v>1551</v>
      </c>
      <c r="N176" s="163" t="s">
        <v>148</v>
      </c>
      <c r="O176" s="162" t="s">
        <v>159</v>
      </c>
      <c r="P176" s="162" t="s">
        <v>150</v>
      </c>
      <c r="Q176" s="162" t="s">
        <v>151</v>
      </c>
      <c r="R176" s="163">
        <v>2019</v>
      </c>
      <c r="S176" s="191">
        <v>3.05</v>
      </c>
      <c r="T176" s="198">
        <f>IF(ISNUMBER(S176),S176/VLOOKUP($Q176,xRates!$A$1:$BL$267,studies!$R176-xRates!$B$1+2,FALSE),"")</f>
        <v>3.05</v>
      </c>
      <c r="V176" s="198" t="str">
        <f>IF(ISNUMBER(U176),U176/VLOOKUP($Q176,xRates!$A$1:$BL$267,studies!$R176-xRates!$B$1+2,FALSE),"")</f>
        <v/>
      </c>
      <c r="W176" s="163">
        <v>0</v>
      </c>
      <c r="X176" s="163">
        <v>0</v>
      </c>
      <c r="Y176" s="163">
        <v>1</v>
      </c>
      <c r="Z176" s="163">
        <v>1</v>
      </c>
      <c r="AA176" s="163">
        <v>0</v>
      </c>
      <c r="AB176" s="163" t="s">
        <v>152</v>
      </c>
      <c r="AC176" s="193">
        <v>162</v>
      </c>
      <c r="AD176" s="201">
        <f>IF(ISNUMBER(AC176),AC176/VLOOKUP($Q176,xRates!$A$1:$BL$267,studies!$R176-xRates!$B$1+2,FALSE),"")</f>
        <v>162</v>
      </c>
      <c r="AE176" s="200">
        <f t="shared" si="50"/>
        <v>0</v>
      </c>
      <c r="AF176" s="201">
        <f>VLOOKUP(G176,gdppc,R176-1958,FALSE)</f>
        <v>4151.2</v>
      </c>
      <c r="AG176" s="195" t="str">
        <f t="shared" si="51"/>
        <v>Cost-effective</v>
      </c>
      <c r="AH176" s="195" t="str">
        <f t="shared" si="52"/>
        <v>Cost-effective</v>
      </c>
      <c r="AI176" s="204">
        <f t="shared" si="53"/>
        <v>3.9024860281364426E-2</v>
      </c>
      <c r="AJ176" s="205">
        <f>IFERROR(VLOOKUP(G176,ochalek,11,FALSE),"")</f>
        <v>0.23</v>
      </c>
      <c r="AK176" s="195" t="str">
        <f t="shared" si="54"/>
        <v>Cost-effective</v>
      </c>
      <c r="AL176" s="205">
        <f>IFERROR(VLOOKUP(G176,ochalek,10,FALSE),"")</f>
        <v>0.16</v>
      </c>
      <c r="AM176" s="207" t="str">
        <f t="shared" si="55"/>
        <v>Cost-effective</v>
      </c>
      <c r="AN176" s="205">
        <f>IFERROR(VLOOKUP(G176,woods,6,FALSE),"")</f>
        <v>0.49571178772655361</v>
      </c>
      <c r="AO176" s="195" t="str">
        <f t="shared" si="56"/>
        <v>Cost-effective</v>
      </c>
      <c r="AP176" s="205">
        <f>IFERROR(VLOOKUP(G176,woods,5,FALSE),"")</f>
        <v>0.13100557883926836</v>
      </c>
      <c r="AQ176" s="195" t="str">
        <f t="shared" si="57"/>
        <v>Cost-effective</v>
      </c>
      <c r="AR176" s="205">
        <f>IFERROR(VLOOKUP(G176,riviere,8,FALSE),"")</f>
        <v>0.46974368857197923</v>
      </c>
      <c r="AS176" s="195" t="str">
        <f t="shared" si="58"/>
        <v>Cost-effective</v>
      </c>
      <c r="AT176" s="205">
        <f>IFERROR(VLOOKUP(G176,riviere,7,FALSE),"")</f>
        <v>0.19464251300828678</v>
      </c>
      <c r="AU176" s="195" t="str">
        <f t="shared" si="59"/>
        <v>Cost-effective</v>
      </c>
      <c r="AV176" s="162" t="s">
        <v>153</v>
      </c>
      <c r="AW176" s="162" t="s">
        <v>162</v>
      </c>
      <c r="AX176" s="210">
        <f t="shared" si="60"/>
        <v>0</v>
      </c>
      <c r="AY176" s="210">
        <f t="shared" si="61"/>
        <v>0</v>
      </c>
      <c r="AZ176" s="197">
        <f t="shared" si="62"/>
        <v>0</v>
      </c>
      <c r="BA176" s="197">
        <f t="shared" si="63"/>
        <v>0</v>
      </c>
      <c r="BB176" s="197">
        <f t="shared" si="64"/>
        <v>0</v>
      </c>
      <c r="BC176" s="197">
        <f t="shared" si="65"/>
        <v>0</v>
      </c>
      <c r="BD176" s="197">
        <f t="shared" si="66"/>
        <v>0</v>
      </c>
      <c r="BE176" s="163" t="s">
        <v>148</v>
      </c>
      <c r="BF176" s="162" t="s">
        <v>156</v>
      </c>
    </row>
    <row r="177" spans="1:58">
      <c r="A177" s="195">
        <f t="shared" si="67"/>
        <v>54</v>
      </c>
      <c r="B177" s="195">
        <f t="shared" si="68"/>
        <v>2</v>
      </c>
      <c r="C177" s="196" t="str">
        <f t="shared" si="46"/>
        <v>5402</v>
      </c>
      <c r="D177" s="159" t="s">
        <v>81</v>
      </c>
      <c r="E177" s="163">
        <v>2021</v>
      </c>
      <c r="F177" s="162" t="s">
        <v>300</v>
      </c>
      <c r="G177" s="182" t="s">
        <v>301</v>
      </c>
      <c r="H177" s="197" t="str">
        <f>IF(VLOOKUP(G177,income,R177-1985,FALSE)="UM","Upper-middle",IF(VLOOKUP(G177,income,R177-1985,FALSE)="LM","Lower-middle",IF(VLOOKUP(G177,income,R177-1985,FALSE)="L","Low")))</f>
        <v>Upper-middle</v>
      </c>
      <c r="I177" s="163">
        <v>1</v>
      </c>
      <c r="J177" s="162" t="s">
        <v>167</v>
      </c>
      <c r="K177" s="162" t="s">
        <v>147</v>
      </c>
      <c r="L177" s="207" t="str">
        <f t="shared" si="49"/>
        <v>PCV13 vs NoVax</v>
      </c>
      <c r="M177" s="162" t="s">
        <v>1551</v>
      </c>
      <c r="N177" s="163" t="s">
        <v>148</v>
      </c>
      <c r="O177" s="162" t="s">
        <v>149</v>
      </c>
      <c r="P177" s="162" t="s">
        <v>150</v>
      </c>
      <c r="Q177" s="162" t="s">
        <v>151</v>
      </c>
      <c r="R177" s="163">
        <v>2019</v>
      </c>
      <c r="S177" s="191">
        <v>3.05</v>
      </c>
      <c r="T177" s="198">
        <f>IF(ISNUMBER(S177),S177/VLOOKUP($Q177,xRates!$A$1:$BL$267,studies!$R177-xRates!$B$1+2,FALSE),"")</f>
        <v>3.05</v>
      </c>
      <c r="V177" s="198" t="str">
        <f>IF(ISNUMBER(U177),U177/VLOOKUP($Q177,xRates!$A$1:$BL$267,studies!$R177-xRates!$B$1+2,FALSE),"")</f>
        <v/>
      </c>
      <c r="W177" s="163">
        <v>0</v>
      </c>
      <c r="X177" s="163">
        <v>0</v>
      </c>
      <c r="Y177" s="163">
        <v>1</v>
      </c>
      <c r="Z177" s="163">
        <v>1</v>
      </c>
      <c r="AA177" s="163">
        <v>0</v>
      </c>
      <c r="AB177" s="163" t="s">
        <v>152</v>
      </c>
      <c r="AC177" s="193">
        <v>254</v>
      </c>
      <c r="AD177" s="201">
        <f>IF(ISNUMBER(AC177),AC177/VLOOKUP($Q177,xRates!$A$1:$BL$267,studies!$R177-xRates!$B$1+2,FALSE),"")</f>
        <v>254</v>
      </c>
      <c r="AE177" s="200">
        <f t="shared" si="50"/>
        <v>0</v>
      </c>
      <c r="AF177" s="201">
        <f>VLOOKUP(G177,gdppc,R177-1958,FALSE)</f>
        <v>4151.2</v>
      </c>
      <c r="AG177" s="195" t="str">
        <f t="shared" si="51"/>
        <v>Cost-effective</v>
      </c>
      <c r="AH177" s="195" t="str">
        <f t="shared" si="52"/>
        <v>Cost-effective</v>
      </c>
      <c r="AI177" s="204">
        <f t="shared" si="53"/>
        <v>6.1187126613991137E-2</v>
      </c>
      <c r="AJ177" s="205">
        <f>IFERROR(VLOOKUP(G177,ochalek,11,FALSE),"")</f>
        <v>0.23</v>
      </c>
      <c r="AK177" s="195" t="str">
        <f t="shared" si="54"/>
        <v>Cost-effective</v>
      </c>
      <c r="AL177" s="205">
        <f>IFERROR(VLOOKUP(G177,ochalek,10,FALSE),"")</f>
        <v>0.16</v>
      </c>
      <c r="AM177" s="207" t="str">
        <f t="shared" si="55"/>
        <v>Cost-effective</v>
      </c>
      <c r="AN177" s="205">
        <f>IFERROR(VLOOKUP(G177,woods,6,FALSE),"")</f>
        <v>0.49571178772655361</v>
      </c>
      <c r="AO177" s="195" t="str">
        <f t="shared" si="56"/>
        <v>Cost-effective</v>
      </c>
      <c r="AP177" s="205">
        <f>IFERROR(VLOOKUP(G177,woods,5,FALSE),"")</f>
        <v>0.13100557883926836</v>
      </c>
      <c r="AQ177" s="195" t="str">
        <f t="shared" si="57"/>
        <v>Cost-effective</v>
      </c>
      <c r="AR177" s="205">
        <f>IFERROR(VLOOKUP(G177,riviere,8,FALSE),"")</f>
        <v>0.46974368857197923</v>
      </c>
      <c r="AS177" s="195" t="str">
        <f t="shared" si="58"/>
        <v>Cost-effective</v>
      </c>
      <c r="AT177" s="205">
        <f>IFERROR(VLOOKUP(G177,riviere,7,FALSE),"")</f>
        <v>0.19464251300828678</v>
      </c>
      <c r="AU177" s="195" t="str">
        <f t="shared" si="59"/>
        <v>Cost-effective</v>
      </c>
      <c r="AV177" s="162" t="s">
        <v>153</v>
      </c>
      <c r="AW177" s="162" t="s">
        <v>162</v>
      </c>
      <c r="AX177" s="210">
        <f t="shared" si="60"/>
        <v>0</v>
      </c>
      <c r="AY177" s="210">
        <f t="shared" si="61"/>
        <v>0</v>
      </c>
      <c r="AZ177" s="197">
        <f t="shared" si="62"/>
        <v>0</v>
      </c>
      <c r="BA177" s="197">
        <f t="shared" si="63"/>
        <v>0</v>
      </c>
      <c r="BB177" s="197">
        <f t="shared" si="64"/>
        <v>0</v>
      </c>
      <c r="BC177" s="197">
        <f t="shared" si="65"/>
        <v>0</v>
      </c>
      <c r="BD177" s="197">
        <f t="shared" si="66"/>
        <v>0</v>
      </c>
      <c r="BE177" s="163" t="s">
        <v>148</v>
      </c>
      <c r="BF177" s="162" t="s">
        <v>156</v>
      </c>
    </row>
    <row r="178" spans="1:58">
      <c r="A178" s="195">
        <f t="shared" si="67"/>
        <v>54</v>
      </c>
      <c r="B178" s="195">
        <f t="shared" si="68"/>
        <v>3</v>
      </c>
      <c r="C178" s="196" t="str">
        <f t="shared" si="46"/>
        <v>5403</v>
      </c>
      <c r="D178" s="159" t="s">
        <v>81</v>
      </c>
      <c r="E178" s="163">
        <v>2021</v>
      </c>
      <c r="F178" s="162" t="s">
        <v>300</v>
      </c>
      <c r="G178" s="182" t="s">
        <v>301</v>
      </c>
      <c r="H178" s="197" t="str">
        <f>IF(VLOOKUP(G178,income,R178-1985,FALSE)="UM","Upper-middle",IF(VLOOKUP(G178,income,R178-1985,FALSE)="LM","Lower-middle",IF(VLOOKUP(G178,income,R178-1985,FALSE)="L","Low")))</f>
        <v>Upper-middle</v>
      </c>
      <c r="I178" s="163">
        <v>1</v>
      </c>
      <c r="J178" s="162" t="s">
        <v>167</v>
      </c>
      <c r="K178" s="162" t="s">
        <v>147</v>
      </c>
      <c r="L178" s="207" t="str">
        <f t="shared" si="49"/>
        <v>PCV13 vs NoVax</v>
      </c>
      <c r="M178" s="162" t="s">
        <v>1551</v>
      </c>
      <c r="N178" s="163" t="s">
        <v>148</v>
      </c>
      <c r="O178" s="162" t="s">
        <v>159</v>
      </c>
      <c r="P178" s="162" t="s">
        <v>150</v>
      </c>
      <c r="Q178" s="162" t="s">
        <v>151</v>
      </c>
      <c r="R178" s="163">
        <v>2019</v>
      </c>
      <c r="S178" s="191">
        <v>3.05</v>
      </c>
      <c r="T178" s="198">
        <f>IF(ISNUMBER(S178),S178/VLOOKUP($Q178,xRates!$A$1:$BL$267,studies!$R178-xRates!$B$1+2,FALSE),"")</f>
        <v>3.05</v>
      </c>
      <c r="V178" s="198" t="str">
        <f>IF(ISNUMBER(U178),U178/VLOOKUP($Q178,xRates!$A$1:$BL$267,studies!$R178-xRates!$B$1+2,FALSE),"")</f>
        <v/>
      </c>
      <c r="W178" s="163">
        <v>0</v>
      </c>
      <c r="X178" s="163">
        <v>0</v>
      </c>
      <c r="Y178" s="163">
        <v>1</v>
      </c>
      <c r="Z178" s="163">
        <v>1</v>
      </c>
      <c r="AA178" s="163">
        <v>0</v>
      </c>
      <c r="AB178" s="163" t="s">
        <v>152</v>
      </c>
      <c r="AC178" s="193">
        <v>322</v>
      </c>
      <c r="AD178" s="201">
        <f>IF(ISNUMBER(AC178),AC178/VLOOKUP($Q178,xRates!$A$1:$BL$267,studies!$R178-xRates!$B$1+2,FALSE),"")</f>
        <v>322</v>
      </c>
      <c r="AE178" s="200">
        <f t="shared" si="50"/>
        <v>0</v>
      </c>
      <c r="AF178" s="201">
        <f>VLOOKUP(G178,gdppc,R178-1958,FALSE)</f>
        <v>4151.2</v>
      </c>
      <c r="AG178" s="195" t="str">
        <f t="shared" si="51"/>
        <v>Cost-effective</v>
      </c>
      <c r="AH178" s="195" t="str">
        <f t="shared" si="52"/>
        <v>Cost-effective</v>
      </c>
      <c r="AI178" s="204">
        <f t="shared" si="53"/>
        <v>7.7567932164193484E-2</v>
      </c>
      <c r="AJ178" s="205">
        <f>IFERROR(VLOOKUP(G178,ochalek,11,FALSE),"")</f>
        <v>0.23</v>
      </c>
      <c r="AK178" s="195" t="str">
        <f t="shared" si="54"/>
        <v>Cost-effective</v>
      </c>
      <c r="AL178" s="205">
        <f>IFERROR(VLOOKUP(G178,ochalek,10,FALSE),"")</f>
        <v>0.16</v>
      </c>
      <c r="AM178" s="207" t="str">
        <f t="shared" si="55"/>
        <v>Cost-effective</v>
      </c>
      <c r="AN178" s="205">
        <f>IFERROR(VLOOKUP(G178,woods,6,FALSE),"")</f>
        <v>0.49571178772655361</v>
      </c>
      <c r="AO178" s="195" t="str">
        <f t="shared" si="56"/>
        <v>Cost-effective</v>
      </c>
      <c r="AP178" s="205">
        <f>IFERROR(VLOOKUP(G178,woods,5,FALSE),"")</f>
        <v>0.13100557883926836</v>
      </c>
      <c r="AQ178" s="195" t="str">
        <f t="shared" si="57"/>
        <v>Cost-effective</v>
      </c>
      <c r="AR178" s="205">
        <f>IFERROR(VLOOKUP(G178,riviere,8,FALSE),"")</f>
        <v>0.46974368857197923</v>
      </c>
      <c r="AS178" s="195" t="str">
        <f t="shared" si="58"/>
        <v>Cost-effective</v>
      </c>
      <c r="AT178" s="205">
        <f>IFERROR(VLOOKUP(G178,riviere,7,FALSE),"")</f>
        <v>0.19464251300828678</v>
      </c>
      <c r="AU178" s="195" t="str">
        <f t="shared" si="59"/>
        <v>Cost-effective</v>
      </c>
      <c r="AV178" s="162" t="s">
        <v>153</v>
      </c>
      <c r="AW178" s="162" t="s">
        <v>162</v>
      </c>
      <c r="AX178" s="210">
        <f t="shared" si="60"/>
        <v>0</v>
      </c>
      <c r="AY178" s="210">
        <f t="shared" si="61"/>
        <v>0</v>
      </c>
      <c r="AZ178" s="197">
        <f t="shared" si="62"/>
        <v>0</v>
      </c>
      <c r="BA178" s="197">
        <f t="shared" si="63"/>
        <v>0</v>
      </c>
      <c r="BB178" s="197">
        <f t="shared" si="64"/>
        <v>0</v>
      </c>
      <c r="BC178" s="197">
        <f t="shared" si="65"/>
        <v>0</v>
      </c>
      <c r="BD178" s="197">
        <f t="shared" si="66"/>
        <v>0</v>
      </c>
      <c r="BE178" s="163" t="s">
        <v>148</v>
      </c>
      <c r="BF178" s="162" t="s">
        <v>156</v>
      </c>
    </row>
    <row r="179" spans="1:58">
      <c r="A179" s="195">
        <f t="shared" si="67"/>
        <v>54</v>
      </c>
      <c r="B179" s="195">
        <f t="shared" si="68"/>
        <v>4</v>
      </c>
      <c r="C179" s="196" t="str">
        <f t="shared" si="46"/>
        <v>5404</v>
      </c>
      <c r="D179" s="159" t="s">
        <v>81</v>
      </c>
      <c r="E179" s="163">
        <v>2021</v>
      </c>
      <c r="F179" s="162" t="s">
        <v>300</v>
      </c>
      <c r="G179" s="182" t="s">
        <v>301</v>
      </c>
      <c r="H179" s="197" t="str">
        <f>IF(VLOOKUP(G179,income,R179-1985,FALSE)="UM","Upper-middle",IF(VLOOKUP(G179,income,R179-1985,FALSE)="LM","Lower-middle",IF(VLOOKUP(G179,income,R179-1985,FALSE)="L","Low")))</f>
        <v>Upper-middle</v>
      </c>
      <c r="I179" s="163">
        <v>1</v>
      </c>
      <c r="J179" s="162" t="s">
        <v>167</v>
      </c>
      <c r="K179" s="162" t="s">
        <v>147</v>
      </c>
      <c r="L179" s="207" t="str">
        <f t="shared" si="49"/>
        <v>PCV13 vs NoVax</v>
      </c>
      <c r="M179" s="162" t="s">
        <v>1551</v>
      </c>
      <c r="N179" s="163" t="s">
        <v>148</v>
      </c>
      <c r="O179" s="164" t="s">
        <v>159</v>
      </c>
      <c r="P179" s="162" t="s">
        <v>150</v>
      </c>
      <c r="Q179" s="162" t="s">
        <v>151</v>
      </c>
      <c r="R179" s="163">
        <v>2019</v>
      </c>
      <c r="S179" s="191">
        <v>18.899999999999999</v>
      </c>
      <c r="T179" s="198">
        <f>IF(ISNUMBER(S179),S179/VLOOKUP($Q179,xRates!$A$1:$BL$267,studies!$R179-xRates!$B$1+2,FALSE),"")</f>
        <v>18.899999999999999</v>
      </c>
      <c r="V179" s="198" t="str">
        <f>IF(ISNUMBER(U179),U179/VLOOKUP($Q179,xRates!$A$1:$BL$267,studies!$R179-xRates!$B$1+2,FALSE),"")</f>
        <v/>
      </c>
      <c r="W179" s="163">
        <v>0</v>
      </c>
      <c r="X179" s="163">
        <v>0</v>
      </c>
      <c r="Y179" s="163">
        <v>1</v>
      </c>
      <c r="Z179" s="163">
        <v>1</v>
      </c>
      <c r="AA179" s="163">
        <v>0</v>
      </c>
      <c r="AB179" s="163" t="s">
        <v>152</v>
      </c>
      <c r="AC179" s="193">
        <v>447</v>
      </c>
      <c r="AD179" s="201">
        <f>IF(ISNUMBER(AC179),AC179/VLOOKUP($Q179,xRates!$A$1:$BL$267,studies!$R179-xRates!$B$1+2,FALSE),"")</f>
        <v>447</v>
      </c>
      <c r="AE179" s="200">
        <f t="shared" si="50"/>
        <v>0</v>
      </c>
      <c r="AF179" s="201">
        <f>VLOOKUP(G179,gdppc,R179-1958,FALSE)</f>
        <v>4151.2</v>
      </c>
      <c r="AG179" s="195" t="str">
        <f t="shared" si="51"/>
        <v>Cost-effective</v>
      </c>
      <c r="AH179" s="195" t="str">
        <f t="shared" si="52"/>
        <v>Cost-effective</v>
      </c>
      <c r="AI179" s="204">
        <f t="shared" si="53"/>
        <v>0.1076797070726537</v>
      </c>
      <c r="AJ179" s="205">
        <f>IFERROR(VLOOKUP(G179,ochalek,11,FALSE),"")</f>
        <v>0.23</v>
      </c>
      <c r="AK179" s="195" t="str">
        <f t="shared" si="54"/>
        <v>Cost-effective</v>
      </c>
      <c r="AL179" s="205">
        <f>IFERROR(VLOOKUP(G179,ochalek,10,FALSE),"")</f>
        <v>0.16</v>
      </c>
      <c r="AM179" s="207" t="str">
        <f t="shared" si="55"/>
        <v>Cost-effective</v>
      </c>
      <c r="AN179" s="205">
        <f>IFERROR(VLOOKUP(G179,woods,6,FALSE),"")</f>
        <v>0.49571178772655361</v>
      </c>
      <c r="AO179" s="195" t="str">
        <f t="shared" si="56"/>
        <v>Cost-effective</v>
      </c>
      <c r="AP179" s="205">
        <f>IFERROR(VLOOKUP(G179,woods,5,FALSE),"")</f>
        <v>0.13100557883926836</v>
      </c>
      <c r="AQ179" s="195" t="str">
        <f t="shared" si="57"/>
        <v>Cost-effective</v>
      </c>
      <c r="AR179" s="205">
        <f>IFERROR(VLOOKUP(G179,riviere,8,FALSE),"")</f>
        <v>0.46974368857197923</v>
      </c>
      <c r="AS179" s="195" t="str">
        <f t="shared" si="58"/>
        <v>Cost-effective</v>
      </c>
      <c r="AT179" s="205">
        <f>IFERROR(VLOOKUP(G179,riviere,7,FALSE),"")</f>
        <v>0.19464251300828678</v>
      </c>
      <c r="AU179" s="195" t="str">
        <f t="shared" si="59"/>
        <v>Cost-effective</v>
      </c>
      <c r="AV179" s="162" t="s">
        <v>153</v>
      </c>
      <c r="AW179" s="162" t="s">
        <v>162</v>
      </c>
      <c r="AX179" s="210">
        <f t="shared" si="60"/>
        <v>0</v>
      </c>
      <c r="AY179" s="210">
        <f t="shared" si="61"/>
        <v>0</v>
      </c>
      <c r="AZ179" s="197">
        <f t="shared" si="62"/>
        <v>0</v>
      </c>
      <c r="BA179" s="197">
        <f t="shared" si="63"/>
        <v>0</v>
      </c>
      <c r="BB179" s="197">
        <f t="shared" si="64"/>
        <v>0</v>
      </c>
      <c r="BC179" s="197">
        <f t="shared" si="65"/>
        <v>0</v>
      </c>
      <c r="BD179" s="197">
        <f t="shared" si="66"/>
        <v>0</v>
      </c>
      <c r="BE179" s="163" t="s">
        <v>148</v>
      </c>
      <c r="BF179" s="162" t="s">
        <v>156</v>
      </c>
    </row>
    <row r="180" spans="1:58">
      <c r="A180" s="195">
        <f t="shared" si="67"/>
        <v>54</v>
      </c>
      <c r="B180" s="195">
        <f t="shared" si="68"/>
        <v>5</v>
      </c>
      <c r="C180" s="196" t="str">
        <f t="shared" si="46"/>
        <v>5405</v>
      </c>
      <c r="D180" s="159" t="s">
        <v>81</v>
      </c>
      <c r="E180" s="163">
        <v>2021</v>
      </c>
      <c r="F180" s="162" t="s">
        <v>300</v>
      </c>
      <c r="G180" s="182" t="s">
        <v>301</v>
      </c>
      <c r="H180" s="197" t="str">
        <f>IF(VLOOKUP(G180,income,R180-1985,FALSE)="UM","Upper-middle",IF(VLOOKUP(G180,income,R180-1985,FALSE)="LM","Lower-middle",IF(VLOOKUP(G180,income,R180-1985,FALSE)="L","Low")))</f>
        <v>Upper-middle</v>
      </c>
      <c r="I180" s="163">
        <v>1</v>
      </c>
      <c r="J180" s="162" t="s">
        <v>167</v>
      </c>
      <c r="K180" s="162" t="s">
        <v>147</v>
      </c>
      <c r="L180" s="207" t="str">
        <f t="shared" si="49"/>
        <v>PCV13 vs NoVax</v>
      </c>
      <c r="M180" s="162" t="s">
        <v>1551</v>
      </c>
      <c r="N180" s="163" t="s">
        <v>148</v>
      </c>
      <c r="O180" s="162" t="s">
        <v>149</v>
      </c>
      <c r="P180" s="162" t="s">
        <v>150</v>
      </c>
      <c r="Q180" s="162" t="s">
        <v>151</v>
      </c>
      <c r="R180" s="163">
        <v>2019</v>
      </c>
      <c r="S180" s="191">
        <v>18.899999999999999</v>
      </c>
      <c r="T180" s="198">
        <f>IF(ISNUMBER(S180),S180/VLOOKUP($Q180,xRates!$A$1:$BL$267,studies!$R180-xRates!$B$1+2,FALSE),"")</f>
        <v>18.899999999999999</v>
      </c>
      <c r="V180" s="198" t="str">
        <f>IF(ISNUMBER(U180),U180/VLOOKUP($Q180,xRates!$A$1:$BL$267,studies!$R180-xRates!$B$1+2,FALSE),"")</f>
        <v/>
      </c>
      <c r="W180" s="163">
        <v>0</v>
      </c>
      <c r="X180" s="163">
        <v>0</v>
      </c>
      <c r="Y180" s="163">
        <v>1</v>
      </c>
      <c r="Z180" s="163">
        <v>1</v>
      </c>
      <c r="AA180" s="163">
        <v>0</v>
      </c>
      <c r="AB180" s="163" t="s">
        <v>152</v>
      </c>
      <c r="AC180" s="193">
        <v>539</v>
      </c>
      <c r="AD180" s="201">
        <f>IF(ISNUMBER(AC180),AC180/VLOOKUP($Q180,xRates!$A$1:$BL$267,studies!$R180-xRates!$B$1+2,FALSE),"")</f>
        <v>539</v>
      </c>
      <c r="AE180" s="200">
        <f t="shared" si="50"/>
        <v>0</v>
      </c>
      <c r="AF180" s="201">
        <f>VLOOKUP(G180,gdppc,R180-1958,FALSE)</f>
        <v>4151.2</v>
      </c>
      <c r="AG180" s="195" t="str">
        <f t="shared" si="51"/>
        <v>Cost-effective</v>
      </c>
      <c r="AH180" s="195" t="str">
        <f t="shared" si="52"/>
        <v>Cost-effective</v>
      </c>
      <c r="AI180" s="204">
        <f t="shared" si="53"/>
        <v>0.12984197340528042</v>
      </c>
      <c r="AJ180" s="205">
        <f>IFERROR(VLOOKUP(G180,ochalek,11,FALSE),"")</f>
        <v>0.23</v>
      </c>
      <c r="AK180" s="195" t="str">
        <f t="shared" si="54"/>
        <v>Cost-effective</v>
      </c>
      <c r="AL180" s="205">
        <f>IFERROR(VLOOKUP(G180,ochalek,10,FALSE),"")</f>
        <v>0.16</v>
      </c>
      <c r="AM180" s="207" t="str">
        <f t="shared" si="55"/>
        <v>Cost-effective</v>
      </c>
      <c r="AN180" s="205">
        <f>IFERROR(VLOOKUP(G180,woods,6,FALSE),"")</f>
        <v>0.49571178772655361</v>
      </c>
      <c r="AO180" s="195" t="str">
        <f t="shared" si="56"/>
        <v>Cost-effective</v>
      </c>
      <c r="AP180" s="205">
        <f>IFERROR(VLOOKUP(G180,woods,5,FALSE),"")</f>
        <v>0.13100557883926836</v>
      </c>
      <c r="AQ180" s="195" t="str">
        <f t="shared" si="57"/>
        <v>Cost-effective</v>
      </c>
      <c r="AR180" s="205">
        <f>IFERROR(VLOOKUP(G180,riviere,8,FALSE),"")</f>
        <v>0.46974368857197923</v>
      </c>
      <c r="AS180" s="195" t="str">
        <f t="shared" si="58"/>
        <v>Cost-effective</v>
      </c>
      <c r="AT180" s="205">
        <f>IFERROR(VLOOKUP(G180,riviere,7,FALSE),"")</f>
        <v>0.19464251300828678</v>
      </c>
      <c r="AU180" s="195" t="str">
        <f t="shared" si="59"/>
        <v>Cost-effective</v>
      </c>
      <c r="AV180" s="162" t="s">
        <v>153</v>
      </c>
      <c r="AW180" s="162" t="s">
        <v>162</v>
      </c>
      <c r="AX180" s="210">
        <f t="shared" si="60"/>
        <v>0</v>
      </c>
      <c r="AY180" s="210">
        <f t="shared" si="61"/>
        <v>0</v>
      </c>
      <c r="AZ180" s="197">
        <f t="shared" si="62"/>
        <v>0</v>
      </c>
      <c r="BA180" s="197">
        <f t="shared" si="63"/>
        <v>0</v>
      </c>
      <c r="BB180" s="197">
        <f t="shared" si="64"/>
        <v>0</v>
      </c>
      <c r="BC180" s="197">
        <f t="shared" si="65"/>
        <v>0</v>
      </c>
      <c r="BD180" s="197">
        <f t="shared" si="66"/>
        <v>0</v>
      </c>
      <c r="BE180" s="163" t="s">
        <v>148</v>
      </c>
      <c r="BF180" s="162" t="s">
        <v>156</v>
      </c>
    </row>
    <row r="181" spans="1:58">
      <c r="A181" s="195">
        <f t="shared" si="67"/>
        <v>54</v>
      </c>
      <c r="B181" s="195">
        <f t="shared" si="68"/>
        <v>6</v>
      </c>
      <c r="C181" s="196" t="str">
        <f t="shared" si="46"/>
        <v>5406</v>
      </c>
      <c r="D181" s="159" t="s">
        <v>81</v>
      </c>
      <c r="E181" s="163">
        <v>2021</v>
      </c>
      <c r="F181" s="162" t="s">
        <v>300</v>
      </c>
      <c r="G181" s="182" t="s">
        <v>301</v>
      </c>
      <c r="H181" s="197" t="str">
        <f>IF(VLOOKUP(G181,income,R181-1985,FALSE)="UM","Upper-middle",IF(VLOOKUP(G181,income,R181-1985,FALSE)="LM","Lower-middle",IF(VLOOKUP(G181,income,R181-1985,FALSE)="L","Low")))</f>
        <v>Upper-middle</v>
      </c>
      <c r="I181" s="163">
        <v>1</v>
      </c>
      <c r="J181" s="162" t="s">
        <v>167</v>
      </c>
      <c r="K181" s="162" t="s">
        <v>147</v>
      </c>
      <c r="L181" s="207" t="str">
        <f t="shared" si="49"/>
        <v>PCV13 vs NoVax</v>
      </c>
      <c r="M181" s="162" t="s">
        <v>1551</v>
      </c>
      <c r="N181" s="163" t="s">
        <v>148</v>
      </c>
      <c r="O181" s="162" t="s">
        <v>159</v>
      </c>
      <c r="P181" s="162" t="s">
        <v>150</v>
      </c>
      <c r="Q181" s="162" t="s">
        <v>151</v>
      </c>
      <c r="R181" s="163">
        <v>2019</v>
      </c>
      <c r="S181" s="191">
        <v>18.899999999999999</v>
      </c>
      <c r="T181" s="198">
        <f>IF(ISNUMBER(S181),S181/VLOOKUP($Q181,xRates!$A$1:$BL$267,studies!$R181-xRates!$B$1+2,FALSE),"")</f>
        <v>18.899999999999999</v>
      </c>
      <c r="V181" s="198" t="str">
        <f>IF(ISNUMBER(U181),U181/VLOOKUP($Q181,xRates!$A$1:$BL$267,studies!$R181-xRates!$B$1+2,FALSE),"")</f>
        <v/>
      </c>
      <c r="W181" s="163">
        <v>0</v>
      </c>
      <c r="X181" s="163">
        <v>0</v>
      </c>
      <c r="Y181" s="163">
        <v>1</v>
      </c>
      <c r="Z181" s="163">
        <v>1</v>
      </c>
      <c r="AA181" s="163">
        <v>0</v>
      </c>
      <c r="AB181" s="163" t="s">
        <v>152</v>
      </c>
      <c r="AC181" s="193">
        <v>607</v>
      </c>
      <c r="AD181" s="201">
        <f>IF(ISNUMBER(AC181),AC181/VLOOKUP($Q181,xRates!$A$1:$BL$267,studies!$R181-xRates!$B$1+2,FALSE),"")</f>
        <v>607</v>
      </c>
      <c r="AE181" s="200">
        <f t="shared" si="50"/>
        <v>0</v>
      </c>
      <c r="AF181" s="201">
        <f>VLOOKUP(G181,gdppc,R181-1958,FALSE)</f>
        <v>4151.2</v>
      </c>
      <c r="AG181" s="195" t="str">
        <f t="shared" si="51"/>
        <v>Cost-effective</v>
      </c>
      <c r="AH181" s="195" t="str">
        <f t="shared" si="52"/>
        <v>Cost-effective</v>
      </c>
      <c r="AI181" s="204">
        <f t="shared" si="53"/>
        <v>0.14622277895548275</v>
      </c>
      <c r="AJ181" s="205">
        <f>IFERROR(VLOOKUP(G181,ochalek,11,FALSE),"")</f>
        <v>0.23</v>
      </c>
      <c r="AK181" s="195" t="str">
        <f t="shared" si="54"/>
        <v>Cost-effective</v>
      </c>
      <c r="AL181" s="205">
        <f>IFERROR(VLOOKUP(G181,ochalek,10,FALSE),"")</f>
        <v>0.16</v>
      </c>
      <c r="AM181" s="207" t="str">
        <f t="shared" si="55"/>
        <v>Cost-effective</v>
      </c>
      <c r="AN181" s="205">
        <f>IFERROR(VLOOKUP(G181,woods,6,FALSE),"")</f>
        <v>0.49571178772655361</v>
      </c>
      <c r="AO181" s="195" t="str">
        <f t="shared" si="56"/>
        <v>Cost-effective</v>
      </c>
      <c r="AP181" s="205">
        <f>IFERROR(VLOOKUP(G181,woods,5,FALSE),"")</f>
        <v>0.13100557883926836</v>
      </c>
      <c r="AQ181" s="195" t="str">
        <f t="shared" si="57"/>
        <v>Not cost-effective</v>
      </c>
      <c r="AR181" s="205">
        <f>IFERROR(VLOOKUP(G181,riviere,8,FALSE),"")</f>
        <v>0.46974368857197923</v>
      </c>
      <c r="AS181" s="195" t="str">
        <f t="shared" si="58"/>
        <v>Cost-effective</v>
      </c>
      <c r="AT181" s="205">
        <f>IFERROR(VLOOKUP(G181,riviere,7,FALSE),"")</f>
        <v>0.19464251300828678</v>
      </c>
      <c r="AU181" s="195" t="str">
        <f t="shared" si="59"/>
        <v>Cost-effective</v>
      </c>
      <c r="AV181" s="162" t="s">
        <v>153</v>
      </c>
      <c r="AW181" s="162" t="s">
        <v>162</v>
      </c>
      <c r="AX181" s="210">
        <f t="shared" si="60"/>
        <v>0</v>
      </c>
      <c r="AY181" s="210">
        <f t="shared" si="61"/>
        <v>0</v>
      </c>
      <c r="AZ181" s="197">
        <f t="shared" si="62"/>
        <v>0</v>
      </c>
      <c r="BA181" s="197">
        <f t="shared" si="63"/>
        <v>1</v>
      </c>
      <c r="BB181" s="197">
        <f t="shared" si="64"/>
        <v>0</v>
      </c>
      <c r="BC181" s="197">
        <f t="shared" si="65"/>
        <v>0</v>
      </c>
      <c r="BD181" s="197">
        <f t="shared" si="66"/>
        <v>1</v>
      </c>
      <c r="BE181" s="163" t="s">
        <v>148</v>
      </c>
      <c r="BF181" s="162" t="s">
        <v>156</v>
      </c>
    </row>
    <row r="182" spans="1:58">
      <c r="A182" s="195">
        <f t="shared" si="67"/>
        <v>54</v>
      </c>
      <c r="B182" s="195">
        <f t="shared" si="68"/>
        <v>7</v>
      </c>
      <c r="C182" s="196" t="str">
        <f t="shared" si="46"/>
        <v>5407</v>
      </c>
      <c r="D182" s="159" t="s">
        <v>81</v>
      </c>
      <c r="E182" s="163">
        <v>2021</v>
      </c>
      <c r="F182" s="162" t="s">
        <v>300</v>
      </c>
      <c r="G182" s="182" t="s">
        <v>301</v>
      </c>
      <c r="H182" s="197" t="str">
        <f>IF(VLOOKUP(G182,income,R182-1985,FALSE)="UM","Upper-middle",IF(VLOOKUP(G182,income,R182-1985,FALSE)="LM","Lower-middle",IF(VLOOKUP(G182,income,R182-1985,FALSE)="L","Low")))</f>
        <v>Upper-middle</v>
      </c>
      <c r="I182" s="163">
        <v>1</v>
      </c>
      <c r="J182" s="162" t="s">
        <v>166</v>
      </c>
      <c r="K182" s="162" t="s">
        <v>147</v>
      </c>
      <c r="L182" s="207" t="str">
        <f t="shared" si="49"/>
        <v>PCV10 vs NoVax</v>
      </c>
      <c r="M182" s="162" t="s">
        <v>1551</v>
      </c>
      <c r="N182" s="163" t="s">
        <v>148</v>
      </c>
      <c r="O182" s="162" t="s">
        <v>159</v>
      </c>
      <c r="P182" s="162" t="s">
        <v>150</v>
      </c>
      <c r="Q182" s="162" t="s">
        <v>151</v>
      </c>
      <c r="R182" s="163">
        <v>2019</v>
      </c>
      <c r="S182" s="191">
        <v>3.3</v>
      </c>
      <c r="T182" s="198">
        <f>IF(ISNUMBER(S182),S182/VLOOKUP($Q182,xRates!$A$1:$BL$267,studies!$R182-xRates!$B$1+2,FALSE),"")</f>
        <v>3.3</v>
      </c>
      <c r="V182" s="198" t="str">
        <f>IF(ISNUMBER(U182),U182/VLOOKUP($Q182,xRates!$A$1:$BL$267,studies!$R182-xRates!$B$1+2,FALSE),"")</f>
        <v/>
      </c>
      <c r="W182" s="163">
        <v>0</v>
      </c>
      <c r="X182" s="163">
        <v>0</v>
      </c>
      <c r="Y182" s="163">
        <v>1</v>
      </c>
      <c r="Z182" s="163">
        <v>1</v>
      </c>
      <c r="AA182" s="163">
        <v>0</v>
      </c>
      <c r="AB182" s="163" t="s">
        <v>152</v>
      </c>
      <c r="AC182" s="193">
        <v>718</v>
      </c>
      <c r="AD182" s="201">
        <f>IF(ISNUMBER(AC182),AC182/VLOOKUP($Q182,xRates!$A$1:$BL$267,studies!$R182-xRates!$B$1+2,FALSE),"")</f>
        <v>718</v>
      </c>
      <c r="AE182" s="200">
        <f t="shared" si="50"/>
        <v>0</v>
      </c>
      <c r="AF182" s="201">
        <f>VLOOKUP(G182,gdppc,R182-1958,FALSE)</f>
        <v>4151.2</v>
      </c>
      <c r="AG182" s="195" t="str">
        <f t="shared" si="51"/>
        <v>Cost-effective</v>
      </c>
      <c r="AH182" s="195" t="str">
        <f t="shared" si="52"/>
        <v>Cost-effective</v>
      </c>
      <c r="AI182" s="204">
        <f t="shared" si="53"/>
        <v>0.17296203507419541</v>
      </c>
      <c r="AJ182" s="205">
        <f>IFERROR(VLOOKUP(G182,ochalek,11,FALSE),"")</f>
        <v>0.23</v>
      </c>
      <c r="AK182" s="195" t="str">
        <f t="shared" si="54"/>
        <v>Cost-effective</v>
      </c>
      <c r="AL182" s="205">
        <f>IFERROR(VLOOKUP(G182,ochalek,10,FALSE),"")</f>
        <v>0.16</v>
      </c>
      <c r="AM182" s="207" t="str">
        <f t="shared" si="55"/>
        <v>Not cost-effective</v>
      </c>
      <c r="AN182" s="205">
        <f>IFERROR(VLOOKUP(G182,woods,6,FALSE),"")</f>
        <v>0.49571178772655361</v>
      </c>
      <c r="AO182" s="195" t="str">
        <f t="shared" si="56"/>
        <v>Cost-effective</v>
      </c>
      <c r="AP182" s="205">
        <f>IFERROR(VLOOKUP(G182,woods,5,FALSE),"")</f>
        <v>0.13100557883926836</v>
      </c>
      <c r="AQ182" s="195" t="str">
        <f t="shared" si="57"/>
        <v>Not cost-effective</v>
      </c>
      <c r="AR182" s="205">
        <f>IFERROR(VLOOKUP(G182,riviere,8,FALSE),"")</f>
        <v>0.46974368857197923</v>
      </c>
      <c r="AS182" s="195" t="str">
        <f t="shared" si="58"/>
        <v>Cost-effective</v>
      </c>
      <c r="AT182" s="205">
        <f>IFERROR(VLOOKUP(G182,riviere,7,FALSE),"")</f>
        <v>0.19464251300828678</v>
      </c>
      <c r="AU182" s="195" t="str">
        <f t="shared" si="59"/>
        <v>Cost-effective</v>
      </c>
      <c r="AV182" s="162" t="s">
        <v>153</v>
      </c>
      <c r="AW182" s="162" t="s">
        <v>162</v>
      </c>
      <c r="AX182" s="210">
        <f t="shared" si="60"/>
        <v>0</v>
      </c>
      <c r="AY182" s="210">
        <f t="shared" si="61"/>
        <v>1</v>
      </c>
      <c r="AZ182" s="197">
        <f t="shared" si="62"/>
        <v>0</v>
      </c>
      <c r="BA182" s="197">
        <f t="shared" si="63"/>
        <v>1</v>
      </c>
      <c r="BB182" s="197">
        <f t="shared" si="64"/>
        <v>0</v>
      </c>
      <c r="BC182" s="197">
        <f t="shared" si="65"/>
        <v>0</v>
      </c>
      <c r="BD182" s="197">
        <f t="shared" si="66"/>
        <v>2</v>
      </c>
      <c r="BE182" s="163" t="s">
        <v>148</v>
      </c>
      <c r="BF182" s="162" t="s">
        <v>156</v>
      </c>
    </row>
    <row r="183" spans="1:58">
      <c r="A183" s="195">
        <f t="shared" si="67"/>
        <v>54</v>
      </c>
      <c r="B183" s="195">
        <f t="shared" si="68"/>
        <v>8</v>
      </c>
      <c r="C183" s="196" t="str">
        <f t="shared" si="46"/>
        <v>5408</v>
      </c>
      <c r="D183" s="159" t="s">
        <v>81</v>
      </c>
      <c r="E183" s="163">
        <v>2021</v>
      </c>
      <c r="F183" s="162" t="s">
        <v>300</v>
      </c>
      <c r="G183" s="182" t="s">
        <v>301</v>
      </c>
      <c r="H183" s="197" t="str">
        <f>IF(VLOOKUP(G183,income,R183-1985,FALSE)="UM","Upper-middle",IF(VLOOKUP(G183,income,R183-1985,FALSE)="LM","Lower-middle",IF(VLOOKUP(G183,income,R183-1985,FALSE)="L","Low")))</f>
        <v>Upper-middle</v>
      </c>
      <c r="I183" s="163">
        <v>1</v>
      </c>
      <c r="J183" s="162" t="s">
        <v>166</v>
      </c>
      <c r="K183" s="162" t="s">
        <v>147</v>
      </c>
      <c r="L183" s="207" t="str">
        <f t="shared" si="49"/>
        <v>PCV10 vs NoVax</v>
      </c>
      <c r="M183" s="162" t="s">
        <v>1551</v>
      </c>
      <c r="N183" s="163" t="s">
        <v>148</v>
      </c>
      <c r="O183" s="162" t="s">
        <v>149</v>
      </c>
      <c r="P183" s="162" t="s">
        <v>150</v>
      </c>
      <c r="Q183" s="162" t="s">
        <v>151</v>
      </c>
      <c r="R183" s="163">
        <v>2019</v>
      </c>
      <c r="S183" s="191">
        <v>3.3</v>
      </c>
      <c r="T183" s="198">
        <f>IF(ISNUMBER(S183),S183/VLOOKUP($Q183,xRates!$A$1:$BL$267,studies!$R183-xRates!$B$1+2,FALSE),"")</f>
        <v>3.3</v>
      </c>
      <c r="V183" s="198" t="str">
        <f>IF(ISNUMBER(U183),U183/VLOOKUP($Q183,xRates!$A$1:$BL$267,studies!$R183-xRates!$B$1+2,FALSE),"")</f>
        <v/>
      </c>
      <c r="W183" s="163">
        <v>0</v>
      </c>
      <c r="X183" s="163">
        <v>0</v>
      </c>
      <c r="Y183" s="163">
        <v>1</v>
      </c>
      <c r="Z183" s="163">
        <v>1</v>
      </c>
      <c r="AA183" s="163">
        <v>0</v>
      </c>
      <c r="AB183" s="163" t="s">
        <v>152</v>
      </c>
      <c r="AC183" s="193">
        <v>810</v>
      </c>
      <c r="AD183" s="201">
        <f>IF(ISNUMBER(AC183),AC183/VLOOKUP($Q183,xRates!$A$1:$BL$267,studies!$R183-xRates!$B$1+2,FALSE),"")</f>
        <v>810</v>
      </c>
      <c r="AE183" s="200">
        <f t="shared" si="50"/>
        <v>0</v>
      </c>
      <c r="AF183" s="201">
        <f>VLOOKUP(G183,gdppc,R183-1958,FALSE)</f>
        <v>4151.2</v>
      </c>
      <c r="AG183" s="195" t="str">
        <f t="shared" si="51"/>
        <v>Cost-effective</v>
      </c>
      <c r="AH183" s="195" t="str">
        <f t="shared" si="52"/>
        <v>Cost-effective</v>
      </c>
      <c r="AI183" s="204">
        <f t="shared" si="53"/>
        <v>0.19512430140682213</v>
      </c>
      <c r="AJ183" s="205">
        <f>IFERROR(VLOOKUP(G183,ochalek,11,FALSE),"")</f>
        <v>0.23</v>
      </c>
      <c r="AK183" s="195" t="str">
        <f t="shared" si="54"/>
        <v>Cost-effective</v>
      </c>
      <c r="AL183" s="205">
        <f>IFERROR(VLOOKUP(G183,ochalek,10,FALSE),"")</f>
        <v>0.16</v>
      </c>
      <c r="AM183" s="207" t="str">
        <f t="shared" si="55"/>
        <v>Not cost-effective</v>
      </c>
      <c r="AN183" s="205">
        <f>IFERROR(VLOOKUP(G183,woods,6,FALSE),"")</f>
        <v>0.49571178772655361</v>
      </c>
      <c r="AO183" s="195" t="str">
        <f t="shared" si="56"/>
        <v>Cost-effective</v>
      </c>
      <c r="AP183" s="205">
        <f>IFERROR(VLOOKUP(G183,woods,5,FALSE),"")</f>
        <v>0.13100557883926836</v>
      </c>
      <c r="AQ183" s="195" t="str">
        <f t="shared" si="57"/>
        <v>Not cost-effective</v>
      </c>
      <c r="AR183" s="205">
        <f>IFERROR(VLOOKUP(G183,riviere,8,FALSE),"")</f>
        <v>0.46974368857197923</v>
      </c>
      <c r="AS183" s="195" t="str">
        <f t="shared" si="58"/>
        <v>Cost-effective</v>
      </c>
      <c r="AT183" s="205">
        <f>IFERROR(VLOOKUP(G183,riviere,7,FALSE),"")</f>
        <v>0.19464251300828678</v>
      </c>
      <c r="AU183" s="195" t="str">
        <f t="shared" si="59"/>
        <v>Not cost-effective</v>
      </c>
      <c r="AV183" s="162" t="s">
        <v>153</v>
      </c>
      <c r="AW183" s="162" t="s">
        <v>162</v>
      </c>
      <c r="AX183" s="210">
        <f t="shared" si="60"/>
        <v>0</v>
      </c>
      <c r="AY183" s="210">
        <f t="shared" si="61"/>
        <v>1</v>
      </c>
      <c r="AZ183" s="197">
        <f t="shared" si="62"/>
        <v>0</v>
      </c>
      <c r="BA183" s="197">
        <f t="shared" si="63"/>
        <v>1</v>
      </c>
      <c r="BB183" s="197">
        <f t="shared" si="64"/>
        <v>0</v>
      </c>
      <c r="BC183" s="197">
        <f t="shared" si="65"/>
        <v>1</v>
      </c>
      <c r="BD183" s="197">
        <f t="shared" si="66"/>
        <v>3</v>
      </c>
      <c r="BE183" s="163" t="s">
        <v>148</v>
      </c>
      <c r="BF183" s="162" t="s">
        <v>156</v>
      </c>
    </row>
    <row r="184" spans="1:58">
      <c r="A184" s="195">
        <f t="shared" si="67"/>
        <v>54</v>
      </c>
      <c r="B184" s="195">
        <f t="shared" si="68"/>
        <v>9</v>
      </c>
      <c r="C184" s="196" t="str">
        <f t="shared" si="46"/>
        <v>5409</v>
      </c>
      <c r="D184" s="159" t="s">
        <v>81</v>
      </c>
      <c r="E184" s="163">
        <v>2021</v>
      </c>
      <c r="F184" s="162" t="s">
        <v>300</v>
      </c>
      <c r="G184" s="182" t="s">
        <v>301</v>
      </c>
      <c r="H184" s="197" t="str">
        <f>IF(VLOOKUP(G184,income,R184-1985,FALSE)="UM","Upper-middle",IF(VLOOKUP(G184,income,R184-1985,FALSE)="LM","Lower-middle",IF(VLOOKUP(G184,income,R184-1985,FALSE)="L","Low")))</f>
        <v>Upper-middle</v>
      </c>
      <c r="I184" s="163">
        <v>1</v>
      </c>
      <c r="J184" s="162" t="s">
        <v>166</v>
      </c>
      <c r="K184" s="162" t="s">
        <v>147</v>
      </c>
      <c r="L184" s="207" t="str">
        <f t="shared" si="49"/>
        <v>PCV10 vs NoVax</v>
      </c>
      <c r="M184" s="162" t="s">
        <v>1551</v>
      </c>
      <c r="N184" s="163" t="s">
        <v>148</v>
      </c>
      <c r="O184" s="162" t="s">
        <v>159</v>
      </c>
      <c r="P184" s="162" t="s">
        <v>150</v>
      </c>
      <c r="Q184" s="162" t="s">
        <v>151</v>
      </c>
      <c r="R184" s="163">
        <v>2019</v>
      </c>
      <c r="S184" s="191">
        <v>3.3</v>
      </c>
      <c r="T184" s="198">
        <f>IF(ISNUMBER(S184),S184/VLOOKUP($Q184,xRates!$A$1:$BL$267,studies!$R184-xRates!$B$1+2,FALSE),"")</f>
        <v>3.3</v>
      </c>
      <c r="V184" s="198" t="str">
        <f>IF(ISNUMBER(U184),U184/VLOOKUP($Q184,xRates!$A$1:$BL$267,studies!$R184-xRates!$B$1+2,FALSE),"")</f>
        <v/>
      </c>
      <c r="W184" s="163">
        <v>0</v>
      </c>
      <c r="X184" s="163">
        <v>0</v>
      </c>
      <c r="Y184" s="163">
        <v>1</v>
      </c>
      <c r="Z184" s="163">
        <v>1</v>
      </c>
      <c r="AA184" s="163">
        <v>0</v>
      </c>
      <c r="AB184" s="163" t="s">
        <v>152</v>
      </c>
      <c r="AC184" s="193">
        <v>978</v>
      </c>
      <c r="AD184" s="201">
        <f>IF(ISNUMBER(AC184),AC184/VLOOKUP($Q184,xRates!$A$1:$BL$267,studies!$R184-xRates!$B$1+2,FALSE),"")</f>
        <v>978</v>
      </c>
      <c r="AE184" s="200">
        <f t="shared" si="50"/>
        <v>0</v>
      </c>
      <c r="AF184" s="201">
        <f>VLOOKUP(G184,gdppc,R184-1958,FALSE)</f>
        <v>4151.2</v>
      </c>
      <c r="AG184" s="195" t="str">
        <f t="shared" si="51"/>
        <v>Cost-effective</v>
      </c>
      <c r="AH184" s="195" t="str">
        <f t="shared" si="52"/>
        <v>Cost-effective</v>
      </c>
      <c r="AI184" s="204">
        <f t="shared" si="53"/>
        <v>0.23559452688379265</v>
      </c>
      <c r="AJ184" s="205">
        <f>IFERROR(VLOOKUP(G184,ochalek,11,FALSE),"")</f>
        <v>0.23</v>
      </c>
      <c r="AK184" s="195" t="str">
        <f t="shared" si="54"/>
        <v>Not cost-effective</v>
      </c>
      <c r="AL184" s="205">
        <f>IFERROR(VLOOKUP(G184,ochalek,10,FALSE),"")</f>
        <v>0.16</v>
      </c>
      <c r="AM184" s="207" t="str">
        <f t="shared" si="55"/>
        <v>Not cost-effective</v>
      </c>
      <c r="AN184" s="205">
        <f>IFERROR(VLOOKUP(G184,woods,6,FALSE),"")</f>
        <v>0.49571178772655361</v>
      </c>
      <c r="AO184" s="195" t="str">
        <f t="shared" si="56"/>
        <v>Cost-effective</v>
      </c>
      <c r="AP184" s="205">
        <f>IFERROR(VLOOKUP(G184,woods,5,FALSE),"")</f>
        <v>0.13100557883926836</v>
      </c>
      <c r="AQ184" s="195" t="str">
        <f t="shared" si="57"/>
        <v>Not cost-effective</v>
      </c>
      <c r="AR184" s="205">
        <f>IFERROR(VLOOKUP(G184,riviere,8,FALSE),"")</f>
        <v>0.46974368857197923</v>
      </c>
      <c r="AS184" s="195" t="str">
        <f t="shared" si="58"/>
        <v>Cost-effective</v>
      </c>
      <c r="AT184" s="205">
        <f>IFERROR(VLOOKUP(G184,riviere,7,FALSE),"")</f>
        <v>0.19464251300828678</v>
      </c>
      <c r="AU184" s="195" t="str">
        <f t="shared" si="59"/>
        <v>Not cost-effective</v>
      </c>
      <c r="AV184" s="162" t="s">
        <v>153</v>
      </c>
      <c r="AW184" s="162" t="s">
        <v>162</v>
      </c>
      <c r="AX184" s="210">
        <f t="shared" si="60"/>
        <v>1</v>
      </c>
      <c r="AY184" s="210">
        <f t="shared" si="61"/>
        <v>1</v>
      </c>
      <c r="AZ184" s="197">
        <f t="shared" si="62"/>
        <v>0</v>
      </c>
      <c r="BA184" s="197">
        <f t="shared" si="63"/>
        <v>1</v>
      </c>
      <c r="BB184" s="197">
        <f t="shared" si="64"/>
        <v>0</v>
      </c>
      <c r="BC184" s="197">
        <f t="shared" si="65"/>
        <v>1</v>
      </c>
      <c r="BD184" s="197">
        <f t="shared" si="66"/>
        <v>4</v>
      </c>
      <c r="BE184" s="163" t="s">
        <v>148</v>
      </c>
      <c r="BF184" s="162" t="s">
        <v>156</v>
      </c>
    </row>
    <row r="185" spans="1:58">
      <c r="A185" s="195">
        <f t="shared" si="67"/>
        <v>54</v>
      </c>
      <c r="B185" s="195">
        <f t="shared" si="68"/>
        <v>10</v>
      </c>
      <c r="C185" s="196" t="str">
        <f t="shared" si="46"/>
        <v>5410</v>
      </c>
      <c r="D185" s="159" t="s">
        <v>81</v>
      </c>
      <c r="E185" s="163">
        <v>2021</v>
      </c>
      <c r="F185" s="162" t="s">
        <v>300</v>
      </c>
      <c r="G185" s="182" t="s">
        <v>301</v>
      </c>
      <c r="H185" s="197" t="str">
        <f>IF(VLOOKUP(G185,income,R185-1985,FALSE)="UM","Upper-middle",IF(VLOOKUP(G185,income,R185-1985,FALSE)="LM","Lower-middle",IF(VLOOKUP(G185,income,R185-1985,FALSE)="L","Low")))</f>
        <v>Upper-middle</v>
      </c>
      <c r="I185" s="163">
        <v>1</v>
      </c>
      <c r="J185" s="162" t="s">
        <v>166</v>
      </c>
      <c r="K185" s="162" t="s">
        <v>147</v>
      </c>
      <c r="L185" s="207" t="str">
        <f t="shared" si="49"/>
        <v>PCV10 vs NoVax</v>
      </c>
      <c r="M185" s="162" t="s">
        <v>1551</v>
      </c>
      <c r="N185" s="163" t="s">
        <v>148</v>
      </c>
      <c r="O185" s="162" t="s">
        <v>159</v>
      </c>
      <c r="P185" s="162" t="s">
        <v>150</v>
      </c>
      <c r="Q185" s="162" t="s">
        <v>151</v>
      </c>
      <c r="R185" s="163">
        <v>2019</v>
      </c>
      <c r="S185" s="191">
        <v>17.45</v>
      </c>
      <c r="T185" s="198">
        <f>IF(ISNUMBER(S185),S185/VLOOKUP($Q185,xRates!$A$1:$BL$267,studies!$R185-xRates!$B$1+2,FALSE),"")</f>
        <v>17.45</v>
      </c>
      <c r="V185" s="198" t="str">
        <f>IF(ISNUMBER(U185),U185/VLOOKUP($Q185,xRates!$A$1:$BL$267,studies!$R185-xRates!$B$1+2,FALSE),"")</f>
        <v/>
      </c>
      <c r="W185" s="163">
        <v>0</v>
      </c>
      <c r="X185" s="163">
        <v>0</v>
      </c>
      <c r="Y185" s="163">
        <v>1</v>
      </c>
      <c r="Z185" s="163">
        <v>1</v>
      </c>
      <c r="AA185" s="163">
        <v>0</v>
      </c>
      <c r="AB185" s="163" t="s">
        <v>152</v>
      </c>
      <c r="AC185" s="193">
        <v>1087</v>
      </c>
      <c r="AD185" s="201">
        <f>IF(ISNUMBER(AC185),AC185/VLOOKUP($Q185,xRates!$A$1:$BL$267,studies!$R185-xRates!$B$1+2,FALSE),"")</f>
        <v>1087</v>
      </c>
      <c r="AE185" s="200">
        <f t="shared" si="50"/>
        <v>0</v>
      </c>
      <c r="AF185" s="201">
        <f>VLOOKUP(G185,gdppc,R185-1958,FALSE)</f>
        <v>4151.2</v>
      </c>
      <c r="AG185" s="195" t="str">
        <f t="shared" si="51"/>
        <v>Cost-effective</v>
      </c>
      <c r="AH185" s="195" t="str">
        <f t="shared" si="52"/>
        <v>Cost-effective</v>
      </c>
      <c r="AI185" s="204">
        <f t="shared" si="53"/>
        <v>0.26185199460396996</v>
      </c>
      <c r="AJ185" s="205">
        <f>IFERROR(VLOOKUP(G185,ochalek,11,FALSE),"")</f>
        <v>0.23</v>
      </c>
      <c r="AK185" s="195" t="str">
        <f t="shared" si="54"/>
        <v>Not cost-effective</v>
      </c>
      <c r="AL185" s="205">
        <f>IFERROR(VLOOKUP(G185,ochalek,10,FALSE),"")</f>
        <v>0.16</v>
      </c>
      <c r="AM185" s="207" t="str">
        <f t="shared" si="55"/>
        <v>Not cost-effective</v>
      </c>
      <c r="AN185" s="205">
        <f>IFERROR(VLOOKUP(G185,woods,6,FALSE),"")</f>
        <v>0.49571178772655361</v>
      </c>
      <c r="AO185" s="195" t="str">
        <f t="shared" si="56"/>
        <v>Cost-effective</v>
      </c>
      <c r="AP185" s="205">
        <f>IFERROR(VLOOKUP(G185,woods,5,FALSE),"")</f>
        <v>0.13100557883926836</v>
      </c>
      <c r="AQ185" s="195" t="str">
        <f t="shared" si="57"/>
        <v>Not cost-effective</v>
      </c>
      <c r="AR185" s="205">
        <f>IFERROR(VLOOKUP(G185,riviere,8,FALSE),"")</f>
        <v>0.46974368857197923</v>
      </c>
      <c r="AS185" s="195" t="str">
        <f t="shared" si="58"/>
        <v>Cost-effective</v>
      </c>
      <c r="AT185" s="205">
        <f>IFERROR(VLOOKUP(G185,riviere,7,FALSE),"")</f>
        <v>0.19464251300828678</v>
      </c>
      <c r="AU185" s="195" t="str">
        <f t="shared" si="59"/>
        <v>Not cost-effective</v>
      </c>
      <c r="AV185" s="162" t="s">
        <v>153</v>
      </c>
      <c r="AW185" s="162" t="s">
        <v>162</v>
      </c>
      <c r="AX185" s="210">
        <f t="shared" si="60"/>
        <v>1</v>
      </c>
      <c r="AY185" s="210">
        <f t="shared" si="61"/>
        <v>1</v>
      </c>
      <c r="AZ185" s="197">
        <f t="shared" si="62"/>
        <v>0</v>
      </c>
      <c r="BA185" s="197">
        <f t="shared" si="63"/>
        <v>1</v>
      </c>
      <c r="BB185" s="197">
        <f t="shared" si="64"/>
        <v>0</v>
      </c>
      <c r="BC185" s="197">
        <f t="shared" si="65"/>
        <v>1</v>
      </c>
      <c r="BD185" s="197">
        <f t="shared" si="66"/>
        <v>4</v>
      </c>
      <c r="BE185" s="163" t="s">
        <v>148</v>
      </c>
      <c r="BF185" s="162" t="s">
        <v>156</v>
      </c>
    </row>
    <row r="186" spans="1:58">
      <c r="A186" s="195">
        <f t="shared" si="67"/>
        <v>54</v>
      </c>
      <c r="B186" s="195">
        <f t="shared" si="68"/>
        <v>11</v>
      </c>
      <c r="C186" s="196" t="str">
        <f t="shared" si="46"/>
        <v>5411</v>
      </c>
      <c r="D186" s="159" t="s">
        <v>81</v>
      </c>
      <c r="E186" s="163">
        <v>2021</v>
      </c>
      <c r="F186" s="162" t="s">
        <v>300</v>
      </c>
      <c r="G186" s="182" t="s">
        <v>301</v>
      </c>
      <c r="H186" s="197" t="str">
        <f>IF(VLOOKUP(G186,income,R186-1985,FALSE)="UM","Upper-middle",IF(VLOOKUP(G186,income,R186-1985,FALSE)="LM","Lower-middle",IF(VLOOKUP(G186,income,R186-1985,FALSE)="L","Low")))</f>
        <v>Upper-middle</v>
      </c>
      <c r="I186" s="163">
        <v>1</v>
      </c>
      <c r="J186" s="162" t="s">
        <v>166</v>
      </c>
      <c r="K186" s="162" t="s">
        <v>147</v>
      </c>
      <c r="L186" s="207" t="str">
        <f t="shared" si="49"/>
        <v>PCV10 vs NoVax</v>
      </c>
      <c r="M186" s="162" t="s">
        <v>1551</v>
      </c>
      <c r="N186" s="163" t="s">
        <v>148</v>
      </c>
      <c r="O186" s="162" t="s">
        <v>149</v>
      </c>
      <c r="P186" s="162" t="s">
        <v>150</v>
      </c>
      <c r="Q186" s="162" t="s">
        <v>151</v>
      </c>
      <c r="R186" s="163">
        <v>2019</v>
      </c>
      <c r="S186" s="191">
        <v>17.45</v>
      </c>
      <c r="T186" s="198">
        <f>IF(ISNUMBER(S186),S186/VLOOKUP($Q186,xRates!$A$1:$BL$267,studies!$R186-xRates!$B$1+2,FALSE),"")</f>
        <v>17.45</v>
      </c>
      <c r="V186" s="198" t="str">
        <f>IF(ISNUMBER(U186),U186/VLOOKUP($Q186,xRates!$A$1:$BL$267,studies!$R186-xRates!$B$1+2,FALSE),"")</f>
        <v/>
      </c>
      <c r="W186" s="163">
        <v>0</v>
      </c>
      <c r="X186" s="163">
        <v>0</v>
      </c>
      <c r="Y186" s="163">
        <v>1</v>
      </c>
      <c r="Z186" s="163">
        <v>1</v>
      </c>
      <c r="AA186" s="163">
        <v>0</v>
      </c>
      <c r="AB186" s="163" t="s">
        <v>152</v>
      </c>
      <c r="AC186" s="193">
        <v>1179</v>
      </c>
      <c r="AD186" s="201">
        <f>IF(ISNUMBER(AC186),AC186/VLOOKUP($Q186,xRates!$A$1:$BL$267,studies!$R186-xRates!$B$1+2,FALSE),"")</f>
        <v>1179</v>
      </c>
      <c r="AE186" s="200">
        <f t="shared" si="50"/>
        <v>0</v>
      </c>
      <c r="AF186" s="201">
        <f>VLOOKUP(G186,gdppc,R186-1958,FALSE)</f>
        <v>4151.2</v>
      </c>
      <c r="AG186" s="195" t="str">
        <f t="shared" si="51"/>
        <v>Cost-effective</v>
      </c>
      <c r="AH186" s="195" t="str">
        <f t="shared" si="52"/>
        <v>Cost-effective</v>
      </c>
      <c r="AI186" s="204">
        <f t="shared" si="53"/>
        <v>0.28401426093659665</v>
      </c>
      <c r="AJ186" s="205">
        <f>IFERROR(VLOOKUP(G186,ochalek,11,FALSE),"")</f>
        <v>0.23</v>
      </c>
      <c r="AK186" s="195" t="str">
        <f t="shared" si="54"/>
        <v>Not cost-effective</v>
      </c>
      <c r="AL186" s="205">
        <f>IFERROR(VLOOKUP(G186,ochalek,10,FALSE),"")</f>
        <v>0.16</v>
      </c>
      <c r="AM186" s="207" t="str">
        <f t="shared" si="55"/>
        <v>Not cost-effective</v>
      </c>
      <c r="AN186" s="205">
        <f>IFERROR(VLOOKUP(G186,woods,6,FALSE),"")</f>
        <v>0.49571178772655361</v>
      </c>
      <c r="AO186" s="195" t="str">
        <f t="shared" si="56"/>
        <v>Cost-effective</v>
      </c>
      <c r="AP186" s="205">
        <f>IFERROR(VLOOKUP(G186,woods,5,FALSE),"")</f>
        <v>0.13100557883926836</v>
      </c>
      <c r="AQ186" s="195" t="str">
        <f t="shared" si="57"/>
        <v>Not cost-effective</v>
      </c>
      <c r="AR186" s="205">
        <f>IFERROR(VLOOKUP(G186,riviere,8,FALSE),"")</f>
        <v>0.46974368857197923</v>
      </c>
      <c r="AS186" s="195" t="str">
        <f t="shared" si="58"/>
        <v>Cost-effective</v>
      </c>
      <c r="AT186" s="205">
        <f>IFERROR(VLOOKUP(G186,riviere,7,FALSE),"")</f>
        <v>0.19464251300828678</v>
      </c>
      <c r="AU186" s="195" t="str">
        <f t="shared" si="59"/>
        <v>Not cost-effective</v>
      </c>
      <c r="AV186" s="162" t="s">
        <v>153</v>
      </c>
      <c r="AW186" s="162" t="s">
        <v>162</v>
      </c>
      <c r="AX186" s="210">
        <f t="shared" si="60"/>
        <v>1</v>
      </c>
      <c r="AY186" s="210">
        <f t="shared" si="61"/>
        <v>1</v>
      </c>
      <c r="AZ186" s="197">
        <f t="shared" si="62"/>
        <v>0</v>
      </c>
      <c r="BA186" s="197">
        <f t="shared" si="63"/>
        <v>1</v>
      </c>
      <c r="BB186" s="197">
        <f t="shared" si="64"/>
        <v>0</v>
      </c>
      <c r="BC186" s="197">
        <f t="shared" si="65"/>
        <v>1</v>
      </c>
      <c r="BD186" s="197">
        <f t="shared" si="66"/>
        <v>4</v>
      </c>
      <c r="BE186" s="163" t="s">
        <v>148</v>
      </c>
      <c r="BF186" s="162" t="s">
        <v>156</v>
      </c>
    </row>
    <row r="187" spans="1:58">
      <c r="A187" s="195">
        <f t="shared" si="67"/>
        <v>54</v>
      </c>
      <c r="B187" s="195">
        <f t="shared" si="68"/>
        <v>12</v>
      </c>
      <c r="C187" s="196" t="str">
        <f t="shared" si="46"/>
        <v>5412</v>
      </c>
      <c r="D187" s="159" t="s">
        <v>81</v>
      </c>
      <c r="E187" s="163">
        <v>2021</v>
      </c>
      <c r="F187" s="162" t="s">
        <v>300</v>
      </c>
      <c r="G187" s="182" t="s">
        <v>301</v>
      </c>
      <c r="H187" s="197" t="str">
        <f>IF(VLOOKUP(G187,income,R187-1985,FALSE)="UM","Upper-middle",IF(VLOOKUP(G187,income,R187-1985,FALSE)="LM","Lower-middle",IF(VLOOKUP(G187,income,R187-1985,FALSE)="L","Low")))</f>
        <v>Upper-middle</v>
      </c>
      <c r="I187" s="163">
        <v>1</v>
      </c>
      <c r="J187" s="162" t="s">
        <v>166</v>
      </c>
      <c r="K187" s="162" t="s">
        <v>147</v>
      </c>
      <c r="L187" s="207" t="str">
        <f t="shared" si="49"/>
        <v>PCV10 vs NoVax</v>
      </c>
      <c r="M187" s="162" t="s">
        <v>1551</v>
      </c>
      <c r="N187" s="163" t="s">
        <v>148</v>
      </c>
      <c r="O187" s="162" t="s">
        <v>159</v>
      </c>
      <c r="P187" s="162" t="s">
        <v>150</v>
      </c>
      <c r="Q187" s="162" t="s">
        <v>151</v>
      </c>
      <c r="R187" s="163">
        <v>2019</v>
      </c>
      <c r="S187" s="191">
        <v>17.45</v>
      </c>
      <c r="T187" s="198">
        <f>IF(ISNUMBER(S187),S187/VLOOKUP($Q187,xRates!$A$1:$BL$267,studies!$R187-xRates!$B$1+2,FALSE),"")</f>
        <v>17.45</v>
      </c>
      <c r="V187" s="198" t="str">
        <f>IF(ISNUMBER(U187),U187/VLOOKUP($Q187,xRates!$A$1:$BL$267,studies!$R187-xRates!$B$1+2,FALSE),"")</f>
        <v/>
      </c>
      <c r="W187" s="163">
        <v>0</v>
      </c>
      <c r="X187" s="163">
        <v>0</v>
      </c>
      <c r="Y187" s="163">
        <v>1</v>
      </c>
      <c r="Z187" s="163">
        <v>1</v>
      </c>
      <c r="AA187" s="163">
        <v>0</v>
      </c>
      <c r="AB187" s="163" t="s">
        <v>152</v>
      </c>
      <c r="AC187" s="193">
        <v>1248</v>
      </c>
      <c r="AD187" s="201">
        <f>IF(ISNUMBER(AC187),AC187/VLOOKUP($Q187,xRates!$A$1:$BL$267,studies!$R187-xRates!$B$1+2,FALSE),"")</f>
        <v>1248</v>
      </c>
      <c r="AE187" s="200">
        <f t="shared" si="50"/>
        <v>0</v>
      </c>
      <c r="AF187" s="201">
        <f>VLOOKUP(G187,gdppc,R187-1958,FALSE)</f>
        <v>4151.2</v>
      </c>
      <c r="AG187" s="195" t="str">
        <f t="shared" si="51"/>
        <v>Cost-effective</v>
      </c>
      <c r="AH187" s="195" t="str">
        <f t="shared" si="52"/>
        <v>Cost-effective</v>
      </c>
      <c r="AI187" s="204">
        <f t="shared" si="53"/>
        <v>0.30063596068606668</v>
      </c>
      <c r="AJ187" s="205">
        <f>IFERROR(VLOOKUP(G187,ochalek,11,FALSE),"")</f>
        <v>0.23</v>
      </c>
      <c r="AK187" s="195" t="str">
        <f t="shared" si="54"/>
        <v>Not cost-effective</v>
      </c>
      <c r="AL187" s="205">
        <f>IFERROR(VLOOKUP(G187,ochalek,10,FALSE),"")</f>
        <v>0.16</v>
      </c>
      <c r="AM187" s="207" t="str">
        <f t="shared" si="55"/>
        <v>Not cost-effective</v>
      </c>
      <c r="AN187" s="205">
        <f>IFERROR(VLOOKUP(G187,woods,6,FALSE),"")</f>
        <v>0.49571178772655361</v>
      </c>
      <c r="AO187" s="195" t="str">
        <f t="shared" si="56"/>
        <v>Cost-effective</v>
      </c>
      <c r="AP187" s="205">
        <f>IFERROR(VLOOKUP(G187,woods,5,FALSE),"")</f>
        <v>0.13100557883926836</v>
      </c>
      <c r="AQ187" s="195" t="str">
        <f t="shared" si="57"/>
        <v>Not cost-effective</v>
      </c>
      <c r="AR187" s="205">
        <f>IFERROR(VLOOKUP(G187,riviere,8,FALSE),"")</f>
        <v>0.46974368857197923</v>
      </c>
      <c r="AS187" s="195" t="str">
        <f t="shared" si="58"/>
        <v>Cost-effective</v>
      </c>
      <c r="AT187" s="205">
        <f>IFERROR(VLOOKUP(G187,riviere,7,FALSE),"")</f>
        <v>0.19464251300828678</v>
      </c>
      <c r="AU187" s="195" t="str">
        <f t="shared" si="59"/>
        <v>Not cost-effective</v>
      </c>
      <c r="AV187" s="162" t="s">
        <v>153</v>
      </c>
      <c r="AW187" s="162" t="s">
        <v>162</v>
      </c>
      <c r="AX187" s="210">
        <f t="shared" si="60"/>
        <v>1</v>
      </c>
      <c r="AY187" s="210">
        <f t="shared" si="61"/>
        <v>1</v>
      </c>
      <c r="AZ187" s="197">
        <f t="shared" si="62"/>
        <v>0</v>
      </c>
      <c r="BA187" s="197">
        <f t="shared" si="63"/>
        <v>1</v>
      </c>
      <c r="BB187" s="197">
        <f t="shared" si="64"/>
        <v>0</v>
      </c>
      <c r="BC187" s="197">
        <f t="shared" si="65"/>
        <v>1</v>
      </c>
      <c r="BD187" s="197">
        <f t="shared" si="66"/>
        <v>4</v>
      </c>
      <c r="BE187" s="163" t="s">
        <v>148</v>
      </c>
      <c r="BF187" s="162" t="s">
        <v>156</v>
      </c>
    </row>
    <row r="188" spans="1:58">
      <c r="A188" s="195">
        <f t="shared" si="67"/>
        <v>55</v>
      </c>
      <c r="B188" s="195">
        <f t="shared" si="68"/>
        <v>1</v>
      </c>
      <c r="C188" s="196" t="str">
        <f t="shared" si="46"/>
        <v>5501</v>
      </c>
      <c r="D188" s="159" t="s">
        <v>83</v>
      </c>
      <c r="E188" s="163">
        <v>2021</v>
      </c>
      <c r="F188" s="162" t="s">
        <v>303</v>
      </c>
      <c r="G188" s="182" t="s">
        <v>145</v>
      </c>
      <c r="H188" s="197" t="str">
        <f>IF(VLOOKUP(G188,income,R188-1985,FALSE)="UM","Upper-middle",IF(VLOOKUP(G188,income,R188-1985,FALSE)="LM","Lower-middle",IF(VLOOKUP(G188,income,R188-1985,FALSE)="L","Low")))</f>
        <v>Upper-middle</v>
      </c>
      <c r="I188" s="163">
        <v>1</v>
      </c>
      <c r="J188" s="162" t="s">
        <v>167</v>
      </c>
      <c r="K188" s="162" t="s">
        <v>147</v>
      </c>
      <c r="L188" s="207" t="str">
        <f t="shared" si="49"/>
        <v>PCV13 vs NoVax</v>
      </c>
      <c r="M188" s="162" t="s">
        <v>1552</v>
      </c>
      <c r="N188" s="163" t="s">
        <v>148</v>
      </c>
      <c r="O188" s="162" t="s">
        <v>149</v>
      </c>
      <c r="P188" s="162" t="s">
        <v>150</v>
      </c>
      <c r="Q188" s="162" t="s">
        <v>151</v>
      </c>
      <c r="R188" s="163">
        <v>2019</v>
      </c>
      <c r="S188" s="191">
        <v>81</v>
      </c>
      <c r="T188" s="198">
        <f>IF(ISNUMBER(S188),S188/VLOOKUP($Q188,xRates!$A$1:$BL$267,studies!$R188-xRates!$B$1+2,FALSE),"")</f>
        <v>81</v>
      </c>
      <c r="V188" s="198" t="str">
        <f>IF(ISNUMBER(U188),U188/VLOOKUP($Q188,xRates!$A$1:$BL$267,studies!$R188-xRates!$B$1+2,FALSE),"")</f>
        <v/>
      </c>
      <c r="W188" s="163">
        <v>0</v>
      </c>
      <c r="X188" s="163">
        <v>0</v>
      </c>
      <c r="Y188" s="163">
        <v>1</v>
      </c>
      <c r="Z188" s="163">
        <v>1</v>
      </c>
      <c r="AA188" s="163">
        <v>1</v>
      </c>
      <c r="AB188" s="163" t="s">
        <v>152</v>
      </c>
      <c r="AC188" s="193">
        <v>15394</v>
      </c>
      <c r="AD188" s="201">
        <f>IF(ISNUMBER(AC188),AC188/VLOOKUP($Q188,xRates!$A$1:$BL$267,studies!$R188-xRates!$B$1+2,FALSE),"")</f>
        <v>15394</v>
      </c>
      <c r="AE188" s="200">
        <f t="shared" si="50"/>
        <v>0</v>
      </c>
      <c r="AF188" s="201">
        <f>VLOOKUP(G188,gdppc,R188-1958,FALSE)</f>
        <v>10143.9</v>
      </c>
      <c r="AG188" s="195" t="str">
        <f t="shared" si="51"/>
        <v>Not cost-effective</v>
      </c>
      <c r="AH188" s="195" t="str">
        <f t="shared" si="52"/>
        <v>Cost-effective</v>
      </c>
      <c r="AI188" s="204">
        <f t="shared" si="53"/>
        <v>1.5175622788079537</v>
      </c>
      <c r="AJ188" s="205">
        <f>IFERROR(VLOOKUP(G188,ochalek,11,FALSE),"")</f>
        <v>0.71</v>
      </c>
      <c r="AK188" s="195" t="str">
        <f t="shared" si="54"/>
        <v>Not cost-effective</v>
      </c>
      <c r="AL188" s="205">
        <f>IFERROR(VLOOKUP(G188,ochalek,10,FALSE),"")</f>
        <v>0.45</v>
      </c>
      <c r="AM188" s="207" t="str">
        <f t="shared" si="55"/>
        <v>Not cost-effective</v>
      </c>
      <c r="AN188" s="205">
        <f>IFERROR(VLOOKUP(G188,woods,6,FALSE),"")</f>
        <v>0.64811121873397526</v>
      </c>
      <c r="AO188" s="195" t="str">
        <f t="shared" si="56"/>
        <v>Not cost-effective</v>
      </c>
      <c r="AP188" s="205">
        <f>IFERROR(VLOOKUP(G188,woods,5,FALSE),"")</f>
        <v>0.16395077203578146</v>
      </c>
      <c r="AQ188" s="195" t="str">
        <f t="shared" si="57"/>
        <v>Not cost-effective</v>
      </c>
      <c r="AR188" s="205">
        <f>IFERROR(VLOOKUP(G188,riviere,8,FALSE),"")</f>
        <v>0.90271000305602389</v>
      </c>
      <c r="AS188" s="195" t="str">
        <f t="shared" si="58"/>
        <v>Not cost-effective</v>
      </c>
      <c r="AT188" s="205">
        <f>IFERROR(VLOOKUP(G188,riviere,7,FALSE),"")</f>
        <v>0.374116464081862</v>
      </c>
      <c r="AU188" s="195" t="str">
        <f t="shared" si="59"/>
        <v>Not cost-effective</v>
      </c>
      <c r="AV188" s="162" t="s">
        <v>161</v>
      </c>
      <c r="AW188" s="162" t="s">
        <v>162</v>
      </c>
      <c r="AX188" s="210">
        <f t="shared" si="60"/>
        <v>1</v>
      </c>
      <c r="AY188" s="210">
        <f t="shared" si="61"/>
        <v>1</v>
      </c>
      <c r="AZ188" s="197">
        <f t="shared" si="62"/>
        <v>1</v>
      </c>
      <c r="BA188" s="197">
        <f t="shared" si="63"/>
        <v>1</v>
      </c>
      <c r="BB188" s="197">
        <f t="shared" si="64"/>
        <v>1</v>
      </c>
      <c r="BC188" s="197">
        <f t="shared" si="65"/>
        <v>1</v>
      </c>
      <c r="BD188" s="197">
        <f t="shared" si="66"/>
        <v>6</v>
      </c>
      <c r="BE188" s="163" t="s">
        <v>155</v>
      </c>
      <c r="BF188" s="162" t="s">
        <v>177</v>
      </c>
    </row>
    <row r="189" spans="1:58">
      <c r="A189" s="195">
        <f t="shared" si="67"/>
        <v>55</v>
      </c>
      <c r="B189" s="195">
        <f t="shared" si="68"/>
        <v>2</v>
      </c>
      <c r="C189" s="196" t="str">
        <f t="shared" si="46"/>
        <v>5502</v>
      </c>
      <c r="D189" s="159" t="s">
        <v>83</v>
      </c>
      <c r="E189" s="163">
        <v>2021</v>
      </c>
      <c r="F189" s="162" t="s">
        <v>303</v>
      </c>
      <c r="G189" s="182" t="s">
        <v>145</v>
      </c>
      <c r="H189" s="197" t="str">
        <f>IF(VLOOKUP(G189,income,R189-1985,FALSE)="UM","Upper-middle",IF(VLOOKUP(G189,income,R189-1985,FALSE)="LM","Lower-middle",IF(VLOOKUP(G189,income,R189-1985,FALSE)="L","Low")))</f>
        <v>Upper-middle</v>
      </c>
      <c r="I189" s="163">
        <v>1</v>
      </c>
      <c r="J189" s="162" t="s">
        <v>167</v>
      </c>
      <c r="K189" s="162" t="s">
        <v>147</v>
      </c>
      <c r="L189" s="207" t="str">
        <f t="shared" si="49"/>
        <v>PCV13 vs NoVax</v>
      </c>
      <c r="M189" s="162" t="s">
        <v>1551</v>
      </c>
      <c r="N189" s="163" t="s">
        <v>148</v>
      </c>
      <c r="O189" s="162" t="s">
        <v>149</v>
      </c>
      <c r="P189" s="162" t="s">
        <v>150</v>
      </c>
      <c r="Q189" s="162" t="s">
        <v>151</v>
      </c>
      <c r="R189" s="163">
        <v>2019</v>
      </c>
      <c r="S189" s="191">
        <v>81</v>
      </c>
      <c r="T189" s="198">
        <f>IF(ISNUMBER(S189),S189/VLOOKUP($Q189,xRates!$A$1:$BL$267,studies!$R189-xRates!$B$1+2,FALSE),"")</f>
        <v>81</v>
      </c>
      <c r="V189" s="198" t="str">
        <f>IF(ISNUMBER(U189),U189/VLOOKUP($Q189,xRates!$A$1:$BL$267,studies!$R189-xRates!$B$1+2,FALSE),"")</f>
        <v/>
      </c>
      <c r="W189" s="163">
        <v>0</v>
      </c>
      <c r="X189" s="163">
        <v>0</v>
      </c>
      <c r="Y189" s="163">
        <v>1</v>
      </c>
      <c r="Z189" s="163">
        <v>1</v>
      </c>
      <c r="AA189" s="163">
        <v>1</v>
      </c>
      <c r="AB189" s="163" t="s">
        <v>152</v>
      </c>
      <c r="AC189" s="193">
        <v>2292</v>
      </c>
      <c r="AD189" s="201">
        <f>IF(ISNUMBER(AC189),AC189/VLOOKUP($Q189,xRates!$A$1:$BL$267,studies!$R189-xRates!$B$1+2,FALSE),"")</f>
        <v>2292</v>
      </c>
      <c r="AE189" s="200">
        <f t="shared" si="50"/>
        <v>0</v>
      </c>
      <c r="AF189" s="201">
        <f>VLOOKUP(G189,gdppc,R189-1958,FALSE)</f>
        <v>10143.9</v>
      </c>
      <c r="AG189" s="195" t="str">
        <f t="shared" si="51"/>
        <v>Cost-effective</v>
      </c>
      <c r="AH189" s="195" t="str">
        <f t="shared" si="52"/>
        <v>Cost-effective</v>
      </c>
      <c r="AI189" s="204">
        <f t="shared" si="53"/>
        <v>0.22594859965102179</v>
      </c>
      <c r="AJ189" s="205">
        <f>IFERROR(VLOOKUP(G189,ochalek,11,FALSE),"")</f>
        <v>0.71</v>
      </c>
      <c r="AK189" s="195" t="str">
        <f t="shared" si="54"/>
        <v>Cost-effective</v>
      </c>
      <c r="AL189" s="205">
        <f>IFERROR(VLOOKUP(G189,ochalek,10,FALSE),"")</f>
        <v>0.45</v>
      </c>
      <c r="AM189" s="207" t="str">
        <f t="shared" si="55"/>
        <v>Cost-effective</v>
      </c>
      <c r="AN189" s="205">
        <f>IFERROR(VLOOKUP(G189,woods,6,FALSE),"")</f>
        <v>0.64811121873397526</v>
      </c>
      <c r="AO189" s="195" t="str">
        <f t="shared" si="56"/>
        <v>Cost-effective</v>
      </c>
      <c r="AP189" s="205">
        <f>IFERROR(VLOOKUP(G189,woods,5,FALSE),"")</f>
        <v>0.16395077203578146</v>
      </c>
      <c r="AQ189" s="195" t="str">
        <f t="shared" si="57"/>
        <v>Not cost-effective</v>
      </c>
      <c r="AR189" s="205">
        <f>IFERROR(VLOOKUP(G189,riviere,8,FALSE),"")</f>
        <v>0.90271000305602389</v>
      </c>
      <c r="AS189" s="195" t="str">
        <f t="shared" si="58"/>
        <v>Cost-effective</v>
      </c>
      <c r="AT189" s="205">
        <f>IFERROR(VLOOKUP(G189,riviere,7,FALSE),"")</f>
        <v>0.374116464081862</v>
      </c>
      <c r="AU189" s="195" t="str">
        <f t="shared" si="59"/>
        <v>Cost-effective</v>
      </c>
      <c r="AV189" s="162" t="s">
        <v>161</v>
      </c>
      <c r="AW189" s="162" t="s">
        <v>162</v>
      </c>
      <c r="AX189" s="210">
        <f t="shared" si="60"/>
        <v>0</v>
      </c>
      <c r="AY189" s="210">
        <f t="shared" si="61"/>
        <v>0</v>
      </c>
      <c r="AZ189" s="197">
        <f t="shared" si="62"/>
        <v>0</v>
      </c>
      <c r="BA189" s="197">
        <f t="shared" si="63"/>
        <v>1</v>
      </c>
      <c r="BB189" s="197">
        <f t="shared" si="64"/>
        <v>0</v>
      </c>
      <c r="BC189" s="197">
        <f t="shared" si="65"/>
        <v>0</v>
      </c>
      <c r="BD189" s="197">
        <f t="shared" si="66"/>
        <v>1</v>
      </c>
      <c r="BE189" s="163" t="s">
        <v>155</v>
      </c>
      <c r="BF189" s="162" t="s">
        <v>177</v>
      </c>
    </row>
    <row r="190" spans="1:58">
      <c r="A190" s="195">
        <f t="shared" si="67"/>
        <v>55</v>
      </c>
      <c r="B190" s="195">
        <f t="shared" si="68"/>
        <v>3</v>
      </c>
      <c r="C190" s="196" t="str">
        <f t="shared" si="46"/>
        <v>5503</v>
      </c>
      <c r="D190" s="159" t="s">
        <v>83</v>
      </c>
      <c r="E190" s="163">
        <v>2021</v>
      </c>
      <c r="F190" s="162" t="s">
        <v>303</v>
      </c>
      <c r="G190" s="182" t="s">
        <v>145</v>
      </c>
      <c r="H190" s="197" t="str">
        <f>IF(VLOOKUP(G190,income,R190-1985,FALSE)="UM","Upper-middle",IF(VLOOKUP(G190,income,R190-1985,FALSE)="LM","Lower-middle",IF(VLOOKUP(G190,income,R190-1985,FALSE)="L","Low")))</f>
        <v>Upper-middle</v>
      </c>
      <c r="I190" s="163">
        <v>1</v>
      </c>
      <c r="J190" s="162" t="s">
        <v>167</v>
      </c>
      <c r="K190" s="162" t="s">
        <v>147</v>
      </c>
      <c r="L190" s="207" t="str">
        <f t="shared" si="49"/>
        <v>PCV13 vs NoVax</v>
      </c>
      <c r="M190" s="162" t="s">
        <v>1553</v>
      </c>
      <c r="N190" s="163" t="s">
        <v>148</v>
      </c>
      <c r="O190" s="162" t="s">
        <v>149</v>
      </c>
      <c r="P190" s="162" t="s">
        <v>150</v>
      </c>
      <c r="Q190" s="162" t="s">
        <v>151</v>
      </c>
      <c r="R190" s="163">
        <v>2019</v>
      </c>
      <c r="S190" s="191">
        <v>81</v>
      </c>
      <c r="T190" s="198">
        <f>IF(ISNUMBER(S190),S190/VLOOKUP($Q190,xRates!$A$1:$BL$267,studies!$R190-xRates!$B$1+2,FALSE),"")</f>
        <v>81</v>
      </c>
      <c r="V190" s="198" t="str">
        <f>IF(ISNUMBER(U190),U190/VLOOKUP($Q190,xRates!$A$1:$BL$267,studies!$R190-xRates!$B$1+2,FALSE),"")</f>
        <v/>
      </c>
      <c r="W190" s="163">
        <v>0</v>
      </c>
      <c r="X190" s="163">
        <v>0</v>
      </c>
      <c r="Y190" s="163">
        <v>1</v>
      </c>
      <c r="Z190" s="163">
        <v>1</v>
      </c>
      <c r="AA190" s="163">
        <v>1</v>
      </c>
      <c r="AB190" s="163" t="s">
        <v>152</v>
      </c>
      <c r="AC190" s="193">
        <v>3445</v>
      </c>
      <c r="AD190" s="201">
        <f>IF(ISNUMBER(AC190),AC190/VLOOKUP($Q190,xRates!$A$1:$BL$267,studies!$R190-xRates!$B$1+2,FALSE),"")</f>
        <v>3445</v>
      </c>
      <c r="AE190" s="200">
        <f t="shared" si="50"/>
        <v>0</v>
      </c>
      <c r="AF190" s="201">
        <f>VLOOKUP(G190,gdppc,R190-1958,FALSE)</f>
        <v>10143.9</v>
      </c>
      <c r="AG190" s="195" t="str">
        <f t="shared" si="51"/>
        <v>Cost-effective</v>
      </c>
      <c r="AH190" s="195" t="str">
        <f t="shared" si="52"/>
        <v>Cost-effective</v>
      </c>
      <c r="AI190" s="204">
        <f t="shared" si="53"/>
        <v>0.33961296937075486</v>
      </c>
      <c r="AJ190" s="205">
        <f>IFERROR(VLOOKUP(G190,ochalek,11,FALSE),"")</f>
        <v>0.71</v>
      </c>
      <c r="AK190" s="195" t="str">
        <f t="shared" si="54"/>
        <v>Cost-effective</v>
      </c>
      <c r="AL190" s="205">
        <f>IFERROR(VLOOKUP(G190,ochalek,10,FALSE),"")</f>
        <v>0.45</v>
      </c>
      <c r="AM190" s="207" t="str">
        <f t="shared" si="55"/>
        <v>Cost-effective</v>
      </c>
      <c r="AN190" s="205">
        <f>IFERROR(VLOOKUP(G190,woods,6,FALSE),"")</f>
        <v>0.64811121873397526</v>
      </c>
      <c r="AO190" s="195" t="str">
        <f t="shared" si="56"/>
        <v>Cost-effective</v>
      </c>
      <c r="AP190" s="205">
        <f>IFERROR(VLOOKUP(G190,woods,5,FALSE),"")</f>
        <v>0.16395077203578146</v>
      </c>
      <c r="AQ190" s="195" t="str">
        <f t="shared" si="57"/>
        <v>Not cost-effective</v>
      </c>
      <c r="AR190" s="205">
        <f>IFERROR(VLOOKUP(G190,riviere,8,FALSE),"")</f>
        <v>0.90271000305602389</v>
      </c>
      <c r="AS190" s="195" t="str">
        <f t="shared" si="58"/>
        <v>Cost-effective</v>
      </c>
      <c r="AT190" s="205">
        <f>IFERROR(VLOOKUP(G190,riviere,7,FALSE),"")</f>
        <v>0.374116464081862</v>
      </c>
      <c r="AU190" s="195" t="str">
        <f t="shared" si="59"/>
        <v>Cost-effective</v>
      </c>
      <c r="AV190" s="162" t="s">
        <v>161</v>
      </c>
      <c r="AW190" s="162" t="s">
        <v>162</v>
      </c>
      <c r="AX190" s="210">
        <f t="shared" si="60"/>
        <v>0</v>
      </c>
      <c r="AY190" s="210">
        <f t="shared" si="61"/>
        <v>0</v>
      </c>
      <c r="AZ190" s="197">
        <f t="shared" si="62"/>
        <v>0</v>
      </c>
      <c r="BA190" s="197">
        <f t="shared" si="63"/>
        <v>1</v>
      </c>
      <c r="BB190" s="197">
        <f t="shared" si="64"/>
        <v>0</v>
      </c>
      <c r="BC190" s="197">
        <f t="shared" si="65"/>
        <v>0</v>
      </c>
      <c r="BD190" s="197">
        <f t="shared" si="66"/>
        <v>1</v>
      </c>
      <c r="BE190" s="163" t="s">
        <v>155</v>
      </c>
      <c r="BF190" s="162" t="s">
        <v>177</v>
      </c>
    </row>
    <row r="191" spans="1:58">
      <c r="A191" s="195">
        <f t="shared" si="67"/>
        <v>55</v>
      </c>
      <c r="B191" s="195">
        <f t="shared" si="68"/>
        <v>4</v>
      </c>
      <c r="C191" s="196" t="str">
        <f t="shared" si="46"/>
        <v>5504</v>
      </c>
      <c r="D191" s="159" t="s">
        <v>83</v>
      </c>
      <c r="E191" s="163">
        <v>2021</v>
      </c>
      <c r="F191" s="162" t="s">
        <v>303</v>
      </c>
      <c r="G191" s="182" t="s">
        <v>145</v>
      </c>
      <c r="H191" s="197" t="str">
        <f>IF(VLOOKUP(G191,income,R191-1985,FALSE)="UM","Upper-middle",IF(VLOOKUP(G191,income,R191-1985,FALSE)="LM","Lower-middle",IF(VLOOKUP(G191,income,R191-1985,FALSE)="L","Low")))</f>
        <v>Upper-middle</v>
      </c>
      <c r="I191" s="163">
        <v>1</v>
      </c>
      <c r="J191" s="162" t="s">
        <v>167</v>
      </c>
      <c r="K191" s="162" t="s">
        <v>147</v>
      </c>
      <c r="L191" s="207" t="str">
        <f t="shared" si="49"/>
        <v>PCV13 vs NoVax</v>
      </c>
      <c r="M191" s="162" t="s">
        <v>1553</v>
      </c>
      <c r="N191" s="163" t="s">
        <v>148</v>
      </c>
      <c r="O191" s="162" t="s">
        <v>149</v>
      </c>
      <c r="P191" s="162" t="s">
        <v>150</v>
      </c>
      <c r="Q191" s="162" t="s">
        <v>151</v>
      </c>
      <c r="R191" s="163">
        <v>2019</v>
      </c>
      <c r="S191" s="191">
        <v>81</v>
      </c>
      <c r="T191" s="198">
        <f>IF(ISNUMBER(S191),S191/VLOOKUP($Q191,xRates!$A$1:$BL$267,studies!$R191-xRates!$B$1+2,FALSE),"")</f>
        <v>81</v>
      </c>
      <c r="V191" s="198" t="str">
        <f>IF(ISNUMBER(U191),U191/VLOOKUP($Q191,xRates!$A$1:$BL$267,studies!$R191-xRates!$B$1+2,FALSE),"")</f>
        <v/>
      </c>
      <c r="W191" s="163">
        <v>0</v>
      </c>
      <c r="X191" s="163">
        <v>0</v>
      </c>
      <c r="Y191" s="163">
        <v>1</v>
      </c>
      <c r="Z191" s="163">
        <v>1</v>
      </c>
      <c r="AA191" s="163">
        <v>1</v>
      </c>
      <c r="AB191" s="163" t="s">
        <v>152</v>
      </c>
      <c r="AC191" s="193">
        <v>4417</v>
      </c>
      <c r="AD191" s="201">
        <f>IF(ISNUMBER(AC191),AC191/VLOOKUP($Q191,xRates!$A$1:$BL$267,studies!$R191-xRates!$B$1+2,FALSE),"")</f>
        <v>4417</v>
      </c>
      <c r="AE191" s="200">
        <f t="shared" si="50"/>
        <v>0</v>
      </c>
      <c r="AF191" s="201">
        <f>VLOOKUP(G191,gdppc,R191-1958,FALSE)</f>
        <v>10143.9</v>
      </c>
      <c r="AG191" s="195" t="str">
        <f t="shared" si="51"/>
        <v>Cost-effective</v>
      </c>
      <c r="AH191" s="195" t="str">
        <f t="shared" si="52"/>
        <v>Cost-effective</v>
      </c>
      <c r="AI191" s="204">
        <f t="shared" si="53"/>
        <v>0.43543410325417248</v>
      </c>
      <c r="AJ191" s="205">
        <f>IFERROR(VLOOKUP(G191,ochalek,11,FALSE),"")</f>
        <v>0.71</v>
      </c>
      <c r="AK191" s="195" t="str">
        <f t="shared" si="54"/>
        <v>Cost-effective</v>
      </c>
      <c r="AL191" s="205">
        <f>IFERROR(VLOOKUP(G191,ochalek,10,FALSE),"")</f>
        <v>0.45</v>
      </c>
      <c r="AM191" s="207" t="str">
        <f t="shared" si="55"/>
        <v>Cost-effective</v>
      </c>
      <c r="AN191" s="205">
        <f>IFERROR(VLOOKUP(G191,woods,6,FALSE),"")</f>
        <v>0.64811121873397526</v>
      </c>
      <c r="AO191" s="195" t="str">
        <f t="shared" si="56"/>
        <v>Cost-effective</v>
      </c>
      <c r="AP191" s="205">
        <f>IFERROR(VLOOKUP(G191,woods,5,FALSE),"")</f>
        <v>0.16395077203578146</v>
      </c>
      <c r="AQ191" s="195" t="str">
        <f t="shared" si="57"/>
        <v>Not cost-effective</v>
      </c>
      <c r="AR191" s="205">
        <f>IFERROR(VLOOKUP(G191,riviere,8,FALSE),"")</f>
        <v>0.90271000305602389</v>
      </c>
      <c r="AS191" s="195" t="str">
        <f t="shared" si="58"/>
        <v>Cost-effective</v>
      </c>
      <c r="AT191" s="205">
        <f>IFERROR(VLOOKUP(G191,riviere,7,FALSE),"")</f>
        <v>0.374116464081862</v>
      </c>
      <c r="AU191" s="195" t="str">
        <f t="shared" si="59"/>
        <v>Not cost-effective</v>
      </c>
      <c r="AV191" s="162" t="s">
        <v>161</v>
      </c>
      <c r="AW191" s="162" t="s">
        <v>162</v>
      </c>
      <c r="AX191" s="210">
        <f t="shared" si="60"/>
        <v>0</v>
      </c>
      <c r="AY191" s="210">
        <f t="shared" si="61"/>
        <v>0</v>
      </c>
      <c r="AZ191" s="197">
        <f t="shared" si="62"/>
        <v>0</v>
      </c>
      <c r="BA191" s="197">
        <f t="shared" si="63"/>
        <v>1</v>
      </c>
      <c r="BB191" s="197">
        <f t="shared" si="64"/>
        <v>0</v>
      </c>
      <c r="BC191" s="197">
        <f t="shared" si="65"/>
        <v>1</v>
      </c>
      <c r="BD191" s="197">
        <f t="shared" si="66"/>
        <v>2</v>
      </c>
      <c r="BE191" s="163" t="s">
        <v>155</v>
      </c>
      <c r="BF191" s="162" t="s">
        <v>177</v>
      </c>
    </row>
    <row r="192" spans="1:58">
      <c r="A192" s="195">
        <f t="shared" si="67"/>
        <v>56</v>
      </c>
      <c r="B192" s="195">
        <f t="shared" si="68"/>
        <v>1</v>
      </c>
      <c r="C192" s="196" t="str">
        <f t="shared" si="46"/>
        <v>5601</v>
      </c>
      <c r="D192" s="159" t="s">
        <v>304</v>
      </c>
      <c r="E192" s="163">
        <v>2020</v>
      </c>
      <c r="F192" s="162" t="s">
        <v>305</v>
      </c>
      <c r="G192" s="162" t="s">
        <v>180</v>
      </c>
      <c r="H192" s="197" t="str">
        <f>IF(VLOOKUP(G192,income,R192-1985,FALSE)="UM","Upper-middle",IF(VLOOKUP(G192,income,R192-1985,FALSE)="LM","Lower-middle",IF(VLOOKUP(G192,income,R192-1985,FALSE)="L","Low")))</f>
        <v>Upper-middle</v>
      </c>
      <c r="I192" s="163">
        <v>1</v>
      </c>
      <c r="J192" s="162" t="s">
        <v>167</v>
      </c>
      <c r="K192" s="162" t="s">
        <v>166</v>
      </c>
      <c r="L192" s="207" t="str">
        <f t="shared" si="49"/>
        <v>PCV13 vs PCV10</v>
      </c>
      <c r="M192" s="162" t="s">
        <v>1551</v>
      </c>
      <c r="N192" s="163" t="s">
        <v>148</v>
      </c>
      <c r="O192" s="162" t="s">
        <v>149</v>
      </c>
      <c r="P192" s="162" t="s">
        <v>150</v>
      </c>
      <c r="Q192" s="162" t="s">
        <v>151</v>
      </c>
      <c r="R192" s="163">
        <v>2018</v>
      </c>
      <c r="T192" s="212" t="str">
        <f>IF(ISNUMBER(S192),S192/VLOOKUP($Q192,xRates!$A$1:$BL$267,studies!$R192-xRates!$B$1+2,FALSE),"")</f>
        <v/>
      </c>
      <c r="V192" s="198" t="str">
        <f>IF(ISNUMBER(U192),U192/VLOOKUP($Q192,xRates!$A$1:$BL$267,studies!$R192-xRates!$B$1+2,FALSE),"")</f>
        <v/>
      </c>
      <c r="W192" s="163">
        <v>1</v>
      </c>
      <c r="X192" s="163">
        <v>0</v>
      </c>
      <c r="Y192" s="163">
        <v>1</v>
      </c>
      <c r="Z192" s="163">
        <v>1</v>
      </c>
      <c r="AA192" s="163">
        <v>1</v>
      </c>
      <c r="AB192" s="163" t="s">
        <v>152</v>
      </c>
      <c r="AC192" s="193">
        <f>-89904777/2280</f>
        <v>-39431.919736842108</v>
      </c>
      <c r="AD192" s="201">
        <f>IF(ISNUMBER(AC192),AC192/VLOOKUP($Q192,xRates!$A$1:$BL$267,studies!$R192-xRates!$B$1+2,FALSE),"")</f>
        <v>-39431.919736842108</v>
      </c>
      <c r="AE192" s="200">
        <f t="shared" si="50"/>
        <v>1</v>
      </c>
      <c r="AF192" s="201">
        <f>VLOOKUP(G192,gdppc,R192-1958,FALSE)</f>
        <v>11074</v>
      </c>
      <c r="AG192" s="195" t="str">
        <f t="shared" si="51"/>
        <v>Cost-saving</v>
      </c>
      <c r="AH192" s="195" t="str">
        <f t="shared" si="52"/>
        <v>Cost-saving</v>
      </c>
      <c r="AI192" s="204">
        <f t="shared" si="53"/>
        <v>-3.5607657338669054</v>
      </c>
      <c r="AJ192" s="205">
        <f>IFERROR(VLOOKUP(G192,ochalek,11,FALSE),"")</f>
        <v>0.75</v>
      </c>
      <c r="AK192" s="195" t="str">
        <f t="shared" si="54"/>
        <v>Cost-saving</v>
      </c>
      <c r="AL192" s="205">
        <f>IFERROR(VLOOKUP(G192,ochalek,10,FALSE),"")</f>
        <v>0.45</v>
      </c>
      <c r="AM192" s="207" t="str">
        <f t="shared" si="55"/>
        <v>Cost-saving</v>
      </c>
      <c r="AN192" s="205">
        <f>IFERROR(VLOOKUP(G192,woods,6,FALSE),"")</f>
        <v>0.5771973489191532</v>
      </c>
      <c r="AO192" s="195" t="str">
        <f t="shared" si="56"/>
        <v>Cost-saving</v>
      </c>
      <c r="AP192" s="205">
        <f>IFERROR(VLOOKUP(G192,woods,5,FALSE),"")</f>
        <v>0.32448707551478878</v>
      </c>
      <c r="AQ192" s="195" t="str">
        <f t="shared" si="57"/>
        <v>Cost-saving</v>
      </c>
      <c r="AR192" s="205">
        <f>IFERROR(VLOOKUP(G192,riviere,8,FALSE),"")</f>
        <v>0.68675272410416721</v>
      </c>
      <c r="AS192" s="195" t="str">
        <f t="shared" si="58"/>
        <v>Cost-saving</v>
      </c>
      <c r="AT192" s="205">
        <f>IFERROR(VLOOKUP(G192,riviere,7,FALSE),"")</f>
        <v>0.28467225411198244</v>
      </c>
      <c r="AU192" s="195" t="str">
        <f t="shared" si="59"/>
        <v>Cost-saving</v>
      </c>
      <c r="AV192" s="162" t="s">
        <v>161</v>
      </c>
      <c r="AW192" s="162" t="s">
        <v>162</v>
      </c>
      <c r="AX192" s="210">
        <f t="shared" si="60"/>
        <v>0</v>
      </c>
      <c r="AY192" s="210">
        <f t="shared" si="61"/>
        <v>0</v>
      </c>
      <c r="AZ192" s="197">
        <f t="shared" si="62"/>
        <v>0</v>
      </c>
      <c r="BA192" s="197">
        <f t="shared" si="63"/>
        <v>0</v>
      </c>
      <c r="BB192" s="197">
        <f t="shared" si="64"/>
        <v>0</v>
      </c>
      <c r="BC192" s="197">
        <f t="shared" si="65"/>
        <v>0</v>
      </c>
      <c r="BD192" s="197">
        <f t="shared" si="66"/>
        <v>0</v>
      </c>
      <c r="BE192" s="163" t="s">
        <v>155</v>
      </c>
      <c r="BF192" s="162" t="s">
        <v>163</v>
      </c>
    </row>
    <row r="193" spans="1:58">
      <c r="A193" s="195">
        <f t="shared" si="67"/>
        <v>56</v>
      </c>
      <c r="B193" s="195">
        <f t="shared" si="68"/>
        <v>2</v>
      </c>
      <c r="C193" s="196" t="str">
        <f t="shared" si="46"/>
        <v>5602</v>
      </c>
      <c r="D193" s="159" t="s">
        <v>304</v>
      </c>
      <c r="E193" s="163">
        <v>2020</v>
      </c>
      <c r="F193" s="162" t="s">
        <v>305</v>
      </c>
      <c r="G193" s="162" t="s">
        <v>180</v>
      </c>
      <c r="H193" s="197" t="str">
        <f>IF(VLOOKUP(G193,income,R193-1985,FALSE)="UM","Upper-middle",IF(VLOOKUP(G193,income,R193-1985,FALSE)="LM","Lower-middle",IF(VLOOKUP(G193,income,R193-1985,FALSE)="L","Low")))</f>
        <v>Upper-middle</v>
      </c>
      <c r="I193" s="163">
        <v>1</v>
      </c>
      <c r="J193" s="162" t="s">
        <v>167</v>
      </c>
      <c r="K193" s="162" t="s">
        <v>147</v>
      </c>
      <c r="L193" s="207" t="str">
        <f t="shared" si="49"/>
        <v>PCV13 vs NoVax</v>
      </c>
      <c r="M193" s="162" t="s">
        <v>1551</v>
      </c>
      <c r="N193" s="163" t="s">
        <v>148</v>
      </c>
      <c r="O193" s="162" t="s">
        <v>149</v>
      </c>
      <c r="P193" s="162" t="s">
        <v>150</v>
      </c>
      <c r="Q193" s="162" t="s">
        <v>151</v>
      </c>
      <c r="R193" s="163">
        <v>2018</v>
      </c>
      <c r="T193" s="212" t="str">
        <f>IF(ISNUMBER(S193),S193/VLOOKUP($Q193,xRates!$A$1:$BL$267,studies!$R193-xRates!$B$1+2,FALSE),"")</f>
        <v/>
      </c>
      <c r="V193" s="198" t="str">
        <f>IF(ISNUMBER(U193),U193/VLOOKUP($Q193,xRates!$A$1:$BL$267,studies!$R193-xRates!$B$1+2,FALSE),"")</f>
        <v/>
      </c>
      <c r="W193" s="163">
        <v>1</v>
      </c>
      <c r="X193" s="163">
        <v>0</v>
      </c>
      <c r="Y193" s="163">
        <v>1</v>
      </c>
      <c r="Z193" s="163">
        <v>1</v>
      </c>
      <c r="AA193" s="163">
        <v>1</v>
      </c>
      <c r="AB193" s="163" t="s">
        <v>152</v>
      </c>
      <c r="AC193" s="193">
        <f>-448382729/6008</f>
        <v>-74630.946904127835</v>
      </c>
      <c r="AD193" s="201">
        <f>IF(ISNUMBER(AC193),AC193/VLOOKUP($Q193,xRates!$A$1:$BL$267,studies!$R193-xRates!$B$1+2,FALSE),"")</f>
        <v>-74630.946904127835</v>
      </c>
      <c r="AE193" s="200">
        <f t="shared" si="50"/>
        <v>1</v>
      </c>
      <c r="AF193" s="201">
        <f>VLOOKUP(G193,gdppc,R193-1958,FALSE)</f>
        <v>11074</v>
      </c>
      <c r="AG193" s="195" t="str">
        <f t="shared" si="51"/>
        <v>Cost-saving</v>
      </c>
      <c r="AH193" s="195" t="str">
        <f t="shared" si="52"/>
        <v>Cost-saving</v>
      </c>
      <c r="AI193" s="204">
        <f t="shared" si="53"/>
        <v>-6.7392944648842183</v>
      </c>
      <c r="AJ193" s="205">
        <f>IFERROR(VLOOKUP(G193,ochalek,11,FALSE),"")</f>
        <v>0.75</v>
      </c>
      <c r="AK193" s="195" t="str">
        <f t="shared" si="54"/>
        <v>Cost-saving</v>
      </c>
      <c r="AL193" s="205">
        <f>IFERROR(VLOOKUP(G193,ochalek,10,FALSE),"")</f>
        <v>0.45</v>
      </c>
      <c r="AM193" s="207" t="str">
        <f t="shared" si="55"/>
        <v>Cost-saving</v>
      </c>
      <c r="AN193" s="205">
        <f>IFERROR(VLOOKUP(G193,woods,6,FALSE),"")</f>
        <v>0.5771973489191532</v>
      </c>
      <c r="AO193" s="195" t="str">
        <f t="shared" si="56"/>
        <v>Cost-saving</v>
      </c>
      <c r="AP193" s="205">
        <f>IFERROR(VLOOKUP(G193,woods,5,FALSE),"")</f>
        <v>0.32448707551478878</v>
      </c>
      <c r="AQ193" s="195" t="str">
        <f t="shared" si="57"/>
        <v>Cost-saving</v>
      </c>
      <c r="AR193" s="205">
        <f>IFERROR(VLOOKUP(G193,riviere,8,FALSE),"")</f>
        <v>0.68675272410416721</v>
      </c>
      <c r="AS193" s="195" t="str">
        <f t="shared" si="58"/>
        <v>Cost-saving</v>
      </c>
      <c r="AT193" s="205">
        <f>IFERROR(VLOOKUP(G193,riviere,7,FALSE),"")</f>
        <v>0.28467225411198244</v>
      </c>
      <c r="AU193" s="195" t="str">
        <f t="shared" si="59"/>
        <v>Cost-saving</v>
      </c>
      <c r="AV193" s="162" t="s">
        <v>161</v>
      </c>
      <c r="AW193" s="162" t="s">
        <v>162</v>
      </c>
      <c r="AX193" s="210">
        <f t="shared" si="60"/>
        <v>0</v>
      </c>
      <c r="AY193" s="210">
        <f t="shared" si="61"/>
        <v>0</v>
      </c>
      <c r="AZ193" s="197">
        <f t="shared" si="62"/>
        <v>0</v>
      </c>
      <c r="BA193" s="197">
        <f t="shared" si="63"/>
        <v>0</v>
      </c>
      <c r="BB193" s="197">
        <f t="shared" si="64"/>
        <v>0</v>
      </c>
      <c r="BC193" s="197">
        <f t="shared" si="65"/>
        <v>0</v>
      </c>
      <c r="BD193" s="197">
        <f t="shared" si="66"/>
        <v>0</v>
      </c>
      <c r="BE193" s="163" t="s">
        <v>155</v>
      </c>
      <c r="BF193" s="162" t="s">
        <v>163</v>
      </c>
    </row>
    <row r="194" spans="1:58">
      <c r="A194" s="195">
        <f t="shared" si="67"/>
        <v>56</v>
      </c>
      <c r="B194" s="195">
        <f t="shared" si="68"/>
        <v>3</v>
      </c>
      <c r="C194" s="196" t="str">
        <f t="shared" ref="C194:C199" si="69">_xlfn.CONCAT(TEXT(A194,"00"),TEXT(B194,"00"))</f>
        <v>5603</v>
      </c>
      <c r="D194" s="159" t="s">
        <v>304</v>
      </c>
      <c r="E194" s="163">
        <v>2020</v>
      </c>
      <c r="F194" s="162" t="s">
        <v>305</v>
      </c>
      <c r="G194" s="162" t="s">
        <v>180</v>
      </c>
      <c r="H194" s="197" t="str">
        <f>IF(VLOOKUP(G194,income,R194-1985,FALSE)="UM","Upper-middle",IF(VLOOKUP(G194,income,R194-1985,FALSE)="LM","Lower-middle",IF(VLOOKUP(G194,income,R194-1985,FALSE)="L","Low")))</f>
        <v>Upper-middle</v>
      </c>
      <c r="I194" s="163">
        <v>1</v>
      </c>
      <c r="J194" s="162" t="s">
        <v>167</v>
      </c>
      <c r="K194" s="162" t="s">
        <v>166</v>
      </c>
      <c r="L194" s="207" t="str">
        <f t="shared" si="49"/>
        <v>PCV13 vs PCV10</v>
      </c>
      <c r="M194" s="162" t="s">
        <v>1551</v>
      </c>
      <c r="N194" s="163" t="s">
        <v>155</v>
      </c>
      <c r="O194" s="162" t="s">
        <v>159</v>
      </c>
      <c r="P194" s="162" t="s">
        <v>150</v>
      </c>
      <c r="Q194" s="162" t="s">
        <v>151</v>
      </c>
      <c r="R194" s="163">
        <v>2018</v>
      </c>
      <c r="T194" s="212" t="str">
        <f>IF(ISNUMBER(S194),S194/VLOOKUP($Q194,xRates!$A$1:$BL$267,studies!$R194-xRates!$B$1+2,FALSE),"")</f>
        <v/>
      </c>
      <c r="V194" s="198" t="str">
        <f>IF(ISNUMBER(U194),U194/VLOOKUP($Q194,xRates!$A$1:$BL$267,studies!$R194-xRates!$B$1+2,FALSE),"")</f>
        <v/>
      </c>
      <c r="W194" s="163">
        <v>1</v>
      </c>
      <c r="X194" s="163">
        <v>0</v>
      </c>
      <c r="Y194" s="163">
        <v>1</v>
      </c>
      <c r="Z194" s="163">
        <v>1</v>
      </c>
      <c r="AA194" s="163">
        <v>1</v>
      </c>
      <c r="AB194" s="163" t="s">
        <v>152</v>
      </c>
      <c r="AC194" s="193">
        <f>-60501015/2280</f>
        <v>-26535.532894736843</v>
      </c>
      <c r="AD194" s="201">
        <f>IF(ISNUMBER(AC194),AC194/VLOOKUP($Q194,xRates!$A$1:$BL$267,studies!$R194-xRates!$B$1+2,FALSE),"")</f>
        <v>-26535.532894736843</v>
      </c>
      <c r="AE194" s="200">
        <f t="shared" si="50"/>
        <v>1</v>
      </c>
      <c r="AF194" s="201">
        <f>VLOOKUP(G194,gdppc,R194-1958,FALSE)</f>
        <v>11074</v>
      </c>
      <c r="AG194" s="195" t="str">
        <f t="shared" si="51"/>
        <v>Cost-saving</v>
      </c>
      <c r="AH194" s="195" t="str">
        <f t="shared" si="52"/>
        <v>Cost-saving</v>
      </c>
      <c r="AI194" s="204">
        <f t="shared" si="53"/>
        <v>-2.3962012727773923</v>
      </c>
      <c r="AJ194" s="205">
        <f>IFERROR(VLOOKUP(G194,ochalek,11,FALSE),"")</f>
        <v>0.75</v>
      </c>
      <c r="AK194" s="195" t="str">
        <f t="shared" si="54"/>
        <v>Cost-saving</v>
      </c>
      <c r="AL194" s="205">
        <f>IFERROR(VLOOKUP(G194,ochalek,10,FALSE),"")</f>
        <v>0.45</v>
      </c>
      <c r="AM194" s="207" t="str">
        <f t="shared" si="55"/>
        <v>Cost-saving</v>
      </c>
      <c r="AN194" s="205">
        <f>IFERROR(VLOOKUP(G194,woods,6,FALSE),"")</f>
        <v>0.5771973489191532</v>
      </c>
      <c r="AO194" s="195" t="str">
        <f t="shared" si="56"/>
        <v>Cost-saving</v>
      </c>
      <c r="AP194" s="205">
        <f>IFERROR(VLOOKUP(G194,woods,5,FALSE),"")</f>
        <v>0.32448707551478878</v>
      </c>
      <c r="AQ194" s="195" t="str">
        <f t="shared" si="57"/>
        <v>Cost-saving</v>
      </c>
      <c r="AR194" s="205">
        <f>IFERROR(VLOOKUP(G194,riviere,8,FALSE),"")</f>
        <v>0.68675272410416721</v>
      </c>
      <c r="AS194" s="195" t="str">
        <f t="shared" si="58"/>
        <v>Cost-saving</v>
      </c>
      <c r="AT194" s="205">
        <f>IFERROR(VLOOKUP(G194,riviere,7,FALSE),"")</f>
        <v>0.28467225411198244</v>
      </c>
      <c r="AU194" s="195" t="str">
        <f t="shared" si="59"/>
        <v>Cost-saving</v>
      </c>
      <c r="AV194" s="162" t="s">
        <v>161</v>
      </c>
      <c r="AW194" s="162" t="s">
        <v>162</v>
      </c>
      <c r="AX194" s="210">
        <f t="shared" si="60"/>
        <v>0</v>
      </c>
      <c r="AY194" s="210">
        <f t="shared" si="61"/>
        <v>0</v>
      </c>
      <c r="AZ194" s="197">
        <f t="shared" si="62"/>
        <v>0</v>
      </c>
      <c r="BA194" s="197">
        <f t="shared" si="63"/>
        <v>0</v>
      </c>
      <c r="BB194" s="197">
        <f t="shared" si="64"/>
        <v>0</v>
      </c>
      <c r="BC194" s="197">
        <f t="shared" si="65"/>
        <v>0</v>
      </c>
      <c r="BD194" s="197">
        <f t="shared" si="66"/>
        <v>0</v>
      </c>
      <c r="BE194" s="163" t="s">
        <v>155</v>
      </c>
      <c r="BF194" s="162" t="s">
        <v>163</v>
      </c>
    </row>
    <row r="195" spans="1:58">
      <c r="A195" s="195">
        <f t="shared" si="67"/>
        <v>56</v>
      </c>
      <c r="B195" s="195">
        <f t="shared" si="68"/>
        <v>4</v>
      </c>
      <c r="C195" s="196" t="str">
        <f t="shared" si="69"/>
        <v>5604</v>
      </c>
      <c r="D195" s="159" t="s">
        <v>304</v>
      </c>
      <c r="E195" s="163">
        <v>2020</v>
      </c>
      <c r="F195" s="162" t="s">
        <v>305</v>
      </c>
      <c r="G195" s="162" t="s">
        <v>180</v>
      </c>
      <c r="H195" s="197" t="str">
        <f>IF(VLOOKUP(G195,income,R195-1985,FALSE)="UM","Upper-middle",IF(VLOOKUP(G195,income,R195-1985,FALSE)="LM","Lower-middle",IF(VLOOKUP(G195,income,R195-1985,FALSE)="L","Low")))</f>
        <v>Upper-middle</v>
      </c>
      <c r="I195" s="163">
        <v>1</v>
      </c>
      <c r="J195" s="162" t="s">
        <v>167</v>
      </c>
      <c r="K195" s="162" t="s">
        <v>166</v>
      </c>
      <c r="L195" s="207" t="str">
        <f t="shared" ref="L195:L212" si="70">IF(OR(_xlfn.CONCAT(J195," vs ",K195)="PCV7 vs NoVax",_xlfn.CONCAT(J195," vs ",K195)="PCV10 vs NoVax",_xlfn.CONCAT(J195," vs ",K195)="PCV13 vs NoVax",_xlfn.CONCAT(J195," vs ",K195)="PCV13 vs PCV10"),_xlfn.CONCAT(J195," vs ",K195),"Others")</f>
        <v>PCV13 vs PCV10</v>
      </c>
      <c r="M195" s="162" t="s">
        <v>1551</v>
      </c>
      <c r="N195" s="163" t="s">
        <v>155</v>
      </c>
      <c r="O195" s="162" t="s">
        <v>149</v>
      </c>
      <c r="P195" s="162" t="s">
        <v>150</v>
      </c>
      <c r="Q195" s="162" t="s">
        <v>151</v>
      </c>
      <c r="R195" s="163">
        <v>2018</v>
      </c>
      <c r="T195" s="212" t="str">
        <f>IF(ISNUMBER(S195),S195/VLOOKUP($Q195,xRates!$A$1:$BL$267,studies!$R195-xRates!$B$1+2,FALSE),"")</f>
        <v/>
      </c>
      <c r="V195" s="198" t="str">
        <f>IF(ISNUMBER(U195),U195/VLOOKUP($Q195,xRates!$A$1:$BL$267,studies!$R195-xRates!$B$1+2,FALSE),"")</f>
        <v/>
      </c>
      <c r="W195" s="163">
        <v>1</v>
      </c>
      <c r="X195" s="163">
        <v>0</v>
      </c>
      <c r="Y195" s="163">
        <v>1</v>
      </c>
      <c r="Z195" s="163">
        <v>1</v>
      </c>
      <c r="AA195" s="163">
        <v>1</v>
      </c>
      <c r="AB195" s="163" t="s">
        <v>152</v>
      </c>
      <c r="AC195" s="193">
        <f>-198277289/2739</f>
        <v>-72390.393939393936</v>
      </c>
      <c r="AD195" s="201">
        <f>IF(ISNUMBER(AC195),AC195/VLOOKUP($Q195,xRates!$A$1:$BL$267,studies!$R195-xRates!$B$1+2,FALSE),"")</f>
        <v>-72390.393939393936</v>
      </c>
      <c r="AE195" s="200">
        <f t="shared" ref="AE195:AE208" si="71">IF(AD195&lt;0, 1, 0)</f>
        <v>1</v>
      </c>
      <c r="AF195" s="201">
        <f>VLOOKUP(G195,gdppc,R195-1958,FALSE)</f>
        <v>11074</v>
      </c>
      <c r="AG195" s="195" t="str">
        <f t="shared" ref="AG195:AG199" si="72">IF(AD195="NA", ".", IF(AD195&lt;0,"Cost-saving",IF(AD195&lt;=AF195,"Cost-effective",IF(AD195&gt;AF195&amp;AD195&lt;&gt;"NA","Not cost-effective","Missing"))))</f>
        <v>Cost-saving</v>
      </c>
      <c r="AH195" s="195" t="str">
        <f t="shared" ref="AH195:AH199" si="73">IF(AD195="NA", ".", IF(AD195&lt;0,"Cost-saving",IF(AD195&lt;=AF195*3,"Cost-effective",IF(AD195&gt;AF195*3&amp;AD195&lt;&gt;"NA","Not cost-effective","Missing"))))</f>
        <v>Cost-saving</v>
      </c>
      <c r="AI195" s="204">
        <f t="shared" ref="AI195:AI200" si="74">IFERROR(AD195/AF195,"")</f>
        <v>-6.5369689307742398</v>
      </c>
      <c r="AJ195" s="205">
        <f>IFERROR(VLOOKUP(G195,ochalek,11,FALSE),"")</f>
        <v>0.75</v>
      </c>
      <c r="AK195" s="195" t="str">
        <f t="shared" ref="AK195:AK199" si="75">IF(AI195&lt;0,"Cost-saving", IF(AJ195="", "NA", IF(AI195&lt;AJ195, "Cost-effective", "Not cost-effective")))</f>
        <v>Cost-saving</v>
      </c>
      <c r="AL195" s="205">
        <f>IFERROR(VLOOKUP(G195,ochalek,10,FALSE),"")</f>
        <v>0.45</v>
      </c>
      <c r="AM195" s="207" t="str">
        <f t="shared" ref="AM195:AM199" si="76">IF(AI195&lt;0,"Cost-saving", IF(AL195="", "NA", IF(AI195&lt;AL195, "Cost-effective", "Not cost-effective")))</f>
        <v>Cost-saving</v>
      </c>
      <c r="AN195" s="205">
        <f>IFERROR(VLOOKUP(G195,woods,6,FALSE),"")</f>
        <v>0.5771973489191532</v>
      </c>
      <c r="AO195" s="195" t="str">
        <f t="shared" ref="AO195:AO199" si="77">IF(AI195&lt;0,"Cost-saving", IF(AN195="", "NA", IF(AI195&lt;AN195, "Cost-effective", "Not cost-effective")))</f>
        <v>Cost-saving</v>
      </c>
      <c r="AP195" s="205">
        <f>IFERROR(VLOOKUP(G195,woods,5,FALSE),"")</f>
        <v>0.32448707551478878</v>
      </c>
      <c r="AQ195" s="195" t="str">
        <f t="shared" ref="AQ195:AQ199" si="78">IF(AI195&lt;0,"Cost-saving", IF(AP195="", "NA", IF(AI195&lt;AP195, "Cost-effective", "Not cost-effective")))</f>
        <v>Cost-saving</v>
      </c>
      <c r="AR195" s="205">
        <f>IFERROR(VLOOKUP(G195,riviere,8,FALSE),"")</f>
        <v>0.68675272410416721</v>
      </c>
      <c r="AS195" s="195" t="str">
        <f t="shared" ref="AS195:AS199" si="79">IF(AI195&lt;0,"Cost-saving", IF(AR195="", "NA", IF(AI195&lt;AR195, "Cost-effective", "Not cost-effective")))</f>
        <v>Cost-saving</v>
      </c>
      <c r="AT195" s="205">
        <f>IFERROR(VLOOKUP(G195,riviere,7,FALSE),"")</f>
        <v>0.28467225411198244</v>
      </c>
      <c r="AU195" s="195" t="str">
        <f t="shared" ref="AU195:AU199" si="80">IF(AI195&lt;0,"Cost-saving", IF(AT195="", "NA", IF(AI195&lt;AT195, "Cost-effective", "Not cost-effective")))</f>
        <v>Cost-saving</v>
      </c>
      <c r="AV195" s="162" t="s">
        <v>161</v>
      </c>
      <c r="AW195" s="162" t="s">
        <v>162</v>
      </c>
      <c r="AX195" s="210">
        <f t="shared" ref="AX195:AX205" si="81">IF(AW195="Cost-Effective",IF(AK195="Not Cost-Effective",1,0),"")</f>
        <v>0</v>
      </c>
      <c r="AY195" s="210">
        <f t="shared" ref="AY195:AY199" si="82">IF(AW195="Cost-Effective",IF(AM195="Not Cost-Effective",1,0),"")</f>
        <v>0</v>
      </c>
      <c r="AZ195" s="197">
        <f t="shared" ref="AZ195:AZ199" si="83">IF(AW195="Cost-Effective",IF(AO195="Not Cost-Effective",1,0),"")</f>
        <v>0</v>
      </c>
      <c r="BA195" s="197">
        <f t="shared" ref="BA195:BA199" si="84">IF(AW195="Cost-Effective",IF(AQ195="Not Cost-Effective",1,0),"")</f>
        <v>0</v>
      </c>
      <c r="BB195" s="197">
        <f t="shared" ref="BB195:BB199" si="85">IF(AW195="Cost-Effective",IF(AS195="Not Cost-Effective",1,0),"")</f>
        <v>0</v>
      </c>
      <c r="BC195" s="197">
        <f t="shared" ref="BC195:BC199" si="86">IF(AW195="Cost-Effective",IF(AU195="Not Cost-Effective",1,0),"")</f>
        <v>0</v>
      </c>
      <c r="BD195" s="197">
        <f t="shared" ref="BD195:BD199" si="87">SUM(AX195:BC195)</f>
        <v>0</v>
      </c>
      <c r="BE195" s="163" t="s">
        <v>155</v>
      </c>
      <c r="BF195" s="162" t="s">
        <v>163</v>
      </c>
    </row>
    <row r="196" spans="1:58">
      <c r="A196" s="195">
        <f t="shared" si="67"/>
        <v>56</v>
      </c>
      <c r="B196" s="195">
        <f t="shared" si="68"/>
        <v>5</v>
      </c>
      <c r="C196" s="196" t="str">
        <f t="shared" si="69"/>
        <v>5605</v>
      </c>
      <c r="D196" s="159" t="s">
        <v>304</v>
      </c>
      <c r="E196" s="163">
        <v>2020</v>
      </c>
      <c r="F196" s="162" t="s">
        <v>305</v>
      </c>
      <c r="G196" s="162" t="s">
        <v>180</v>
      </c>
      <c r="H196" s="197" t="str">
        <f>IF(VLOOKUP(G196,income,R196-1985,FALSE)="UM","Upper-middle",IF(VLOOKUP(G196,income,R196-1985,FALSE)="LM","Lower-middle",IF(VLOOKUP(G196,income,R196-1985,FALSE)="L","Low")))</f>
        <v>Upper-middle</v>
      </c>
      <c r="I196" s="163">
        <v>1</v>
      </c>
      <c r="J196" s="162" t="s">
        <v>167</v>
      </c>
      <c r="K196" s="162" t="s">
        <v>166</v>
      </c>
      <c r="L196" s="207" t="str">
        <f t="shared" si="70"/>
        <v>PCV13 vs PCV10</v>
      </c>
      <c r="M196" s="162" t="s">
        <v>1551</v>
      </c>
      <c r="N196" s="163" t="s">
        <v>155</v>
      </c>
      <c r="O196" s="162" t="s">
        <v>149</v>
      </c>
      <c r="P196" s="162" t="s">
        <v>150</v>
      </c>
      <c r="Q196" s="162" t="s">
        <v>151</v>
      </c>
      <c r="R196" s="163">
        <v>2018</v>
      </c>
      <c r="T196" s="212" t="str">
        <f>IF(ISNUMBER(S196),S196/VLOOKUP($Q196,xRates!$A$1:$BL$267,studies!$R196-xRates!$B$1+2,FALSE),"")</f>
        <v/>
      </c>
      <c r="V196" s="198" t="str">
        <f>IF(ISNUMBER(U196),U196/VLOOKUP($Q196,xRates!$A$1:$BL$267,studies!$R196-xRates!$B$1+2,FALSE),"")</f>
        <v/>
      </c>
      <c r="W196" s="163">
        <v>1</v>
      </c>
      <c r="X196" s="163">
        <v>0</v>
      </c>
      <c r="Y196" s="163">
        <v>1</v>
      </c>
      <c r="Z196" s="163">
        <v>1</v>
      </c>
      <c r="AA196" s="163">
        <v>1</v>
      </c>
      <c r="AB196" s="163" t="s">
        <v>152</v>
      </c>
      <c r="AC196" s="193">
        <f>-173261339/2560</f>
        <v>-67680.210546874994</v>
      </c>
      <c r="AD196" s="201">
        <f>IF(ISNUMBER(AC196),AC196/VLOOKUP($Q196,xRates!$A$1:$BL$267,studies!$R196-xRates!$B$1+2,FALSE),"")</f>
        <v>-67680.210546874994</v>
      </c>
      <c r="AE196" s="200">
        <f t="shared" si="71"/>
        <v>1</v>
      </c>
      <c r="AF196" s="201">
        <f>VLOOKUP(G196,gdppc,R196-1958,FALSE)</f>
        <v>11074</v>
      </c>
      <c r="AG196" s="195" t="str">
        <f t="shared" si="72"/>
        <v>Cost-saving</v>
      </c>
      <c r="AH196" s="195" t="str">
        <f t="shared" si="73"/>
        <v>Cost-saving</v>
      </c>
      <c r="AI196" s="204">
        <f t="shared" si="74"/>
        <v>-6.1116317994288414</v>
      </c>
      <c r="AJ196" s="205">
        <f>IFERROR(VLOOKUP(G196,ochalek,11,FALSE),"")</f>
        <v>0.75</v>
      </c>
      <c r="AK196" s="195" t="str">
        <f t="shared" si="75"/>
        <v>Cost-saving</v>
      </c>
      <c r="AL196" s="205">
        <f>IFERROR(VLOOKUP(G196,ochalek,10,FALSE),"")</f>
        <v>0.45</v>
      </c>
      <c r="AM196" s="207" t="str">
        <f t="shared" si="76"/>
        <v>Cost-saving</v>
      </c>
      <c r="AN196" s="205">
        <f>IFERROR(VLOOKUP(G196,woods,6,FALSE),"")</f>
        <v>0.5771973489191532</v>
      </c>
      <c r="AO196" s="195" t="str">
        <f t="shared" si="77"/>
        <v>Cost-saving</v>
      </c>
      <c r="AP196" s="205">
        <f>IFERROR(VLOOKUP(G196,woods,5,FALSE),"")</f>
        <v>0.32448707551478878</v>
      </c>
      <c r="AQ196" s="195" t="str">
        <f t="shared" si="78"/>
        <v>Cost-saving</v>
      </c>
      <c r="AR196" s="205">
        <f>IFERROR(VLOOKUP(G196,riviere,8,FALSE),"")</f>
        <v>0.68675272410416721</v>
      </c>
      <c r="AS196" s="195" t="str">
        <f t="shared" si="79"/>
        <v>Cost-saving</v>
      </c>
      <c r="AT196" s="205">
        <f>IFERROR(VLOOKUP(G196,riviere,7,FALSE),"")</f>
        <v>0.28467225411198244</v>
      </c>
      <c r="AU196" s="195" t="str">
        <f t="shared" si="80"/>
        <v>Cost-saving</v>
      </c>
      <c r="AV196" s="162" t="s">
        <v>161</v>
      </c>
      <c r="AW196" s="162" t="s">
        <v>162</v>
      </c>
      <c r="AX196" s="210">
        <f t="shared" si="81"/>
        <v>0</v>
      </c>
      <c r="AY196" s="210">
        <f t="shared" si="82"/>
        <v>0</v>
      </c>
      <c r="AZ196" s="197">
        <f t="shared" si="83"/>
        <v>0</v>
      </c>
      <c r="BA196" s="197">
        <f t="shared" si="84"/>
        <v>0</v>
      </c>
      <c r="BB196" s="197">
        <f t="shared" si="85"/>
        <v>0</v>
      </c>
      <c r="BC196" s="197">
        <f t="shared" si="86"/>
        <v>0</v>
      </c>
      <c r="BD196" s="197">
        <f t="shared" si="87"/>
        <v>0</v>
      </c>
      <c r="BE196" s="163" t="s">
        <v>155</v>
      </c>
      <c r="BF196" s="162" t="s">
        <v>163</v>
      </c>
    </row>
    <row r="197" spans="1:58">
      <c r="A197" s="195">
        <f t="shared" si="67"/>
        <v>57</v>
      </c>
      <c r="B197" s="195">
        <f t="shared" si="68"/>
        <v>1</v>
      </c>
      <c r="C197" s="196" t="str">
        <f t="shared" si="69"/>
        <v>5701</v>
      </c>
      <c r="D197" s="159" t="s">
        <v>306</v>
      </c>
      <c r="E197" s="163">
        <v>2019</v>
      </c>
      <c r="F197" s="162" t="s">
        <v>307</v>
      </c>
      <c r="G197" s="162" t="s">
        <v>281</v>
      </c>
      <c r="H197" s="197" t="str">
        <f>IF(VLOOKUP(G197,income,R197-1985,FALSE)="UM","Upper-middle",IF(VLOOKUP(G197,income,R197-1985,FALSE)="LM","Lower-middle",IF(VLOOKUP(G197,income,R197-1985,FALSE)="L","Low")))</f>
        <v>Upper-middle</v>
      </c>
      <c r="I197" s="163">
        <v>0</v>
      </c>
      <c r="J197" s="162" t="s">
        <v>167</v>
      </c>
      <c r="K197" s="162" t="s">
        <v>166</v>
      </c>
      <c r="L197" s="207" t="str">
        <f t="shared" si="70"/>
        <v>PCV13 vs PCV10</v>
      </c>
      <c r="M197" s="162" t="s">
        <v>1551</v>
      </c>
      <c r="N197" s="163" t="s">
        <v>148</v>
      </c>
      <c r="O197" s="162" t="s">
        <v>159</v>
      </c>
      <c r="P197" s="162" t="s">
        <v>150</v>
      </c>
      <c r="Q197" s="162" t="s">
        <v>151</v>
      </c>
      <c r="R197" s="163">
        <v>2018</v>
      </c>
      <c r="S197" s="191">
        <v>12.85</v>
      </c>
      <c r="T197" s="198">
        <f>IF(ISNUMBER(S197),S197/VLOOKUP($Q197,xRates!$A$1:$BL$267,studies!$R197-xRates!$B$1+2,FALSE),"")</f>
        <v>12.85</v>
      </c>
      <c r="U197" s="163">
        <v>14.5</v>
      </c>
      <c r="V197" s="198">
        <f>IF(ISNUMBER(U197),U197/VLOOKUP($Q197,xRates!$A$1:$BL$267,studies!$R197-xRates!$B$1+2,FALSE),"")</f>
        <v>14.5</v>
      </c>
      <c r="W197" s="163">
        <v>1</v>
      </c>
      <c r="X197" s="163">
        <v>1</v>
      </c>
      <c r="Y197" s="163">
        <v>1</v>
      </c>
      <c r="Z197" s="163">
        <v>1</v>
      </c>
      <c r="AA197" s="163">
        <v>1</v>
      </c>
      <c r="AB197" s="163" t="s">
        <v>152</v>
      </c>
      <c r="AC197" s="193">
        <f>-6710744176/1307</f>
        <v>-5134463.791889824</v>
      </c>
      <c r="AD197" s="201">
        <f>IF(ISNUMBER(AC197),AC197/VLOOKUP($Q197,xRates!$A$1:$BL$267,studies!$R197-xRates!$B$1+2,FALSE),"")</f>
        <v>-5134463.791889824</v>
      </c>
      <c r="AE197" s="200">
        <f t="shared" si="71"/>
        <v>1</v>
      </c>
      <c r="AF197" s="201">
        <f>VLOOKUP(G197,gdppc,R197-1958,FALSE)</f>
        <v>10130.299999999999</v>
      </c>
      <c r="AG197" s="195" t="str">
        <f t="shared" si="72"/>
        <v>Cost-saving</v>
      </c>
      <c r="AH197" s="195" t="str">
        <f t="shared" si="73"/>
        <v>Cost-saving</v>
      </c>
      <c r="AI197" s="204">
        <f t="shared" si="74"/>
        <v>-506.84222499726803</v>
      </c>
      <c r="AJ197" s="205">
        <f>IFERROR(VLOOKUP(G197,ochalek,11,FALSE),"")</f>
        <v>0.97</v>
      </c>
      <c r="AK197" s="195" t="str">
        <f t="shared" si="75"/>
        <v>Cost-saving</v>
      </c>
      <c r="AL197" s="205">
        <f>IFERROR(VLOOKUP(G197,ochalek,10,FALSE),"")</f>
        <v>0.64</v>
      </c>
      <c r="AM197" s="207" t="str">
        <f t="shared" si="76"/>
        <v>Cost-saving</v>
      </c>
      <c r="AN197" s="205">
        <f>IFERROR(VLOOKUP(G197,woods,6,FALSE),"")</f>
        <v>0.59633311243649212</v>
      </c>
      <c r="AO197" s="195" t="str">
        <f t="shared" si="77"/>
        <v>Cost-saving</v>
      </c>
      <c r="AP197" s="205">
        <f>IFERROR(VLOOKUP(G197,woods,5,FALSE),"")</f>
        <v>0.21294455489286504</v>
      </c>
      <c r="AQ197" s="195" t="str">
        <f t="shared" si="78"/>
        <v>Cost-saving</v>
      </c>
      <c r="AR197" s="205">
        <f>IFERROR(VLOOKUP(G197,riviere,8,FALSE),"")</f>
        <v>0.87938205585264406</v>
      </c>
      <c r="AS197" s="195" t="str">
        <f t="shared" si="79"/>
        <v>Cost-saving</v>
      </c>
      <c r="AT197" s="205">
        <f>IFERROR(VLOOKUP(G197,riviere,7,FALSE),"")</f>
        <v>0.36446054472619938</v>
      </c>
      <c r="AU197" s="195" t="str">
        <f t="shared" si="80"/>
        <v>Cost-saving</v>
      </c>
      <c r="AV197" s="162" t="s">
        <v>260</v>
      </c>
      <c r="AW197" s="162" t="s">
        <v>186</v>
      </c>
      <c r="AX197" s="210" t="str">
        <f t="shared" si="81"/>
        <v/>
      </c>
      <c r="AY197" s="210" t="str">
        <f t="shared" si="82"/>
        <v/>
      </c>
      <c r="AZ197" s="197" t="str">
        <f t="shared" si="83"/>
        <v/>
      </c>
      <c r="BA197" s="197" t="str">
        <f t="shared" si="84"/>
        <v/>
      </c>
      <c r="BB197" s="197" t="str">
        <f t="shared" si="85"/>
        <v/>
      </c>
      <c r="BC197" s="197" t="str">
        <f t="shared" si="86"/>
        <v/>
      </c>
      <c r="BD197" s="197">
        <f t="shared" si="87"/>
        <v>0</v>
      </c>
      <c r="BE197" s="163" t="s">
        <v>155</v>
      </c>
      <c r="BF197" s="162" t="s">
        <v>163</v>
      </c>
    </row>
    <row r="198" spans="1:58">
      <c r="A198" s="195">
        <f t="shared" si="67"/>
        <v>58</v>
      </c>
      <c r="B198" s="195">
        <f t="shared" si="68"/>
        <v>1</v>
      </c>
      <c r="C198" s="196" t="str">
        <f t="shared" si="69"/>
        <v>5801</v>
      </c>
      <c r="D198" s="159" t="s">
        <v>308</v>
      </c>
      <c r="E198" s="163">
        <v>2022</v>
      </c>
      <c r="F198" s="162" t="s">
        <v>309</v>
      </c>
      <c r="G198" s="162" t="s">
        <v>293</v>
      </c>
      <c r="H198" s="197" t="str">
        <f>IF(VLOOKUP(G198,income,R198-1985,FALSE)="UM","Upper-middle",IF(VLOOKUP(G198,income,R198-1985,FALSE)="LM","Lower-middle",IF(VLOOKUP(G198,income,R198-1985,FALSE)="L","Low")))</f>
        <v>Lower-middle</v>
      </c>
      <c r="I198" s="163">
        <v>0</v>
      </c>
      <c r="J198" s="162" t="s">
        <v>166</v>
      </c>
      <c r="K198" s="162" t="s">
        <v>147</v>
      </c>
      <c r="L198" s="207" t="str">
        <f t="shared" si="70"/>
        <v>PCV10 vs NoVax</v>
      </c>
      <c r="M198" s="162" t="s">
        <v>1551</v>
      </c>
      <c r="N198" s="163" t="s">
        <v>148</v>
      </c>
      <c r="O198" s="162" t="s">
        <v>159</v>
      </c>
      <c r="P198" s="162" t="s">
        <v>150</v>
      </c>
      <c r="Q198" s="162" t="s">
        <v>151</v>
      </c>
      <c r="R198" s="163">
        <v>2020</v>
      </c>
      <c r="S198" s="163">
        <v>12.85</v>
      </c>
      <c r="T198" s="198">
        <f>IF(ISNUMBER(S198),S198/VLOOKUP($Q198,xRates!$A$1:$BL$267,studies!$R198-xRates!$B$1+2,FALSE),"")</f>
        <v>12.85</v>
      </c>
      <c r="V198" s="198" t="str">
        <f>IF(ISNUMBER(U198),U198/VLOOKUP($Q198,xRates!$A$1:$BL$267,studies!$R198-xRates!$B$1+2,FALSE),"")</f>
        <v/>
      </c>
      <c r="W198" s="163">
        <v>0</v>
      </c>
      <c r="X198" s="163">
        <v>0</v>
      </c>
      <c r="Y198" s="163">
        <v>1</v>
      </c>
      <c r="Z198" s="163">
        <v>1</v>
      </c>
      <c r="AA198" s="163">
        <v>1</v>
      </c>
      <c r="AB198" s="163" t="s">
        <v>152</v>
      </c>
      <c r="AC198" s="193">
        <v>484</v>
      </c>
      <c r="AD198" s="201">
        <f>IF(ISNUMBER(AC198),AC198/VLOOKUP($Q198,xRates!$A$1:$BL$267,studies!$R198-xRates!$B$1+2,FALSE),"")</f>
        <v>484</v>
      </c>
      <c r="AE198" s="200">
        <f t="shared" si="71"/>
        <v>0</v>
      </c>
      <c r="AF198" s="201">
        <f>VLOOKUP(G198,gdppc,R198-1958,FALSE)</f>
        <v>3493.9</v>
      </c>
      <c r="AG198" s="195" t="str">
        <f t="shared" si="72"/>
        <v>Cost-effective</v>
      </c>
      <c r="AH198" s="195" t="str">
        <f t="shared" si="73"/>
        <v>Cost-effective</v>
      </c>
      <c r="AI198" s="204">
        <f t="shared" si="74"/>
        <v>0.13852714731388993</v>
      </c>
      <c r="AJ198" s="205">
        <f>IFERROR(VLOOKUP(G198,ochalek,11,FALSE),"")</f>
        <v>1.22</v>
      </c>
      <c r="AK198" s="195" t="str">
        <f t="shared" si="75"/>
        <v>Cost-effective</v>
      </c>
      <c r="AL198" s="205">
        <f>IFERROR(VLOOKUP(G198,ochalek,10,FALSE),"")</f>
        <v>0.71</v>
      </c>
      <c r="AM198" s="207" t="str">
        <f t="shared" si="76"/>
        <v>Cost-effective</v>
      </c>
      <c r="AN198" s="205">
        <f>IFERROR(VLOOKUP(G198,woods,6,FALSE),"")</f>
        <v>0.60162941299352413</v>
      </c>
      <c r="AO198" s="195" t="str">
        <f t="shared" si="77"/>
        <v>Cost-effective</v>
      </c>
      <c r="AP198" s="205">
        <f>IFERROR(VLOOKUP(G198,woods,5,FALSE),"")</f>
        <v>0.15737065663950978</v>
      </c>
      <c r="AQ198" s="195" t="str">
        <f t="shared" si="78"/>
        <v>Cost-effective</v>
      </c>
      <c r="AR198" s="205">
        <f>IFERROR(VLOOKUP(G198,riviere,8,FALSE),"")</f>
        <v>0.71021910403128408</v>
      </c>
      <c r="AS198" s="195" t="str">
        <f t="shared" si="79"/>
        <v>Cost-effective</v>
      </c>
      <c r="AT198" s="205">
        <f>IFERROR(VLOOKUP(G198,riviere,7,FALSE),"")</f>
        <v>0.28581287020530216</v>
      </c>
      <c r="AU198" s="195" t="str">
        <f t="shared" si="80"/>
        <v>Cost-effective</v>
      </c>
      <c r="AV198" s="162" t="s">
        <v>176</v>
      </c>
      <c r="AW198" s="162" t="s">
        <v>162</v>
      </c>
      <c r="AX198" s="210">
        <f t="shared" si="81"/>
        <v>0</v>
      </c>
      <c r="AY198" s="210">
        <f t="shared" si="82"/>
        <v>0</v>
      </c>
      <c r="AZ198" s="197">
        <f t="shared" si="83"/>
        <v>0</v>
      </c>
      <c r="BA198" s="197">
        <f t="shared" si="84"/>
        <v>0</v>
      </c>
      <c r="BB198" s="197">
        <f t="shared" si="85"/>
        <v>0</v>
      </c>
      <c r="BC198" s="197">
        <f t="shared" si="86"/>
        <v>0</v>
      </c>
      <c r="BD198" s="197">
        <f t="shared" si="87"/>
        <v>0</v>
      </c>
      <c r="BE198" s="163" t="s">
        <v>155</v>
      </c>
      <c r="BF198" s="162" t="s">
        <v>163</v>
      </c>
    </row>
    <row r="199" spans="1:58">
      <c r="A199" s="195">
        <f t="shared" si="67"/>
        <v>58</v>
      </c>
      <c r="B199" s="195">
        <f t="shared" si="68"/>
        <v>2</v>
      </c>
      <c r="C199" s="196" t="str">
        <f t="shared" si="69"/>
        <v>5802</v>
      </c>
      <c r="D199" s="159" t="s">
        <v>308</v>
      </c>
      <c r="E199" s="163">
        <v>2022</v>
      </c>
      <c r="F199" s="162" t="s">
        <v>309</v>
      </c>
      <c r="G199" s="162" t="s">
        <v>293</v>
      </c>
      <c r="H199" s="197" t="str">
        <f>IF(VLOOKUP(G199,income,R199-1985,FALSE)="UM","Upper-middle",IF(VLOOKUP(G199,income,R199-1985,FALSE)="LM","Lower-middle",IF(VLOOKUP(G199,income,R199-1985,FALSE)="L","Low")))</f>
        <v>Lower-middle</v>
      </c>
      <c r="I199" s="163">
        <v>0</v>
      </c>
      <c r="J199" s="162" t="s">
        <v>167</v>
      </c>
      <c r="K199" s="162" t="s">
        <v>147</v>
      </c>
      <c r="L199" s="207" t="str">
        <f t="shared" si="70"/>
        <v>PCV13 vs NoVax</v>
      </c>
      <c r="M199" s="162" t="s">
        <v>1551</v>
      </c>
      <c r="N199" s="163" t="s">
        <v>148</v>
      </c>
      <c r="O199" s="162" t="s">
        <v>159</v>
      </c>
      <c r="P199" s="162" t="s">
        <v>150</v>
      </c>
      <c r="Q199" s="162" t="s">
        <v>151</v>
      </c>
      <c r="R199" s="163">
        <v>2020</v>
      </c>
      <c r="S199" s="163">
        <v>14.5</v>
      </c>
      <c r="T199" s="198">
        <f>IF(ISNUMBER(S199),S199/VLOOKUP($Q199,xRates!$A$1:$BL$267,studies!$R199-xRates!$B$1+2,FALSE),"")</f>
        <v>14.5</v>
      </c>
      <c r="V199" s="198" t="str">
        <f>IF(ISNUMBER(U199),U199/VLOOKUP($Q199,xRates!$A$1:$BL$267,studies!$R199-xRates!$B$1+2,FALSE),"")</f>
        <v/>
      </c>
      <c r="W199" s="163">
        <v>0</v>
      </c>
      <c r="X199" s="163">
        <v>0</v>
      </c>
      <c r="Y199" s="163">
        <v>1</v>
      </c>
      <c r="Z199" s="163">
        <v>1</v>
      </c>
      <c r="AA199" s="163">
        <v>1</v>
      </c>
      <c r="AB199" s="163" t="s">
        <v>152</v>
      </c>
      <c r="AC199" s="193">
        <f>3229067/4626</f>
        <v>698.02572416774751</v>
      </c>
      <c r="AD199" s="201">
        <f>IF(ISNUMBER(AC199),AC199/VLOOKUP($Q199,xRates!$A$1:$BL$267,studies!$R199-xRates!$B$1+2,FALSE),"")</f>
        <v>698.02572416774751</v>
      </c>
      <c r="AE199" s="200">
        <f t="shared" si="71"/>
        <v>0</v>
      </c>
      <c r="AF199" s="201">
        <f>VLOOKUP(G199,gdppc,R199-1958,FALSE)</f>
        <v>3493.9</v>
      </c>
      <c r="AG199" s="195" t="str">
        <f t="shared" si="72"/>
        <v>Cost-effective</v>
      </c>
      <c r="AH199" s="195" t="str">
        <f t="shared" si="73"/>
        <v>Cost-effective</v>
      </c>
      <c r="AI199" s="204">
        <f t="shared" si="74"/>
        <v>0.19978411636502119</v>
      </c>
      <c r="AJ199" s="205">
        <f>IFERROR(VLOOKUP(G199,ochalek,11,FALSE),"")</f>
        <v>1.22</v>
      </c>
      <c r="AK199" s="195" t="str">
        <f t="shared" si="75"/>
        <v>Cost-effective</v>
      </c>
      <c r="AL199" s="205">
        <f>IFERROR(VLOOKUP(G199,ochalek,10,FALSE),"")</f>
        <v>0.71</v>
      </c>
      <c r="AM199" s="207" t="str">
        <f t="shared" si="76"/>
        <v>Cost-effective</v>
      </c>
      <c r="AN199" s="205">
        <f>IFERROR(VLOOKUP(G199,woods,6,FALSE),"")</f>
        <v>0.60162941299352413</v>
      </c>
      <c r="AO199" s="195" t="str">
        <f t="shared" si="77"/>
        <v>Cost-effective</v>
      </c>
      <c r="AP199" s="205">
        <f>IFERROR(VLOOKUP(G199,woods,5,FALSE),"")</f>
        <v>0.15737065663950978</v>
      </c>
      <c r="AQ199" s="195" t="str">
        <f t="shared" si="78"/>
        <v>Not cost-effective</v>
      </c>
      <c r="AR199" s="205">
        <f>IFERROR(VLOOKUP(G199,riviere,8,FALSE),"")</f>
        <v>0.71021910403128408</v>
      </c>
      <c r="AS199" s="195" t="str">
        <f t="shared" si="79"/>
        <v>Cost-effective</v>
      </c>
      <c r="AT199" s="205">
        <f>IFERROR(VLOOKUP(G199,riviere,7,FALSE),"")</f>
        <v>0.28581287020530216</v>
      </c>
      <c r="AU199" s="195" t="str">
        <f t="shared" si="80"/>
        <v>Cost-effective</v>
      </c>
      <c r="AV199" s="162" t="s">
        <v>176</v>
      </c>
      <c r="AW199" s="162" t="s">
        <v>162</v>
      </c>
      <c r="AX199" s="210">
        <f t="shared" si="81"/>
        <v>0</v>
      </c>
      <c r="AY199" s="210">
        <f t="shared" si="82"/>
        <v>0</v>
      </c>
      <c r="AZ199" s="197">
        <f t="shared" si="83"/>
        <v>0</v>
      </c>
      <c r="BA199" s="197">
        <f t="shared" si="84"/>
        <v>1</v>
      </c>
      <c r="BB199" s="197">
        <f t="shared" si="85"/>
        <v>0</v>
      </c>
      <c r="BC199" s="197">
        <f t="shared" si="86"/>
        <v>0</v>
      </c>
      <c r="BD199" s="197">
        <f t="shared" si="87"/>
        <v>1</v>
      </c>
      <c r="BE199" s="163" t="s">
        <v>155</v>
      </c>
      <c r="BF199" s="162" t="s">
        <v>163</v>
      </c>
    </row>
    <row r="200" spans="1:58">
      <c r="A200" s="195">
        <f t="shared" ref="A200:A212" si="88">IF(F200=F199,A199,A199+1)</f>
        <v>58</v>
      </c>
      <c r="B200" s="195">
        <f t="shared" ref="B200:B212" si="89">IF(F200=F199,B199+1,1)</f>
        <v>3</v>
      </c>
      <c r="C200" s="196" t="str">
        <f t="shared" ref="C200:C212" si="90">_xlfn.CONCAT(TEXT(A200,"00"),TEXT(B200,"00"))</f>
        <v>5803</v>
      </c>
      <c r="D200" s="159" t="s">
        <v>308</v>
      </c>
      <c r="E200" s="163">
        <v>2022</v>
      </c>
      <c r="F200" s="162" t="s">
        <v>309</v>
      </c>
      <c r="G200" s="162" t="s">
        <v>293</v>
      </c>
      <c r="H200" s="197" t="str">
        <f>IF(VLOOKUP(G200,income,R200-1985,FALSE)="UM","Upper-middle",IF(VLOOKUP(G200,income,R200-1985,FALSE)="LM","Lower-middle",IF(VLOOKUP(G200,income,R200-1985,FALSE)="L","Low")))</f>
        <v>Lower-middle</v>
      </c>
      <c r="I200" s="163">
        <v>1</v>
      </c>
      <c r="J200" s="162" t="s">
        <v>167</v>
      </c>
      <c r="K200" s="162" t="s">
        <v>166</v>
      </c>
      <c r="L200" s="207" t="str">
        <f t="shared" si="70"/>
        <v>PCV13 vs PCV10</v>
      </c>
      <c r="M200" s="162" t="s">
        <v>1551</v>
      </c>
      <c r="N200" s="163" t="s">
        <v>148</v>
      </c>
      <c r="O200" s="162" t="s">
        <v>159</v>
      </c>
      <c r="P200" s="162" t="s">
        <v>150</v>
      </c>
      <c r="Q200" s="162" t="s">
        <v>151</v>
      </c>
      <c r="R200" s="163">
        <v>2020</v>
      </c>
      <c r="S200" s="163">
        <v>14.5</v>
      </c>
      <c r="T200" s="198">
        <f>IF(ISNUMBER(S200),S200/VLOOKUP($Q200,xRates!$A$1:$BL$267,studies!$R200-xRates!$B$1+2,FALSE),"")</f>
        <v>14.5</v>
      </c>
      <c r="U200" s="163">
        <v>12.85</v>
      </c>
      <c r="V200" s="198">
        <f>IF(ISNUMBER(U200),U200/VLOOKUP($Q200,xRates!$A$1:$BL$267,studies!$R200-xRates!$B$1+2,FALSE),"")</f>
        <v>12.85</v>
      </c>
      <c r="W200" s="163">
        <v>0</v>
      </c>
      <c r="X200" s="163">
        <v>0</v>
      </c>
      <c r="Y200" s="163">
        <v>1</v>
      </c>
      <c r="Z200" s="163">
        <v>1</v>
      </c>
      <c r="AA200" s="163">
        <v>1</v>
      </c>
      <c r="AB200" s="163" t="s">
        <v>152</v>
      </c>
      <c r="AC200" s="193">
        <f>982015/-20</f>
        <v>-49100.75</v>
      </c>
      <c r="AD200" s="201">
        <f>IF(ISNUMBER(AC200),AC200/VLOOKUP($Q200,xRates!$A$1:$BL$267,studies!$R200-xRates!$B$1+2,FALSE),"")</f>
        <v>-49100.75</v>
      </c>
      <c r="AE200" s="200">
        <f t="shared" si="71"/>
        <v>1</v>
      </c>
      <c r="AF200" s="201">
        <f>VLOOKUP(G200,gdppc,R200-1958,FALSE)</f>
        <v>3493.9</v>
      </c>
      <c r="AG200" s="195" t="str">
        <f t="shared" ref="AG200:AG208" si="91">IF(AD200="NA", ".", IF(AD200&lt;0,"Cost-saving",IF(AD200&lt;=AF200,"Cost-effective",IF(AD200&gt;AF200&amp;AD200&lt;&gt;"NA","Not cost-effective","Missing"))))</f>
        <v>Cost-saving</v>
      </c>
      <c r="AH200" s="195" t="str">
        <f t="shared" ref="AH200:AH205" si="92">IF(AD200="NA", ".", IF(AD200&lt;0,"Cost-saving",IF(AD200&lt;=AF200*3,"Cost-effective",IF(AD200&gt;AF200*3&amp;AD200&lt;&gt;"NA","Not cost-effective","Missing"))))</f>
        <v>Cost-saving</v>
      </c>
      <c r="AI200" s="204">
        <f t="shared" si="74"/>
        <v>-14.053278571224133</v>
      </c>
      <c r="AJ200" s="205">
        <f>IFERROR(VLOOKUP(G200,ochalek,11,FALSE),"")</f>
        <v>1.22</v>
      </c>
      <c r="AK200" s="195" t="str">
        <f t="shared" ref="AK200:AK205" si="93">IF(AI200&lt;0,"Cost-saving", IF(AJ200="", "NA", IF(AI200&lt;AJ200, "Cost-effective", "Not cost-effective")))</f>
        <v>Cost-saving</v>
      </c>
      <c r="AL200" s="205">
        <f>IFERROR(VLOOKUP(G200,ochalek,10,FALSE),"")</f>
        <v>0.71</v>
      </c>
      <c r="AM200" s="207" t="str">
        <f t="shared" ref="AM200:AM205" si="94">IF(AI200&lt;0,"Cost-saving", IF(AL200="", "NA", IF(AI200&lt;AL200, "Cost-effective", "Not cost-effective")))</f>
        <v>Cost-saving</v>
      </c>
      <c r="AN200" s="205">
        <f>IFERROR(VLOOKUP(G200,woods,6,FALSE),"")</f>
        <v>0.60162941299352413</v>
      </c>
      <c r="AO200" s="195" t="str">
        <f t="shared" ref="AO200:AO205" si="95">IF(AI200&lt;0,"Cost-saving", IF(AN200="", "NA", IF(AI200&lt;AN200, "Cost-effective", "Not cost-effective")))</f>
        <v>Cost-saving</v>
      </c>
      <c r="AP200" s="205">
        <f>IFERROR(VLOOKUP(G200,woods,5,FALSE),"")</f>
        <v>0.15737065663950978</v>
      </c>
      <c r="AQ200" s="195" t="str">
        <f t="shared" ref="AQ200:AQ205" si="96">IF(AI200&lt;0,"Cost-saving", IF(AP200="", "NA", IF(AI200&lt;AP200, "Cost-effective", "Not cost-effective")))</f>
        <v>Cost-saving</v>
      </c>
      <c r="AR200" s="205">
        <f>IFERROR(VLOOKUP(G200,riviere,8,FALSE),"")</f>
        <v>0.71021910403128408</v>
      </c>
      <c r="AS200" s="195" t="str">
        <f t="shared" ref="AS200:AS205" si="97">IF(AI200&lt;0,"Cost-saving", IF(AR200="", "NA", IF(AI200&lt;AR200, "Cost-effective", "Not cost-effective")))</f>
        <v>Cost-saving</v>
      </c>
      <c r="AT200" s="205">
        <f>IFERROR(VLOOKUP(G200,riviere,7,FALSE),"")</f>
        <v>0.28581287020530216</v>
      </c>
      <c r="AU200" s="195" t="str">
        <f t="shared" ref="AU200:AU205" si="98">IF(AI200&lt;0,"Cost-saving", IF(AT200="", "NA", IF(AI200&lt;AT200, "Cost-effective", "Not cost-effective")))</f>
        <v>Cost-saving</v>
      </c>
      <c r="AV200" s="162" t="s">
        <v>176</v>
      </c>
      <c r="AW200" s="162" t="s">
        <v>162</v>
      </c>
      <c r="AX200" s="210">
        <f t="shared" si="81"/>
        <v>0</v>
      </c>
      <c r="AY200" s="210">
        <f t="shared" ref="AY200:AY208" si="99">IF(AW200="Cost-Effective",IF(AM200="Not Cost-Effective",1,0),"")</f>
        <v>0</v>
      </c>
      <c r="AZ200" s="197">
        <f t="shared" ref="AZ200:AZ208" si="100">IF(AW200="Cost-Effective",IF(AO200="Not Cost-Effective",1,0),"")</f>
        <v>0</v>
      </c>
      <c r="BA200" s="197">
        <f t="shared" ref="BA200:BA208" si="101">IF(AW200="Cost-Effective",IF(AQ200="Not Cost-Effective",1,0),"")</f>
        <v>0</v>
      </c>
      <c r="BB200" s="197">
        <f t="shared" ref="BB200:BB208" si="102">IF(AW200="Cost-Effective",IF(AS200="Not Cost-Effective",1,0),"")</f>
        <v>0</v>
      </c>
      <c r="BC200" s="197">
        <f t="shared" ref="BC200:BC208" si="103">IF(AW200="Cost-Effective",IF(AU200="Not Cost-Effective",1,0),"")</f>
        <v>0</v>
      </c>
      <c r="BD200" s="197">
        <f t="shared" ref="BD200:BD208" si="104">SUM(AX200:BC200)</f>
        <v>0</v>
      </c>
      <c r="BE200" s="163" t="s">
        <v>155</v>
      </c>
      <c r="BF200" s="162" t="s">
        <v>163</v>
      </c>
    </row>
    <row r="201" spans="1:58">
      <c r="A201" s="195">
        <f t="shared" si="88"/>
        <v>59</v>
      </c>
      <c r="B201" s="195">
        <f t="shared" si="89"/>
        <v>1</v>
      </c>
      <c r="C201" s="196" t="str">
        <f t="shared" si="90"/>
        <v>5901</v>
      </c>
      <c r="D201" s="159" t="s">
        <v>310</v>
      </c>
      <c r="E201" s="163">
        <v>2022</v>
      </c>
      <c r="F201" s="162" t="s">
        <v>311</v>
      </c>
      <c r="G201" s="162" t="s">
        <v>193</v>
      </c>
      <c r="H201" s="197" t="str">
        <f>IF(VLOOKUP(G201,income,R201-1985,FALSE)="UM","Upper-middle",IF(VLOOKUP(G201,income,R201-1985,FALSE)="LM","Lower-middle",IF(VLOOKUP(G201,income,R201-1985,FALSE)="L","Low")))</f>
        <v>Upper-middle</v>
      </c>
      <c r="I201" s="163">
        <v>1</v>
      </c>
      <c r="J201" s="162" t="s">
        <v>312</v>
      </c>
      <c r="K201" s="162" t="s">
        <v>147</v>
      </c>
      <c r="L201" s="207" t="str">
        <f t="shared" si="70"/>
        <v>Others</v>
      </c>
      <c r="M201" s="162" t="s">
        <v>1551</v>
      </c>
      <c r="N201" s="163" t="s">
        <v>148</v>
      </c>
      <c r="O201" s="162" t="s">
        <v>149</v>
      </c>
      <c r="P201" s="162" t="s">
        <v>150</v>
      </c>
      <c r="Q201" s="162" t="s">
        <v>151</v>
      </c>
      <c r="R201" s="163">
        <v>2018</v>
      </c>
      <c r="S201" s="163">
        <v>3.05</v>
      </c>
      <c r="T201" s="198">
        <f>IF(ISNUMBER(S201),S201/VLOOKUP($Q201,xRates!$A$1:$BL$267,studies!$R201-xRates!$B$1+2,FALSE),"")</f>
        <v>3.05</v>
      </c>
      <c r="V201" s="198" t="str">
        <f>IF(ISNUMBER(U201),U201/VLOOKUP($Q201,xRates!$A$1:$BL$267,studies!$R201-xRates!$B$1+2,FALSE),"")</f>
        <v/>
      </c>
      <c r="W201" s="163">
        <v>1</v>
      </c>
      <c r="X201" s="163">
        <v>1</v>
      </c>
      <c r="Y201" s="163">
        <v>1</v>
      </c>
      <c r="Z201" s="163">
        <v>1</v>
      </c>
      <c r="AA201" s="163">
        <v>1</v>
      </c>
      <c r="AB201" s="163" t="s">
        <v>152</v>
      </c>
      <c r="AC201" s="193">
        <f>-773/0.035</f>
        <v>-22085.714285714283</v>
      </c>
      <c r="AD201" s="201">
        <f>IF(ISNUMBER(AC201),AC201/VLOOKUP($Q201,xRates!$A$1:$BL$267,studies!$R201-xRates!$B$1+2,FALSE),"")</f>
        <v>-22085.714285714283</v>
      </c>
      <c r="AE201" s="200">
        <f t="shared" si="71"/>
        <v>1</v>
      </c>
      <c r="AF201" s="201">
        <f>VLOOKUP(G201,gdppc,R201-1958,FALSE)</f>
        <v>7124.6</v>
      </c>
      <c r="AG201" s="195" t="str">
        <f t="shared" si="91"/>
        <v>Cost-saving</v>
      </c>
      <c r="AH201" s="195" t="str">
        <f t="shared" si="92"/>
        <v>Cost-saving</v>
      </c>
      <c r="AI201" s="204">
        <f t="shared" ref="AI201:AI208" si="105">IFERROR(AD201/AF201,"")</f>
        <v>-3.0999234042211889</v>
      </c>
      <c r="AJ201" s="205">
        <f>IFERROR(VLOOKUP(G201,ochalek,11,FALSE),"")</f>
        <v>1.1200000000000001</v>
      </c>
      <c r="AK201" s="195" t="str">
        <f t="shared" si="93"/>
        <v>Cost-saving</v>
      </c>
      <c r="AL201" s="205">
        <f>IFERROR(VLOOKUP(G201,ochalek,10,FALSE),"")</f>
        <v>0.7</v>
      </c>
      <c r="AM201" s="207" t="str">
        <f t="shared" si="94"/>
        <v>Cost-saving</v>
      </c>
      <c r="AN201" s="205">
        <f>IFERROR(VLOOKUP(G201,woods,6,FALSE),"")</f>
        <v>0.65269570111403552</v>
      </c>
      <c r="AO201" s="195" t="str">
        <f t="shared" si="95"/>
        <v>Cost-saving</v>
      </c>
      <c r="AP201" s="205">
        <f>IFERROR(VLOOKUP(G201,woods,5,FALSE),"")</f>
        <v>0.19549419807650922</v>
      </c>
      <c r="AQ201" s="195" t="str">
        <f t="shared" si="96"/>
        <v>Cost-saving</v>
      </c>
      <c r="AR201" s="205">
        <f>IFERROR(VLOOKUP(G201,riviere,8,FALSE),"")</f>
        <v>0.67102744933539571</v>
      </c>
      <c r="AS201" s="195" t="str">
        <f t="shared" si="97"/>
        <v>Cost-saving</v>
      </c>
      <c r="AT201" s="205">
        <f>IFERROR(VLOOKUP(G201,riviere,7,FALSE),"")</f>
        <v>0.27816375219568462</v>
      </c>
      <c r="AU201" s="195" t="str">
        <f t="shared" si="98"/>
        <v>Cost-saving</v>
      </c>
      <c r="AV201" s="162" t="s">
        <v>195</v>
      </c>
      <c r="AW201" s="162" t="s">
        <v>186</v>
      </c>
      <c r="AX201" s="210" t="str">
        <f t="shared" si="81"/>
        <v/>
      </c>
      <c r="AY201" s="210" t="str">
        <f t="shared" si="99"/>
        <v/>
      </c>
      <c r="AZ201" s="197" t="str">
        <f t="shared" si="100"/>
        <v/>
      </c>
      <c r="BA201" s="197" t="str">
        <f t="shared" si="101"/>
        <v/>
      </c>
      <c r="BB201" s="197" t="str">
        <f t="shared" si="102"/>
        <v/>
      </c>
      <c r="BC201" s="197" t="str">
        <f t="shared" si="103"/>
        <v/>
      </c>
      <c r="BD201" s="197">
        <f t="shared" si="104"/>
        <v>0</v>
      </c>
      <c r="BE201" s="163" t="s">
        <v>148</v>
      </c>
      <c r="BF201" s="162" t="s">
        <v>156</v>
      </c>
    </row>
    <row r="202" spans="1:58">
      <c r="A202" s="195">
        <f t="shared" si="88"/>
        <v>59</v>
      </c>
      <c r="B202" s="195">
        <f t="shared" si="89"/>
        <v>2</v>
      </c>
      <c r="C202" s="196" t="str">
        <f t="shared" si="90"/>
        <v>5902</v>
      </c>
      <c r="D202" s="159" t="s">
        <v>310</v>
      </c>
      <c r="E202" s="163">
        <v>2022</v>
      </c>
      <c r="F202" s="162" t="s">
        <v>311</v>
      </c>
      <c r="G202" s="162" t="s">
        <v>193</v>
      </c>
      <c r="H202" s="197" t="str">
        <f>IF(VLOOKUP(G202,income,R202-1985,FALSE)="UM","Upper-middle",IF(VLOOKUP(G202,income,R202-1985,FALSE)="LM","Lower-middle",IF(VLOOKUP(G202,income,R202-1985,FALSE)="L","Low")))</f>
        <v>Upper-middle</v>
      </c>
      <c r="I202" s="163">
        <v>1</v>
      </c>
      <c r="J202" s="162" t="s">
        <v>166</v>
      </c>
      <c r="K202" s="162" t="s">
        <v>147</v>
      </c>
      <c r="L202" s="207" t="str">
        <f t="shared" si="70"/>
        <v>PCV10 vs NoVax</v>
      </c>
      <c r="M202" s="162" t="s">
        <v>1551</v>
      </c>
      <c r="N202" s="163" t="s">
        <v>148</v>
      </c>
      <c r="O202" s="162" t="s">
        <v>149</v>
      </c>
      <c r="P202" s="162" t="s">
        <v>150</v>
      </c>
      <c r="Q202" s="162" t="s">
        <v>151</v>
      </c>
      <c r="R202" s="163">
        <v>2018</v>
      </c>
      <c r="S202" s="163">
        <v>16</v>
      </c>
      <c r="T202" s="198">
        <f>IF(ISNUMBER(S202),S202/VLOOKUP($Q202,xRates!$A$1:$BL$267,studies!$R202-xRates!$B$1+2,FALSE),"")</f>
        <v>16</v>
      </c>
      <c r="V202" s="198" t="str">
        <f>IF(ISNUMBER(U202),U202/VLOOKUP($Q202,xRates!$A$1:$BL$267,studies!$R202-xRates!$B$1+2,FALSE),"")</f>
        <v/>
      </c>
      <c r="W202" s="163">
        <v>1</v>
      </c>
      <c r="X202" s="163">
        <v>1</v>
      </c>
      <c r="Y202" s="163">
        <v>1</v>
      </c>
      <c r="Z202" s="163">
        <v>1</v>
      </c>
      <c r="AA202" s="163">
        <v>1</v>
      </c>
      <c r="AB202" s="163" t="s">
        <v>152</v>
      </c>
      <c r="AC202" s="193">
        <f>896/0.023</f>
        <v>38956.521739130432</v>
      </c>
      <c r="AD202" s="201">
        <f>IF(ISNUMBER(AC202),AC202/VLOOKUP($Q202,xRates!$A$1:$BL$267,studies!$R202-xRates!$B$1+2,FALSE),"")</f>
        <v>38956.521739130432</v>
      </c>
      <c r="AE202" s="200">
        <f t="shared" si="71"/>
        <v>0</v>
      </c>
      <c r="AF202" s="201">
        <f>VLOOKUP(G202,gdppc,R202-1958,FALSE)</f>
        <v>7124.6</v>
      </c>
      <c r="AG202" s="195" t="str">
        <f t="shared" si="91"/>
        <v>Not cost-effective</v>
      </c>
      <c r="AH202" s="195" t="str">
        <f t="shared" si="92"/>
        <v>Not cost-effective</v>
      </c>
      <c r="AI202" s="204">
        <f t="shared" si="105"/>
        <v>5.4678889676796496</v>
      </c>
      <c r="AJ202" s="205">
        <f>IFERROR(VLOOKUP(G202,ochalek,11,FALSE),"")</f>
        <v>1.1200000000000001</v>
      </c>
      <c r="AK202" s="195" t="str">
        <f t="shared" si="93"/>
        <v>Not cost-effective</v>
      </c>
      <c r="AL202" s="205">
        <f>IFERROR(VLOOKUP(G202,ochalek,10,FALSE),"")</f>
        <v>0.7</v>
      </c>
      <c r="AM202" s="207" t="str">
        <f t="shared" si="94"/>
        <v>Not cost-effective</v>
      </c>
      <c r="AN202" s="205">
        <f>IFERROR(VLOOKUP(G202,woods,6,FALSE),"")</f>
        <v>0.65269570111403552</v>
      </c>
      <c r="AO202" s="195" t="str">
        <f t="shared" si="95"/>
        <v>Not cost-effective</v>
      </c>
      <c r="AP202" s="205">
        <f>IFERROR(VLOOKUP(G202,woods,5,FALSE),"")</f>
        <v>0.19549419807650922</v>
      </c>
      <c r="AQ202" s="195" t="str">
        <f t="shared" si="96"/>
        <v>Not cost-effective</v>
      </c>
      <c r="AR202" s="205">
        <f>IFERROR(VLOOKUP(G202,riviere,8,FALSE),"")</f>
        <v>0.67102744933539571</v>
      </c>
      <c r="AS202" s="195" t="str">
        <f t="shared" si="97"/>
        <v>Not cost-effective</v>
      </c>
      <c r="AT202" s="205">
        <f>IFERROR(VLOOKUP(G202,riviere,7,FALSE),"")</f>
        <v>0.27816375219568462</v>
      </c>
      <c r="AU202" s="195" t="str">
        <f t="shared" si="98"/>
        <v>Not cost-effective</v>
      </c>
      <c r="AV202" s="162" t="s">
        <v>195</v>
      </c>
      <c r="AW202" s="162" t="s">
        <v>154</v>
      </c>
      <c r="AX202" s="210" t="str">
        <f t="shared" si="81"/>
        <v/>
      </c>
      <c r="AY202" s="210" t="str">
        <f t="shared" si="99"/>
        <v/>
      </c>
      <c r="AZ202" s="197" t="str">
        <f t="shared" si="100"/>
        <v/>
      </c>
      <c r="BA202" s="197" t="str">
        <f t="shared" si="101"/>
        <v/>
      </c>
      <c r="BB202" s="197" t="str">
        <f t="shared" si="102"/>
        <v/>
      </c>
      <c r="BC202" s="197" t="str">
        <f t="shared" si="103"/>
        <v/>
      </c>
      <c r="BD202" s="197">
        <f t="shared" si="104"/>
        <v>0</v>
      </c>
      <c r="BE202" s="163" t="s">
        <v>148</v>
      </c>
      <c r="BF202" s="162" t="s">
        <v>156</v>
      </c>
    </row>
    <row r="203" spans="1:58">
      <c r="A203" s="195">
        <f t="shared" si="88"/>
        <v>59</v>
      </c>
      <c r="B203" s="195">
        <f t="shared" si="89"/>
        <v>3</v>
      </c>
      <c r="C203" s="196" t="str">
        <f t="shared" si="90"/>
        <v>5903</v>
      </c>
      <c r="D203" s="159" t="s">
        <v>310</v>
      </c>
      <c r="E203" s="163">
        <v>2022</v>
      </c>
      <c r="F203" s="162" t="s">
        <v>311</v>
      </c>
      <c r="G203" s="162" t="s">
        <v>193</v>
      </c>
      <c r="H203" s="197" t="str">
        <f>IF(VLOOKUP(G203,income,R203-1985,FALSE)="UM","Upper-middle",IF(VLOOKUP(G203,income,R203-1985,FALSE)="LM","Lower-middle",IF(VLOOKUP(G203,income,R203-1985,FALSE)="L","Low")))</f>
        <v>Upper-middle</v>
      </c>
      <c r="I203" s="163">
        <v>1</v>
      </c>
      <c r="J203" s="162" t="s">
        <v>167</v>
      </c>
      <c r="K203" s="162" t="s">
        <v>147</v>
      </c>
      <c r="L203" s="207" t="str">
        <f t="shared" si="70"/>
        <v>PCV13 vs NoVax</v>
      </c>
      <c r="M203" s="162" t="s">
        <v>1551</v>
      </c>
      <c r="N203" s="163" t="s">
        <v>148</v>
      </c>
      <c r="O203" s="162" t="s">
        <v>149</v>
      </c>
      <c r="P203" s="162" t="s">
        <v>150</v>
      </c>
      <c r="Q203" s="162" t="s">
        <v>151</v>
      </c>
      <c r="R203" s="163">
        <v>2018</v>
      </c>
      <c r="S203" s="163">
        <v>16.2</v>
      </c>
      <c r="T203" s="198">
        <f>IF(ISNUMBER(S203),S203/VLOOKUP($Q203,xRates!$A$1:$BL$267,studies!$R203-xRates!$B$1+2,FALSE),"")</f>
        <v>16.2</v>
      </c>
      <c r="V203" s="198" t="str">
        <f>IF(ISNUMBER(U203),U203/VLOOKUP($Q203,xRates!$A$1:$BL$267,studies!$R203-xRates!$B$1+2,FALSE),"")</f>
        <v/>
      </c>
      <c r="W203" s="163">
        <v>1</v>
      </c>
      <c r="X203" s="163">
        <v>1</v>
      </c>
      <c r="Y203" s="163">
        <v>1</v>
      </c>
      <c r="Z203" s="163">
        <v>1</v>
      </c>
      <c r="AA203" s="163">
        <v>1</v>
      </c>
      <c r="AB203" s="163" t="s">
        <v>152</v>
      </c>
      <c r="AC203" s="193">
        <f>542/0.035</f>
        <v>15485.714285714284</v>
      </c>
      <c r="AD203" s="201">
        <f>IF(ISNUMBER(AC203),AC203/VLOOKUP($Q203,xRates!$A$1:$BL$267,studies!$R203-xRates!$B$1+2,FALSE),"")</f>
        <v>15485.714285714284</v>
      </c>
      <c r="AE203" s="200">
        <f t="shared" si="71"/>
        <v>0</v>
      </c>
      <c r="AF203" s="201">
        <f>VLOOKUP(G203,gdppc,R203-1958,FALSE)</f>
        <v>7124.6</v>
      </c>
      <c r="AG203" s="195" t="str">
        <f t="shared" si="91"/>
        <v>Not cost-effective</v>
      </c>
      <c r="AH203" s="195" t="str">
        <f t="shared" si="92"/>
        <v>Cost-effective</v>
      </c>
      <c r="AI203" s="204">
        <f t="shared" si="105"/>
        <v>2.1735556081343912</v>
      </c>
      <c r="AJ203" s="205">
        <f>IFERROR(VLOOKUP(G203,ochalek,11,FALSE),"")</f>
        <v>1.1200000000000001</v>
      </c>
      <c r="AK203" s="195" t="str">
        <f t="shared" si="93"/>
        <v>Not cost-effective</v>
      </c>
      <c r="AL203" s="205">
        <f>IFERROR(VLOOKUP(G203,ochalek,10,FALSE),"")</f>
        <v>0.7</v>
      </c>
      <c r="AM203" s="207" t="str">
        <f t="shared" si="94"/>
        <v>Not cost-effective</v>
      </c>
      <c r="AN203" s="205">
        <f>IFERROR(VLOOKUP(G203,woods,6,FALSE),"")</f>
        <v>0.65269570111403552</v>
      </c>
      <c r="AO203" s="195" t="str">
        <f t="shared" si="95"/>
        <v>Not cost-effective</v>
      </c>
      <c r="AP203" s="205">
        <f>IFERROR(VLOOKUP(G203,woods,5,FALSE),"")</f>
        <v>0.19549419807650922</v>
      </c>
      <c r="AQ203" s="195" t="str">
        <f t="shared" si="96"/>
        <v>Not cost-effective</v>
      </c>
      <c r="AR203" s="205">
        <f>IFERROR(VLOOKUP(G203,riviere,8,FALSE),"")</f>
        <v>0.67102744933539571</v>
      </c>
      <c r="AS203" s="195" t="str">
        <f t="shared" si="97"/>
        <v>Not cost-effective</v>
      </c>
      <c r="AT203" s="205">
        <f>IFERROR(VLOOKUP(G203,riviere,7,FALSE),"")</f>
        <v>0.27816375219568462</v>
      </c>
      <c r="AU203" s="195" t="str">
        <f t="shared" si="98"/>
        <v>Not cost-effective</v>
      </c>
      <c r="AV203" s="162" t="s">
        <v>195</v>
      </c>
      <c r="AW203" s="162" t="s">
        <v>154</v>
      </c>
      <c r="AX203" s="210" t="str">
        <f t="shared" si="81"/>
        <v/>
      </c>
      <c r="AY203" s="210" t="str">
        <f t="shared" si="99"/>
        <v/>
      </c>
      <c r="AZ203" s="197" t="str">
        <f t="shared" si="100"/>
        <v/>
      </c>
      <c r="BA203" s="197" t="str">
        <f t="shared" si="101"/>
        <v/>
      </c>
      <c r="BB203" s="197" t="str">
        <f t="shared" si="102"/>
        <v/>
      </c>
      <c r="BC203" s="197" t="str">
        <f t="shared" si="103"/>
        <v/>
      </c>
      <c r="BD203" s="197">
        <f t="shared" si="104"/>
        <v>0</v>
      </c>
      <c r="BE203" s="163" t="s">
        <v>148</v>
      </c>
      <c r="BF203" s="162" t="s">
        <v>156</v>
      </c>
    </row>
    <row r="204" spans="1:58">
      <c r="A204" s="195">
        <f t="shared" si="88"/>
        <v>59</v>
      </c>
      <c r="B204" s="195">
        <f t="shared" si="89"/>
        <v>4</v>
      </c>
      <c r="C204" s="196" t="str">
        <f t="shared" si="90"/>
        <v>5904</v>
      </c>
      <c r="D204" s="159" t="s">
        <v>310</v>
      </c>
      <c r="E204" s="163">
        <v>2022</v>
      </c>
      <c r="F204" s="162" t="s">
        <v>311</v>
      </c>
      <c r="G204" s="162" t="s">
        <v>193</v>
      </c>
      <c r="H204" s="197" t="str">
        <f>IF(VLOOKUP(G204,income,R204-1985,FALSE)="UM","Upper-middle",IF(VLOOKUP(G204,income,R204-1985,FALSE)="LM","Lower-middle",IF(VLOOKUP(G204,income,R204-1985,FALSE)="L","Low")))</f>
        <v>Upper-middle</v>
      </c>
      <c r="I204" s="163">
        <v>1</v>
      </c>
      <c r="J204" s="162" t="s">
        <v>312</v>
      </c>
      <c r="K204" s="162" t="s">
        <v>166</v>
      </c>
      <c r="L204" s="207" t="str">
        <f t="shared" si="70"/>
        <v>Others</v>
      </c>
      <c r="M204" s="162" t="s">
        <v>1551</v>
      </c>
      <c r="N204" s="163" t="s">
        <v>148</v>
      </c>
      <c r="O204" s="162" t="s">
        <v>149</v>
      </c>
      <c r="P204" s="162" t="s">
        <v>150</v>
      </c>
      <c r="Q204" s="162" t="s">
        <v>151</v>
      </c>
      <c r="R204" s="163">
        <v>2018</v>
      </c>
      <c r="S204" s="163">
        <v>3.05</v>
      </c>
      <c r="T204" s="198">
        <f>IF(ISNUMBER(S204),S204/VLOOKUP($Q204,xRates!$A$1:$BL$267,studies!$R204-xRates!$B$1+2,FALSE),"")</f>
        <v>3.05</v>
      </c>
      <c r="U204" s="163">
        <v>16</v>
      </c>
      <c r="V204" s="198">
        <f>IF(ISNUMBER(U204),U204/VLOOKUP($Q204,xRates!$A$1:$BL$267,studies!$R204-xRates!$B$1+2,FALSE),"")</f>
        <v>16</v>
      </c>
      <c r="W204" s="163">
        <v>1</v>
      </c>
      <c r="X204" s="163">
        <v>1</v>
      </c>
      <c r="Y204" s="163">
        <v>1</v>
      </c>
      <c r="Z204" s="163">
        <v>1</v>
      </c>
      <c r="AA204" s="163">
        <v>1</v>
      </c>
      <c r="AB204" s="163" t="s">
        <v>152</v>
      </c>
      <c r="AC204" s="193">
        <f>-1669/0.012</f>
        <v>-139083.33333333334</v>
      </c>
      <c r="AD204" s="201">
        <f>IF(ISNUMBER(AC204),AC204/VLOOKUP($Q204,xRates!$A$1:$BL$267,studies!$R204-xRates!$B$1+2,FALSE),"")</f>
        <v>-139083.33333333334</v>
      </c>
      <c r="AE204" s="200">
        <f t="shared" si="71"/>
        <v>1</v>
      </c>
      <c r="AF204" s="201">
        <f>VLOOKUP(G204,gdppc,R204-1958,FALSE)</f>
        <v>7124.6</v>
      </c>
      <c r="AG204" s="195" t="str">
        <f t="shared" si="91"/>
        <v>Cost-saving</v>
      </c>
      <c r="AH204" s="195" t="str">
        <f t="shared" si="92"/>
        <v>Cost-saving</v>
      </c>
      <c r="AI204" s="204">
        <f t="shared" si="105"/>
        <v>-19.521563783697797</v>
      </c>
      <c r="AJ204" s="205">
        <f>IFERROR(VLOOKUP(G204,ochalek,11,FALSE),"")</f>
        <v>1.1200000000000001</v>
      </c>
      <c r="AK204" s="195" t="str">
        <f t="shared" si="93"/>
        <v>Cost-saving</v>
      </c>
      <c r="AL204" s="205">
        <f>IFERROR(VLOOKUP(G204,ochalek,10,FALSE),"")</f>
        <v>0.7</v>
      </c>
      <c r="AM204" s="207" t="str">
        <f t="shared" si="94"/>
        <v>Cost-saving</v>
      </c>
      <c r="AN204" s="205">
        <f>IFERROR(VLOOKUP(G204,woods,6,FALSE),"")</f>
        <v>0.65269570111403552</v>
      </c>
      <c r="AO204" s="195" t="str">
        <f t="shared" si="95"/>
        <v>Cost-saving</v>
      </c>
      <c r="AP204" s="205">
        <f>IFERROR(VLOOKUP(G204,woods,5,FALSE),"")</f>
        <v>0.19549419807650922</v>
      </c>
      <c r="AQ204" s="195" t="str">
        <f t="shared" si="96"/>
        <v>Cost-saving</v>
      </c>
      <c r="AR204" s="205">
        <f>IFERROR(VLOOKUP(G204,riviere,8,FALSE),"")</f>
        <v>0.67102744933539571</v>
      </c>
      <c r="AS204" s="195" t="str">
        <f t="shared" si="97"/>
        <v>Cost-saving</v>
      </c>
      <c r="AT204" s="205">
        <f>IFERROR(VLOOKUP(G204,riviere,7,FALSE),"")</f>
        <v>0.27816375219568462</v>
      </c>
      <c r="AU204" s="195" t="str">
        <f t="shared" si="98"/>
        <v>Cost-saving</v>
      </c>
      <c r="AV204" s="162" t="s">
        <v>195</v>
      </c>
      <c r="AW204" s="162" t="s">
        <v>186</v>
      </c>
      <c r="AX204" s="210" t="str">
        <f t="shared" si="81"/>
        <v/>
      </c>
      <c r="AY204" s="210" t="str">
        <f t="shared" si="99"/>
        <v/>
      </c>
      <c r="AZ204" s="197" t="str">
        <f t="shared" si="100"/>
        <v/>
      </c>
      <c r="BA204" s="197" t="str">
        <f t="shared" si="101"/>
        <v/>
      </c>
      <c r="BB204" s="197" t="str">
        <f t="shared" si="102"/>
        <v/>
      </c>
      <c r="BC204" s="197" t="str">
        <f t="shared" si="103"/>
        <v/>
      </c>
      <c r="BD204" s="197">
        <f t="shared" si="104"/>
        <v>0</v>
      </c>
      <c r="BE204" s="163" t="s">
        <v>148</v>
      </c>
      <c r="BF204" s="162" t="s">
        <v>156</v>
      </c>
    </row>
    <row r="205" spans="1:58">
      <c r="A205" s="195">
        <f t="shared" si="88"/>
        <v>59</v>
      </c>
      <c r="B205" s="195">
        <f t="shared" si="89"/>
        <v>5</v>
      </c>
      <c r="C205" s="196" t="str">
        <f t="shared" si="90"/>
        <v>5905</v>
      </c>
      <c r="D205" s="159" t="s">
        <v>310</v>
      </c>
      <c r="E205" s="163">
        <v>2022</v>
      </c>
      <c r="F205" s="162" t="s">
        <v>311</v>
      </c>
      <c r="G205" s="162" t="s">
        <v>193</v>
      </c>
      <c r="H205" s="197" t="str">
        <f>IF(VLOOKUP(G205,income,R205-1985,FALSE)="UM","Upper-middle",IF(VLOOKUP(G205,income,R205-1985,FALSE)="LM","Lower-middle",IF(VLOOKUP(G205,income,R205-1985,FALSE)="L","Low")))</f>
        <v>Upper-middle</v>
      </c>
      <c r="I205" s="163">
        <v>1</v>
      </c>
      <c r="J205" s="162" t="s">
        <v>167</v>
      </c>
      <c r="K205" s="162" t="s">
        <v>166</v>
      </c>
      <c r="L205" s="207" t="str">
        <f t="shared" si="70"/>
        <v>PCV13 vs PCV10</v>
      </c>
      <c r="M205" s="162" t="s">
        <v>1551</v>
      </c>
      <c r="N205" s="163" t="s">
        <v>148</v>
      </c>
      <c r="O205" s="162" t="s">
        <v>149</v>
      </c>
      <c r="P205" s="162" t="s">
        <v>150</v>
      </c>
      <c r="Q205" s="162" t="s">
        <v>151</v>
      </c>
      <c r="R205" s="163">
        <v>2018</v>
      </c>
      <c r="S205" s="163">
        <v>16.2</v>
      </c>
      <c r="T205" s="198">
        <f>IF(ISNUMBER(S205),S205/VLOOKUP($Q205,xRates!$A$1:$BL$267,studies!$R205-xRates!$B$1+2,FALSE),"")</f>
        <v>16.2</v>
      </c>
      <c r="U205" s="163">
        <v>16</v>
      </c>
      <c r="V205" s="198">
        <f>IF(ISNUMBER(U205),U205/VLOOKUP($Q205,xRates!$A$1:$BL$267,studies!$R205-xRates!$B$1+2,FALSE),"")</f>
        <v>16</v>
      </c>
      <c r="W205" s="163">
        <v>1</v>
      </c>
      <c r="X205" s="163">
        <v>1</v>
      </c>
      <c r="Y205" s="163">
        <v>1</v>
      </c>
      <c r="Z205" s="163">
        <v>1</v>
      </c>
      <c r="AA205" s="163">
        <v>1</v>
      </c>
      <c r="AB205" s="163" t="s">
        <v>152</v>
      </c>
      <c r="AC205" s="193">
        <f>-354/0.012</f>
        <v>-29500</v>
      </c>
      <c r="AD205" s="201">
        <f>IF(ISNUMBER(AC205),AC205/VLOOKUP($Q205,xRates!$A$1:$BL$267,studies!$R205-xRates!$B$1+2,FALSE),"")</f>
        <v>-29500</v>
      </c>
      <c r="AE205" s="200">
        <f t="shared" si="71"/>
        <v>1</v>
      </c>
      <c r="AF205" s="201">
        <f>VLOOKUP(G205,gdppc,R205-1958,FALSE)</f>
        <v>7124.6</v>
      </c>
      <c r="AG205" s="195" t="str">
        <f t="shared" si="91"/>
        <v>Cost-saving</v>
      </c>
      <c r="AH205" s="195" t="str">
        <f t="shared" si="92"/>
        <v>Cost-saving</v>
      </c>
      <c r="AI205" s="204">
        <f t="shared" si="105"/>
        <v>-4.1405833309940201</v>
      </c>
      <c r="AJ205" s="205">
        <f>IFERROR(VLOOKUP(G205,ochalek,11,FALSE),"")</f>
        <v>1.1200000000000001</v>
      </c>
      <c r="AK205" s="195" t="str">
        <f t="shared" si="93"/>
        <v>Cost-saving</v>
      </c>
      <c r="AL205" s="205">
        <f>IFERROR(VLOOKUP(G205,ochalek,10,FALSE),"")</f>
        <v>0.7</v>
      </c>
      <c r="AM205" s="207" t="str">
        <f t="shared" si="94"/>
        <v>Cost-saving</v>
      </c>
      <c r="AN205" s="205">
        <f>IFERROR(VLOOKUP(G205,woods,6,FALSE),"")</f>
        <v>0.65269570111403552</v>
      </c>
      <c r="AO205" s="195" t="str">
        <f t="shared" si="95"/>
        <v>Cost-saving</v>
      </c>
      <c r="AP205" s="205">
        <f>IFERROR(VLOOKUP(G205,woods,5,FALSE),"")</f>
        <v>0.19549419807650922</v>
      </c>
      <c r="AQ205" s="195" t="str">
        <f t="shared" si="96"/>
        <v>Cost-saving</v>
      </c>
      <c r="AR205" s="205">
        <f>IFERROR(VLOOKUP(G205,riviere,8,FALSE),"")</f>
        <v>0.67102744933539571</v>
      </c>
      <c r="AS205" s="195" t="str">
        <f t="shared" si="97"/>
        <v>Cost-saving</v>
      </c>
      <c r="AT205" s="205">
        <f>IFERROR(VLOOKUP(G205,riviere,7,FALSE),"")</f>
        <v>0.27816375219568462</v>
      </c>
      <c r="AU205" s="195" t="str">
        <f t="shared" si="98"/>
        <v>Cost-saving</v>
      </c>
      <c r="AV205" s="162" t="s">
        <v>195</v>
      </c>
      <c r="AW205" s="162" t="s">
        <v>186</v>
      </c>
      <c r="AX205" s="210" t="str">
        <f t="shared" si="81"/>
        <v/>
      </c>
      <c r="AY205" s="210" t="str">
        <f t="shared" si="99"/>
        <v/>
      </c>
      <c r="AZ205" s="197" t="str">
        <f t="shared" si="100"/>
        <v/>
      </c>
      <c r="BA205" s="197" t="str">
        <f t="shared" si="101"/>
        <v/>
      </c>
      <c r="BB205" s="197" t="str">
        <f t="shared" si="102"/>
        <v/>
      </c>
      <c r="BC205" s="197" t="str">
        <f t="shared" si="103"/>
        <v/>
      </c>
      <c r="BD205" s="197">
        <f t="shared" si="104"/>
        <v>0</v>
      </c>
      <c r="BE205" s="163" t="s">
        <v>148</v>
      </c>
      <c r="BF205" s="162" t="s">
        <v>156</v>
      </c>
    </row>
    <row r="206" spans="1:58">
      <c r="A206" s="195">
        <f t="shared" si="88"/>
        <v>60</v>
      </c>
      <c r="B206" s="195">
        <f t="shared" si="89"/>
        <v>1</v>
      </c>
      <c r="C206" s="196" t="str">
        <f t="shared" si="90"/>
        <v>6001</v>
      </c>
      <c r="D206" s="159" t="s">
        <v>313</v>
      </c>
      <c r="E206" s="163">
        <v>2023</v>
      </c>
      <c r="F206" s="162" t="s">
        <v>314</v>
      </c>
      <c r="G206" s="162" t="s">
        <v>315</v>
      </c>
      <c r="H206" s="197" t="str">
        <f>IF(VLOOKUP(G206,income,R206-1985,FALSE)="UM","Upper-middle",IF(VLOOKUP(G206,income,R206-1985,FALSE)="LM","Lower-middle",IF(VLOOKUP(G206,income,R206-1985,FALSE)="L","Low")))</f>
        <v>Upper-middle</v>
      </c>
      <c r="I206" s="163">
        <v>0</v>
      </c>
      <c r="J206" s="162" t="s">
        <v>167</v>
      </c>
      <c r="K206" s="162" t="s">
        <v>166</v>
      </c>
      <c r="L206" s="207" t="str">
        <f t="shared" si="70"/>
        <v>PCV13 vs PCV10</v>
      </c>
      <c r="M206" s="162" t="s">
        <v>1551</v>
      </c>
      <c r="N206" s="163" t="s">
        <v>148</v>
      </c>
      <c r="O206" s="162" t="s">
        <v>159</v>
      </c>
      <c r="P206" s="162" t="s">
        <v>316</v>
      </c>
      <c r="Q206" s="211" t="s">
        <v>315</v>
      </c>
      <c r="R206" s="163">
        <v>2022</v>
      </c>
      <c r="S206" s="163">
        <v>225.62</v>
      </c>
      <c r="T206" s="198">
        <f>IF(ISNUMBER(S206),S206/VLOOKUP($Q206,xRates!$A$1:$BL$267,studies!$R206-xRates!$B$1+2,FALSE),"")</f>
        <v>13.790953545232275</v>
      </c>
      <c r="U206" s="163">
        <v>199.95</v>
      </c>
      <c r="V206" s="198">
        <f>IF(ISNUMBER(U206),U206/VLOOKUP($Q206,xRates!$A$1:$BL$267,studies!$R206-xRates!$B$1+2,FALSE),"")</f>
        <v>12.221882640586797</v>
      </c>
      <c r="W206" s="163">
        <v>0</v>
      </c>
      <c r="X206" s="163">
        <v>1</v>
      </c>
      <c r="Y206" s="163">
        <v>1</v>
      </c>
      <c r="Z206" s="163">
        <v>1</v>
      </c>
      <c r="AA206" s="163">
        <v>1</v>
      </c>
      <c r="AB206" s="163" t="s">
        <v>152</v>
      </c>
      <c r="AC206" s="193">
        <f>-78825963/3191</f>
        <v>-24702.589470385457</v>
      </c>
      <c r="AD206" s="201">
        <f>IF(ISNUMBER(AC206),AC206/VLOOKUP($Q206,xRates!$A$1:$BL$267,studies!$R206-xRates!$B$1+2,FALSE),"")</f>
        <v>-1509.9382316861527</v>
      </c>
      <c r="AE206" s="200">
        <f>IF(AD206&lt;0, 1, 0)</f>
        <v>1</v>
      </c>
      <c r="AF206" s="201">
        <f>VLOOKUP(G206,gdppc,R206-1958,FALSE)</f>
        <v>6766.5</v>
      </c>
      <c r="AG206" s="195" t="str">
        <f>IF(AD206="NA", ".", IF(AD206&lt;0,"Cost-saving",IF(AD206&lt;=AF206,"Cost-effective",IF(AD206&gt;AF206&amp;AD206&lt;&gt;"NA","Not cost-effective","Missing"))))</f>
        <v>Cost-saving</v>
      </c>
      <c r="AH206" s="195" t="str">
        <f>IF(AD206="NA", ".", IF(AD206&lt;0,"Cost-saving",IF(AD206&lt;=AF206*3,"Cost-effective",IF(AD206&gt;AF206*3&amp;AD206&lt;&gt;"NA","Not cost-effective","Missing"))))</f>
        <v>Cost-saving</v>
      </c>
      <c r="AI206" s="204">
        <f>IFERROR(AD206/AF206,"")</f>
        <v>-0.22314907732005507</v>
      </c>
      <c r="AJ206" s="205">
        <f>IFERROR(VLOOKUP(G206,ochalek,11,FALSE),"")</f>
        <v>0.57999999999999996</v>
      </c>
      <c r="AK206" s="195" t="str">
        <f>IF(AI206&lt;0,"Cost-saving", IF(AJ206="", "NA", IF(AI206&lt;AJ206, "Cost-effective", "Not cost-effective")))</f>
        <v>Cost-saving</v>
      </c>
      <c r="AL206" s="205">
        <f>IFERROR(VLOOKUP(G206,ochalek,10,FALSE),"")</f>
        <v>0.43</v>
      </c>
      <c r="AM206" s="207" t="str">
        <f>IF(AI206&lt;0,"Cost-saving", IF(AL206="", "NA", IF(AI206&lt;AL206, "Cost-effective", "Not cost-effective")))</f>
        <v>Cost-saving</v>
      </c>
      <c r="AN206" s="205">
        <f>IFERROR(VLOOKUP(G206,woods,6,FALSE),"")</f>
        <v>0.63349997312261463</v>
      </c>
      <c r="AO206" s="195" t="str">
        <f>IF(AI206&lt;0,"Cost-saving", IF(AN206="", "NA", IF(AI206&lt;AN206, "Cost-effective", "Not cost-effective")))</f>
        <v>Cost-saving</v>
      </c>
      <c r="AP206" s="205">
        <f>IFERROR(VLOOKUP(G206,woods,5,FALSE),"")</f>
        <v>0.15790463903671451</v>
      </c>
      <c r="AQ206" s="195" t="str">
        <f>IF(AI206&lt;0,"Cost-saving", IF(AP206="", "NA", IF(AI206&lt;AP206, "Cost-effective", "Not cost-effective")))</f>
        <v>Cost-saving</v>
      </c>
      <c r="AR206" s="205">
        <f>IFERROR(VLOOKUP(G206,riviere,8,FALSE),"")</f>
        <v>1.1847817978366282</v>
      </c>
      <c r="AS206" s="195" t="str">
        <f>IF(AI206&lt;0,"Cost-saving", IF(AR206="", "NA", IF(AI206&lt;AR206, "Cost-effective", "Not cost-effective")))</f>
        <v>Cost-saving</v>
      </c>
      <c r="AT206" s="205">
        <f>IFERROR(VLOOKUP(G206,riviere,7,FALSE),"")</f>
        <v>0.49116001491980604</v>
      </c>
      <c r="AU206" s="195" t="str">
        <f>IF(AI206&lt;0,"Cost-saving", IF(AT206="", "NA", IF(AI206&lt;AT206, "Cost-effective", "Not cost-effective")))</f>
        <v>Cost-saving</v>
      </c>
      <c r="AV206" s="162" t="s">
        <v>260</v>
      </c>
      <c r="AW206" s="162" t="s">
        <v>186</v>
      </c>
      <c r="AX206" s="210" t="str">
        <f>IF(AW206="Cost-Effective",IF(AK206="Not Cost-Effective",1,0),"")</f>
        <v/>
      </c>
      <c r="AY206" s="210" t="str">
        <f>IF(AW206="Cost-Effective",IF(AM206="Not Cost-Effective",1,0),"")</f>
        <v/>
      </c>
      <c r="AZ206" s="197" t="str">
        <f>IF(AW206="Cost-Effective",IF(AO206="Not Cost-Effective",1,0),"")</f>
        <v/>
      </c>
      <c r="BA206" s="197" t="str">
        <f>IF(AW206="Cost-Effective",IF(AQ206="Not Cost-Effective",1,0),"")</f>
        <v/>
      </c>
      <c r="BB206" s="197" t="str">
        <f>IF(AW206="Cost-Effective",IF(AS206="Not Cost-Effective",1,0),"")</f>
        <v/>
      </c>
      <c r="BC206" s="197" t="str">
        <f>IF(AW206="Cost-Effective",IF(AU206="Not Cost-Effective",1,0),"")</f>
        <v/>
      </c>
      <c r="BD206" s="197">
        <f>SUM(AX206:BC206)</f>
        <v>0</v>
      </c>
      <c r="BE206" s="163" t="s">
        <v>155</v>
      </c>
      <c r="BF206" s="162" t="s">
        <v>163</v>
      </c>
    </row>
    <row r="207" spans="1:58">
      <c r="A207" s="195">
        <f t="shared" si="88"/>
        <v>60</v>
      </c>
      <c r="B207" s="195">
        <f t="shared" si="89"/>
        <v>2</v>
      </c>
      <c r="C207" s="196" t="str">
        <f t="shared" si="90"/>
        <v>6002</v>
      </c>
      <c r="D207" s="159" t="s">
        <v>313</v>
      </c>
      <c r="E207" s="163">
        <v>2023</v>
      </c>
      <c r="F207" s="162" t="s">
        <v>314</v>
      </c>
      <c r="G207" s="162" t="s">
        <v>315</v>
      </c>
      <c r="H207" s="197" t="str">
        <f>IF(VLOOKUP(G207,income,R207-1985,FALSE)="UM","Upper-middle",IF(VLOOKUP(G207,income,R207-1985,FALSE)="LM","Lower-middle",IF(VLOOKUP(G207,income,R207-1985,FALSE)="L","Low")))</f>
        <v>Upper-middle</v>
      </c>
      <c r="I207" s="163">
        <v>0</v>
      </c>
      <c r="J207" s="162" t="s">
        <v>167</v>
      </c>
      <c r="K207" s="162" t="s">
        <v>166</v>
      </c>
      <c r="L207" s="207" t="str">
        <f t="shared" si="70"/>
        <v>PCV13 vs PCV10</v>
      </c>
      <c r="M207" s="162" t="s">
        <v>1551</v>
      </c>
      <c r="N207" s="163" t="s">
        <v>148</v>
      </c>
      <c r="O207" s="162" t="s">
        <v>159</v>
      </c>
      <c r="P207" s="162" t="s">
        <v>316</v>
      </c>
      <c r="Q207" s="211" t="s">
        <v>315</v>
      </c>
      <c r="R207" s="163">
        <v>2022</v>
      </c>
      <c r="S207" s="163">
        <v>225.62</v>
      </c>
      <c r="T207" s="198">
        <f>IF(ISNUMBER(S207),S207/VLOOKUP($Q207,xRates!$A$1:$BL$267,studies!$R207-xRates!$B$1+2,FALSE),"")</f>
        <v>13.790953545232275</v>
      </c>
      <c r="U207" s="163">
        <v>199</v>
      </c>
      <c r="V207" s="198">
        <f>IF(ISNUMBER(U207),U207/VLOOKUP($Q207,xRates!$A$1:$BL$267,studies!$R207-xRates!$B$1+2,FALSE),"")</f>
        <v>12.163814180929096</v>
      </c>
      <c r="W207" s="163">
        <v>0</v>
      </c>
      <c r="X207" s="163">
        <v>1</v>
      </c>
      <c r="Y207" s="163">
        <v>1</v>
      </c>
      <c r="Z207" s="163">
        <v>1</v>
      </c>
      <c r="AA207" s="163">
        <v>1</v>
      </c>
      <c r="AB207" s="163" t="s">
        <v>152</v>
      </c>
      <c r="AC207" s="193">
        <f>-6092248463/28899</f>
        <v>-210811.73961036713</v>
      </c>
      <c r="AD207" s="201">
        <f>IF(ISNUMBER(AC207),AC207/VLOOKUP($Q207,xRates!$A$1:$BL$267,studies!$R207-xRates!$B$1+2,FALSE),"")</f>
        <v>-12885.803154667918</v>
      </c>
      <c r="AE207" s="200">
        <f>IF(AD207&lt;0, 1, 0)</f>
        <v>1</v>
      </c>
      <c r="AF207" s="201">
        <f>VLOOKUP(G207,gdppc,R207-1958,FALSE)</f>
        <v>6766.5</v>
      </c>
      <c r="AG207" s="195" t="str">
        <f>IF(AD207="NA", ".", IF(AD207&lt;0,"Cost-saving",IF(AD207&lt;=AF207,"Cost-effective",IF(AD207&gt;AF207&amp;AD207&lt;&gt;"NA","Not cost-effective","Missing"))))</f>
        <v>Cost-saving</v>
      </c>
      <c r="AH207" s="195" t="str">
        <f>IF(AD207="NA", ".", IF(AD207&lt;0,"Cost-saving",IF(AD207&lt;=AF207*3,"Cost-effective",IF(AD207&gt;AF207*3&amp;AD207&lt;&gt;"NA","Not cost-effective","Missing"))))</f>
        <v>Cost-saving</v>
      </c>
      <c r="AI207" s="204">
        <f>IFERROR(AD207/AF207,"")</f>
        <v>-1.9043527901674304</v>
      </c>
      <c r="AJ207" s="205">
        <f>IFERROR(VLOOKUP(G207,ochalek,11,FALSE),"")</f>
        <v>0.57999999999999996</v>
      </c>
      <c r="AK207" s="195" t="str">
        <f>IF(AI207&lt;0,"Cost-saving", IF(AJ207="", "NA", IF(AI207&lt;AJ207, "Cost-effective", "Not cost-effective")))</f>
        <v>Cost-saving</v>
      </c>
      <c r="AL207" s="205">
        <f>IFERROR(VLOOKUP(G207,ochalek,10,FALSE),"")</f>
        <v>0.43</v>
      </c>
      <c r="AM207" s="207" t="str">
        <f>IF(AI207&lt;0,"Cost-saving", IF(AL207="", "NA", IF(AI207&lt;AL207, "Cost-effective", "Not cost-effective")))</f>
        <v>Cost-saving</v>
      </c>
      <c r="AN207" s="205">
        <f>IFERROR(VLOOKUP(G207,woods,6,FALSE),"")</f>
        <v>0.63349997312261463</v>
      </c>
      <c r="AO207" s="195" t="str">
        <f>IF(AI207&lt;0,"Cost-saving", IF(AN207="", "NA", IF(AI207&lt;AN207, "Cost-effective", "Not cost-effective")))</f>
        <v>Cost-saving</v>
      </c>
      <c r="AP207" s="205">
        <f>IFERROR(VLOOKUP(G207,woods,5,FALSE),"")</f>
        <v>0.15790463903671451</v>
      </c>
      <c r="AQ207" s="195" t="str">
        <f>IF(AI207&lt;0,"Cost-saving", IF(AP207="", "NA", IF(AI207&lt;AP207, "Cost-effective", "Not cost-effective")))</f>
        <v>Cost-saving</v>
      </c>
      <c r="AR207" s="205">
        <f>IFERROR(VLOOKUP(G207,riviere,8,FALSE),"")</f>
        <v>1.1847817978366282</v>
      </c>
      <c r="AS207" s="195" t="str">
        <f>IF(AI207&lt;0,"Cost-saving", IF(AR207="", "NA", IF(AI207&lt;AR207, "Cost-effective", "Not cost-effective")))</f>
        <v>Cost-saving</v>
      </c>
      <c r="AT207" s="205">
        <f>IFERROR(VLOOKUP(G207,riviere,7,FALSE),"")</f>
        <v>0.49116001491980604</v>
      </c>
      <c r="AU207" s="195" t="str">
        <f>IF(AI207&lt;0,"Cost-saving", IF(AT207="", "NA", IF(AI207&lt;AT207, "Cost-effective", "Not cost-effective")))</f>
        <v>Cost-saving</v>
      </c>
      <c r="AV207" s="162" t="s">
        <v>260</v>
      </c>
      <c r="AW207" s="162" t="s">
        <v>186</v>
      </c>
      <c r="AX207" s="210" t="str">
        <f>IF(AW207="Cost-Effective",IF(AK207="Not Cost-Effective",1,0),"")</f>
        <v/>
      </c>
      <c r="AY207" s="210" t="str">
        <f>IF(AW207="Cost-Effective",IF(AM207="Not Cost-Effective",1,0),"")</f>
        <v/>
      </c>
      <c r="AZ207" s="197" t="str">
        <f>IF(AW207="Cost-Effective",IF(AO207="Not Cost-Effective",1,0),"")</f>
        <v/>
      </c>
      <c r="BA207" s="197" t="str">
        <f>IF(AW207="Cost-Effective",IF(AQ207="Not Cost-Effective",1,0),"")</f>
        <v/>
      </c>
      <c r="BB207" s="197" t="str">
        <f>IF(AW207="Cost-Effective",IF(AS207="Not Cost-Effective",1,0),"")</f>
        <v/>
      </c>
      <c r="BC207" s="197" t="str">
        <f>IF(AW207="Cost-Effective",IF(AU207="Not Cost-Effective",1,0),"")</f>
        <v/>
      </c>
      <c r="BD207" s="197">
        <f>SUM(AX207:BC207)</f>
        <v>0</v>
      </c>
      <c r="BE207" s="163" t="s">
        <v>155</v>
      </c>
      <c r="BF207" s="162" t="s">
        <v>163</v>
      </c>
    </row>
    <row r="208" spans="1:58">
      <c r="A208" s="195">
        <f t="shared" si="88"/>
        <v>61</v>
      </c>
      <c r="B208" s="195">
        <f t="shared" si="89"/>
        <v>1</v>
      </c>
      <c r="C208" s="196" t="str">
        <f t="shared" si="90"/>
        <v>6101</v>
      </c>
      <c r="D208" s="159" t="s">
        <v>317</v>
      </c>
      <c r="E208" s="163">
        <v>2022</v>
      </c>
      <c r="F208" s="162" t="s">
        <v>318</v>
      </c>
      <c r="G208" s="162" t="s">
        <v>145</v>
      </c>
      <c r="H208" s="197" t="str">
        <f>IF(VLOOKUP(G208,income,R208-1985,FALSE)="UM","Upper-middle",IF(VLOOKUP(G208,income,R208-1985,FALSE)="LM","Lower-middle",IF(VLOOKUP(G208,income,R208-1985,FALSE)="L","Low")))</f>
        <v>Upper-middle</v>
      </c>
      <c r="I208" s="163">
        <v>1</v>
      </c>
      <c r="J208" s="162" t="s">
        <v>167</v>
      </c>
      <c r="K208" s="162" t="s">
        <v>147</v>
      </c>
      <c r="L208" s="207" t="str">
        <f t="shared" si="70"/>
        <v>PCV13 vs NoVax</v>
      </c>
      <c r="M208" s="162" t="s">
        <v>1551</v>
      </c>
      <c r="N208" s="163" t="s">
        <v>148</v>
      </c>
      <c r="O208" s="162" t="s">
        <v>149</v>
      </c>
      <c r="P208" s="162" t="s">
        <v>150</v>
      </c>
      <c r="Q208" s="162" t="s">
        <v>151</v>
      </c>
      <c r="R208" s="163">
        <v>2019</v>
      </c>
      <c r="S208" s="163">
        <v>25</v>
      </c>
      <c r="T208" s="198">
        <f>IF(ISNUMBER(S208),S208/VLOOKUP($Q208,xRates!$A$1:$BL$267,studies!$R208-xRates!$B$1+2,FALSE),"")</f>
        <v>25</v>
      </c>
      <c r="U208" s="163">
        <v>68.12</v>
      </c>
      <c r="V208" s="198">
        <f>IF(ISNUMBER(U208),U208/VLOOKUP($Q208,xRates!$A$1:$BL$267,studies!$R208-xRates!$B$1+2,FALSE),"")</f>
        <v>68.12</v>
      </c>
      <c r="W208" s="163">
        <v>1</v>
      </c>
      <c r="X208" s="163">
        <v>1</v>
      </c>
      <c r="Y208" s="163">
        <v>1</v>
      </c>
      <c r="Z208" s="163">
        <v>1</v>
      </c>
      <c r="AA208" s="163">
        <v>1</v>
      </c>
      <c r="AB208" s="163" t="s">
        <v>152</v>
      </c>
      <c r="AC208" s="193">
        <f xml:space="preserve"> 764189169/ 146335</f>
        <v>5222.1899682235962</v>
      </c>
      <c r="AD208" s="201">
        <f>IF(ISNUMBER(AC208),AC208/VLOOKUP($Q208,xRates!$A$1:$BL$267,studies!$R208-xRates!$B$1+2,FALSE),"")</f>
        <v>5222.1899682235962</v>
      </c>
      <c r="AE208" s="200">
        <f t="shared" si="71"/>
        <v>0</v>
      </c>
      <c r="AF208" s="201">
        <f>VLOOKUP(G208,gdppc,R208-1958,FALSE)</f>
        <v>10143.9</v>
      </c>
      <c r="AG208" s="195" t="str">
        <f t="shared" si="91"/>
        <v>Cost-effective</v>
      </c>
      <c r="AH208" s="195" t="str">
        <f>IF(AD208="NA", ".", IF(AD208&lt;0,"Cost-saving",IF(AD208&lt;=AF208*3,"Cost-effective",IF(AD208&gt;AF208*3&amp;AD208&lt;&gt;"NA","Not cost-effective","Missing"))))</f>
        <v>Cost-effective</v>
      </c>
      <c r="AI208" s="204">
        <f t="shared" si="105"/>
        <v>0.51481086842571366</v>
      </c>
      <c r="AJ208" s="205">
        <f>IFERROR(VLOOKUP(G208,ochalek,11,FALSE),"")</f>
        <v>0.71</v>
      </c>
      <c r="AK208" s="195" t="str">
        <f t="shared" ref="AK208" si="106">IF(AI208&lt;0,"Cost-saving", IF(AJ208="", "NA", IF(AI208&lt;AJ208, "Cost-effective", "Not cost-effective")))</f>
        <v>Cost-effective</v>
      </c>
      <c r="AL208" s="205">
        <f>IFERROR(VLOOKUP(G208,ochalek,10,FALSE),"")</f>
        <v>0.45</v>
      </c>
      <c r="AM208" s="207" t="str">
        <f t="shared" ref="AM208" si="107">IF(AI208&lt;0,"Cost-saving", IF(AL208="", "NA", IF(AI208&lt;AL208, "Cost-effective", "Not cost-effective")))</f>
        <v>Not cost-effective</v>
      </c>
      <c r="AN208" s="205">
        <f>IFERROR(VLOOKUP(G208,woods,6,FALSE),"")</f>
        <v>0.64811121873397526</v>
      </c>
      <c r="AO208" s="195" t="str">
        <f t="shared" ref="AO208" si="108">IF(AI208&lt;0,"Cost-saving", IF(AN208="", "NA", IF(AI208&lt;AN208, "Cost-effective", "Not cost-effective")))</f>
        <v>Cost-effective</v>
      </c>
      <c r="AP208" s="205">
        <f>IFERROR(VLOOKUP(G208,woods,5,FALSE),"")</f>
        <v>0.16395077203578146</v>
      </c>
      <c r="AQ208" s="195" t="str">
        <f t="shared" ref="AQ208" si="109">IF(AI208&lt;0,"Cost-saving", IF(AP208="", "NA", IF(AI208&lt;AP208, "Cost-effective", "Not cost-effective")))</f>
        <v>Not cost-effective</v>
      </c>
      <c r="AR208" s="205">
        <f>IFERROR(VLOOKUP(G208,riviere,8,FALSE),"")</f>
        <v>0.90271000305602389</v>
      </c>
      <c r="AS208" s="195" t="str">
        <f t="shared" ref="AS208" si="110">IF(AI208&lt;0,"Cost-saving", IF(AR208="", "NA", IF(AI208&lt;AR208, "Cost-effective", "Not cost-effective")))</f>
        <v>Cost-effective</v>
      </c>
      <c r="AT208" s="205">
        <f>IFERROR(VLOOKUP(G208,riviere,7,FALSE),"")</f>
        <v>0.374116464081862</v>
      </c>
      <c r="AU208" s="195" t="str">
        <f t="shared" ref="AU208" si="111">IF(AI208&lt;0,"Cost-saving", IF(AT208="", "NA", IF(AI208&lt;AT208, "Cost-effective", "Not cost-effective")))</f>
        <v>Not cost-effective</v>
      </c>
      <c r="AV208" s="162" t="s">
        <v>176</v>
      </c>
      <c r="AW208" s="162" t="s">
        <v>162</v>
      </c>
      <c r="AX208" s="210">
        <f t="shared" ref="AX208" si="112">IF(AW208="Cost-Effective",IF(AK208="Not Cost-Effective",1,0),"")</f>
        <v>0</v>
      </c>
      <c r="AY208" s="210">
        <f t="shared" si="99"/>
        <v>1</v>
      </c>
      <c r="AZ208" s="197">
        <f t="shared" si="100"/>
        <v>0</v>
      </c>
      <c r="BA208" s="197">
        <f t="shared" si="101"/>
        <v>1</v>
      </c>
      <c r="BB208" s="197">
        <f t="shared" si="102"/>
        <v>0</v>
      </c>
      <c r="BC208" s="197">
        <f t="shared" si="103"/>
        <v>1</v>
      </c>
      <c r="BD208" s="197">
        <f t="shared" si="104"/>
        <v>3</v>
      </c>
      <c r="BE208" s="163" t="s">
        <v>148</v>
      </c>
      <c r="BF208" s="162" t="s">
        <v>156</v>
      </c>
    </row>
    <row r="209" spans="1:58">
      <c r="A209" s="195">
        <f t="shared" si="88"/>
        <v>62</v>
      </c>
      <c r="B209" s="195">
        <f t="shared" si="89"/>
        <v>1</v>
      </c>
      <c r="C209" s="196" t="str">
        <f t="shared" si="90"/>
        <v>6201</v>
      </c>
      <c r="D209" s="159" t="s">
        <v>271</v>
      </c>
      <c r="E209" s="163">
        <v>2023</v>
      </c>
      <c r="F209" s="162" t="s">
        <v>319</v>
      </c>
      <c r="G209" s="162" t="s">
        <v>241</v>
      </c>
      <c r="H209" s="197" t="str">
        <f>IF(VLOOKUP(G209,income,R209-1985,FALSE)="UM","Upper-middle",IF(VLOOKUP(G209,income,R209-1985,FALSE)="LM","Lower-middle",IF(VLOOKUP(G209,income,R209-1985,FALSE)="L","Low")))</f>
        <v>Upper-middle</v>
      </c>
      <c r="I209" s="163">
        <v>0</v>
      </c>
      <c r="J209" s="162" t="s">
        <v>167</v>
      </c>
      <c r="K209" s="162" t="s">
        <v>166</v>
      </c>
      <c r="L209" s="207" t="str">
        <f t="shared" si="70"/>
        <v>PCV13 vs PCV10</v>
      </c>
      <c r="M209" s="162" t="s">
        <v>1551</v>
      </c>
      <c r="N209" s="163" t="s">
        <v>148</v>
      </c>
      <c r="O209" s="162" t="s">
        <v>149</v>
      </c>
      <c r="P209" s="162" t="s">
        <v>150</v>
      </c>
      <c r="Q209" s="162" t="s">
        <v>151</v>
      </c>
      <c r="R209" s="163">
        <v>2022</v>
      </c>
      <c r="S209" s="163">
        <v>14.5</v>
      </c>
      <c r="T209" s="198">
        <f>IF(ISNUMBER(S209),S209/VLOOKUP($Q209,xRates!$A$1:$BL$267,studies!$R209-xRates!$B$1+2,FALSE),"")</f>
        <v>14.5</v>
      </c>
      <c r="U209" s="163">
        <v>12.85</v>
      </c>
      <c r="V209" s="198">
        <f>IF(ISNUMBER(U209),U209/VLOOKUP($Q209,xRates!$A$1:$BL$267,studies!$R209-xRates!$B$1+2,FALSE),"")</f>
        <v>12.85</v>
      </c>
      <c r="W209" s="163">
        <v>1</v>
      </c>
      <c r="X209" s="163">
        <v>0</v>
      </c>
      <c r="Y209" s="163">
        <v>1</v>
      </c>
      <c r="Z209" s="163">
        <v>1</v>
      </c>
      <c r="AA209" s="163">
        <v>1</v>
      </c>
      <c r="AB209" s="163" t="s">
        <v>263</v>
      </c>
      <c r="AC209" s="193">
        <f>-23100000/41994</f>
        <v>-550.07858265466496</v>
      </c>
      <c r="AD209" s="201">
        <f>IF(ISNUMBER(AC209),AC209/VLOOKUP($Q209,xRates!$A$1:$BL$267,studies!$R209-xRates!$B$1+2,FALSE),"")</f>
        <v>-550.07858265466496</v>
      </c>
      <c r="AE209" s="200">
        <f>IF(AD209&lt;0, 1, 0)</f>
        <v>1</v>
      </c>
      <c r="AF209" s="201">
        <f>VLOOKUP(G209,gdppc,R209-1958,FALSE)</f>
        <v>6657.1</v>
      </c>
      <c r="AG209" s="195" t="str">
        <f>IF(AD209="NA", ".", IF(AD209&lt;0,"Cost-saving",IF(AD209&lt;=AF209,"Cost-effective",IF(AD209&gt;AF209&amp;AD209&lt;&gt;"NA","Not cost-effective","Missing"))))</f>
        <v>Cost-saving</v>
      </c>
      <c r="AH209" s="195" t="str">
        <f>IF(AD209="NA", ".", IF(AD209&lt;0,"Cost-saving",IF(AD209&lt;=AF209*3,"Cost-effective",IF(AD209&gt;AF209*3&amp;AD209&lt;&gt;"NA","Not cost-effective","Missing"))))</f>
        <v>Cost-saving</v>
      </c>
      <c r="AI209" s="214">
        <f>IFERROR(AD209/AF209,"")</f>
        <v>-8.2630361967623273E-2</v>
      </c>
      <c r="AJ209" s="215">
        <f>IFERROR(VLOOKUP(G209,ochalek,11,FALSE),"")</f>
        <v>1.89</v>
      </c>
      <c r="AK209" s="195" t="str">
        <f>IF(AI209&lt;0,"Cost-saving", IF(AJ209="", "NA", IF(AI209&lt;AJ209, "Cost-effective", "Not cost-effective")))</f>
        <v>Cost-saving</v>
      </c>
      <c r="AL209" s="215">
        <f>IFERROR(VLOOKUP(G209,ochalek,10,FALSE),"")</f>
        <v>1.17</v>
      </c>
      <c r="AM209" s="207" t="str">
        <f>IF(AI209&lt;0,"Cost-saving", IF(AL209="", "NA", IF(AI209&lt;AL209, "Cost-effective", "Not cost-effective")))</f>
        <v>Cost-saving</v>
      </c>
      <c r="AN209" s="215">
        <f>IFERROR(VLOOKUP(G209,woods,6,FALSE),"")</f>
        <v>0.6677477128612227</v>
      </c>
      <c r="AO209" s="195" t="str">
        <f>IF(AI209&lt;0,"Cost-saving", IF(AN209="", "NA", IF(AI209&lt;AN209, "Cost-effective", "Not cost-effective")))</f>
        <v>Cost-saving</v>
      </c>
      <c r="AP209" s="215">
        <f>IFERROR(VLOOKUP(G209,woods,5,FALSE),"")</f>
        <v>0.16578730819497556</v>
      </c>
      <c r="AQ209" s="195" t="str">
        <f>IF(AI209&lt;0,"Cost-saving", IF(AP209="", "NA", IF(AI209&lt;AP209, "Cost-effective", "Not cost-effective")))</f>
        <v>Cost-saving</v>
      </c>
      <c r="AR209" s="215">
        <f>IFERROR(VLOOKUP(G209,riviere,8,FALSE),"")</f>
        <v>1.3213703099510603</v>
      </c>
      <c r="AS209" s="195" t="str">
        <f>IF(AI209&lt;0,"Cost-saving", IF(AR209="", "NA", IF(AI209&lt;AR209, "Cost-effective", "Not cost-effective")))</f>
        <v>Cost-saving</v>
      </c>
      <c r="AT209" s="215">
        <f>IFERROR(VLOOKUP(G209,riviere,7,FALSE),"")</f>
        <v>0.54765788860405495</v>
      </c>
      <c r="AU209" s="195" t="str">
        <f>IF(AI209&lt;0,"Cost-saving", IF(AT209="", "NA", IF(AI209&lt;AT209, "Cost-effective", "Not cost-effective")))</f>
        <v>Cost-saving</v>
      </c>
      <c r="AV209" s="162" t="s">
        <v>260</v>
      </c>
      <c r="AW209" s="162" t="s">
        <v>186</v>
      </c>
      <c r="AX209" s="210" t="str">
        <f>IF(AW209="Cost-Effective",IF(AK209="Not Cost-Effective",1,0),"")</f>
        <v/>
      </c>
      <c r="AY209" s="210" t="str">
        <f>IF(AW209="Cost-Effective",IF(AM209="Not Cost-Effective",1,0),"")</f>
        <v/>
      </c>
      <c r="AZ209" s="197" t="str">
        <f>IF(AW209="Cost-Effective",IF(AO209="Not Cost-Effective",1,0),"")</f>
        <v/>
      </c>
      <c r="BA209" s="197" t="str">
        <f>IF(AW209="Cost-Effective",IF(AQ209="Not Cost-Effective",1,0),"")</f>
        <v/>
      </c>
      <c r="BB209" s="197" t="str">
        <f>IF(AW209="Cost-Effective",IF(AS209="Not Cost-Effective",1,0),"")</f>
        <v/>
      </c>
      <c r="BC209" s="197" t="str">
        <f>IF(AW209="Cost-Effective",IF(AU209="Not Cost-Effective",1,0),"")</f>
        <v/>
      </c>
      <c r="BD209" s="197">
        <f>SUM(AX209:BC209)</f>
        <v>0</v>
      </c>
      <c r="BE209" s="163" t="s">
        <v>155</v>
      </c>
      <c r="BF209" s="162" t="s">
        <v>163</v>
      </c>
    </row>
    <row r="210" spans="1:58">
      <c r="A210" s="195">
        <f t="shared" si="88"/>
        <v>63</v>
      </c>
      <c r="B210" s="195">
        <f t="shared" si="89"/>
        <v>1</v>
      </c>
      <c r="C210" s="196" t="str">
        <f t="shared" si="90"/>
        <v>6301</v>
      </c>
      <c r="D210" s="159" t="s">
        <v>320</v>
      </c>
      <c r="E210" s="163">
        <v>2022</v>
      </c>
      <c r="F210" s="162" t="s">
        <v>321</v>
      </c>
      <c r="G210" s="162" t="s">
        <v>232</v>
      </c>
      <c r="H210" s="197" t="str">
        <f>IF(VLOOKUP(G210,income,R210-1985,FALSE)="UM","Upper-middle",IF(VLOOKUP(G210,income,R210-1985,FALSE)="LM","Lower-middle",IF(VLOOKUP(G210,income,R210-1985,FALSE)="L","Low")))</f>
        <v>Lower-middle</v>
      </c>
      <c r="I210" s="163">
        <v>0</v>
      </c>
      <c r="J210" s="162" t="s">
        <v>166</v>
      </c>
      <c r="K210" s="162" t="s">
        <v>147</v>
      </c>
      <c r="L210" s="207" t="str">
        <f t="shared" si="70"/>
        <v>PCV10 vs NoVax</v>
      </c>
      <c r="M210" s="162" t="s">
        <v>1551</v>
      </c>
      <c r="N210" s="163" t="s">
        <v>148</v>
      </c>
      <c r="O210" s="162" t="s">
        <v>159</v>
      </c>
      <c r="P210" s="162" t="s">
        <v>150</v>
      </c>
      <c r="Q210" s="162" t="s">
        <v>151</v>
      </c>
      <c r="R210" s="163">
        <v>2016</v>
      </c>
      <c r="S210" s="163">
        <v>12.85</v>
      </c>
      <c r="T210" s="198">
        <f>IF(ISNUMBER(S210),S210/VLOOKUP($Q210,xRates!$A$1:$BL$267,studies!$R210-xRates!$B$1+2,FALSE),"")</f>
        <v>12.85</v>
      </c>
      <c r="V210" s="198" t="str">
        <f>IF(ISNUMBER(U210),U210/VLOOKUP($Q210,xRates!$A$1:$BL$267,studies!$R210-xRates!$B$1+2,FALSE),"")</f>
        <v/>
      </c>
      <c r="W210" s="163">
        <v>1</v>
      </c>
      <c r="X210" s="163">
        <v>1</v>
      </c>
      <c r="Y210" s="163">
        <v>1</v>
      </c>
      <c r="Z210" s="163">
        <v>1</v>
      </c>
      <c r="AA210" s="163">
        <v>1</v>
      </c>
      <c r="AB210" s="163" t="s">
        <v>152</v>
      </c>
      <c r="AC210" s="193">
        <v>1984.41</v>
      </c>
      <c r="AD210" s="201">
        <f>IF(ISNUMBER(AC210),AC210/VLOOKUP($Q210,xRates!$A$1:$BL$267,studies!$R210-xRates!$B$1+2,FALSE),"")</f>
        <v>1984.41</v>
      </c>
      <c r="AE210" s="200">
        <f t="shared" ref="AE210:AE212" si="113">IF(AD210&lt;0, 1, 0)</f>
        <v>0</v>
      </c>
      <c r="AF210" s="201">
        <f>VLOOKUP(G210,gdppc,R210-1958,FALSE)</f>
        <v>3331.6</v>
      </c>
      <c r="AG210" s="195" t="str">
        <f t="shared" ref="AG210:AG212" si="114">IF(AD210="NA", ".", IF(AD210&lt;0,"Cost-saving",IF(AD210&lt;=AF210,"Cost-effective",IF(AD210&gt;AF210&amp;AD210&lt;&gt;"NA","Not cost-effective","Missing"))))</f>
        <v>Cost-effective</v>
      </c>
      <c r="AH210" s="195" t="str">
        <f t="shared" ref="AH210:AH212" si="115">IF(AD210="NA", ".", IF(AD210&lt;0,"Cost-saving",IF(AD210&lt;=AF210*3,"Cost-effective",IF(AD210&gt;AF210*3&amp;AD210&lt;&gt;"NA","Not cost-effective","Missing"))))</f>
        <v>Cost-effective</v>
      </c>
      <c r="AI210" s="204">
        <f t="shared" ref="AI210:AI212" si="116">IFERROR(AD210/AF210,"")</f>
        <v>0.59563272901908992</v>
      </c>
      <c r="AJ210" s="205">
        <f>IFERROR(VLOOKUP(G210,ochalek,11,FALSE),"")</f>
        <v>0.41</v>
      </c>
      <c r="AK210" s="195" t="str">
        <f t="shared" ref="AK210:AK212" si="117">IF(AI210&lt;0,"Cost-saving", IF(AJ210="", "NA", IF(AI210&lt;AJ210, "Cost-effective", "Not cost-effective")))</f>
        <v>Not cost-effective</v>
      </c>
      <c r="AL210" s="205">
        <f>IFERROR(VLOOKUP(G210,ochalek,10,FALSE),"")</f>
        <v>0.27</v>
      </c>
      <c r="AM210" s="207" t="str">
        <f t="shared" ref="AM210:AM212" si="118">IF(AI210&lt;0,"Cost-saving", IF(AL210="", "NA", IF(AI210&lt;AL210, "Cost-effective", "Not cost-effective")))</f>
        <v>Not cost-effective</v>
      </c>
      <c r="AN210" s="205">
        <f>IFERROR(VLOOKUP(G210,woods,6,FALSE),"")</f>
        <v>0.64521350642623587</v>
      </c>
      <c r="AO210" s="195" t="str">
        <f t="shared" ref="AO210:AO212" si="119">IF(AI210&lt;0,"Cost-saving", IF(AN210="", "NA", IF(AI210&lt;AN210, "Cost-effective", "Not cost-effective")))</f>
        <v>Cost-effective</v>
      </c>
      <c r="AP210" s="205">
        <f>IFERROR(VLOOKUP(G210,woods,5,FALSE),"")</f>
        <v>0.16899219786979183</v>
      </c>
      <c r="AQ210" s="195" t="str">
        <f t="shared" ref="AQ210:AQ212" si="120">IF(AI210&lt;0,"Cost-saving", IF(AP210="", "NA", IF(AI210&lt;AP210, "Cost-effective", "Not cost-effective")))</f>
        <v>Not cost-effective</v>
      </c>
      <c r="AR210" s="205">
        <f>IFERROR(VLOOKUP(G210,riviere,8,FALSE),"")</f>
        <v>0.49249328870181946</v>
      </c>
      <c r="AS210" s="195" t="str">
        <f t="shared" ref="AS210:AS212" si="121">IF(AI210&lt;0,"Cost-saving", IF(AR210="", "NA", IF(AI210&lt;AR210, "Cost-effective", "Not cost-effective")))</f>
        <v>Not cost-effective</v>
      </c>
      <c r="AT210" s="205">
        <f>IFERROR(VLOOKUP(G210,riviere,7,FALSE),"")</f>
        <v>0.19819043515725979</v>
      </c>
      <c r="AU210" s="195" t="str">
        <f t="shared" ref="AU210:AU212" si="122">IF(AI210&lt;0,"Cost-saving", IF(AT210="", "NA", IF(AI210&lt;AT210, "Cost-effective", "Not cost-effective")))</f>
        <v>Not cost-effective</v>
      </c>
      <c r="AV210" s="162" t="s">
        <v>176</v>
      </c>
      <c r="AW210" s="162" t="s">
        <v>162</v>
      </c>
      <c r="AX210" s="210">
        <f t="shared" ref="AX210:AX212" si="123">IF(AW210="Cost-Effective",IF(AK210="Not Cost-Effective",1,0),"")</f>
        <v>1</v>
      </c>
      <c r="AY210" s="210">
        <f t="shared" ref="AY210:AY212" si="124">IF(AW210="Cost-Effective",IF(AM210="Not Cost-Effective",1,0),"")</f>
        <v>1</v>
      </c>
      <c r="AZ210" s="197">
        <f t="shared" ref="AZ210:AZ212" si="125">IF(AW210="Cost-Effective",IF(AO210="Not Cost-Effective",1,0),"")</f>
        <v>0</v>
      </c>
      <c r="BA210" s="197">
        <f t="shared" ref="BA210:BA212" si="126">IF(AW210="Cost-Effective",IF(AQ210="Not Cost-Effective",1,0),"")</f>
        <v>1</v>
      </c>
      <c r="BB210" s="197">
        <f t="shared" ref="BB210:BB212" si="127">IF(AW210="Cost-Effective",IF(AS210="Not Cost-Effective",1,0),"")</f>
        <v>1</v>
      </c>
      <c r="BC210" s="197">
        <f t="shared" ref="BC210:BC212" si="128">IF(AW210="Cost-Effective",IF(AU210="Not Cost-Effective",1,0),"")</f>
        <v>1</v>
      </c>
      <c r="BD210" s="197">
        <f t="shared" ref="BD210:BD212" si="129">SUM(AX210:BC210)</f>
        <v>5</v>
      </c>
      <c r="BE210" s="163" t="s">
        <v>155</v>
      </c>
      <c r="BF210" s="162" t="s">
        <v>163</v>
      </c>
    </row>
    <row r="211" spans="1:58">
      <c r="A211" s="195">
        <f t="shared" si="88"/>
        <v>63</v>
      </c>
      <c r="B211" s="195">
        <f t="shared" si="89"/>
        <v>2</v>
      </c>
      <c r="C211" s="196" t="str">
        <f t="shared" si="90"/>
        <v>6302</v>
      </c>
      <c r="D211" s="159" t="s">
        <v>320</v>
      </c>
      <c r="E211" s="163">
        <v>2022</v>
      </c>
      <c r="F211" s="162" t="s">
        <v>321</v>
      </c>
      <c r="G211" s="162" t="s">
        <v>232</v>
      </c>
      <c r="H211" s="197" t="str">
        <f>IF(VLOOKUP(G211,income,R211-1985,FALSE)="UM","Upper-middle",IF(VLOOKUP(G211,income,R211-1985,FALSE)="LM","Lower-middle",IF(VLOOKUP(G211,income,R211-1985,FALSE)="L","Low")))</f>
        <v>Lower-middle</v>
      </c>
      <c r="I211" s="163">
        <v>0</v>
      </c>
      <c r="J211" s="162" t="s">
        <v>167</v>
      </c>
      <c r="K211" s="162" t="s">
        <v>147</v>
      </c>
      <c r="L211" s="207" t="str">
        <f t="shared" si="70"/>
        <v>PCV13 vs NoVax</v>
      </c>
      <c r="M211" s="162" t="s">
        <v>1551</v>
      </c>
      <c r="N211" s="163" t="s">
        <v>148</v>
      </c>
      <c r="O211" s="162" t="s">
        <v>159</v>
      </c>
      <c r="P211" s="162" t="s">
        <v>150</v>
      </c>
      <c r="Q211" s="162" t="s">
        <v>151</v>
      </c>
      <c r="R211" s="163">
        <v>2016</v>
      </c>
      <c r="S211" s="163">
        <v>14.5</v>
      </c>
      <c r="T211" s="198">
        <f>IF(ISNUMBER(S211),S211/VLOOKUP($Q211,xRates!$A$1:$BL$267,studies!$R211-xRates!$B$1+2,FALSE),"")</f>
        <v>14.5</v>
      </c>
      <c r="V211" s="198" t="str">
        <f>IF(ISNUMBER(U211),U211/VLOOKUP($Q211,xRates!$A$1:$BL$267,studies!$R211-xRates!$B$1+2,FALSE),"")</f>
        <v/>
      </c>
      <c r="W211" s="163">
        <v>1</v>
      </c>
      <c r="X211" s="163">
        <v>1</v>
      </c>
      <c r="Y211" s="163">
        <v>1</v>
      </c>
      <c r="Z211" s="163">
        <v>1</v>
      </c>
      <c r="AA211" s="163">
        <v>1</v>
      </c>
      <c r="AB211" s="163" t="s">
        <v>152</v>
      </c>
      <c r="AC211" s="193">
        <v>925.6</v>
      </c>
      <c r="AD211" s="201">
        <f>IF(ISNUMBER(AC211),AC211/VLOOKUP($Q211,xRates!$A$1:$BL$267,studies!$R211-xRates!$B$1+2,FALSE),"")</f>
        <v>925.6</v>
      </c>
      <c r="AE211" s="200">
        <f t="shared" si="113"/>
        <v>0</v>
      </c>
      <c r="AF211" s="201">
        <f>VLOOKUP(G211,gdppc,R211-1958,FALSE)</f>
        <v>3331.6</v>
      </c>
      <c r="AG211" s="195" t="str">
        <f t="shared" si="114"/>
        <v>Cost-effective</v>
      </c>
      <c r="AH211" s="195" t="str">
        <f t="shared" si="115"/>
        <v>Cost-effective</v>
      </c>
      <c r="AI211" s="204">
        <f t="shared" si="116"/>
        <v>0.27782446872373634</v>
      </c>
      <c r="AJ211" s="205">
        <f>IFERROR(VLOOKUP(G211,ochalek,11,FALSE),"")</f>
        <v>0.41</v>
      </c>
      <c r="AK211" s="195" t="str">
        <f t="shared" si="117"/>
        <v>Cost-effective</v>
      </c>
      <c r="AL211" s="205">
        <f>IFERROR(VLOOKUP(G211,ochalek,10,FALSE),"")</f>
        <v>0.27</v>
      </c>
      <c r="AM211" s="207" t="str">
        <f t="shared" si="118"/>
        <v>Not cost-effective</v>
      </c>
      <c r="AN211" s="205">
        <f>IFERROR(VLOOKUP(G211,woods,6,FALSE),"")</f>
        <v>0.64521350642623587</v>
      </c>
      <c r="AO211" s="195" t="str">
        <f t="shared" si="119"/>
        <v>Cost-effective</v>
      </c>
      <c r="AP211" s="205">
        <f>IFERROR(VLOOKUP(G211,woods,5,FALSE),"")</f>
        <v>0.16899219786979183</v>
      </c>
      <c r="AQ211" s="195" t="str">
        <f t="shared" si="120"/>
        <v>Not cost-effective</v>
      </c>
      <c r="AR211" s="205">
        <f>IFERROR(VLOOKUP(G211,riviere,8,FALSE),"")</f>
        <v>0.49249328870181946</v>
      </c>
      <c r="AS211" s="195" t="str">
        <f t="shared" si="121"/>
        <v>Cost-effective</v>
      </c>
      <c r="AT211" s="205">
        <f>IFERROR(VLOOKUP(G211,riviere,7,FALSE),"")</f>
        <v>0.19819043515725979</v>
      </c>
      <c r="AU211" s="195" t="str">
        <f t="shared" si="122"/>
        <v>Not cost-effective</v>
      </c>
      <c r="AV211" s="162" t="s">
        <v>176</v>
      </c>
      <c r="AW211" s="162" t="s">
        <v>162</v>
      </c>
      <c r="AX211" s="210">
        <f t="shared" si="123"/>
        <v>0</v>
      </c>
      <c r="AY211" s="210">
        <f t="shared" si="124"/>
        <v>1</v>
      </c>
      <c r="AZ211" s="197">
        <f t="shared" si="125"/>
        <v>0</v>
      </c>
      <c r="BA211" s="197">
        <f t="shared" si="126"/>
        <v>1</v>
      </c>
      <c r="BB211" s="197">
        <f t="shared" si="127"/>
        <v>0</v>
      </c>
      <c r="BC211" s="197">
        <f t="shared" si="128"/>
        <v>1</v>
      </c>
      <c r="BD211" s="197">
        <f t="shared" si="129"/>
        <v>3</v>
      </c>
      <c r="BE211" s="163" t="s">
        <v>155</v>
      </c>
      <c r="BF211" s="162" t="s">
        <v>163</v>
      </c>
    </row>
    <row r="212" spans="1:58">
      <c r="A212" s="195">
        <f t="shared" si="88"/>
        <v>63</v>
      </c>
      <c r="B212" s="195">
        <f t="shared" si="89"/>
        <v>3</v>
      </c>
      <c r="C212" s="196" t="str">
        <f t="shared" si="90"/>
        <v>6303</v>
      </c>
      <c r="D212" s="159" t="s">
        <v>320</v>
      </c>
      <c r="E212" s="163">
        <v>2022</v>
      </c>
      <c r="F212" s="162" t="s">
        <v>321</v>
      </c>
      <c r="G212" s="162" t="s">
        <v>232</v>
      </c>
      <c r="H212" s="197" t="str">
        <f>IF(VLOOKUP(G212,income,R212-1985,FALSE)="UM","Upper-middle",IF(VLOOKUP(G212,income,R212-1985,FALSE)="LM","Lower-middle",IF(VLOOKUP(G212,income,R212-1985,FALSE)="L","Low")))</f>
        <v>Lower-middle</v>
      </c>
      <c r="I212" s="163">
        <v>0</v>
      </c>
      <c r="J212" s="162" t="s">
        <v>167</v>
      </c>
      <c r="K212" s="162" t="s">
        <v>166</v>
      </c>
      <c r="L212" s="207" t="str">
        <f t="shared" si="70"/>
        <v>PCV13 vs PCV10</v>
      </c>
      <c r="M212" s="162" t="s">
        <v>1551</v>
      </c>
      <c r="N212" s="163" t="s">
        <v>148</v>
      </c>
      <c r="O212" s="162" t="s">
        <v>159</v>
      </c>
      <c r="P212" s="162" t="s">
        <v>150</v>
      </c>
      <c r="Q212" s="162" t="s">
        <v>151</v>
      </c>
      <c r="R212" s="163">
        <v>2016</v>
      </c>
      <c r="S212" s="163">
        <v>14.5</v>
      </c>
      <c r="T212" s="198">
        <f>IF(ISNUMBER(S212),S212/VLOOKUP($Q212,xRates!$A$1:$BL$267,studies!$R212-xRates!$B$1+2,FALSE),"")</f>
        <v>14.5</v>
      </c>
      <c r="U212" s="163">
        <v>12.85</v>
      </c>
      <c r="V212" s="198">
        <f>IF(ISNUMBER(U212),U212/VLOOKUP($Q212,xRates!$A$1:$BL$267,studies!$R212-xRates!$B$1+2,FALSE),"")</f>
        <v>12.85</v>
      </c>
      <c r="W212" s="163">
        <v>1</v>
      </c>
      <c r="X212" s="163">
        <v>1</v>
      </c>
      <c r="Y212" s="163">
        <v>1</v>
      </c>
      <c r="Z212" s="163">
        <v>1</v>
      </c>
      <c r="AA212" s="163">
        <v>1</v>
      </c>
      <c r="AB212" s="163" t="s">
        <v>152</v>
      </c>
      <c r="AC212" s="193">
        <v>173.98</v>
      </c>
      <c r="AD212" s="201">
        <f>IF(ISNUMBER(AC212),AC212/VLOOKUP($Q212,xRates!$A$1:$BL$267,studies!$R212-xRates!$B$1+2,FALSE),"")</f>
        <v>173.98</v>
      </c>
      <c r="AE212" s="200">
        <f t="shared" si="113"/>
        <v>0</v>
      </c>
      <c r="AF212" s="201">
        <f>VLOOKUP(G212,gdppc,R212-1958,FALSE)</f>
        <v>3331.6</v>
      </c>
      <c r="AG212" s="195" t="str">
        <f t="shared" si="114"/>
        <v>Cost-effective</v>
      </c>
      <c r="AH212" s="195" t="str">
        <f t="shared" si="115"/>
        <v>Cost-effective</v>
      </c>
      <c r="AI212" s="204">
        <f t="shared" si="116"/>
        <v>5.222115500060031E-2</v>
      </c>
      <c r="AJ212" s="205">
        <f>IFERROR(VLOOKUP(G212,ochalek,11,FALSE),"")</f>
        <v>0.41</v>
      </c>
      <c r="AK212" s="195" t="str">
        <f t="shared" si="117"/>
        <v>Cost-effective</v>
      </c>
      <c r="AL212" s="205">
        <f>IFERROR(VLOOKUP(G212,ochalek,10,FALSE),"")</f>
        <v>0.27</v>
      </c>
      <c r="AM212" s="207" t="str">
        <f t="shared" si="118"/>
        <v>Cost-effective</v>
      </c>
      <c r="AN212" s="205">
        <f>IFERROR(VLOOKUP(G212,woods,6,FALSE),"")</f>
        <v>0.64521350642623587</v>
      </c>
      <c r="AO212" s="195" t="str">
        <f t="shared" si="119"/>
        <v>Cost-effective</v>
      </c>
      <c r="AP212" s="205">
        <f>IFERROR(VLOOKUP(G212,woods,5,FALSE),"")</f>
        <v>0.16899219786979183</v>
      </c>
      <c r="AQ212" s="195" t="str">
        <f t="shared" si="120"/>
        <v>Cost-effective</v>
      </c>
      <c r="AR212" s="205">
        <f>IFERROR(VLOOKUP(G212,riviere,8,FALSE),"")</f>
        <v>0.49249328870181946</v>
      </c>
      <c r="AS212" s="195" t="str">
        <f t="shared" si="121"/>
        <v>Cost-effective</v>
      </c>
      <c r="AT212" s="205">
        <f>IFERROR(VLOOKUP(G212,riviere,7,FALSE),"")</f>
        <v>0.19819043515725979</v>
      </c>
      <c r="AU212" s="195" t="str">
        <f t="shared" si="122"/>
        <v>Cost-effective</v>
      </c>
      <c r="AV212" s="162" t="s">
        <v>176</v>
      </c>
      <c r="AW212" s="162" t="s">
        <v>162</v>
      </c>
      <c r="AX212" s="210">
        <f t="shared" si="123"/>
        <v>0</v>
      </c>
      <c r="AY212" s="210">
        <f t="shared" si="124"/>
        <v>0</v>
      </c>
      <c r="AZ212" s="197">
        <f t="shared" si="125"/>
        <v>0</v>
      </c>
      <c r="BA212" s="197">
        <f t="shared" si="126"/>
        <v>0</v>
      </c>
      <c r="BB212" s="197">
        <f t="shared" si="127"/>
        <v>0</v>
      </c>
      <c r="BC212" s="197">
        <f t="shared" si="128"/>
        <v>0</v>
      </c>
      <c r="BD212" s="197">
        <f t="shared" si="129"/>
        <v>0</v>
      </c>
      <c r="BE212" s="163" t="s">
        <v>155</v>
      </c>
      <c r="BF212" s="162" t="s">
        <v>163</v>
      </c>
    </row>
  </sheetData>
  <autoFilter ref="A1:BF212" xr:uid="{82DB12F5-8E0D-0045-A587-D04E16F26C8F}"/>
  <phoneticPr fontId="5" type="noConversion"/>
  <pageMargins left="0.7" right="0.7" top="0.75" bottom="0.75" header="0.3" footer="0.3"/>
  <pageSetup orientation="portrait" horizontalDpi="360" verticalDpi="36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23DF-7EEB-4A10-8E63-6E12F5A80993}">
  <sheetPr codeName="Sheet2"/>
  <dimension ref="A1:BR197"/>
  <sheetViews>
    <sheetView zoomScale="190" zoomScaleNormal="190" workbookViewId="0">
      <pane ySplit="1" topLeftCell="A160" activePane="bottomLeft" state="frozen"/>
      <selection pane="bottomLeft" activeCell="F172" sqref="F172"/>
    </sheetView>
  </sheetViews>
  <sheetFormatPr baseColWidth="10" defaultColWidth="9.1640625" defaultRowHeight="14"/>
  <cols>
    <col min="1" max="1" width="6.33203125" style="159" bestFit="1" customWidth="1"/>
    <col min="2" max="2" width="5" style="159" bestFit="1" customWidth="1"/>
    <col min="3" max="3" width="7" style="159" bestFit="1" customWidth="1"/>
    <col min="4" max="4" width="13.33203125" style="159" bestFit="1" customWidth="1"/>
    <col min="5" max="5" width="6.6640625" style="159" bestFit="1" customWidth="1"/>
    <col min="6" max="6" width="18" style="162" customWidth="1"/>
    <col min="7" max="7" width="12" style="162" bestFit="1" customWidth="1"/>
    <col min="8" max="8" width="6" style="163" bestFit="1" customWidth="1"/>
    <col min="9" max="9" width="10.33203125" style="163" bestFit="1" customWidth="1"/>
    <col min="10" max="10" width="35.33203125" style="162" bestFit="1" customWidth="1"/>
    <col min="11" max="11" width="10.83203125" style="163" bestFit="1" customWidth="1"/>
    <col min="12" max="12" width="10.5" style="163" bestFit="1" customWidth="1"/>
    <col min="13" max="13" width="11.83203125" style="163" bestFit="1" customWidth="1"/>
    <col min="14" max="14" width="11" style="159" bestFit="1" customWidth="1"/>
    <col min="15" max="15" width="8.83203125" style="159" bestFit="1" customWidth="1"/>
    <col min="16" max="16" width="9.33203125" style="162" bestFit="1" customWidth="1"/>
    <col min="17" max="17" width="14.5" style="159" bestFit="1" customWidth="1"/>
    <col min="18" max="18" width="14" style="159" bestFit="1" customWidth="1"/>
    <col min="19" max="19" width="14.83203125" style="159" bestFit="1" customWidth="1"/>
    <col min="20" max="20" width="12.33203125" style="159" bestFit="1" customWidth="1"/>
    <col min="21" max="21" width="18.33203125" style="159" bestFit="1" customWidth="1"/>
    <col min="22" max="22" width="22" style="159" bestFit="1" customWidth="1"/>
    <col min="23" max="23" width="52.83203125" style="162" bestFit="1" customWidth="1"/>
    <col min="24" max="24" width="18.1640625" style="159" bestFit="1" customWidth="1"/>
    <col min="25" max="25" width="21.83203125" style="159" bestFit="1" customWidth="1"/>
    <col min="26" max="26" width="52.83203125" style="162" bestFit="1" customWidth="1"/>
    <col min="27" max="27" width="10.5" style="163" bestFit="1" customWidth="1"/>
    <col min="28" max="28" width="89.5" style="185" bestFit="1" customWidth="1"/>
    <col min="29" max="29" width="14" style="162" bestFit="1" customWidth="1"/>
    <col min="30" max="30" width="11.5" style="163" bestFit="1" customWidth="1"/>
    <col min="31" max="31" width="42.5" style="185" bestFit="1" customWidth="1"/>
    <col min="32" max="32" width="17" style="163" bestFit="1" customWidth="1"/>
    <col min="33" max="33" width="10.5" style="163" bestFit="1" customWidth="1"/>
    <col min="34" max="34" width="12" style="163" bestFit="1" customWidth="1"/>
    <col min="35" max="35" width="29.6640625" style="163" bestFit="1" customWidth="1"/>
    <col min="36" max="36" width="72" style="185" bestFit="1" customWidth="1"/>
    <col min="37" max="37" width="39.1640625" style="162" bestFit="1" customWidth="1"/>
    <col min="38" max="38" width="12" style="163" bestFit="1" customWidth="1"/>
    <col min="39" max="39" width="11.1640625" style="186" bestFit="1" customWidth="1"/>
    <col min="40" max="40" width="10.1640625" style="186" bestFit="1" customWidth="1"/>
    <col min="41" max="41" width="8.6640625" style="186" bestFit="1" customWidth="1"/>
    <col min="42" max="42" width="17" style="163" bestFit="1" customWidth="1"/>
    <col min="43" max="43" width="18.1640625" style="163" bestFit="1" customWidth="1"/>
    <col min="44" max="44" width="13" style="163" bestFit="1" customWidth="1"/>
    <col min="45" max="45" width="11.33203125" style="163" bestFit="1" customWidth="1"/>
    <col min="46" max="46" width="18.6640625" style="187" bestFit="1" customWidth="1"/>
    <col min="47" max="47" width="11" style="163" bestFit="1" customWidth="1"/>
    <col min="48" max="48" width="18.33203125" style="188" bestFit="1" customWidth="1"/>
    <col min="49" max="49" width="10.1640625" style="163" bestFit="1" customWidth="1"/>
    <col min="50" max="50" width="17.5" style="159" bestFit="1" customWidth="1"/>
    <col min="51" max="51" width="9.83203125" style="163" bestFit="1" customWidth="1"/>
    <col min="52" max="52" width="17.1640625" style="159" bestFit="1" customWidth="1"/>
    <col min="53" max="53" width="10.1640625" style="163" bestFit="1" customWidth="1"/>
    <col min="54" max="54" width="17.5" style="159" bestFit="1" customWidth="1"/>
    <col min="55" max="55" width="9.83203125" style="163" bestFit="1" customWidth="1"/>
    <col min="56" max="56" width="17.1640625" style="159" bestFit="1" customWidth="1"/>
    <col min="57" max="57" width="14.6640625" style="162" bestFit="1" customWidth="1"/>
    <col min="58" max="58" width="21.1640625" style="162" bestFit="1" customWidth="1"/>
    <col min="59" max="59" width="16.83203125" style="189" bestFit="1" customWidth="1"/>
    <col min="60" max="60" width="17.1640625" style="189" bestFit="1" customWidth="1"/>
    <col min="61" max="61" width="15.33203125" style="163" bestFit="1" customWidth="1"/>
    <col min="62" max="63" width="15.6640625" style="163" bestFit="1" customWidth="1"/>
    <col min="64" max="64" width="16" style="163" bestFit="1" customWidth="1"/>
    <col min="65" max="65" width="9.1640625" style="163" bestFit="1" customWidth="1"/>
    <col min="66" max="66" width="12.1640625" style="163" bestFit="1" customWidth="1"/>
    <col min="67" max="67" width="95.83203125" style="162" bestFit="1" customWidth="1"/>
    <col min="68" max="68" width="120.5" style="162" bestFit="1" customWidth="1"/>
    <col min="69" max="69" width="10.6640625" style="162" bestFit="1" customWidth="1"/>
    <col min="70" max="70" width="115.83203125" style="162" bestFit="1" customWidth="1"/>
    <col min="71" max="16384" width="9.1640625" style="162"/>
  </cols>
  <sheetData>
    <row r="1" spans="1:70" s="156" customFormat="1" ht="13">
      <c r="A1" s="155" t="s">
        <v>85</v>
      </c>
      <c r="B1" s="155" t="s">
        <v>86</v>
      </c>
      <c r="C1" s="155" t="s">
        <v>87</v>
      </c>
      <c r="D1" s="155" t="s">
        <v>88</v>
      </c>
      <c r="E1" s="155" t="s">
        <v>89</v>
      </c>
      <c r="F1" s="156" t="s">
        <v>90</v>
      </c>
      <c r="G1" s="156" t="s">
        <v>91</v>
      </c>
      <c r="H1" s="157" t="s">
        <v>92</v>
      </c>
      <c r="I1" s="157" t="s">
        <v>93</v>
      </c>
      <c r="J1" s="156" t="s">
        <v>322</v>
      </c>
      <c r="K1" s="157" t="s">
        <v>94</v>
      </c>
      <c r="L1" s="157" t="s">
        <v>95</v>
      </c>
      <c r="M1" s="157" t="s">
        <v>96</v>
      </c>
      <c r="N1" s="155" t="s">
        <v>323</v>
      </c>
      <c r="O1" s="155" t="s">
        <v>97</v>
      </c>
      <c r="P1" s="156" t="s">
        <v>98</v>
      </c>
      <c r="Q1" s="156" t="s">
        <v>99</v>
      </c>
      <c r="R1" s="156" t="s">
        <v>100</v>
      </c>
      <c r="S1" s="156" t="s">
        <v>101</v>
      </c>
      <c r="T1" s="155" t="s">
        <v>324</v>
      </c>
      <c r="U1" s="155" t="s">
        <v>325</v>
      </c>
      <c r="V1" s="155" t="s">
        <v>326</v>
      </c>
      <c r="W1" s="156" t="s">
        <v>327</v>
      </c>
      <c r="X1" s="155" t="s">
        <v>328</v>
      </c>
      <c r="Y1" s="155" t="s">
        <v>329</v>
      </c>
      <c r="Z1" s="156" t="s">
        <v>330</v>
      </c>
      <c r="AA1" s="157" t="s">
        <v>107</v>
      </c>
      <c r="AB1" s="156" t="s">
        <v>331</v>
      </c>
      <c r="AC1" s="156" t="s">
        <v>332</v>
      </c>
      <c r="AD1" s="157" t="s">
        <v>108</v>
      </c>
      <c r="AE1" s="156" t="s">
        <v>333</v>
      </c>
      <c r="AF1" s="157" t="s">
        <v>334</v>
      </c>
      <c r="AG1" s="157" t="s">
        <v>110</v>
      </c>
      <c r="AH1" s="157" t="s">
        <v>111</v>
      </c>
      <c r="AI1" s="157" t="s">
        <v>335</v>
      </c>
      <c r="AJ1" s="156" t="s">
        <v>336</v>
      </c>
      <c r="AK1" s="156" t="s">
        <v>337</v>
      </c>
      <c r="AL1" s="157" t="s">
        <v>112</v>
      </c>
      <c r="AM1" s="157" t="s">
        <v>338</v>
      </c>
      <c r="AN1" s="157" t="s">
        <v>114</v>
      </c>
      <c r="AO1" s="157" t="s">
        <v>339</v>
      </c>
      <c r="AP1" s="157" t="s">
        <v>340</v>
      </c>
      <c r="AQ1" s="157" t="s">
        <v>341</v>
      </c>
      <c r="AR1" s="158" t="s">
        <v>342</v>
      </c>
      <c r="AS1" s="158" t="s">
        <v>343</v>
      </c>
      <c r="AT1" s="155" t="s">
        <v>344</v>
      </c>
      <c r="AU1" s="158" t="s">
        <v>345</v>
      </c>
      <c r="AV1" s="156" t="s">
        <v>346</v>
      </c>
      <c r="AW1" s="158" t="s">
        <v>347</v>
      </c>
      <c r="AX1" s="155" t="s">
        <v>348</v>
      </c>
      <c r="AY1" s="158" t="s">
        <v>349</v>
      </c>
      <c r="AZ1" s="155" t="s">
        <v>350</v>
      </c>
      <c r="BA1" s="158" t="s">
        <v>351</v>
      </c>
      <c r="BB1" s="155" t="s">
        <v>352</v>
      </c>
      <c r="BC1" s="158" t="s">
        <v>353</v>
      </c>
      <c r="BD1" s="155" t="s">
        <v>354</v>
      </c>
      <c r="BE1" s="156" t="s">
        <v>132</v>
      </c>
      <c r="BF1" s="156" t="s">
        <v>355</v>
      </c>
      <c r="BG1" s="157" t="s">
        <v>356</v>
      </c>
      <c r="BH1" s="157" t="s">
        <v>357</v>
      </c>
      <c r="BI1" s="157" t="s">
        <v>358</v>
      </c>
      <c r="BJ1" s="157" t="s">
        <v>359</v>
      </c>
      <c r="BK1" s="157" t="s">
        <v>360</v>
      </c>
      <c r="BL1" s="157" t="s">
        <v>361</v>
      </c>
      <c r="BM1" s="157" t="s">
        <v>362</v>
      </c>
      <c r="BN1" s="157" t="s">
        <v>141</v>
      </c>
      <c r="BO1" s="156" t="s">
        <v>363</v>
      </c>
      <c r="BP1" s="156" t="s">
        <v>364</v>
      </c>
      <c r="BQ1" s="156" t="s">
        <v>142</v>
      </c>
      <c r="BR1" s="156" t="s">
        <v>365</v>
      </c>
    </row>
    <row r="2" spans="1:70">
      <c r="A2" s="159">
        <v>1</v>
      </c>
      <c r="B2" s="159">
        <v>1</v>
      </c>
      <c r="C2" s="160" t="str">
        <f t="shared" ref="C2:C65" si="0">_xlfn.CONCAT(TEXT(A2,"00"),TEXT(B2,"00"))</f>
        <v>0101</v>
      </c>
      <c r="D2" s="159" t="s">
        <v>143</v>
      </c>
      <c r="E2" s="161">
        <v>2014</v>
      </c>
      <c r="F2" s="162" t="s">
        <v>366</v>
      </c>
      <c r="G2" s="162" t="s">
        <v>145</v>
      </c>
      <c r="H2" s="163" t="str">
        <f t="shared" ref="H2:H34" si="1">VLOOKUP(G2,income,T2-1985,FALSE)</f>
        <v>UM</v>
      </c>
      <c r="I2" s="163" t="s">
        <v>148</v>
      </c>
      <c r="J2" s="162" t="s">
        <v>367</v>
      </c>
      <c r="K2" s="163" t="s">
        <v>146</v>
      </c>
      <c r="L2" s="163" t="s">
        <v>147</v>
      </c>
      <c r="M2" s="163" t="str">
        <f>_xlfn.CONCAT(K2, " vs ", L2)</f>
        <v>PCV7 vs NoVax</v>
      </c>
      <c r="N2" s="159" t="s">
        <v>368</v>
      </c>
      <c r="O2" s="159">
        <v>3</v>
      </c>
      <c r="P2" s="162" t="s">
        <v>148</v>
      </c>
      <c r="Q2" s="164" t="s">
        <v>149</v>
      </c>
      <c r="R2" s="162" t="s">
        <v>150</v>
      </c>
      <c r="S2" s="162" t="s">
        <v>151</v>
      </c>
      <c r="T2" s="161">
        <v>2011</v>
      </c>
      <c r="U2" s="165">
        <v>127</v>
      </c>
      <c r="V2" s="165" t="e">
        <f>IF(ISNUMBER(U2),U2/VLOOKUP($S2,xRates!$A$1:$AA$267,data!$T2-xRates!$B$1+2,FALSE),U2)</f>
        <v>#REF!</v>
      </c>
      <c r="W2" s="162" t="s">
        <v>369</v>
      </c>
      <c r="Y2" s="165"/>
      <c r="AA2" s="163" t="s">
        <v>155</v>
      </c>
      <c r="AB2" s="162"/>
      <c r="AD2" s="163" t="s">
        <v>155</v>
      </c>
      <c r="AE2" s="162" t="str">
        <f t="shared" ref="AE2:AE12" si="2">IF(AD2="No", "", "")</f>
        <v/>
      </c>
      <c r="AF2" s="163" t="s">
        <v>148</v>
      </c>
      <c r="AG2" s="163" t="s">
        <v>148</v>
      </c>
      <c r="AH2" s="163" t="s">
        <v>148</v>
      </c>
      <c r="AJ2" s="162"/>
      <c r="AK2" s="162" t="s">
        <v>370</v>
      </c>
      <c r="AL2" s="163" t="s">
        <v>152</v>
      </c>
      <c r="AM2" s="166">
        <v>530354</v>
      </c>
      <c r="AN2" s="166">
        <v>530354</v>
      </c>
      <c r="AO2" s="166">
        <f t="shared" ref="AO2:AO34" si="3">VLOOKUP(G2,gdppc,T2-1958,FALSE)</f>
        <v>5614.4</v>
      </c>
      <c r="AP2" s="163" t="str">
        <f t="shared" ref="AP2:AP20" si="4">IF(AN2="NA", ".", IF(AN2&lt;0,"Cost-Saving",IF(AN2&lt;=AO2,"Cost-Effective",IF(AN2&gt;AO2&amp;AN2&lt;&gt;"NA","Not Cost-Effective","Missing"))))</f>
        <v>Not Cost-Effective</v>
      </c>
      <c r="AQ2" s="163" t="str">
        <f>IF(AN2="NA", ".", IF(AN2&lt;0,"Cost-Saving",IF(AN2&lt;=AO2*3,"Cost-Effective",IF(AN2&gt;AO2*3&amp;AN2&lt;&gt;"NA","Not Cost-Effective","Missing"))))</f>
        <v>Not Cost-Effective</v>
      </c>
      <c r="AR2" s="167">
        <f t="shared" ref="AR2:AR65" si="5">IFERROR(AN2/AO2,".")</f>
        <v>94.463166144200628</v>
      </c>
      <c r="AS2" s="167">
        <f t="shared" ref="AS2:AS33" si="6">IFERROR(VLOOKUP(G2,ochalek,11,FALSE),".")</f>
        <v>0.71</v>
      </c>
      <c r="AT2" s="159" t="str">
        <f>IF(AR2&lt;0,"Cost-Saving", IF(AS2=".", ".", IF(AR2&lt;AS2, "Cost-Effective", "Not Cost-Effective")))</f>
        <v>Not Cost-Effective</v>
      </c>
      <c r="AU2" s="167">
        <f t="shared" ref="AU2:AU33" si="7">IFERROR(VLOOKUP(G2,ochalek,10,FALSE),".")</f>
        <v>0.45</v>
      </c>
      <c r="AV2" s="162" t="str">
        <f>IF(AR2&lt;0,"Cost-Saving", IF(AU2=".", ".", IF(AR2&lt;AU2, "Cost-Effective", "Not Cost-Effective")))</f>
        <v>Not Cost-Effective</v>
      </c>
      <c r="AW2" s="167">
        <f t="shared" ref="AW2:AW33" si="8">IFERROR(VLOOKUP(G2,woods,6,FALSE),".")</f>
        <v>0.64811121873397526</v>
      </c>
      <c r="AX2" s="159" t="str">
        <f>IF(AR2&lt;0,"Cost-Saving", IF(AW2=".", ".", IF(AR2&lt;AW2, "Cost-Effective", "Not Cost-Effective")))</f>
        <v>Not Cost-Effective</v>
      </c>
      <c r="AY2" s="167">
        <f t="shared" ref="AY2:AY33" si="9">IFERROR(VLOOKUP(G2,woods,5,FALSE),".")</f>
        <v>0.16395077203578146</v>
      </c>
      <c r="AZ2" s="159" t="str">
        <f>IF(AR2&lt;0,"Cost-Saving", IF(AY2=".", ".", IF(AR2&lt;AY2, "Cost-Effective", "Not Cost-Effective")))</f>
        <v>Not Cost-Effective</v>
      </c>
      <c r="BA2" s="167">
        <f t="shared" ref="BA2:BA33" si="10">IFERROR(VLOOKUP(G2,riviere,8,FALSE),".")</f>
        <v>0.90271000305602389</v>
      </c>
      <c r="BB2" s="159" t="str">
        <f>IF(AR2&lt;0,"Cost-Saving", IF(BA2=".", ".", IF(AR2&lt;BA2, "Cost-Effective", "Not Cost-Effective")))</f>
        <v>Not Cost-Effective</v>
      </c>
      <c r="BC2" s="167">
        <f t="shared" ref="BC2:BC33" si="11">IFERROR(VLOOKUP(G2,riviere,7,FALSE),".")</f>
        <v>0.374116464081862</v>
      </c>
      <c r="BD2" s="159" t="str">
        <f>IF(AR2&lt;0,"Cost-Saving", IF(BC2=".", ".", IF(AR2&lt;BC2, "Cost-Effective", "Not Cost-Effective")))</f>
        <v>Not Cost-Effective</v>
      </c>
      <c r="BE2" s="162" t="s">
        <v>153</v>
      </c>
      <c r="BF2" s="162" t="s">
        <v>371</v>
      </c>
      <c r="BG2" s="168" t="str">
        <f t="shared" ref="BG2:BG33" si="12">IF(BF2="Cost-Effective",IF(AV2="Not Cost-Effective",1,0),".")</f>
        <v>.</v>
      </c>
      <c r="BH2" s="168" t="str">
        <f t="shared" ref="BH2:BH33" si="13">IF(BF2="Cost-Effective",IF(AT2="Not Cost-Effective",1,0),".")</f>
        <v>.</v>
      </c>
      <c r="BI2" s="163" t="str">
        <f t="shared" ref="BI2:BI33" si="14">IF(BF2="Cost-Effective",IF(AZ2="Not Cost-Effective",1,0),".")</f>
        <v>.</v>
      </c>
      <c r="BJ2" s="163" t="str">
        <f t="shared" ref="BJ2:BJ33" si="15">IF(BF2="Cost-Effective",IF(AX2="Not Cost-Effective",1,0),".")</f>
        <v>.</v>
      </c>
      <c r="BK2" s="163" t="str">
        <f>IF(BF2="Cost-Effective",IF(BD2="Not Cost-Effective",1,0),".")</f>
        <v>.</v>
      </c>
      <c r="BL2" s="163" t="str">
        <f>IF(BF2="Cost-Effective",IF(BB2="Not Cost-Effective",1,0),".")</f>
        <v>.</v>
      </c>
      <c r="BM2" s="163">
        <f>SUM(BG2:BL2)</f>
        <v>0</v>
      </c>
      <c r="BN2" s="163" t="s">
        <v>155</v>
      </c>
      <c r="BO2" s="162" t="str">
        <f t="shared" ref="BO2:BO27" si="16">IF(BN2="No", "", "")</f>
        <v/>
      </c>
      <c r="BP2" s="162" t="s">
        <v>372</v>
      </c>
      <c r="BQ2" s="169" t="s">
        <v>156</v>
      </c>
    </row>
    <row r="3" spans="1:70">
      <c r="A3" s="159">
        <f t="shared" ref="A3:A66" si="17">IF(F3=F2,A2,A2+1)</f>
        <v>1</v>
      </c>
      <c r="B3" s="159">
        <f t="shared" ref="B3:B66" si="18">IF(F3=F2,B2+1,1)</f>
        <v>2</v>
      </c>
      <c r="C3" s="160" t="str">
        <f t="shared" si="0"/>
        <v>0102</v>
      </c>
      <c r="D3" s="159" t="s">
        <v>143</v>
      </c>
      <c r="E3" s="161">
        <v>2014</v>
      </c>
      <c r="F3" s="162" t="s">
        <v>366</v>
      </c>
      <c r="G3" s="162" t="s">
        <v>145</v>
      </c>
      <c r="H3" s="163" t="str">
        <f t="shared" si="1"/>
        <v>UM</v>
      </c>
      <c r="I3" s="163" t="s">
        <v>148</v>
      </c>
      <c r="J3" s="162" t="s">
        <v>367</v>
      </c>
      <c r="K3" s="163" t="s">
        <v>146</v>
      </c>
      <c r="L3" s="163" t="s">
        <v>147</v>
      </c>
      <c r="M3" s="163" t="str">
        <f t="shared" ref="M3:M66" si="19">_xlfn.CONCAT(K3, " vs ", L3)</f>
        <v>PCV7 vs NoVax</v>
      </c>
      <c r="N3" s="159" t="s">
        <v>368</v>
      </c>
      <c r="O3" s="159">
        <v>3</v>
      </c>
      <c r="P3" s="162" t="s">
        <v>155</v>
      </c>
      <c r="Q3" s="164" t="s">
        <v>149</v>
      </c>
      <c r="R3" s="162" t="s">
        <v>150</v>
      </c>
      <c r="S3" s="162" t="s">
        <v>151</v>
      </c>
      <c r="T3" s="161">
        <v>2011</v>
      </c>
      <c r="U3" s="165">
        <v>127</v>
      </c>
      <c r="V3" s="165" t="e">
        <f>IF(ISNUMBER(U3),U3/VLOOKUP($S3,xRates!$A$1:$AA$267,data!$T3-xRates!$B$1+2,FALSE),U3)</f>
        <v>#REF!</v>
      </c>
      <c r="W3" s="162" t="s">
        <v>369</v>
      </c>
      <c r="Y3" s="165"/>
      <c r="AA3" s="163" t="s">
        <v>148</v>
      </c>
      <c r="AB3" s="162" t="s">
        <v>373</v>
      </c>
      <c r="AC3" s="162" t="s">
        <v>148</v>
      </c>
      <c r="AD3" s="163" t="s">
        <v>155</v>
      </c>
      <c r="AE3" s="162" t="str">
        <f t="shared" si="2"/>
        <v/>
      </c>
      <c r="AF3" s="163" t="s">
        <v>148</v>
      </c>
      <c r="AG3" s="163" t="s">
        <v>148</v>
      </c>
      <c r="AH3" s="163" t="s">
        <v>148</v>
      </c>
      <c r="AJ3" s="162"/>
      <c r="AK3" s="162" t="s">
        <v>374</v>
      </c>
      <c r="AL3" s="163" t="s">
        <v>152</v>
      </c>
      <c r="AM3" s="166">
        <v>95319</v>
      </c>
      <c r="AN3" s="166">
        <v>95319</v>
      </c>
      <c r="AO3" s="166">
        <f t="shared" si="3"/>
        <v>5614.4</v>
      </c>
      <c r="AP3" s="163" t="str">
        <f t="shared" si="4"/>
        <v>Not Cost-Effective</v>
      </c>
      <c r="AQ3" s="163" t="str">
        <f t="shared" ref="AQ3:AQ66" si="20">IF(AN3="NA", ".", IF(AN3&lt;0,"Cost-Saving",IF(AN3&lt;=AO3*3,"Cost-Effective",IF(AN3&gt;AO3*3&amp;AN3&lt;&gt;"NA","Not Cost-Effective","Missing"))))</f>
        <v>Not Cost-Effective</v>
      </c>
      <c r="AR3" s="167">
        <f t="shared" si="5"/>
        <v>16.977593331433457</v>
      </c>
      <c r="AS3" s="167">
        <f t="shared" si="6"/>
        <v>0.71</v>
      </c>
      <c r="AT3" s="159" t="str">
        <f t="shared" ref="AT3:AT66" si="21">IF(AR3&lt;0,"Cost-Saving", IF(AS3=".", ".", IF(AR3&lt;AS3, "Cost-Effective", "Not Cost-Effective")))</f>
        <v>Not Cost-Effective</v>
      </c>
      <c r="AU3" s="167">
        <f t="shared" si="7"/>
        <v>0.45</v>
      </c>
      <c r="AV3" s="162" t="str">
        <f t="shared" ref="AV3:AV66" si="22">IF(AR3&lt;0,"Cost-Saving", IF(AU3=".", ".", IF(AR3&lt;AU3, "Cost-Effective", "Not Cost-Effective")))</f>
        <v>Not Cost-Effective</v>
      </c>
      <c r="AW3" s="167">
        <f t="shared" si="8"/>
        <v>0.64811121873397526</v>
      </c>
      <c r="AX3" s="159" t="str">
        <f t="shared" ref="AX3:AX66" si="23">IF(AR3&lt;0,"Cost-Saving", IF(AW3=".", ".", IF(AR3&lt;AW3, "Cost-Effective", "Not Cost-Effective")))</f>
        <v>Not Cost-Effective</v>
      </c>
      <c r="AY3" s="167">
        <f t="shared" si="9"/>
        <v>0.16395077203578146</v>
      </c>
      <c r="AZ3" s="159" t="str">
        <f t="shared" ref="AZ3:AZ66" si="24">IF(AR3&lt;0,"Cost-Saving", IF(AY3=".", ".", IF(AR3&lt;AY3, "Cost-Effective", "Not Cost-Effective")))</f>
        <v>Not Cost-Effective</v>
      </c>
      <c r="BA3" s="167">
        <f t="shared" si="10"/>
        <v>0.90271000305602389</v>
      </c>
      <c r="BB3" s="159" t="str">
        <f t="shared" ref="BB3:BB66" si="25">IF(AR3&lt;0,"Cost-Saving", IF(BA3=".", ".", IF(AR3&lt;BA3, "Cost-Effective", "Not Cost-Effective")))</f>
        <v>Not Cost-Effective</v>
      </c>
      <c r="BC3" s="167">
        <f t="shared" si="11"/>
        <v>0.374116464081862</v>
      </c>
      <c r="BD3" s="159" t="str">
        <f t="shared" ref="BD3:BD66" si="26">IF(AR3&lt;0,"Cost-Saving", IF(BC3=".", ".", IF(AR3&lt;BC3, "Cost-Effective", "Not Cost-Effective")))</f>
        <v>Not Cost-Effective</v>
      </c>
      <c r="BE3" s="162" t="s">
        <v>153</v>
      </c>
      <c r="BF3" s="162" t="s">
        <v>371</v>
      </c>
      <c r="BG3" s="168" t="str">
        <f t="shared" si="12"/>
        <v>.</v>
      </c>
      <c r="BH3" s="168" t="str">
        <f t="shared" si="13"/>
        <v>.</v>
      </c>
      <c r="BI3" s="163" t="str">
        <f t="shared" si="14"/>
        <v>.</v>
      </c>
      <c r="BJ3" s="163" t="str">
        <f t="shared" si="15"/>
        <v>.</v>
      </c>
      <c r="BK3" s="163" t="str">
        <f t="shared" ref="BK3:BK66" si="27">IF(BF3="Cost-Effective",IF(BD3="Not Cost-Effective",1,0),".")</f>
        <v>.</v>
      </c>
      <c r="BL3" s="163" t="str">
        <f t="shared" ref="BL3:BL66" si="28">IF(BF3="Cost-Effective",IF(BB3="Not Cost-Effective",1,0),".")</f>
        <v>.</v>
      </c>
      <c r="BM3" s="163">
        <f t="shared" ref="BM3:BM66" si="29">SUM(BG3:BL3)</f>
        <v>0</v>
      </c>
      <c r="BN3" s="163" t="s">
        <v>155</v>
      </c>
      <c r="BO3" s="162" t="str">
        <f t="shared" si="16"/>
        <v/>
      </c>
      <c r="BP3" s="162" t="s">
        <v>372</v>
      </c>
      <c r="BQ3" s="169" t="s">
        <v>156</v>
      </c>
    </row>
    <row r="4" spans="1:70">
      <c r="A4" s="159">
        <f t="shared" si="17"/>
        <v>2</v>
      </c>
      <c r="B4" s="159">
        <f t="shared" si="18"/>
        <v>1</v>
      </c>
      <c r="C4" s="160" t="str">
        <f t="shared" si="0"/>
        <v>0201</v>
      </c>
      <c r="D4" s="159" t="s">
        <v>157</v>
      </c>
      <c r="E4" s="161">
        <v>2015</v>
      </c>
      <c r="F4" s="162" t="s">
        <v>375</v>
      </c>
      <c r="G4" s="162" t="s">
        <v>145</v>
      </c>
      <c r="H4" s="163" t="str">
        <f t="shared" si="1"/>
        <v>UM</v>
      </c>
      <c r="I4" s="163" t="s">
        <v>148</v>
      </c>
      <c r="J4" s="162" t="s">
        <v>367</v>
      </c>
      <c r="K4" s="163" t="s">
        <v>146</v>
      </c>
      <c r="L4" s="163" t="s">
        <v>147</v>
      </c>
      <c r="M4" s="163" t="str">
        <f t="shared" si="19"/>
        <v>PCV7 vs NoVax</v>
      </c>
      <c r="N4" s="159" t="s">
        <v>376</v>
      </c>
      <c r="O4" s="159">
        <v>4</v>
      </c>
      <c r="P4" s="162" t="s">
        <v>148</v>
      </c>
      <c r="Q4" s="164" t="s">
        <v>377</v>
      </c>
      <c r="R4" s="162" t="s">
        <v>160</v>
      </c>
      <c r="S4" s="162" t="s">
        <v>145</v>
      </c>
      <c r="T4" s="161">
        <v>2011</v>
      </c>
      <c r="U4" s="165">
        <v>860</v>
      </c>
      <c r="V4" s="165" t="e">
        <f>IF(ISNUMBER(U4),U4/VLOOKUP($S4,xRates!$A$1:$AA$267,data!$T4-xRates!$B$1+2,FALSE),U4)</f>
        <v>#REF!</v>
      </c>
      <c r="W4" s="162" t="s">
        <v>378</v>
      </c>
      <c r="Y4" s="165"/>
      <c r="Z4" s="162" t="s">
        <v>378</v>
      </c>
      <c r="AA4" s="163" t="s">
        <v>148</v>
      </c>
      <c r="AB4" s="162" t="s">
        <v>379</v>
      </c>
      <c r="AC4" s="162" t="s">
        <v>155</v>
      </c>
      <c r="AD4" s="163" t="s">
        <v>155</v>
      </c>
      <c r="AE4" s="162" t="str">
        <f t="shared" si="2"/>
        <v/>
      </c>
      <c r="AF4" s="163" t="s">
        <v>148</v>
      </c>
      <c r="AG4" s="163" t="s">
        <v>148</v>
      </c>
      <c r="AH4" s="163" t="s">
        <v>148</v>
      </c>
      <c r="AJ4" s="162" t="s">
        <v>380</v>
      </c>
      <c r="AK4" s="162" t="s">
        <v>381</v>
      </c>
      <c r="AL4" s="163" t="s">
        <v>152</v>
      </c>
      <c r="AM4" s="166">
        <v>13737</v>
      </c>
      <c r="AN4" s="166">
        <f>AM4/xRates!$U$43</f>
        <v>64.577848815344112</v>
      </c>
      <c r="AO4" s="166">
        <f t="shared" si="3"/>
        <v>5614.4</v>
      </c>
      <c r="AP4" s="163" t="str">
        <f t="shared" si="4"/>
        <v>Cost-Effective</v>
      </c>
      <c r="AQ4" s="163" t="str">
        <f t="shared" si="20"/>
        <v>Cost-Effective</v>
      </c>
      <c r="AR4" s="167">
        <f t="shared" si="5"/>
        <v>1.1502181678424072E-2</v>
      </c>
      <c r="AS4" s="167">
        <f t="shared" si="6"/>
        <v>0.71</v>
      </c>
      <c r="AT4" s="159" t="str">
        <f t="shared" si="21"/>
        <v>Cost-Effective</v>
      </c>
      <c r="AU4" s="167">
        <f t="shared" si="7"/>
        <v>0.45</v>
      </c>
      <c r="AV4" s="162" t="str">
        <f t="shared" si="22"/>
        <v>Cost-Effective</v>
      </c>
      <c r="AW4" s="167">
        <f t="shared" si="8"/>
        <v>0.64811121873397526</v>
      </c>
      <c r="AX4" s="159" t="str">
        <f t="shared" si="23"/>
        <v>Cost-Effective</v>
      </c>
      <c r="AY4" s="167">
        <f t="shared" si="9"/>
        <v>0.16395077203578146</v>
      </c>
      <c r="AZ4" s="159" t="str">
        <f t="shared" si="24"/>
        <v>Cost-Effective</v>
      </c>
      <c r="BA4" s="167">
        <f t="shared" si="10"/>
        <v>0.90271000305602389</v>
      </c>
      <c r="BB4" s="159" t="str">
        <f t="shared" si="25"/>
        <v>Cost-Effective</v>
      </c>
      <c r="BC4" s="167">
        <f t="shared" si="11"/>
        <v>0.374116464081862</v>
      </c>
      <c r="BD4" s="159" t="str">
        <f t="shared" si="26"/>
        <v>Cost-Effective</v>
      </c>
      <c r="BE4" s="162" t="s">
        <v>161</v>
      </c>
      <c r="BF4" s="162" t="s">
        <v>382</v>
      </c>
      <c r="BG4" s="168">
        <f t="shared" si="12"/>
        <v>0</v>
      </c>
      <c r="BH4" s="168">
        <f t="shared" si="13"/>
        <v>0</v>
      </c>
      <c r="BI4" s="163">
        <f t="shared" si="14"/>
        <v>0</v>
      </c>
      <c r="BJ4" s="163">
        <f t="shared" si="15"/>
        <v>0</v>
      </c>
      <c r="BK4" s="163">
        <f t="shared" si="27"/>
        <v>0</v>
      </c>
      <c r="BL4" s="163">
        <f t="shared" si="28"/>
        <v>0</v>
      </c>
      <c r="BM4" s="163">
        <f t="shared" si="29"/>
        <v>0</v>
      </c>
      <c r="BN4" s="163" t="s">
        <v>155</v>
      </c>
      <c r="BO4" s="162" t="str">
        <f t="shared" si="16"/>
        <v/>
      </c>
      <c r="BP4" s="162" t="s">
        <v>383</v>
      </c>
      <c r="BQ4" s="162" t="s">
        <v>163</v>
      </c>
    </row>
    <row r="5" spans="1:70">
      <c r="A5" s="159">
        <f t="shared" si="17"/>
        <v>3</v>
      </c>
      <c r="B5" s="159">
        <f t="shared" si="18"/>
        <v>1</v>
      </c>
      <c r="C5" s="160" t="str">
        <f t="shared" si="0"/>
        <v>0301</v>
      </c>
      <c r="D5" s="159" t="s">
        <v>164</v>
      </c>
      <c r="E5" s="161">
        <v>2016</v>
      </c>
      <c r="F5" s="162" t="s">
        <v>384</v>
      </c>
      <c r="G5" s="162" t="s">
        <v>145</v>
      </c>
      <c r="H5" s="163" t="str">
        <f t="shared" si="1"/>
        <v>UM</v>
      </c>
      <c r="I5" s="163" t="s">
        <v>148</v>
      </c>
      <c r="J5" s="162" t="s">
        <v>367</v>
      </c>
      <c r="K5" s="163" t="s">
        <v>146</v>
      </c>
      <c r="L5" s="163" t="s">
        <v>147</v>
      </c>
      <c r="M5" s="163" t="str">
        <f t="shared" si="19"/>
        <v>PCV7 vs NoVax</v>
      </c>
      <c r="N5" s="159" t="s">
        <v>385</v>
      </c>
      <c r="O5" s="159" t="s">
        <v>386</v>
      </c>
      <c r="P5" s="162" t="s">
        <v>148</v>
      </c>
      <c r="Q5" s="164" t="s">
        <v>149</v>
      </c>
      <c r="R5" s="162" t="s">
        <v>150</v>
      </c>
      <c r="S5" s="162" t="s">
        <v>151</v>
      </c>
      <c r="T5" s="161">
        <v>2014</v>
      </c>
      <c r="U5" s="165">
        <v>146</v>
      </c>
      <c r="V5" s="165" t="e">
        <f>IF(ISNUMBER(U5),U5/VLOOKUP($S5,xRates!$A$1:$AA$267,data!$T5-xRates!$B$1+2,FALSE),U5)</f>
        <v>#REF!</v>
      </c>
      <c r="W5" s="162" t="s">
        <v>387</v>
      </c>
      <c r="Y5" s="165"/>
      <c r="AA5" s="163" t="s">
        <v>155</v>
      </c>
      <c r="AB5" s="162"/>
      <c r="AD5" s="163" t="s">
        <v>155</v>
      </c>
      <c r="AE5" s="162" t="str">
        <f t="shared" si="2"/>
        <v/>
      </c>
      <c r="AF5" s="163" t="s">
        <v>148</v>
      </c>
      <c r="AG5" s="163" t="s">
        <v>148</v>
      </c>
      <c r="AH5" s="163" t="s">
        <v>148</v>
      </c>
      <c r="AJ5" s="162" t="s">
        <v>388</v>
      </c>
      <c r="AK5" s="162" t="s">
        <v>389</v>
      </c>
      <c r="AL5" s="163" t="s">
        <v>152</v>
      </c>
      <c r="AM5" s="166">
        <v>18224</v>
      </c>
      <c r="AN5" s="166">
        <v>18224</v>
      </c>
      <c r="AO5" s="166">
        <f t="shared" si="3"/>
        <v>7636.1</v>
      </c>
      <c r="AP5" s="163" t="str">
        <f t="shared" si="4"/>
        <v>Not Cost-Effective</v>
      </c>
      <c r="AQ5" s="163" t="str">
        <f t="shared" si="20"/>
        <v>Cost-Effective</v>
      </c>
      <c r="AR5" s="167">
        <f t="shared" si="5"/>
        <v>2.3865585835701468</v>
      </c>
      <c r="AS5" s="167">
        <f t="shared" si="6"/>
        <v>0.71</v>
      </c>
      <c r="AT5" s="159" t="str">
        <f t="shared" si="21"/>
        <v>Not Cost-Effective</v>
      </c>
      <c r="AU5" s="167">
        <f t="shared" si="7"/>
        <v>0.45</v>
      </c>
      <c r="AV5" s="162" t="str">
        <f t="shared" si="22"/>
        <v>Not Cost-Effective</v>
      </c>
      <c r="AW5" s="167">
        <f t="shared" si="8"/>
        <v>0.64811121873397526</v>
      </c>
      <c r="AX5" s="159" t="str">
        <f t="shared" si="23"/>
        <v>Not Cost-Effective</v>
      </c>
      <c r="AY5" s="167">
        <f t="shared" si="9"/>
        <v>0.16395077203578146</v>
      </c>
      <c r="AZ5" s="159" t="str">
        <f t="shared" si="24"/>
        <v>Not Cost-Effective</v>
      </c>
      <c r="BA5" s="167">
        <f t="shared" si="10"/>
        <v>0.90271000305602389</v>
      </c>
      <c r="BB5" s="159" t="str">
        <f t="shared" si="25"/>
        <v>Not Cost-Effective</v>
      </c>
      <c r="BC5" s="167">
        <f t="shared" si="11"/>
        <v>0.374116464081862</v>
      </c>
      <c r="BD5" s="159" t="str">
        <f t="shared" si="26"/>
        <v>Not Cost-Effective</v>
      </c>
      <c r="BE5" s="162" t="s">
        <v>161</v>
      </c>
      <c r="BF5" s="162" t="s">
        <v>382</v>
      </c>
      <c r="BG5" s="168">
        <f t="shared" si="12"/>
        <v>1</v>
      </c>
      <c r="BH5" s="168">
        <f t="shared" si="13"/>
        <v>1</v>
      </c>
      <c r="BI5" s="163">
        <f t="shared" si="14"/>
        <v>1</v>
      </c>
      <c r="BJ5" s="163">
        <f t="shared" si="15"/>
        <v>1</v>
      </c>
      <c r="BK5" s="163">
        <f t="shared" si="27"/>
        <v>1</v>
      </c>
      <c r="BL5" s="163">
        <f t="shared" si="28"/>
        <v>1</v>
      </c>
      <c r="BM5" s="163">
        <f t="shared" si="29"/>
        <v>6</v>
      </c>
      <c r="BN5" s="163" t="s">
        <v>155</v>
      </c>
      <c r="BO5" s="162" t="str">
        <f t="shared" si="16"/>
        <v/>
      </c>
      <c r="BP5" s="162" t="s">
        <v>390</v>
      </c>
      <c r="BQ5" s="169" t="s">
        <v>156</v>
      </c>
    </row>
    <row r="6" spans="1:70">
      <c r="A6" s="159">
        <f t="shared" si="17"/>
        <v>3</v>
      </c>
      <c r="B6" s="159">
        <f t="shared" si="18"/>
        <v>2</v>
      </c>
      <c r="C6" s="160" t="str">
        <f t="shared" si="0"/>
        <v>0302</v>
      </c>
      <c r="D6" s="159" t="s">
        <v>164</v>
      </c>
      <c r="E6" s="161">
        <v>2016</v>
      </c>
      <c r="F6" s="162" t="s">
        <v>384</v>
      </c>
      <c r="G6" s="162" t="s">
        <v>145</v>
      </c>
      <c r="H6" s="163" t="str">
        <f t="shared" si="1"/>
        <v>UM</v>
      </c>
      <c r="I6" s="163" t="s">
        <v>148</v>
      </c>
      <c r="J6" s="162" t="s">
        <v>391</v>
      </c>
      <c r="K6" s="163" t="s">
        <v>166</v>
      </c>
      <c r="L6" s="163" t="s">
        <v>147</v>
      </c>
      <c r="M6" s="163" t="str">
        <f t="shared" si="19"/>
        <v>PCV10 vs NoVax</v>
      </c>
      <c r="N6" s="159" t="s">
        <v>385</v>
      </c>
      <c r="O6" s="159" t="s">
        <v>386</v>
      </c>
      <c r="P6" s="162" t="s">
        <v>148</v>
      </c>
      <c r="Q6" s="164" t="s">
        <v>149</v>
      </c>
      <c r="R6" s="162" t="s">
        <v>150</v>
      </c>
      <c r="S6" s="162" t="s">
        <v>151</v>
      </c>
      <c r="T6" s="161">
        <v>2014</v>
      </c>
      <c r="U6" s="165">
        <v>146</v>
      </c>
      <c r="V6" s="165" t="e">
        <f>IF(ISNUMBER(U6),U6/VLOOKUP($S6,xRates!$A$1:$AA$267,data!$T6-xRates!$B$1+2,FALSE),U6)</f>
        <v>#REF!</v>
      </c>
      <c r="W6" s="162" t="s">
        <v>387</v>
      </c>
      <c r="Y6" s="165"/>
      <c r="AA6" s="163" t="s">
        <v>155</v>
      </c>
      <c r="AB6" s="162"/>
      <c r="AD6" s="163" t="s">
        <v>155</v>
      </c>
      <c r="AE6" s="162" t="str">
        <f t="shared" si="2"/>
        <v/>
      </c>
      <c r="AF6" s="163" t="s">
        <v>148</v>
      </c>
      <c r="AG6" s="163" t="s">
        <v>148</v>
      </c>
      <c r="AH6" s="163" t="s">
        <v>148</v>
      </c>
      <c r="AJ6" s="162" t="s">
        <v>388</v>
      </c>
      <c r="AK6" s="162" t="s">
        <v>392</v>
      </c>
      <c r="AL6" s="163" t="s">
        <v>152</v>
      </c>
      <c r="AM6" s="166">
        <v>16664</v>
      </c>
      <c r="AN6" s="166">
        <v>16664</v>
      </c>
      <c r="AO6" s="166">
        <f t="shared" si="3"/>
        <v>7636.1</v>
      </c>
      <c r="AP6" s="163" t="str">
        <f t="shared" si="4"/>
        <v>Not Cost-Effective</v>
      </c>
      <c r="AQ6" s="163" t="str">
        <f t="shared" si="20"/>
        <v>Cost-Effective</v>
      </c>
      <c r="AR6" s="167">
        <f t="shared" si="5"/>
        <v>2.1822658163198492</v>
      </c>
      <c r="AS6" s="167">
        <f t="shared" si="6"/>
        <v>0.71</v>
      </c>
      <c r="AT6" s="159" t="str">
        <f t="shared" si="21"/>
        <v>Not Cost-Effective</v>
      </c>
      <c r="AU6" s="167">
        <f t="shared" si="7"/>
        <v>0.45</v>
      </c>
      <c r="AV6" s="162" t="str">
        <f t="shared" si="22"/>
        <v>Not Cost-Effective</v>
      </c>
      <c r="AW6" s="167">
        <f t="shared" si="8"/>
        <v>0.64811121873397526</v>
      </c>
      <c r="AX6" s="159" t="str">
        <f t="shared" si="23"/>
        <v>Not Cost-Effective</v>
      </c>
      <c r="AY6" s="167">
        <f t="shared" si="9"/>
        <v>0.16395077203578146</v>
      </c>
      <c r="AZ6" s="159" t="str">
        <f t="shared" si="24"/>
        <v>Not Cost-Effective</v>
      </c>
      <c r="BA6" s="167">
        <f t="shared" si="10"/>
        <v>0.90271000305602389</v>
      </c>
      <c r="BB6" s="159" t="str">
        <f t="shared" si="25"/>
        <v>Not Cost-Effective</v>
      </c>
      <c r="BC6" s="167">
        <f t="shared" si="11"/>
        <v>0.374116464081862</v>
      </c>
      <c r="BD6" s="159" t="str">
        <f t="shared" si="26"/>
        <v>Not Cost-Effective</v>
      </c>
      <c r="BE6" s="162" t="s">
        <v>161</v>
      </c>
      <c r="BF6" s="162" t="s">
        <v>382</v>
      </c>
      <c r="BG6" s="168">
        <f t="shared" si="12"/>
        <v>1</v>
      </c>
      <c r="BH6" s="168">
        <f t="shared" si="13"/>
        <v>1</v>
      </c>
      <c r="BI6" s="163">
        <f t="shared" si="14"/>
        <v>1</v>
      </c>
      <c r="BJ6" s="163">
        <f t="shared" si="15"/>
        <v>1</v>
      </c>
      <c r="BK6" s="163">
        <f t="shared" si="27"/>
        <v>1</v>
      </c>
      <c r="BL6" s="163">
        <f t="shared" si="28"/>
        <v>1</v>
      </c>
      <c r="BM6" s="163">
        <f t="shared" si="29"/>
        <v>6</v>
      </c>
      <c r="BN6" s="163" t="s">
        <v>155</v>
      </c>
      <c r="BO6" s="162" t="str">
        <f t="shared" si="16"/>
        <v/>
      </c>
      <c r="BP6" s="162" t="s">
        <v>390</v>
      </c>
      <c r="BQ6" s="169" t="s">
        <v>156</v>
      </c>
    </row>
    <row r="7" spans="1:70">
      <c r="A7" s="159">
        <f t="shared" si="17"/>
        <v>3</v>
      </c>
      <c r="B7" s="159">
        <f t="shared" si="18"/>
        <v>3</v>
      </c>
      <c r="C7" s="160" t="str">
        <f t="shared" si="0"/>
        <v>0303</v>
      </c>
      <c r="D7" s="159" t="s">
        <v>164</v>
      </c>
      <c r="E7" s="161">
        <v>2016</v>
      </c>
      <c r="F7" s="162" t="s">
        <v>384</v>
      </c>
      <c r="G7" s="162" t="s">
        <v>145</v>
      </c>
      <c r="H7" s="163" t="str">
        <f t="shared" si="1"/>
        <v>UM</v>
      </c>
      <c r="I7" s="163" t="s">
        <v>148</v>
      </c>
      <c r="J7" s="162" t="s">
        <v>393</v>
      </c>
      <c r="K7" s="163" t="s">
        <v>167</v>
      </c>
      <c r="L7" s="163" t="s">
        <v>147</v>
      </c>
      <c r="M7" s="163" t="str">
        <f t="shared" si="19"/>
        <v>PCV13 vs NoVax</v>
      </c>
      <c r="N7" s="159" t="s">
        <v>385</v>
      </c>
      <c r="O7" s="159" t="s">
        <v>386</v>
      </c>
      <c r="P7" s="162" t="s">
        <v>148</v>
      </c>
      <c r="Q7" s="164" t="s">
        <v>149</v>
      </c>
      <c r="R7" s="162" t="s">
        <v>150</v>
      </c>
      <c r="S7" s="162" t="s">
        <v>151</v>
      </c>
      <c r="T7" s="161">
        <v>2014</v>
      </c>
      <c r="U7" s="165">
        <v>146</v>
      </c>
      <c r="V7" s="165" t="e">
        <f>IF(ISNUMBER(U7),U7/VLOOKUP($S7,xRates!$A$1:$AA$267,data!$T7-xRates!$B$1+2,FALSE),U7)</f>
        <v>#REF!</v>
      </c>
      <c r="W7" s="162" t="s">
        <v>387</v>
      </c>
      <c r="Y7" s="165"/>
      <c r="AA7" s="163" t="s">
        <v>155</v>
      </c>
      <c r="AB7" s="162"/>
      <c r="AD7" s="163" t="s">
        <v>155</v>
      </c>
      <c r="AE7" s="162" t="str">
        <f t="shared" si="2"/>
        <v/>
      </c>
      <c r="AF7" s="163" t="s">
        <v>148</v>
      </c>
      <c r="AG7" s="163" t="s">
        <v>148</v>
      </c>
      <c r="AH7" s="163" t="s">
        <v>148</v>
      </c>
      <c r="AJ7" s="162" t="s">
        <v>388</v>
      </c>
      <c r="AK7" s="162" t="s">
        <v>394</v>
      </c>
      <c r="AL7" s="163" t="s">
        <v>152</v>
      </c>
      <c r="AM7" s="166">
        <v>11436</v>
      </c>
      <c r="AN7" s="166">
        <v>11436</v>
      </c>
      <c r="AO7" s="166">
        <f t="shared" si="3"/>
        <v>7636.1</v>
      </c>
      <c r="AP7" s="163" t="str">
        <f t="shared" si="4"/>
        <v>Not Cost-Effective</v>
      </c>
      <c r="AQ7" s="163" t="str">
        <f t="shared" si="20"/>
        <v>Cost-Effective</v>
      </c>
      <c r="AR7" s="167">
        <f t="shared" si="5"/>
        <v>1.497623132227184</v>
      </c>
      <c r="AS7" s="167">
        <f t="shared" si="6"/>
        <v>0.71</v>
      </c>
      <c r="AT7" s="159" t="str">
        <f t="shared" si="21"/>
        <v>Not Cost-Effective</v>
      </c>
      <c r="AU7" s="167">
        <f t="shared" si="7"/>
        <v>0.45</v>
      </c>
      <c r="AV7" s="162" t="str">
        <f t="shared" si="22"/>
        <v>Not Cost-Effective</v>
      </c>
      <c r="AW7" s="167">
        <f t="shared" si="8"/>
        <v>0.64811121873397526</v>
      </c>
      <c r="AX7" s="159" t="str">
        <f t="shared" si="23"/>
        <v>Not Cost-Effective</v>
      </c>
      <c r="AY7" s="167">
        <f t="shared" si="9"/>
        <v>0.16395077203578146</v>
      </c>
      <c r="AZ7" s="159" t="str">
        <f t="shared" si="24"/>
        <v>Not Cost-Effective</v>
      </c>
      <c r="BA7" s="167">
        <f t="shared" si="10"/>
        <v>0.90271000305602389</v>
      </c>
      <c r="BB7" s="159" t="str">
        <f t="shared" si="25"/>
        <v>Not Cost-Effective</v>
      </c>
      <c r="BC7" s="167">
        <f t="shared" si="11"/>
        <v>0.374116464081862</v>
      </c>
      <c r="BD7" s="159" t="str">
        <f t="shared" si="26"/>
        <v>Not Cost-Effective</v>
      </c>
      <c r="BE7" s="162" t="s">
        <v>161</v>
      </c>
      <c r="BF7" s="162" t="s">
        <v>382</v>
      </c>
      <c r="BG7" s="168">
        <f t="shared" si="12"/>
        <v>1</v>
      </c>
      <c r="BH7" s="168">
        <f t="shared" si="13"/>
        <v>1</v>
      </c>
      <c r="BI7" s="163">
        <f t="shared" si="14"/>
        <v>1</v>
      </c>
      <c r="BJ7" s="163">
        <f t="shared" si="15"/>
        <v>1</v>
      </c>
      <c r="BK7" s="163">
        <f t="shared" si="27"/>
        <v>1</v>
      </c>
      <c r="BL7" s="163">
        <f t="shared" si="28"/>
        <v>1</v>
      </c>
      <c r="BM7" s="163">
        <f t="shared" si="29"/>
        <v>6</v>
      </c>
      <c r="BN7" s="163" t="s">
        <v>155</v>
      </c>
      <c r="BO7" s="162" t="str">
        <f t="shared" si="16"/>
        <v/>
      </c>
      <c r="BP7" s="162" t="s">
        <v>390</v>
      </c>
      <c r="BQ7" s="169" t="s">
        <v>156</v>
      </c>
    </row>
    <row r="8" spans="1:70">
      <c r="A8" s="159">
        <f t="shared" si="17"/>
        <v>4</v>
      </c>
      <c r="B8" s="159">
        <f t="shared" si="18"/>
        <v>1</v>
      </c>
      <c r="C8" s="160" t="str">
        <f t="shared" si="0"/>
        <v>0401</v>
      </c>
      <c r="D8" s="159" t="s">
        <v>168</v>
      </c>
      <c r="E8" s="161">
        <v>2016</v>
      </c>
      <c r="F8" s="162" t="s">
        <v>395</v>
      </c>
      <c r="G8" s="162" t="s">
        <v>145</v>
      </c>
      <c r="H8" s="163" t="str">
        <f t="shared" si="1"/>
        <v>UM</v>
      </c>
      <c r="I8" s="163" t="s">
        <v>148</v>
      </c>
      <c r="J8" s="162" t="s">
        <v>367</v>
      </c>
      <c r="K8" s="163" t="s">
        <v>146</v>
      </c>
      <c r="L8" s="163" t="s">
        <v>147</v>
      </c>
      <c r="M8" s="163" t="str">
        <f t="shared" si="19"/>
        <v>PCV7 vs NoVax</v>
      </c>
      <c r="N8" s="159" t="s">
        <v>396</v>
      </c>
      <c r="O8" s="159">
        <v>4</v>
      </c>
      <c r="P8" s="162" t="s">
        <v>148</v>
      </c>
      <c r="Q8" s="164" t="s">
        <v>149</v>
      </c>
      <c r="R8" s="162" t="s">
        <v>150</v>
      </c>
      <c r="S8" s="162" t="s">
        <v>151</v>
      </c>
      <c r="T8" s="161">
        <v>2015</v>
      </c>
      <c r="U8" s="165">
        <v>58</v>
      </c>
      <c r="V8" s="165" t="e">
        <f>IF(ISNUMBER(U8),U8/VLOOKUP($S8,xRates!$A$1:$AA$267,data!$T8-xRates!$B$1+2,FALSE),U8)</f>
        <v>#REF!</v>
      </c>
      <c r="W8" s="162" t="s">
        <v>385</v>
      </c>
      <c r="Y8" s="165"/>
      <c r="AA8" s="163" t="s">
        <v>148</v>
      </c>
      <c r="AB8" s="162" t="s">
        <v>397</v>
      </c>
      <c r="AC8" s="162" t="s">
        <v>155</v>
      </c>
      <c r="AD8" s="163" t="s">
        <v>155</v>
      </c>
      <c r="AE8" s="162" t="str">
        <f t="shared" si="2"/>
        <v/>
      </c>
      <c r="AF8" s="163" t="s">
        <v>148</v>
      </c>
      <c r="AG8" s="163" t="s">
        <v>148</v>
      </c>
      <c r="AH8" s="163" t="s">
        <v>148</v>
      </c>
      <c r="AJ8" s="162"/>
      <c r="AK8" s="162" t="s">
        <v>398</v>
      </c>
      <c r="AL8" s="163" t="s">
        <v>152</v>
      </c>
      <c r="AM8" s="166">
        <v>104094</v>
      </c>
      <c r="AN8" s="166">
        <v>104094</v>
      </c>
      <c r="AO8" s="166">
        <f t="shared" si="3"/>
        <v>8016.4</v>
      </c>
      <c r="AP8" s="163" t="str">
        <f t="shared" si="4"/>
        <v>Not Cost-Effective</v>
      </c>
      <c r="AQ8" s="163" t="str">
        <f t="shared" si="20"/>
        <v>Not Cost-Effective</v>
      </c>
      <c r="AR8" s="167">
        <f t="shared" si="5"/>
        <v>12.985130482510854</v>
      </c>
      <c r="AS8" s="167">
        <f t="shared" si="6"/>
        <v>0.71</v>
      </c>
      <c r="AT8" s="159" t="str">
        <f t="shared" si="21"/>
        <v>Not Cost-Effective</v>
      </c>
      <c r="AU8" s="167">
        <f t="shared" si="7"/>
        <v>0.45</v>
      </c>
      <c r="AV8" s="162" t="str">
        <f t="shared" si="22"/>
        <v>Not Cost-Effective</v>
      </c>
      <c r="AW8" s="167">
        <f t="shared" si="8"/>
        <v>0.64811121873397526</v>
      </c>
      <c r="AX8" s="159" t="str">
        <f t="shared" si="23"/>
        <v>Not Cost-Effective</v>
      </c>
      <c r="AY8" s="167">
        <f t="shared" si="9"/>
        <v>0.16395077203578146</v>
      </c>
      <c r="AZ8" s="159" t="str">
        <f t="shared" si="24"/>
        <v>Not Cost-Effective</v>
      </c>
      <c r="BA8" s="167">
        <f t="shared" si="10"/>
        <v>0.90271000305602389</v>
      </c>
      <c r="BB8" s="159" t="str">
        <f t="shared" si="25"/>
        <v>Not Cost-Effective</v>
      </c>
      <c r="BC8" s="167">
        <f t="shared" si="11"/>
        <v>0.374116464081862</v>
      </c>
      <c r="BD8" s="159" t="str">
        <f t="shared" si="26"/>
        <v>Not Cost-Effective</v>
      </c>
      <c r="BE8" s="162" t="s">
        <v>161</v>
      </c>
      <c r="BF8" s="162" t="s">
        <v>371</v>
      </c>
      <c r="BG8" s="168" t="str">
        <f t="shared" si="12"/>
        <v>.</v>
      </c>
      <c r="BH8" s="168" t="str">
        <f t="shared" si="13"/>
        <v>.</v>
      </c>
      <c r="BI8" s="163" t="str">
        <f t="shared" si="14"/>
        <v>.</v>
      </c>
      <c r="BJ8" s="163" t="str">
        <f t="shared" si="15"/>
        <v>.</v>
      </c>
      <c r="BK8" s="163" t="str">
        <f t="shared" si="27"/>
        <v>.</v>
      </c>
      <c r="BL8" s="163" t="str">
        <f t="shared" si="28"/>
        <v>.</v>
      </c>
      <c r="BM8" s="163">
        <f t="shared" si="29"/>
        <v>0</v>
      </c>
      <c r="BN8" s="163" t="s">
        <v>155</v>
      </c>
      <c r="BO8" s="162" t="str">
        <f t="shared" si="16"/>
        <v/>
      </c>
      <c r="BP8" s="162" t="s">
        <v>170</v>
      </c>
      <c r="BQ8" s="162" t="s">
        <v>170</v>
      </c>
      <c r="BR8" s="162" t="s">
        <v>399</v>
      </c>
    </row>
    <row r="9" spans="1:70">
      <c r="A9" s="159">
        <f t="shared" si="17"/>
        <v>4</v>
      </c>
      <c r="B9" s="159">
        <f t="shared" si="18"/>
        <v>2</v>
      </c>
      <c r="C9" s="160" t="str">
        <f t="shared" si="0"/>
        <v>0402</v>
      </c>
      <c r="D9" s="159" t="s">
        <v>168</v>
      </c>
      <c r="E9" s="161">
        <v>2016</v>
      </c>
      <c r="F9" s="162" t="s">
        <v>395</v>
      </c>
      <c r="G9" s="162" t="s">
        <v>145</v>
      </c>
      <c r="H9" s="163" t="str">
        <f t="shared" si="1"/>
        <v>UM</v>
      </c>
      <c r="I9" s="163" t="s">
        <v>148</v>
      </c>
      <c r="J9" s="162" t="s">
        <v>393</v>
      </c>
      <c r="K9" s="163" t="s">
        <v>167</v>
      </c>
      <c r="L9" s="163" t="s">
        <v>147</v>
      </c>
      <c r="M9" s="163" t="str">
        <f t="shared" si="19"/>
        <v>PCV13 vs NoVax</v>
      </c>
      <c r="N9" s="159" t="s">
        <v>400</v>
      </c>
      <c r="O9" s="159">
        <v>4</v>
      </c>
      <c r="P9" s="162" t="s">
        <v>148</v>
      </c>
      <c r="Q9" s="164" t="s">
        <v>149</v>
      </c>
      <c r="R9" s="162" t="s">
        <v>150</v>
      </c>
      <c r="S9" s="162" t="s">
        <v>151</v>
      </c>
      <c r="T9" s="161">
        <v>2015</v>
      </c>
      <c r="U9" s="165">
        <v>58</v>
      </c>
      <c r="V9" s="165" t="e">
        <f>IF(ISNUMBER(U9),U9/VLOOKUP($S9,xRates!$A$1:$AA$267,data!$T9-xRates!$B$1+2,FALSE),U9)</f>
        <v>#REF!</v>
      </c>
      <c r="W9" s="162" t="s">
        <v>385</v>
      </c>
      <c r="Y9" s="165"/>
      <c r="AA9" s="163" t="s">
        <v>148</v>
      </c>
      <c r="AB9" s="162" t="s">
        <v>397</v>
      </c>
      <c r="AC9" s="162" t="s">
        <v>155</v>
      </c>
      <c r="AD9" s="163" t="s">
        <v>155</v>
      </c>
      <c r="AE9" s="162" t="str">
        <f t="shared" si="2"/>
        <v/>
      </c>
      <c r="AF9" s="163" t="s">
        <v>148</v>
      </c>
      <c r="AG9" s="163" t="s">
        <v>148</v>
      </c>
      <c r="AH9" s="163" t="s">
        <v>148</v>
      </c>
      <c r="AJ9" s="162"/>
      <c r="AK9" s="162" t="s">
        <v>401</v>
      </c>
      <c r="AL9" s="163" t="s">
        <v>152</v>
      </c>
      <c r="AM9" s="166">
        <v>29460</v>
      </c>
      <c r="AN9" s="166">
        <v>29460</v>
      </c>
      <c r="AO9" s="166">
        <f t="shared" si="3"/>
        <v>8016.4</v>
      </c>
      <c r="AP9" s="163" t="str">
        <f t="shared" si="4"/>
        <v>Not Cost-Effective</v>
      </c>
      <c r="AQ9" s="163" t="str">
        <f t="shared" si="20"/>
        <v>Not Cost-Effective</v>
      </c>
      <c r="AR9" s="167">
        <f t="shared" si="5"/>
        <v>3.6749663190459558</v>
      </c>
      <c r="AS9" s="167">
        <f t="shared" si="6"/>
        <v>0.71</v>
      </c>
      <c r="AT9" s="159" t="str">
        <f t="shared" si="21"/>
        <v>Not Cost-Effective</v>
      </c>
      <c r="AU9" s="167">
        <f t="shared" si="7"/>
        <v>0.45</v>
      </c>
      <c r="AV9" s="162" t="str">
        <f t="shared" si="22"/>
        <v>Not Cost-Effective</v>
      </c>
      <c r="AW9" s="167">
        <f t="shared" si="8"/>
        <v>0.64811121873397526</v>
      </c>
      <c r="AX9" s="159" t="str">
        <f t="shared" si="23"/>
        <v>Not Cost-Effective</v>
      </c>
      <c r="AY9" s="167">
        <f t="shared" si="9"/>
        <v>0.16395077203578146</v>
      </c>
      <c r="AZ9" s="159" t="str">
        <f t="shared" si="24"/>
        <v>Not Cost-Effective</v>
      </c>
      <c r="BA9" s="167">
        <f t="shared" si="10"/>
        <v>0.90271000305602389</v>
      </c>
      <c r="BB9" s="159" t="str">
        <f t="shared" si="25"/>
        <v>Not Cost-Effective</v>
      </c>
      <c r="BC9" s="167">
        <f t="shared" si="11"/>
        <v>0.374116464081862</v>
      </c>
      <c r="BD9" s="159" t="str">
        <f t="shared" si="26"/>
        <v>Not Cost-Effective</v>
      </c>
      <c r="BE9" s="162" t="s">
        <v>161</v>
      </c>
      <c r="BF9" s="162" t="s">
        <v>371</v>
      </c>
      <c r="BG9" s="168" t="str">
        <f t="shared" si="12"/>
        <v>.</v>
      </c>
      <c r="BH9" s="168" t="str">
        <f t="shared" si="13"/>
        <v>.</v>
      </c>
      <c r="BI9" s="163" t="str">
        <f t="shared" si="14"/>
        <v>.</v>
      </c>
      <c r="BJ9" s="163" t="str">
        <f t="shared" si="15"/>
        <v>.</v>
      </c>
      <c r="BK9" s="163" t="str">
        <f t="shared" si="27"/>
        <v>.</v>
      </c>
      <c r="BL9" s="163" t="str">
        <f t="shared" si="28"/>
        <v>.</v>
      </c>
      <c r="BM9" s="163">
        <f t="shared" si="29"/>
        <v>0</v>
      </c>
      <c r="BN9" s="163" t="s">
        <v>155</v>
      </c>
      <c r="BO9" s="162" t="str">
        <f t="shared" si="16"/>
        <v/>
      </c>
      <c r="BP9" s="162" t="s">
        <v>170</v>
      </c>
      <c r="BQ9" s="162" t="s">
        <v>170</v>
      </c>
      <c r="BR9" s="162" t="s">
        <v>399</v>
      </c>
    </row>
    <row r="10" spans="1:70">
      <c r="A10" s="159">
        <f t="shared" si="17"/>
        <v>5</v>
      </c>
      <c r="B10" s="159">
        <f t="shared" si="18"/>
        <v>1</v>
      </c>
      <c r="C10" s="160" t="str">
        <f t="shared" si="0"/>
        <v>0501</v>
      </c>
      <c r="D10" s="159" t="s">
        <v>171</v>
      </c>
      <c r="E10" s="161">
        <v>2018</v>
      </c>
      <c r="F10" s="162" t="s">
        <v>402</v>
      </c>
      <c r="G10" s="162" t="s">
        <v>145</v>
      </c>
      <c r="H10" s="163" t="str">
        <f t="shared" si="1"/>
        <v>UM</v>
      </c>
      <c r="I10" s="163" t="s">
        <v>148</v>
      </c>
      <c r="J10" s="162" t="s">
        <v>393</v>
      </c>
      <c r="K10" s="163" t="s">
        <v>167</v>
      </c>
      <c r="L10" s="163" t="s">
        <v>147</v>
      </c>
      <c r="M10" s="163" t="str">
        <f t="shared" si="19"/>
        <v>PCV13 vs NoVax</v>
      </c>
      <c r="N10" s="159" t="s">
        <v>403</v>
      </c>
      <c r="O10" s="159">
        <v>4</v>
      </c>
      <c r="P10" s="162" t="s">
        <v>148</v>
      </c>
      <c r="Q10" s="164" t="s">
        <v>377</v>
      </c>
      <c r="R10" s="162" t="s">
        <v>160</v>
      </c>
      <c r="S10" s="162" t="s">
        <v>145</v>
      </c>
      <c r="T10" s="161">
        <v>2015</v>
      </c>
      <c r="U10" s="165">
        <v>698</v>
      </c>
      <c r="V10" s="165" t="e">
        <f>IF(ISNUMBER(U10),U10/VLOOKUP($S10,xRates!$A$1:$AA$267,data!$T10-xRates!$B$1+2,FALSE),U10)</f>
        <v>#REF!</v>
      </c>
      <c r="W10" s="162" t="s">
        <v>404</v>
      </c>
      <c r="Y10" s="165"/>
      <c r="AA10" s="163" t="s">
        <v>155</v>
      </c>
      <c r="AB10" s="162"/>
      <c r="AD10" s="163" t="s">
        <v>155</v>
      </c>
      <c r="AE10" s="162" t="str">
        <f t="shared" si="2"/>
        <v/>
      </c>
      <c r="AF10" s="163" t="s">
        <v>148</v>
      </c>
      <c r="AG10" s="163" t="s">
        <v>148</v>
      </c>
      <c r="AH10" s="163" t="s">
        <v>148</v>
      </c>
      <c r="AJ10" s="162" t="s">
        <v>405</v>
      </c>
      <c r="AK10" s="162" t="s">
        <v>406</v>
      </c>
      <c r="AL10" s="163" t="s">
        <v>152</v>
      </c>
      <c r="AM10" s="166">
        <v>79304</v>
      </c>
      <c r="AN10" s="166">
        <f>AM10/xRates!$U$43</f>
        <v>372.80932681459194</v>
      </c>
      <c r="AO10" s="166">
        <f t="shared" si="3"/>
        <v>8016.4</v>
      </c>
      <c r="AP10" s="163" t="str">
        <f t="shared" si="4"/>
        <v>Cost-Effective</v>
      </c>
      <c r="AQ10" s="163" t="str">
        <f t="shared" si="20"/>
        <v>Cost-Effective</v>
      </c>
      <c r="AR10" s="167">
        <f t="shared" si="5"/>
        <v>4.6505828902573716E-2</v>
      </c>
      <c r="AS10" s="167">
        <f t="shared" si="6"/>
        <v>0.71</v>
      </c>
      <c r="AT10" s="159" t="str">
        <f t="shared" si="21"/>
        <v>Cost-Effective</v>
      </c>
      <c r="AU10" s="167">
        <f t="shared" si="7"/>
        <v>0.45</v>
      </c>
      <c r="AV10" s="162" t="str">
        <f t="shared" si="22"/>
        <v>Cost-Effective</v>
      </c>
      <c r="AW10" s="167">
        <f t="shared" si="8"/>
        <v>0.64811121873397526</v>
      </c>
      <c r="AX10" s="159" t="str">
        <f t="shared" si="23"/>
        <v>Cost-Effective</v>
      </c>
      <c r="AY10" s="167">
        <f t="shared" si="9"/>
        <v>0.16395077203578146</v>
      </c>
      <c r="AZ10" s="159" t="str">
        <f t="shared" si="24"/>
        <v>Cost-Effective</v>
      </c>
      <c r="BA10" s="167">
        <f t="shared" si="10"/>
        <v>0.90271000305602389</v>
      </c>
      <c r="BB10" s="159" t="str">
        <f t="shared" si="25"/>
        <v>Cost-Effective</v>
      </c>
      <c r="BC10" s="167">
        <f t="shared" si="11"/>
        <v>0.374116464081862</v>
      </c>
      <c r="BD10" s="159" t="str">
        <f t="shared" si="26"/>
        <v>Cost-Effective</v>
      </c>
      <c r="BE10" s="162" t="s">
        <v>173</v>
      </c>
      <c r="BF10" s="162" t="s">
        <v>382</v>
      </c>
      <c r="BG10" s="168">
        <f t="shared" si="12"/>
        <v>0</v>
      </c>
      <c r="BH10" s="168">
        <f t="shared" si="13"/>
        <v>0</v>
      </c>
      <c r="BI10" s="163">
        <f t="shared" si="14"/>
        <v>0</v>
      </c>
      <c r="BJ10" s="163">
        <f t="shared" si="15"/>
        <v>0</v>
      </c>
      <c r="BK10" s="163">
        <f t="shared" si="27"/>
        <v>0</v>
      </c>
      <c r="BL10" s="163">
        <f t="shared" si="28"/>
        <v>0</v>
      </c>
      <c r="BM10" s="163">
        <f t="shared" si="29"/>
        <v>0</v>
      </c>
      <c r="BN10" s="163" t="s">
        <v>155</v>
      </c>
      <c r="BO10" s="162" t="str">
        <f t="shared" si="16"/>
        <v/>
      </c>
      <c r="BP10" s="162" t="s">
        <v>383</v>
      </c>
      <c r="BQ10" s="162" t="s">
        <v>163</v>
      </c>
    </row>
    <row r="11" spans="1:70">
      <c r="A11" s="159">
        <f t="shared" si="17"/>
        <v>5</v>
      </c>
      <c r="B11" s="159">
        <f t="shared" si="18"/>
        <v>2</v>
      </c>
      <c r="C11" s="160" t="str">
        <f t="shared" si="0"/>
        <v>0502</v>
      </c>
      <c r="D11" s="159" t="s">
        <v>171</v>
      </c>
      <c r="E11" s="159">
        <v>2018</v>
      </c>
      <c r="F11" s="162" t="s">
        <v>402</v>
      </c>
      <c r="G11" s="162" t="s">
        <v>145</v>
      </c>
      <c r="H11" s="163" t="str">
        <f t="shared" ref="H11" si="30">VLOOKUP(G11,income,T11-1985,FALSE)</f>
        <v>UM</v>
      </c>
      <c r="I11" s="163" t="s">
        <v>148</v>
      </c>
      <c r="J11" s="162" t="s">
        <v>393</v>
      </c>
      <c r="K11" s="163" t="s">
        <v>167</v>
      </c>
      <c r="L11" s="163" t="s">
        <v>147</v>
      </c>
      <c r="M11" s="163" t="str">
        <f t="shared" si="19"/>
        <v>PCV13 vs NoVax</v>
      </c>
      <c r="N11" s="162" t="s">
        <v>403</v>
      </c>
      <c r="O11" s="159">
        <v>4</v>
      </c>
      <c r="P11" s="162" t="s">
        <v>148</v>
      </c>
      <c r="Q11" s="162" t="s">
        <v>377</v>
      </c>
      <c r="R11" s="162" t="s">
        <v>160</v>
      </c>
      <c r="S11" s="162" t="s">
        <v>145</v>
      </c>
      <c r="T11" s="159">
        <v>2015</v>
      </c>
      <c r="U11" s="165">
        <v>698</v>
      </c>
      <c r="V11" s="165" t="e">
        <f>IF(ISNUMBER(U11),U11/VLOOKUP($S11,xRates!$A$1:$AA$267,data!$T11-xRates!$B$1+2,FALSE),U11)</f>
        <v>#REF!</v>
      </c>
      <c r="W11" s="162" t="s">
        <v>404</v>
      </c>
      <c r="Y11" s="165"/>
      <c r="AA11" s="163" t="s">
        <v>148</v>
      </c>
      <c r="AB11" s="162" t="s">
        <v>407</v>
      </c>
      <c r="AC11" s="162" t="s">
        <v>148</v>
      </c>
      <c r="AD11" s="163" t="s">
        <v>155</v>
      </c>
      <c r="AE11" s="162" t="str">
        <f t="shared" si="2"/>
        <v/>
      </c>
      <c r="AF11" s="163" t="s">
        <v>148</v>
      </c>
      <c r="AG11" s="163" t="s">
        <v>148</v>
      </c>
      <c r="AH11" s="163" t="s">
        <v>148</v>
      </c>
      <c r="AJ11" s="162" t="s">
        <v>405</v>
      </c>
      <c r="AK11" s="162" t="s">
        <v>408</v>
      </c>
      <c r="AL11" s="163" t="s">
        <v>152</v>
      </c>
      <c r="AM11" s="166">
        <v>76551</v>
      </c>
      <c r="AN11" s="166">
        <f>AM11/xRates!$U$43</f>
        <v>359.86743136517487</v>
      </c>
      <c r="AO11" s="166">
        <f t="shared" si="3"/>
        <v>8016.4</v>
      </c>
      <c r="AP11" s="163" t="str">
        <f t="shared" si="4"/>
        <v>Cost-Effective</v>
      </c>
      <c r="AQ11" s="163" t="str">
        <f t="shared" si="20"/>
        <v>Cost-Effective</v>
      </c>
      <c r="AR11" s="167">
        <f t="shared" si="5"/>
        <v>4.4891401547474535E-2</v>
      </c>
      <c r="AS11" s="167">
        <f t="shared" si="6"/>
        <v>0.71</v>
      </c>
      <c r="AT11" s="159" t="str">
        <f t="shared" si="21"/>
        <v>Cost-Effective</v>
      </c>
      <c r="AU11" s="167">
        <f t="shared" si="7"/>
        <v>0.45</v>
      </c>
      <c r="AV11" s="162" t="str">
        <f t="shared" si="22"/>
        <v>Cost-Effective</v>
      </c>
      <c r="AW11" s="167">
        <f t="shared" si="8"/>
        <v>0.64811121873397526</v>
      </c>
      <c r="AX11" s="159" t="str">
        <f t="shared" si="23"/>
        <v>Cost-Effective</v>
      </c>
      <c r="AY11" s="167">
        <f t="shared" si="9"/>
        <v>0.16395077203578146</v>
      </c>
      <c r="AZ11" s="159" t="str">
        <f t="shared" si="24"/>
        <v>Cost-Effective</v>
      </c>
      <c r="BA11" s="167">
        <f t="shared" si="10"/>
        <v>0.90271000305602389</v>
      </c>
      <c r="BB11" s="159" t="str">
        <f t="shared" si="25"/>
        <v>Cost-Effective</v>
      </c>
      <c r="BC11" s="167">
        <f t="shared" si="11"/>
        <v>0.374116464081862</v>
      </c>
      <c r="BD11" s="159" t="str">
        <f t="shared" si="26"/>
        <v>Cost-Effective</v>
      </c>
      <c r="BE11" s="162" t="s">
        <v>173</v>
      </c>
      <c r="BF11" s="162" t="s">
        <v>382</v>
      </c>
      <c r="BG11" s="168">
        <f t="shared" si="12"/>
        <v>0</v>
      </c>
      <c r="BH11" s="168">
        <f t="shared" si="13"/>
        <v>0</v>
      </c>
      <c r="BI11" s="163">
        <f t="shared" si="14"/>
        <v>0</v>
      </c>
      <c r="BJ11" s="163">
        <f t="shared" si="15"/>
        <v>0</v>
      </c>
      <c r="BK11" s="163">
        <f t="shared" si="27"/>
        <v>0</v>
      </c>
      <c r="BL11" s="163">
        <f t="shared" si="28"/>
        <v>0</v>
      </c>
      <c r="BM11" s="163">
        <f t="shared" si="29"/>
        <v>0</v>
      </c>
      <c r="BN11" s="163" t="s">
        <v>155</v>
      </c>
      <c r="BO11" s="162" t="str">
        <f t="shared" si="16"/>
        <v/>
      </c>
      <c r="BP11" s="162" t="s">
        <v>383</v>
      </c>
      <c r="BQ11" s="162" t="s">
        <v>163</v>
      </c>
    </row>
    <row r="12" spans="1:70">
      <c r="A12" s="159">
        <f t="shared" si="17"/>
        <v>5</v>
      </c>
      <c r="B12" s="159">
        <f t="shared" si="18"/>
        <v>3</v>
      </c>
      <c r="C12" s="160" t="str">
        <f t="shared" si="0"/>
        <v>0503</v>
      </c>
      <c r="D12" s="159" t="s">
        <v>171</v>
      </c>
      <c r="E12" s="161">
        <v>2018</v>
      </c>
      <c r="F12" s="162" t="s">
        <v>402</v>
      </c>
      <c r="G12" s="162" t="s">
        <v>145</v>
      </c>
      <c r="H12" s="163" t="str">
        <f t="shared" si="1"/>
        <v>UM</v>
      </c>
      <c r="I12" s="163" t="s">
        <v>148</v>
      </c>
      <c r="J12" s="162" t="s">
        <v>393</v>
      </c>
      <c r="K12" s="163" t="s">
        <v>167</v>
      </c>
      <c r="L12" s="163" t="s">
        <v>147</v>
      </c>
      <c r="M12" s="163" t="str">
        <f t="shared" si="19"/>
        <v>PCV13 vs NoVax</v>
      </c>
      <c r="N12" s="159" t="s">
        <v>403</v>
      </c>
      <c r="O12" s="159">
        <v>4</v>
      </c>
      <c r="P12" s="162" t="s">
        <v>148</v>
      </c>
      <c r="Q12" s="164" t="s">
        <v>377</v>
      </c>
      <c r="R12" s="162" t="s">
        <v>160</v>
      </c>
      <c r="S12" s="162" t="s">
        <v>145</v>
      </c>
      <c r="T12" s="161">
        <v>2015</v>
      </c>
      <c r="U12" s="165">
        <v>698</v>
      </c>
      <c r="V12" s="165" t="e">
        <f>IF(ISNUMBER(U12),U12/VLOOKUP($S12,xRates!$A$1:$AA$267,data!$T12-xRates!$B$1+2,FALSE),U12)</f>
        <v>#REF!</v>
      </c>
      <c r="W12" s="162" t="s">
        <v>404</v>
      </c>
      <c r="Y12" s="165"/>
      <c r="AA12" s="163" t="s">
        <v>148</v>
      </c>
      <c r="AB12" s="162" t="s">
        <v>409</v>
      </c>
      <c r="AC12" s="162" t="s">
        <v>148</v>
      </c>
      <c r="AD12" s="163" t="s">
        <v>155</v>
      </c>
      <c r="AE12" s="162" t="str">
        <f t="shared" si="2"/>
        <v/>
      </c>
      <c r="AF12" s="163" t="s">
        <v>148</v>
      </c>
      <c r="AG12" s="163" t="s">
        <v>148</v>
      </c>
      <c r="AH12" s="163" t="s">
        <v>148</v>
      </c>
      <c r="AJ12" s="162" t="s">
        <v>405</v>
      </c>
      <c r="AK12" s="162" t="s">
        <v>410</v>
      </c>
      <c r="AL12" s="163" t="s">
        <v>152</v>
      </c>
      <c r="AM12" s="166">
        <v>3777</v>
      </c>
      <c r="AN12" s="166">
        <f>AM12/xRates!$U$43</f>
        <v>17.755735238811582</v>
      </c>
      <c r="AO12" s="166">
        <f t="shared" si="3"/>
        <v>8016.4</v>
      </c>
      <c r="AP12" s="163" t="str">
        <f t="shared" si="4"/>
        <v>Cost-Effective</v>
      </c>
      <c r="AQ12" s="163" t="str">
        <f t="shared" si="20"/>
        <v>Cost-Effective</v>
      </c>
      <c r="AR12" s="167">
        <f t="shared" si="5"/>
        <v>2.2149263059243031E-3</v>
      </c>
      <c r="AS12" s="167">
        <f t="shared" si="6"/>
        <v>0.71</v>
      </c>
      <c r="AT12" s="159" t="str">
        <f t="shared" si="21"/>
        <v>Cost-Effective</v>
      </c>
      <c r="AU12" s="167">
        <f t="shared" si="7"/>
        <v>0.45</v>
      </c>
      <c r="AV12" s="162" t="str">
        <f t="shared" si="22"/>
        <v>Cost-Effective</v>
      </c>
      <c r="AW12" s="167">
        <f t="shared" si="8"/>
        <v>0.64811121873397526</v>
      </c>
      <c r="AX12" s="159" t="str">
        <f t="shared" si="23"/>
        <v>Cost-Effective</v>
      </c>
      <c r="AY12" s="167">
        <f t="shared" si="9"/>
        <v>0.16395077203578146</v>
      </c>
      <c r="AZ12" s="159" t="str">
        <f t="shared" si="24"/>
        <v>Cost-Effective</v>
      </c>
      <c r="BA12" s="167">
        <f t="shared" si="10"/>
        <v>0.90271000305602389</v>
      </c>
      <c r="BB12" s="159" t="str">
        <f t="shared" si="25"/>
        <v>Cost-Effective</v>
      </c>
      <c r="BC12" s="167">
        <f t="shared" si="11"/>
        <v>0.374116464081862</v>
      </c>
      <c r="BD12" s="159" t="str">
        <f t="shared" si="26"/>
        <v>Cost-Effective</v>
      </c>
      <c r="BE12" s="162" t="s">
        <v>173</v>
      </c>
      <c r="BF12" s="162" t="s">
        <v>382</v>
      </c>
      <c r="BG12" s="168">
        <f t="shared" si="12"/>
        <v>0</v>
      </c>
      <c r="BH12" s="168">
        <f t="shared" si="13"/>
        <v>0</v>
      </c>
      <c r="BI12" s="163">
        <f t="shared" si="14"/>
        <v>0</v>
      </c>
      <c r="BJ12" s="163">
        <f t="shared" si="15"/>
        <v>0</v>
      </c>
      <c r="BK12" s="163">
        <f t="shared" si="27"/>
        <v>0</v>
      </c>
      <c r="BL12" s="163">
        <f t="shared" si="28"/>
        <v>0</v>
      </c>
      <c r="BM12" s="163">
        <f t="shared" si="29"/>
        <v>0</v>
      </c>
      <c r="BN12" s="163" t="s">
        <v>155</v>
      </c>
      <c r="BO12" s="162" t="str">
        <f t="shared" si="16"/>
        <v/>
      </c>
      <c r="BP12" s="162" t="s">
        <v>383</v>
      </c>
      <c r="BQ12" s="162" t="s">
        <v>163</v>
      </c>
    </row>
    <row r="13" spans="1:70">
      <c r="A13" s="159">
        <f t="shared" si="17"/>
        <v>6</v>
      </c>
      <c r="B13" s="159">
        <f t="shared" si="18"/>
        <v>1</v>
      </c>
      <c r="C13" s="160" t="str">
        <f t="shared" si="0"/>
        <v>0601</v>
      </c>
      <c r="D13" s="159" t="s">
        <v>174</v>
      </c>
      <c r="E13" s="161">
        <v>2018</v>
      </c>
      <c r="F13" s="162" t="s">
        <v>411</v>
      </c>
      <c r="G13" s="162" t="s">
        <v>145</v>
      </c>
      <c r="H13" s="163" t="str">
        <f t="shared" si="1"/>
        <v>UM</v>
      </c>
      <c r="I13" s="163" t="s">
        <v>148</v>
      </c>
      <c r="J13" s="162" t="s">
        <v>393</v>
      </c>
      <c r="K13" s="163" t="s">
        <v>167</v>
      </c>
      <c r="L13" s="163" t="s">
        <v>147</v>
      </c>
      <c r="M13" s="163" t="str">
        <f t="shared" si="19"/>
        <v>PCV13 vs NoVax</v>
      </c>
      <c r="N13" s="159" t="s">
        <v>403</v>
      </c>
      <c r="O13" s="159">
        <v>4</v>
      </c>
      <c r="P13" s="162" t="s">
        <v>155</v>
      </c>
      <c r="Q13" s="164" t="s">
        <v>377</v>
      </c>
      <c r="R13" s="162" t="s">
        <v>150</v>
      </c>
      <c r="S13" s="162" t="s">
        <v>151</v>
      </c>
      <c r="T13" s="161">
        <v>2016</v>
      </c>
      <c r="U13" s="165">
        <v>138.72</v>
      </c>
      <c r="V13" s="165" t="e">
        <f>IF(ISNUMBER(U13),U13/VLOOKUP($S13,xRates!$A$1:$AA$267,data!$T13-xRates!$B$1+2,FALSE),U13)</f>
        <v>#REF!</v>
      </c>
      <c r="W13" s="162" t="s">
        <v>385</v>
      </c>
      <c r="Y13" s="165"/>
      <c r="AA13" s="163" t="s">
        <v>155</v>
      </c>
      <c r="AB13" s="162"/>
      <c r="AC13" s="162" t="s">
        <v>148</v>
      </c>
      <c r="AD13" s="163" t="s">
        <v>148</v>
      </c>
      <c r="AE13" s="162" t="s">
        <v>385</v>
      </c>
      <c r="AF13" s="163" t="s">
        <v>148</v>
      </c>
      <c r="AG13" s="163" t="s">
        <v>148</v>
      </c>
      <c r="AH13" s="163" t="s">
        <v>148</v>
      </c>
      <c r="AJ13" s="162"/>
      <c r="AK13" s="162" t="s">
        <v>412</v>
      </c>
      <c r="AL13" s="163" t="s">
        <v>152</v>
      </c>
      <c r="AM13" s="166">
        <v>20709</v>
      </c>
      <c r="AN13" s="166">
        <v>20709</v>
      </c>
      <c r="AO13" s="166">
        <f t="shared" si="3"/>
        <v>8094.4</v>
      </c>
      <c r="AP13" s="163" t="str">
        <f t="shared" si="4"/>
        <v>Not Cost-Effective</v>
      </c>
      <c r="AQ13" s="163" t="str">
        <f t="shared" si="20"/>
        <v>Cost-Effective</v>
      </c>
      <c r="AR13" s="167">
        <f t="shared" si="5"/>
        <v>2.5584354615536666</v>
      </c>
      <c r="AS13" s="167">
        <f t="shared" si="6"/>
        <v>0.71</v>
      </c>
      <c r="AT13" s="159" t="str">
        <f t="shared" si="21"/>
        <v>Not Cost-Effective</v>
      </c>
      <c r="AU13" s="167">
        <f t="shared" si="7"/>
        <v>0.45</v>
      </c>
      <c r="AV13" s="162" t="str">
        <f t="shared" si="22"/>
        <v>Not Cost-Effective</v>
      </c>
      <c r="AW13" s="167">
        <f t="shared" si="8"/>
        <v>0.64811121873397526</v>
      </c>
      <c r="AX13" s="159" t="str">
        <f t="shared" si="23"/>
        <v>Not Cost-Effective</v>
      </c>
      <c r="AY13" s="167">
        <f t="shared" si="9"/>
        <v>0.16395077203578146</v>
      </c>
      <c r="AZ13" s="159" t="str">
        <f t="shared" si="24"/>
        <v>Not Cost-Effective</v>
      </c>
      <c r="BA13" s="167">
        <f t="shared" si="10"/>
        <v>0.90271000305602389</v>
      </c>
      <c r="BB13" s="159" t="str">
        <f t="shared" si="25"/>
        <v>Not Cost-Effective</v>
      </c>
      <c r="BC13" s="167">
        <f t="shared" si="11"/>
        <v>0.374116464081862</v>
      </c>
      <c r="BD13" s="159" t="str">
        <f t="shared" si="26"/>
        <v>Not Cost-Effective</v>
      </c>
      <c r="BE13" s="162" t="s">
        <v>176</v>
      </c>
      <c r="BF13" s="162" t="s">
        <v>382</v>
      </c>
      <c r="BG13" s="168">
        <f t="shared" si="12"/>
        <v>1</v>
      </c>
      <c r="BH13" s="168">
        <f t="shared" si="13"/>
        <v>1</v>
      </c>
      <c r="BI13" s="163">
        <f t="shared" si="14"/>
        <v>1</v>
      </c>
      <c r="BJ13" s="163">
        <f t="shared" si="15"/>
        <v>1</v>
      </c>
      <c r="BK13" s="163">
        <f t="shared" si="27"/>
        <v>1</v>
      </c>
      <c r="BL13" s="163">
        <f t="shared" si="28"/>
        <v>1</v>
      </c>
      <c r="BM13" s="163">
        <f t="shared" si="29"/>
        <v>6</v>
      </c>
      <c r="BN13" s="163" t="s">
        <v>155</v>
      </c>
      <c r="BO13" s="162" t="str">
        <f t="shared" si="16"/>
        <v/>
      </c>
      <c r="BP13" s="162" t="s">
        <v>413</v>
      </c>
      <c r="BQ13" s="162" t="s">
        <v>177</v>
      </c>
    </row>
    <row r="14" spans="1:70">
      <c r="A14" s="159">
        <f t="shared" si="17"/>
        <v>6</v>
      </c>
      <c r="B14" s="159">
        <f t="shared" si="18"/>
        <v>2</v>
      </c>
      <c r="C14" s="160" t="str">
        <f t="shared" si="0"/>
        <v>0602</v>
      </c>
      <c r="D14" s="159" t="s">
        <v>174</v>
      </c>
      <c r="E14" s="161">
        <v>2018</v>
      </c>
      <c r="F14" s="162" t="s">
        <v>411</v>
      </c>
      <c r="G14" s="162" t="s">
        <v>145</v>
      </c>
      <c r="H14" s="163" t="str">
        <f t="shared" si="1"/>
        <v>UM</v>
      </c>
      <c r="I14" s="163" t="s">
        <v>148</v>
      </c>
      <c r="J14" s="162" t="s">
        <v>393</v>
      </c>
      <c r="K14" s="163" t="s">
        <v>167</v>
      </c>
      <c r="L14" s="163" t="s">
        <v>147</v>
      </c>
      <c r="M14" s="163" t="str">
        <f t="shared" si="19"/>
        <v>PCV13 vs NoVax</v>
      </c>
      <c r="N14" s="159" t="s">
        <v>403</v>
      </c>
      <c r="O14" s="159">
        <v>4</v>
      </c>
      <c r="P14" s="162" t="s">
        <v>148</v>
      </c>
      <c r="Q14" s="164" t="s">
        <v>149</v>
      </c>
      <c r="R14" s="162" t="s">
        <v>150</v>
      </c>
      <c r="S14" s="162" t="s">
        <v>151</v>
      </c>
      <c r="T14" s="161">
        <v>2016</v>
      </c>
      <c r="U14" s="165">
        <v>138.72</v>
      </c>
      <c r="V14" s="165" t="e">
        <f>IF(ISNUMBER(U14),U14/VLOOKUP($S14,xRates!$A$1:$AA$267,data!$T14-xRates!$B$1+2,FALSE),U14)</f>
        <v>#REF!</v>
      </c>
      <c r="W14" s="162" t="s">
        <v>385</v>
      </c>
      <c r="Y14" s="165"/>
      <c r="AA14" s="163" t="s">
        <v>155</v>
      </c>
      <c r="AB14" s="162"/>
      <c r="AD14" s="163" t="s">
        <v>148</v>
      </c>
      <c r="AE14" s="162" t="s">
        <v>385</v>
      </c>
      <c r="AF14" s="163" t="s">
        <v>148</v>
      </c>
      <c r="AG14" s="163" t="s">
        <v>148</v>
      </c>
      <c r="AH14" s="163" t="s">
        <v>148</v>
      </c>
      <c r="AJ14" s="162"/>
      <c r="AK14" s="162" t="s">
        <v>414</v>
      </c>
      <c r="AL14" s="163" t="s">
        <v>152</v>
      </c>
      <c r="AM14" s="166">
        <v>18483</v>
      </c>
      <c r="AN14" s="166">
        <v>18483</v>
      </c>
      <c r="AO14" s="166">
        <f t="shared" si="3"/>
        <v>8094.4</v>
      </c>
      <c r="AP14" s="163" t="str">
        <f t="shared" si="4"/>
        <v>Not Cost-Effective</v>
      </c>
      <c r="AQ14" s="163" t="str">
        <f t="shared" si="20"/>
        <v>Cost-Effective</v>
      </c>
      <c r="AR14" s="167">
        <f t="shared" si="5"/>
        <v>2.2834305198655862</v>
      </c>
      <c r="AS14" s="167">
        <f t="shared" si="6"/>
        <v>0.71</v>
      </c>
      <c r="AT14" s="159" t="str">
        <f t="shared" si="21"/>
        <v>Not Cost-Effective</v>
      </c>
      <c r="AU14" s="167">
        <f t="shared" si="7"/>
        <v>0.45</v>
      </c>
      <c r="AV14" s="162" t="str">
        <f t="shared" si="22"/>
        <v>Not Cost-Effective</v>
      </c>
      <c r="AW14" s="167">
        <f t="shared" si="8"/>
        <v>0.64811121873397526</v>
      </c>
      <c r="AX14" s="159" t="str">
        <f t="shared" si="23"/>
        <v>Not Cost-Effective</v>
      </c>
      <c r="AY14" s="167">
        <f t="shared" si="9"/>
        <v>0.16395077203578146</v>
      </c>
      <c r="AZ14" s="159" t="str">
        <f t="shared" si="24"/>
        <v>Not Cost-Effective</v>
      </c>
      <c r="BA14" s="167">
        <f t="shared" si="10"/>
        <v>0.90271000305602389</v>
      </c>
      <c r="BB14" s="159" t="str">
        <f t="shared" si="25"/>
        <v>Not Cost-Effective</v>
      </c>
      <c r="BC14" s="167">
        <f t="shared" si="11"/>
        <v>0.374116464081862</v>
      </c>
      <c r="BD14" s="159" t="str">
        <f t="shared" si="26"/>
        <v>Not Cost-Effective</v>
      </c>
      <c r="BE14" s="162" t="s">
        <v>176</v>
      </c>
      <c r="BF14" s="162" t="s">
        <v>382</v>
      </c>
      <c r="BG14" s="168">
        <f t="shared" si="12"/>
        <v>1</v>
      </c>
      <c r="BH14" s="168">
        <f t="shared" si="13"/>
        <v>1</v>
      </c>
      <c r="BI14" s="163">
        <f t="shared" si="14"/>
        <v>1</v>
      </c>
      <c r="BJ14" s="163">
        <f t="shared" si="15"/>
        <v>1</v>
      </c>
      <c r="BK14" s="163">
        <f t="shared" si="27"/>
        <v>1</v>
      </c>
      <c r="BL14" s="163">
        <f t="shared" si="28"/>
        <v>1</v>
      </c>
      <c r="BM14" s="163">
        <f t="shared" si="29"/>
        <v>6</v>
      </c>
      <c r="BN14" s="163" t="s">
        <v>155</v>
      </c>
      <c r="BO14" s="162" t="str">
        <f t="shared" si="16"/>
        <v/>
      </c>
      <c r="BP14" s="162" t="s">
        <v>413</v>
      </c>
      <c r="BQ14" s="162" t="s">
        <v>177</v>
      </c>
    </row>
    <row r="15" spans="1:70">
      <c r="A15" s="159">
        <f t="shared" si="17"/>
        <v>7</v>
      </c>
      <c r="B15" s="159">
        <f t="shared" si="18"/>
        <v>1</v>
      </c>
      <c r="C15" s="160" t="str">
        <f t="shared" si="0"/>
        <v>0701</v>
      </c>
      <c r="D15" s="159" t="s">
        <v>178</v>
      </c>
      <c r="E15" s="161">
        <v>2011</v>
      </c>
      <c r="F15" s="162" t="s">
        <v>415</v>
      </c>
      <c r="G15" s="162" t="s">
        <v>180</v>
      </c>
      <c r="H15" s="163" t="str">
        <f t="shared" si="1"/>
        <v>UM</v>
      </c>
      <c r="I15" s="163" t="s">
        <v>148</v>
      </c>
      <c r="J15" s="162" t="s">
        <v>367</v>
      </c>
      <c r="K15" s="163" t="s">
        <v>146</v>
      </c>
      <c r="L15" s="163" t="s">
        <v>147</v>
      </c>
      <c r="M15" s="163" t="str">
        <f t="shared" si="19"/>
        <v>PCV7 vs NoVax</v>
      </c>
      <c r="N15" s="159" t="s">
        <v>376</v>
      </c>
      <c r="O15" s="159">
        <v>4</v>
      </c>
      <c r="P15" s="162" t="s">
        <v>148</v>
      </c>
      <c r="Q15" s="164" t="s">
        <v>377</v>
      </c>
      <c r="R15" s="162" t="s">
        <v>181</v>
      </c>
      <c r="S15" s="162" t="s">
        <v>180</v>
      </c>
      <c r="T15" s="161">
        <v>2007</v>
      </c>
      <c r="U15" s="165">
        <v>222</v>
      </c>
      <c r="V15" s="165" t="e">
        <f>IF(ISNUMBER(U15),U15/VLOOKUP($S15,xRates!$A$1:$AA$267,data!$T15-xRates!$B$1+2,FALSE),U15)</f>
        <v>#REF!</v>
      </c>
      <c r="W15" s="162" t="s">
        <v>416</v>
      </c>
      <c r="Y15" s="165"/>
      <c r="AA15" s="163" t="s">
        <v>148</v>
      </c>
      <c r="AB15" s="162" t="s">
        <v>417</v>
      </c>
      <c r="AC15" s="162" t="s">
        <v>148</v>
      </c>
      <c r="AD15" s="163" t="s">
        <v>155</v>
      </c>
      <c r="AE15" s="162" t="str">
        <f t="shared" ref="AE15:AE36" si="31">IF(AD15="No", "", "")</f>
        <v/>
      </c>
      <c r="AF15" s="163" t="s">
        <v>148</v>
      </c>
      <c r="AG15" s="163" t="s">
        <v>148</v>
      </c>
      <c r="AH15" s="163" t="s">
        <v>148</v>
      </c>
      <c r="AJ15" s="162" t="s">
        <v>380</v>
      </c>
      <c r="AK15" s="162" t="s">
        <v>418</v>
      </c>
      <c r="AL15" s="163" t="s">
        <v>152</v>
      </c>
      <c r="AM15" s="166">
        <v>35196</v>
      </c>
      <c r="AN15" s="166" t="e">
        <f>AM15/xRates!M122</f>
        <v>#DIV/0!</v>
      </c>
      <c r="AO15" s="166">
        <f t="shared" si="3"/>
        <v>7144</v>
      </c>
      <c r="AP15" s="163" t="e">
        <f t="shared" si="4"/>
        <v>#DIV/0!</v>
      </c>
      <c r="AQ15" s="163" t="e">
        <f t="shared" si="20"/>
        <v>#DIV/0!</v>
      </c>
      <c r="AR15" s="167" t="str">
        <f t="shared" si="5"/>
        <v>.</v>
      </c>
      <c r="AS15" s="167">
        <f t="shared" si="6"/>
        <v>0.75</v>
      </c>
      <c r="AT15" s="159" t="str">
        <f t="shared" si="21"/>
        <v>Not Cost-Effective</v>
      </c>
      <c r="AU15" s="167">
        <f t="shared" si="7"/>
        <v>0.45</v>
      </c>
      <c r="AV15" s="162" t="str">
        <f t="shared" si="22"/>
        <v>Not Cost-Effective</v>
      </c>
      <c r="AW15" s="167">
        <f t="shared" si="8"/>
        <v>0.5771973489191532</v>
      </c>
      <c r="AX15" s="159" t="str">
        <f t="shared" si="23"/>
        <v>Not Cost-Effective</v>
      </c>
      <c r="AY15" s="167">
        <f t="shared" si="9"/>
        <v>0.32448707551478878</v>
      </c>
      <c r="AZ15" s="159" t="str">
        <f t="shared" si="24"/>
        <v>Not Cost-Effective</v>
      </c>
      <c r="BA15" s="167">
        <f t="shared" si="10"/>
        <v>0.68675272410416721</v>
      </c>
      <c r="BB15" s="159" t="str">
        <f t="shared" si="25"/>
        <v>Not Cost-Effective</v>
      </c>
      <c r="BC15" s="167">
        <f t="shared" si="11"/>
        <v>0.28467225411198244</v>
      </c>
      <c r="BD15" s="159" t="str">
        <f t="shared" si="26"/>
        <v>Not Cost-Effective</v>
      </c>
      <c r="BE15" s="162" t="s">
        <v>161</v>
      </c>
      <c r="BF15" s="162" t="s">
        <v>382</v>
      </c>
      <c r="BG15" s="168">
        <f t="shared" si="12"/>
        <v>1</v>
      </c>
      <c r="BH15" s="168">
        <f t="shared" si="13"/>
        <v>1</v>
      </c>
      <c r="BI15" s="163">
        <f t="shared" si="14"/>
        <v>1</v>
      </c>
      <c r="BJ15" s="163">
        <f t="shared" si="15"/>
        <v>1</v>
      </c>
      <c r="BK15" s="163">
        <f t="shared" si="27"/>
        <v>1</v>
      </c>
      <c r="BL15" s="163">
        <f t="shared" si="28"/>
        <v>1</v>
      </c>
      <c r="BM15" s="163">
        <f t="shared" si="29"/>
        <v>6</v>
      </c>
      <c r="BN15" s="163" t="s">
        <v>155</v>
      </c>
      <c r="BO15" s="162" t="str">
        <f t="shared" si="16"/>
        <v/>
      </c>
      <c r="BP15" s="162" t="s">
        <v>383</v>
      </c>
      <c r="BQ15" s="162" t="s">
        <v>163</v>
      </c>
    </row>
    <row r="16" spans="1:70">
      <c r="A16" s="159">
        <f t="shared" si="17"/>
        <v>8</v>
      </c>
      <c r="B16" s="159">
        <f t="shared" si="18"/>
        <v>1</v>
      </c>
      <c r="C16" s="160" t="str">
        <f t="shared" si="0"/>
        <v>0801</v>
      </c>
      <c r="D16" s="159" t="s">
        <v>178</v>
      </c>
      <c r="E16" s="161">
        <v>2014</v>
      </c>
      <c r="F16" s="162" t="s">
        <v>419</v>
      </c>
      <c r="G16" s="162" t="s">
        <v>180</v>
      </c>
      <c r="H16" s="163" t="str">
        <f t="shared" si="1"/>
        <v>UM</v>
      </c>
      <c r="I16" s="163" t="s">
        <v>148</v>
      </c>
      <c r="J16" s="162" t="s">
        <v>391</v>
      </c>
      <c r="K16" s="163" t="s">
        <v>166</v>
      </c>
      <c r="L16" s="163" t="s">
        <v>147</v>
      </c>
      <c r="M16" s="163" t="str">
        <f t="shared" si="19"/>
        <v>PCV10 vs NoVax</v>
      </c>
      <c r="N16" s="159" t="s">
        <v>403</v>
      </c>
      <c r="O16" s="159">
        <v>4</v>
      </c>
      <c r="P16" s="162" t="s">
        <v>148</v>
      </c>
      <c r="Q16" s="164" t="s">
        <v>377</v>
      </c>
      <c r="R16" s="162" t="s">
        <v>150</v>
      </c>
      <c r="S16" s="162" t="s">
        <v>151</v>
      </c>
      <c r="T16" s="161">
        <v>2010</v>
      </c>
      <c r="U16" s="165" t="s">
        <v>386</v>
      </c>
      <c r="V16" s="165" t="str">
        <f>IF(ISNUMBER(U16),U16/VLOOKUP($S16,xRates!$A$1:$AA$267,data!$T16-xRates!$B$1+2,FALSE),U16)</f>
        <v>.</v>
      </c>
      <c r="W16" s="162" t="s">
        <v>385</v>
      </c>
      <c r="Y16" s="165"/>
      <c r="AA16" s="163" t="s">
        <v>148</v>
      </c>
      <c r="AB16" s="162" t="s">
        <v>417</v>
      </c>
      <c r="AC16" s="162" t="s">
        <v>148</v>
      </c>
      <c r="AD16" s="163" t="s">
        <v>155</v>
      </c>
      <c r="AE16" s="162" t="str">
        <f t="shared" si="31"/>
        <v/>
      </c>
      <c r="AF16" s="163" t="s">
        <v>148</v>
      </c>
      <c r="AG16" s="163" t="s">
        <v>148</v>
      </c>
      <c r="AH16" s="163" t="s">
        <v>148</v>
      </c>
      <c r="AJ16" s="162" t="s">
        <v>420</v>
      </c>
      <c r="AK16" s="162" t="s">
        <v>421</v>
      </c>
      <c r="AL16" s="163" t="s">
        <v>152</v>
      </c>
      <c r="AM16" s="166">
        <v>9406</v>
      </c>
      <c r="AN16" s="166">
        <v>9046</v>
      </c>
      <c r="AO16" s="166">
        <f t="shared" si="3"/>
        <v>8880.1</v>
      </c>
      <c r="AP16" s="163" t="str">
        <f t="shared" si="4"/>
        <v>Not Cost-Effective</v>
      </c>
      <c r="AQ16" s="163" t="str">
        <f t="shared" si="20"/>
        <v>Cost-Effective</v>
      </c>
      <c r="AR16" s="167">
        <f t="shared" si="5"/>
        <v>1.0186822220470491</v>
      </c>
      <c r="AS16" s="167">
        <f t="shared" si="6"/>
        <v>0.75</v>
      </c>
      <c r="AT16" s="159" t="str">
        <f t="shared" si="21"/>
        <v>Not Cost-Effective</v>
      </c>
      <c r="AU16" s="167">
        <f t="shared" si="7"/>
        <v>0.45</v>
      </c>
      <c r="AV16" s="162" t="str">
        <f t="shared" si="22"/>
        <v>Not Cost-Effective</v>
      </c>
      <c r="AW16" s="167">
        <f t="shared" si="8"/>
        <v>0.5771973489191532</v>
      </c>
      <c r="AX16" s="159" t="str">
        <f t="shared" si="23"/>
        <v>Not Cost-Effective</v>
      </c>
      <c r="AY16" s="167">
        <f t="shared" si="9"/>
        <v>0.32448707551478878</v>
      </c>
      <c r="AZ16" s="159" t="str">
        <f t="shared" si="24"/>
        <v>Not Cost-Effective</v>
      </c>
      <c r="BA16" s="167">
        <f t="shared" si="10"/>
        <v>0.68675272410416721</v>
      </c>
      <c r="BB16" s="159" t="str">
        <f t="shared" si="25"/>
        <v>Not Cost-Effective</v>
      </c>
      <c r="BC16" s="167">
        <f t="shared" si="11"/>
        <v>0.28467225411198244</v>
      </c>
      <c r="BD16" s="159" t="str">
        <f t="shared" si="26"/>
        <v>Not Cost-Effective</v>
      </c>
      <c r="BE16" s="162" t="s">
        <v>161</v>
      </c>
      <c r="BF16" s="162" t="s">
        <v>382</v>
      </c>
      <c r="BG16" s="168">
        <f t="shared" si="12"/>
        <v>1</v>
      </c>
      <c r="BH16" s="168">
        <f t="shared" si="13"/>
        <v>1</v>
      </c>
      <c r="BI16" s="163">
        <f t="shared" si="14"/>
        <v>1</v>
      </c>
      <c r="BJ16" s="163">
        <f t="shared" si="15"/>
        <v>1</v>
      </c>
      <c r="BK16" s="163">
        <f t="shared" si="27"/>
        <v>1</v>
      </c>
      <c r="BL16" s="163">
        <f t="shared" si="28"/>
        <v>1</v>
      </c>
      <c r="BM16" s="163">
        <f t="shared" si="29"/>
        <v>6</v>
      </c>
      <c r="BN16" s="163" t="s">
        <v>155</v>
      </c>
      <c r="BO16" s="162" t="str">
        <f t="shared" si="16"/>
        <v/>
      </c>
      <c r="BP16" s="162" t="s">
        <v>422</v>
      </c>
      <c r="BQ16" s="162" t="s">
        <v>163</v>
      </c>
    </row>
    <row r="17" spans="1:70" s="173" customFormat="1">
      <c r="A17" s="159">
        <f t="shared" si="17"/>
        <v>8</v>
      </c>
      <c r="B17" s="159">
        <f t="shared" si="18"/>
        <v>2</v>
      </c>
      <c r="C17" s="170" t="str">
        <f t="shared" si="0"/>
        <v>0802</v>
      </c>
      <c r="D17" s="171" t="s">
        <v>178</v>
      </c>
      <c r="E17" s="172">
        <v>2014</v>
      </c>
      <c r="F17" s="173" t="s">
        <v>419</v>
      </c>
      <c r="G17" s="173" t="s">
        <v>180</v>
      </c>
      <c r="H17" s="174" t="str">
        <f t="shared" si="1"/>
        <v>UM</v>
      </c>
      <c r="I17" s="174" t="s">
        <v>148</v>
      </c>
      <c r="J17" s="173" t="s">
        <v>423</v>
      </c>
      <c r="K17" s="174" t="s">
        <v>167</v>
      </c>
      <c r="L17" s="174" t="s">
        <v>166</v>
      </c>
      <c r="M17" s="163" t="str">
        <f t="shared" si="19"/>
        <v>PCV13 vs PCV10</v>
      </c>
      <c r="N17" s="171" t="s">
        <v>403</v>
      </c>
      <c r="O17" s="171">
        <v>4</v>
      </c>
      <c r="P17" s="173" t="s">
        <v>148</v>
      </c>
      <c r="Q17" s="175" t="s">
        <v>377</v>
      </c>
      <c r="R17" s="173" t="s">
        <v>150</v>
      </c>
      <c r="S17" s="173" t="s">
        <v>151</v>
      </c>
      <c r="T17" s="172">
        <v>2010</v>
      </c>
      <c r="U17" s="176" t="s">
        <v>386</v>
      </c>
      <c r="V17" s="176" t="s">
        <v>386</v>
      </c>
      <c r="W17" s="162" t="s">
        <v>385</v>
      </c>
      <c r="X17" s="162" t="s">
        <v>386</v>
      </c>
      <c r="Y17" s="176" t="s">
        <v>386</v>
      </c>
      <c r="Z17" s="176" t="str">
        <f>IF(ISNUMBER(Y17),Y17/VLOOKUP($S17,xRates!$A$1:$AA$267,data!$T17-xRates!$B$1+2,FALSE),Y17)</f>
        <v>.</v>
      </c>
      <c r="AA17" s="174" t="s">
        <v>148</v>
      </c>
      <c r="AB17" s="173" t="s">
        <v>417</v>
      </c>
      <c r="AC17" s="173" t="s">
        <v>148</v>
      </c>
      <c r="AD17" s="174" t="s">
        <v>155</v>
      </c>
      <c r="AE17" s="173" t="str">
        <f t="shared" si="31"/>
        <v/>
      </c>
      <c r="AF17" s="174" t="s">
        <v>148</v>
      </c>
      <c r="AG17" s="174" t="s">
        <v>148</v>
      </c>
      <c r="AH17" s="174" t="s">
        <v>148</v>
      </c>
      <c r="AI17" s="174"/>
      <c r="AJ17" s="173" t="s">
        <v>420</v>
      </c>
      <c r="AK17" s="173" t="s">
        <v>424</v>
      </c>
      <c r="AL17" s="163" t="s">
        <v>152</v>
      </c>
      <c r="AM17" s="177">
        <v>61061.49</v>
      </c>
      <c r="AN17" s="177">
        <f>AM17</f>
        <v>61061.49</v>
      </c>
      <c r="AO17" s="177">
        <f t="shared" si="3"/>
        <v>8880.1</v>
      </c>
      <c r="AP17" s="174" t="str">
        <f t="shared" si="4"/>
        <v>Not Cost-Effective</v>
      </c>
      <c r="AQ17" s="174" t="str">
        <f t="shared" si="20"/>
        <v>Not Cost-Effective</v>
      </c>
      <c r="AR17" s="167">
        <f t="shared" si="5"/>
        <v>6.8762164840486024</v>
      </c>
      <c r="AS17" s="167">
        <f t="shared" si="6"/>
        <v>0.75</v>
      </c>
      <c r="AT17" s="159" t="str">
        <f t="shared" si="21"/>
        <v>Not Cost-Effective</v>
      </c>
      <c r="AU17" s="167">
        <f t="shared" si="7"/>
        <v>0.45</v>
      </c>
      <c r="AV17" s="162" t="str">
        <f t="shared" si="22"/>
        <v>Not Cost-Effective</v>
      </c>
      <c r="AW17" s="167">
        <f t="shared" si="8"/>
        <v>0.5771973489191532</v>
      </c>
      <c r="AX17" s="159" t="str">
        <f t="shared" si="23"/>
        <v>Not Cost-Effective</v>
      </c>
      <c r="AY17" s="167">
        <f t="shared" si="9"/>
        <v>0.32448707551478878</v>
      </c>
      <c r="AZ17" s="159" t="str">
        <f t="shared" si="24"/>
        <v>Not Cost-Effective</v>
      </c>
      <c r="BA17" s="167">
        <f t="shared" si="10"/>
        <v>0.68675272410416721</v>
      </c>
      <c r="BB17" s="159" t="str">
        <f t="shared" si="25"/>
        <v>Not Cost-Effective</v>
      </c>
      <c r="BC17" s="167">
        <f t="shared" si="11"/>
        <v>0.28467225411198244</v>
      </c>
      <c r="BD17" s="159" t="str">
        <f t="shared" si="26"/>
        <v>Not Cost-Effective</v>
      </c>
      <c r="BE17" s="173" t="s">
        <v>161</v>
      </c>
      <c r="BF17" s="173" t="s">
        <v>371</v>
      </c>
      <c r="BG17" s="178" t="str">
        <f t="shared" si="12"/>
        <v>.</v>
      </c>
      <c r="BH17" s="178" t="str">
        <f t="shared" si="13"/>
        <v>.</v>
      </c>
      <c r="BI17" s="174" t="str">
        <f t="shared" si="14"/>
        <v>.</v>
      </c>
      <c r="BJ17" s="174" t="str">
        <f t="shared" si="15"/>
        <v>.</v>
      </c>
      <c r="BK17" s="163" t="str">
        <f t="shared" si="27"/>
        <v>.</v>
      </c>
      <c r="BL17" s="163" t="str">
        <f t="shared" si="28"/>
        <v>.</v>
      </c>
      <c r="BM17" s="163">
        <f t="shared" si="29"/>
        <v>0</v>
      </c>
      <c r="BN17" s="174" t="s">
        <v>155</v>
      </c>
      <c r="BO17" s="173" t="str">
        <f t="shared" si="16"/>
        <v/>
      </c>
      <c r="BP17" s="173" t="s">
        <v>422</v>
      </c>
      <c r="BQ17" s="162" t="s">
        <v>163</v>
      </c>
    </row>
    <row r="18" spans="1:70">
      <c r="A18" s="159">
        <f t="shared" si="17"/>
        <v>9</v>
      </c>
      <c r="B18" s="159">
        <f t="shared" si="18"/>
        <v>1</v>
      </c>
      <c r="C18" s="160" t="str">
        <f t="shared" si="0"/>
        <v>0901</v>
      </c>
      <c r="D18" s="159" t="s">
        <v>83</v>
      </c>
      <c r="E18" s="161">
        <v>2017</v>
      </c>
      <c r="F18" s="162" t="s">
        <v>425</v>
      </c>
      <c r="G18" s="162" t="s">
        <v>180</v>
      </c>
      <c r="H18" s="163" t="str">
        <f t="shared" si="1"/>
        <v>UM</v>
      </c>
      <c r="I18" s="163" t="s">
        <v>148</v>
      </c>
      <c r="J18" s="162" t="s">
        <v>391</v>
      </c>
      <c r="K18" s="163" t="s">
        <v>166</v>
      </c>
      <c r="L18" s="163" t="s">
        <v>147</v>
      </c>
      <c r="M18" s="163" t="str">
        <f t="shared" si="19"/>
        <v>PCV10 vs NoVax</v>
      </c>
      <c r="N18" s="159" t="s">
        <v>368</v>
      </c>
      <c r="O18" s="159">
        <v>3</v>
      </c>
      <c r="P18" s="162" t="s">
        <v>148</v>
      </c>
      <c r="Q18" s="164" t="s">
        <v>377</v>
      </c>
      <c r="R18" s="162" t="s">
        <v>150</v>
      </c>
      <c r="S18" s="162" t="s">
        <v>151</v>
      </c>
      <c r="T18" s="161">
        <v>2014</v>
      </c>
      <c r="U18" s="165">
        <v>34.25</v>
      </c>
      <c r="V18" s="165" t="e">
        <f>IF(ISNUMBER(U18),U18/VLOOKUP($S18,xRates!$A$1:$AA$267,data!$T18-xRates!$B$1+2,FALSE),U18)</f>
        <v>#REF!</v>
      </c>
      <c r="W18" s="162" t="s">
        <v>426</v>
      </c>
      <c r="Y18" s="165"/>
      <c r="Z18" s="162" t="s">
        <v>426</v>
      </c>
      <c r="AA18" s="163" t="s">
        <v>155</v>
      </c>
      <c r="AB18" s="162"/>
      <c r="AD18" s="163" t="s">
        <v>155</v>
      </c>
      <c r="AE18" s="162" t="str">
        <f t="shared" si="31"/>
        <v/>
      </c>
      <c r="AF18" s="163" t="s">
        <v>148</v>
      </c>
      <c r="AG18" s="163" t="s">
        <v>148</v>
      </c>
      <c r="AH18" s="163" t="s">
        <v>148</v>
      </c>
      <c r="AJ18" s="162" t="s">
        <v>427</v>
      </c>
      <c r="AK18" s="162" t="s">
        <v>428</v>
      </c>
      <c r="AL18" s="163" t="s">
        <v>152</v>
      </c>
      <c r="AM18" s="166">
        <v>28497</v>
      </c>
      <c r="AN18" s="166">
        <v>28497</v>
      </c>
      <c r="AO18" s="166">
        <f t="shared" si="3"/>
        <v>11045.6</v>
      </c>
      <c r="AP18" s="163" t="str">
        <f t="shared" si="4"/>
        <v>Not Cost-Effective</v>
      </c>
      <c r="AQ18" s="163" t="str">
        <f t="shared" si="20"/>
        <v>Cost-Effective</v>
      </c>
      <c r="AR18" s="167">
        <f t="shared" si="5"/>
        <v>2.5799413341058881</v>
      </c>
      <c r="AS18" s="167">
        <f t="shared" si="6"/>
        <v>0.75</v>
      </c>
      <c r="AT18" s="159" t="str">
        <f t="shared" si="21"/>
        <v>Not Cost-Effective</v>
      </c>
      <c r="AU18" s="167">
        <f t="shared" si="7"/>
        <v>0.45</v>
      </c>
      <c r="AV18" s="162" t="str">
        <f t="shared" si="22"/>
        <v>Not Cost-Effective</v>
      </c>
      <c r="AW18" s="167">
        <f t="shared" si="8"/>
        <v>0.5771973489191532</v>
      </c>
      <c r="AX18" s="159" t="str">
        <f t="shared" si="23"/>
        <v>Not Cost-Effective</v>
      </c>
      <c r="AY18" s="167">
        <f t="shared" si="9"/>
        <v>0.32448707551478878</v>
      </c>
      <c r="AZ18" s="159" t="str">
        <f t="shared" si="24"/>
        <v>Not Cost-Effective</v>
      </c>
      <c r="BA18" s="167">
        <f t="shared" si="10"/>
        <v>0.68675272410416721</v>
      </c>
      <c r="BB18" s="159" t="str">
        <f t="shared" si="25"/>
        <v>Not Cost-Effective</v>
      </c>
      <c r="BC18" s="167">
        <f t="shared" si="11"/>
        <v>0.28467225411198244</v>
      </c>
      <c r="BD18" s="159" t="str">
        <f t="shared" si="26"/>
        <v>Not Cost-Effective</v>
      </c>
      <c r="BE18" s="162" t="s">
        <v>161</v>
      </c>
      <c r="BF18" s="162" t="s">
        <v>382</v>
      </c>
      <c r="BG18" s="168">
        <f t="shared" si="12"/>
        <v>1</v>
      </c>
      <c r="BH18" s="168">
        <f t="shared" si="13"/>
        <v>1</v>
      </c>
      <c r="BI18" s="163">
        <f t="shared" si="14"/>
        <v>1</v>
      </c>
      <c r="BJ18" s="163">
        <f t="shared" si="15"/>
        <v>1</v>
      </c>
      <c r="BK18" s="163">
        <f t="shared" si="27"/>
        <v>1</v>
      </c>
      <c r="BL18" s="163">
        <f t="shared" si="28"/>
        <v>1</v>
      </c>
      <c r="BM18" s="163">
        <f t="shared" si="29"/>
        <v>6</v>
      </c>
      <c r="BN18" s="163" t="s">
        <v>155</v>
      </c>
      <c r="BO18" s="162" t="str">
        <f t="shared" si="16"/>
        <v/>
      </c>
      <c r="BP18" s="162" t="s">
        <v>422</v>
      </c>
      <c r="BQ18" s="162" t="s">
        <v>163</v>
      </c>
    </row>
    <row r="19" spans="1:70" s="173" customFormat="1">
      <c r="A19" s="159">
        <f t="shared" si="17"/>
        <v>9</v>
      </c>
      <c r="B19" s="159">
        <f t="shared" si="18"/>
        <v>2</v>
      </c>
      <c r="C19" s="170" t="str">
        <f t="shared" si="0"/>
        <v>0902</v>
      </c>
      <c r="D19" s="171" t="s">
        <v>83</v>
      </c>
      <c r="E19" s="172">
        <v>2017</v>
      </c>
      <c r="F19" s="173" t="s">
        <v>425</v>
      </c>
      <c r="G19" s="173" t="s">
        <v>180</v>
      </c>
      <c r="H19" s="174" t="str">
        <f t="shared" si="1"/>
        <v>UM</v>
      </c>
      <c r="I19" s="174" t="s">
        <v>148</v>
      </c>
      <c r="J19" s="173" t="s">
        <v>423</v>
      </c>
      <c r="K19" s="174" t="s">
        <v>167</v>
      </c>
      <c r="L19" s="174" t="s">
        <v>166</v>
      </c>
      <c r="M19" s="163" t="str">
        <f t="shared" si="19"/>
        <v>PCV13 vs PCV10</v>
      </c>
      <c r="N19" s="171" t="s">
        <v>368</v>
      </c>
      <c r="O19" s="171">
        <v>3</v>
      </c>
      <c r="P19" s="173" t="s">
        <v>155</v>
      </c>
      <c r="Q19" s="175" t="s">
        <v>377</v>
      </c>
      <c r="R19" s="173" t="s">
        <v>150</v>
      </c>
      <c r="S19" s="173" t="s">
        <v>151</v>
      </c>
      <c r="T19" s="172">
        <v>2014</v>
      </c>
      <c r="U19" s="176">
        <v>34.25</v>
      </c>
      <c r="V19" s="176" t="e">
        <f>IF(ISNUMBER(U19),U19/VLOOKUP($S19,xRates!$A$1:$AA$267,data!$T19-xRates!$B$1+2,FALSE),U19)</f>
        <v>#REF!</v>
      </c>
      <c r="W19" s="173" t="s">
        <v>426</v>
      </c>
      <c r="X19" s="171">
        <v>34.25</v>
      </c>
      <c r="Y19" s="176">
        <v>34.25</v>
      </c>
      <c r="Z19" s="173" t="s">
        <v>426</v>
      </c>
      <c r="AA19" s="174" t="s">
        <v>155</v>
      </c>
      <c r="AD19" s="174" t="s">
        <v>155</v>
      </c>
      <c r="AE19" s="173" t="str">
        <f t="shared" si="31"/>
        <v/>
      </c>
      <c r="AF19" s="174" t="s">
        <v>148</v>
      </c>
      <c r="AG19" s="174" t="s">
        <v>148</v>
      </c>
      <c r="AH19" s="174" t="s">
        <v>148</v>
      </c>
      <c r="AI19" s="174"/>
      <c r="AJ19" s="173" t="s">
        <v>427</v>
      </c>
      <c r="AK19" s="173" t="s">
        <v>429</v>
      </c>
      <c r="AL19" s="163" t="s">
        <v>152</v>
      </c>
      <c r="AM19" s="177">
        <v>44907.6</v>
      </c>
      <c r="AN19" s="177">
        <f>AM19</f>
        <v>44907.6</v>
      </c>
      <c r="AO19" s="177">
        <f t="shared" si="3"/>
        <v>11045.6</v>
      </c>
      <c r="AP19" s="174" t="str">
        <f t="shared" si="4"/>
        <v>Not Cost-Effective</v>
      </c>
      <c r="AQ19" s="174" t="str">
        <f t="shared" si="20"/>
        <v>Not Cost-Effective</v>
      </c>
      <c r="AR19" s="167">
        <f t="shared" si="5"/>
        <v>4.0656551024842464</v>
      </c>
      <c r="AS19" s="167">
        <f t="shared" si="6"/>
        <v>0.75</v>
      </c>
      <c r="AT19" s="159" t="str">
        <f t="shared" si="21"/>
        <v>Not Cost-Effective</v>
      </c>
      <c r="AU19" s="167">
        <f t="shared" si="7"/>
        <v>0.45</v>
      </c>
      <c r="AV19" s="162" t="str">
        <f t="shared" si="22"/>
        <v>Not Cost-Effective</v>
      </c>
      <c r="AW19" s="167">
        <f t="shared" si="8"/>
        <v>0.5771973489191532</v>
      </c>
      <c r="AX19" s="159" t="str">
        <f t="shared" si="23"/>
        <v>Not Cost-Effective</v>
      </c>
      <c r="AY19" s="167">
        <f t="shared" si="9"/>
        <v>0.32448707551478878</v>
      </c>
      <c r="AZ19" s="159" t="str">
        <f t="shared" si="24"/>
        <v>Not Cost-Effective</v>
      </c>
      <c r="BA19" s="167">
        <f t="shared" si="10"/>
        <v>0.68675272410416721</v>
      </c>
      <c r="BB19" s="159" t="str">
        <f t="shared" si="25"/>
        <v>Not Cost-Effective</v>
      </c>
      <c r="BC19" s="167">
        <f t="shared" si="11"/>
        <v>0.28467225411198244</v>
      </c>
      <c r="BD19" s="159" t="str">
        <f t="shared" si="26"/>
        <v>Not Cost-Effective</v>
      </c>
      <c r="BE19" s="173" t="s">
        <v>161</v>
      </c>
      <c r="BF19" s="173" t="s">
        <v>371</v>
      </c>
      <c r="BG19" s="178" t="str">
        <f t="shared" si="12"/>
        <v>.</v>
      </c>
      <c r="BH19" s="178" t="str">
        <f t="shared" si="13"/>
        <v>.</v>
      </c>
      <c r="BI19" s="174" t="str">
        <f t="shared" si="14"/>
        <v>.</v>
      </c>
      <c r="BJ19" s="174" t="str">
        <f t="shared" si="15"/>
        <v>.</v>
      </c>
      <c r="BK19" s="163" t="str">
        <f t="shared" si="27"/>
        <v>.</v>
      </c>
      <c r="BL19" s="163" t="str">
        <f t="shared" si="28"/>
        <v>.</v>
      </c>
      <c r="BM19" s="163">
        <f t="shared" si="29"/>
        <v>0</v>
      </c>
      <c r="BN19" s="174" t="s">
        <v>155</v>
      </c>
      <c r="BO19" s="173" t="str">
        <f t="shared" si="16"/>
        <v/>
      </c>
      <c r="BP19" s="173" t="s">
        <v>422</v>
      </c>
      <c r="BQ19" s="162" t="s">
        <v>163</v>
      </c>
    </row>
    <row r="20" spans="1:70">
      <c r="A20" s="159">
        <f t="shared" si="17"/>
        <v>10</v>
      </c>
      <c r="B20" s="159">
        <f t="shared" si="18"/>
        <v>1</v>
      </c>
      <c r="C20" s="160" t="str">
        <f t="shared" si="0"/>
        <v>1001</v>
      </c>
      <c r="D20" s="159" t="s">
        <v>184</v>
      </c>
      <c r="E20" s="161">
        <v>2016</v>
      </c>
      <c r="F20" s="162" t="s">
        <v>430</v>
      </c>
      <c r="G20" s="162" t="s">
        <v>180</v>
      </c>
      <c r="H20" s="163" t="str">
        <f t="shared" si="1"/>
        <v>UM</v>
      </c>
      <c r="I20" s="163" t="s">
        <v>148</v>
      </c>
      <c r="J20" s="162" t="s">
        <v>391</v>
      </c>
      <c r="K20" s="163" t="s">
        <v>166</v>
      </c>
      <c r="L20" s="163" t="s">
        <v>147</v>
      </c>
      <c r="M20" s="163" t="str">
        <f t="shared" si="19"/>
        <v>PCV10 vs NoVax</v>
      </c>
      <c r="N20" s="159" t="s">
        <v>403</v>
      </c>
      <c r="O20" s="159">
        <v>4</v>
      </c>
      <c r="P20" s="162" t="s">
        <v>148</v>
      </c>
      <c r="Q20" s="164" t="s">
        <v>377</v>
      </c>
      <c r="R20" s="162" t="s">
        <v>150</v>
      </c>
      <c r="S20" s="162" t="s">
        <v>151</v>
      </c>
      <c r="T20" s="161">
        <v>2014</v>
      </c>
      <c r="U20" s="165">
        <v>55</v>
      </c>
      <c r="V20" s="165" t="e">
        <f>IF(ISNUMBER(U20),U20/VLOOKUP($S20,xRates!$A$1:$AA$267,data!$T20-xRates!$B$1+2,FALSE),U20)</f>
        <v>#REF!</v>
      </c>
      <c r="W20" s="162" t="s">
        <v>431</v>
      </c>
      <c r="Y20" s="165"/>
      <c r="AA20" s="163" t="s">
        <v>148</v>
      </c>
      <c r="AB20" s="162" t="s">
        <v>432</v>
      </c>
      <c r="AC20" s="162" t="s">
        <v>148</v>
      </c>
      <c r="AD20" s="163" t="s">
        <v>155</v>
      </c>
      <c r="AE20" s="162" t="str">
        <f t="shared" si="31"/>
        <v/>
      </c>
      <c r="AF20" s="163" t="s">
        <v>148</v>
      </c>
      <c r="AG20" s="163" t="s">
        <v>148</v>
      </c>
      <c r="AH20" s="163" t="s">
        <v>148</v>
      </c>
      <c r="AJ20" s="162" t="s">
        <v>427</v>
      </c>
      <c r="AK20" s="162" t="s">
        <v>433</v>
      </c>
      <c r="AL20" s="163" t="s">
        <v>152</v>
      </c>
      <c r="AM20" s="166">
        <v>21438</v>
      </c>
      <c r="AN20" s="166">
        <v>21438</v>
      </c>
      <c r="AO20" s="166">
        <f t="shared" si="3"/>
        <v>11045.6</v>
      </c>
      <c r="AP20" s="163" t="str">
        <f t="shared" si="4"/>
        <v>Not Cost-Effective</v>
      </c>
      <c r="AQ20" s="163" t="str">
        <f t="shared" si="20"/>
        <v>Cost-Effective</v>
      </c>
      <c r="AR20" s="167">
        <f t="shared" si="5"/>
        <v>1.9408633301948286</v>
      </c>
      <c r="AS20" s="167">
        <f t="shared" si="6"/>
        <v>0.75</v>
      </c>
      <c r="AT20" s="159" t="str">
        <f t="shared" si="21"/>
        <v>Not Cost-Effective</v>
      </c>
      <c r="AU20" s="167">
        <f t="shared" si="7"/>
        <v>0.45</v>
      </c>
      <c r="AV20" s="162" t="str">
        <f t="shared" si="22"/>
        <v>Not Cost-Effective</v>
      </c>
      <c r="AW20" s="167">
        <f t="shared" si="8"/>
        <v>0.5771973489191532</v>
      </c>
      <c r="AX20" s="159" t="str">
        <f t="shared" si="23"/>
        <v>Not Cost-Effective</v>
      </c>
      <c r="AY20" s="167">
        <f t="shared" si="9"/>
        <v>0.32448707551478878</v>
      </c>
      <c r="AZ20" s="159" t="str">
        <f t="shared" si="24"/>
        <v>Not Cost-Effective</v>
      </c>
      <c r="BA20" s="167">
        <f t="shared" si="10"/>
        <v>0.68675272410416721</v>
      </c>
      <c r="BB20" s="159" t="str">
        <f t="shared" si="25"/>
        <v>Not Cost-Effective</v>
      </c>
      <c r="BC20" s="167">
        <f t="shared" si="11"/>
        <v>0.28467225411198244</v>
      </c>
      <c r="BD20" s="159" t="str">
        <f t="shared" si="26"/>
        <v>Not Cost-Effective</v>
      </c>
      <c r="BE20" s="162" t="s">
        <v>176</v>
      </c>
      <c r="BF20" s="162" t="s">
        <v>371</v>
      </c>
      <c r="BG20" s="168" t="str">
        <f t="shared" si="12"/>
        <v>.</v>
      </c>
      <c r="BH20" s="168" t="str">
        <f t="shared" si="13"/>
        <v>.</v>
      </c>
      <c r="BI20" s="163" t="str">
        <f t="shared" si="14"/>
        <v>.</v>
      </c>
      <c r="BJ20" s="163" t="str">
        <f t="shared" si="15"/>
        <v>.</v>
      </c>
      <c r="BK20" s="163" t="str">
        <f t="shared" si="27"/>
        <v>.</v>
      </c>
      <c r="BL20" s="163" t="str">
        <f t="shared" si="28"/>
        <v>.</v>
      </c>
      <c r="BM20" s="163">
        <f t="shared" si="29"/>
        <v>0</v>
      </c>
      <c r="BN20" s="163" t="s">
        <v>155</v>
      </c>
      <c r="BO20" s="162" t="str">
        <f t="shared" si="16"/>
        <v/>
      </c>
      <c r="BP20" s="162" t="s">
        <v>383</v>
      </c>
      <c r="BQ20" s="162" t="s">
        <v>163</v>
      </c>
    </row>
    <row r="21" spans="1:70">
      <c r="A21" s="159">
        <f t="shared" si="17"/>
        <v>10</v>
      </c>
      <c r="B21" s="159">
        <f t="shared" si="18"/>
        <v>2</v>
      </c>
      <c r="C21" s="160" t="str">
        <f t="shared" si="0"/>
        <v>1002</v>
      </c>
      <c r="D21" s="159" t="s">
        <v>184</v>
      </c>
      <c r="E21" s="161">
        <v>2016</v>
      </c>
      <c r="F21" s="162" t="s">
        <v>430</v>
      </c>
      <c r="G21" s="162" t="s">
        <v>180</v>
      </c>
      <c r="H21" s="163" t="str">
        <f t="shared" si="1"/>
        <v>UM</v>
      </c>
      <c r="I21" s="163" t="s">
        <v>148</v>
      </c>
      <c r="J21" s="162" t="s">
        <v>391</v>
      </c>
      <c r="K21" s="163" t="s">
        <v>166</v>
      </c>
      <c r="L21" s="163" t="s">
        <v>147</v>
      </c>
      <c r="M21" s="163" t="str">
        <f t="shared" si="19"/>
        <v>PCV10 vs NoVax</v>
      </c>
      <c r="N21" s="159" t="s">
        <v>403</v>
      </c>
      <c r="O21" s="159">
        <v>4</v>
      </c>
      <c r="P21" s="162" t="s">
        <v>148</v>
      </c>
      <c r="Q21" s="164" t="s">
        <v>149</v>
      </c>
      <c r="R21" s="162" t="s">
        <v>150</v>
      </c>
      <c r="S21" s="162" t="s">
        <v>151</v>
      </c>
      <c r="T21" s="161">
        <v>2014</v>
      </c>
      <c r="U21" s="165">
        <v>55</v>
      </c>
      <c r="V21" s="165" t="e">
        <f>IF(ISNUMBER(U21),U21/VLOOKUP($S21,xRates!$A$1:$AA$267,data!$T21-xRates!$B$1+2,FALSE),U21)</f>
        <v>#REF!</v>
      </c>
      <c r="W21" s="162" t="s">
        <v>431</v>
      </c>
      <c r="Y21" s="165"/>
      <c r="AA21" s="163" t="s">
        <v>148</v>
      </c>
      <c r="AB21" s="162" t="s">
        <v>432</v>
      </c>
      <c r="AC21" s="162" t="s">
        <v>148</v>
      </c>
      <c r="AD21" s="163" t="s">
        <v>155</v>
      </c>
      <c r="AE21" s="162" t="str">
        <f t="shared" si="31"/>
        <v/>
      </c>
      <c r="AF21" s="163" t="s">
        <v>148</v>
      </c>
      <c r="AG21" s="163" t="s">
        <v>148</v>
      </c>
      <c r="AH21" s="163" t="s">
        <v>148</v>
      </c>
      <c r="AJ21" s="162" t="s">
        <v>427</v>
      </c>
      <c r="AK21" s="162" t="s">
        <v>434</v>
      </c>
      <c r="AL21" s="163" t="s">
        <v>152</v>
      </c>
      <c r="AM21" s="166">
        <v>20667</v>
      </c>
      <c r="AN21" s="166">
        <v>20667</v>
      </c>
      <c r="AO21" s="166">
        <f t="shared" si="3"/>
        <v>11045.6</v>
      </c>
      <c r="AP21" s="163" t="str">
        <f t="shared" ref="AP21:AP71" si="32">IF(AN21="NA", ".", IF(AN21&lt;0,"Cost-Saving",IF(AN21&lt;=AO21,"Cost-Effective",IF(AN21&gt;AO21&amp;AN21&lt;&gt;"NA","Not Cost-Effective","Missing"))))</f>
        <v>Not Cost-Effective</v>
      </c>
      <c r="AQ21" s="163" t="str">
        <f>IF(AN21="NA", ".", IF(AN21&lt;0,"Cost-Saving",IF(AN21&lt;=AO21*3,"Cost-Effective",IF(AN21&gt;AO21*3&amp;AN21&lt;&gt;"NA","Not Cost-Effective","Missing"))))</f>
        <v>Cost-Effective</v>
      </c>
      <c r="AR21" s="167">
        <f t="shared" si="5"/>
        <v>1.8710617802563916</v>
      </c>
      <c r="AS21" s="167">
        <f t="shared" si="6"/>
        <v>0.75</v>
      </c>
      <c r="AT21" s="159" t="str">
        <f t="shared" si="21"/>
        <v>Not Cost-Effective</v>
      </c>
      <c r="AU21" s="167">
        <f t="shared" si="7"/>
        <v>0.45</v>
      </c>
      <c r="AV21" s="162" t="str">
        <f t="shared" si="22"/>
        <v>Not Cost-Effective</v>
      </c>
      <c r="AW21" s="167">
        <f t="shared" si="8"/>
        <v>0.5771973489191532</v>
      </c>
      <c r="AX21" s="159" t="str">
        <f t="shared" si="23"/>
        <v>Not Cost-Effective</v>
      </c>
      <c r="AY21" s="167">
        <f t="shared" si="9"/>
        <v>0.32448707551478878</v>
      </c>
      <c r="AZ21" s="159" t="str">
        <f t="shared" si="24"/>
        <v>Not Cost-Effective</v>
      </c>
      <c r="BA21" s="167">
        <f t="shared" si="10"/>
        <v>0.68675272410416721</v>
      </c>
      <c r="BB21" s="159" t="str">
        <f t="shared" si="25"/>
        <v>Not Cost-Effective</v>
      </c>
      <c r="BC21" s="167">
        <f t="shared" si="11"/>
        <v>0.28467225411198244</v>
      </c>
      <c r="BD21" s="159" t="str">
        <f t="shared" si="26"/>
        <v>Not Cost-Effective</v>
      </c>
      <c r="BE21" s="162" t="s">
        <v>176</v>
      </c>
      <c r="BF21" s="162" t="s">
        <v>371</v>
      </c>
      <c r="BG21" s="168" t="str">
        <f t="shared" si="12"/>
        <v>.</v>
      </c>
      <c r="BH21" s="168" t="str">
        <f t="shared" si="13"/>
        <v>.</v>
      </c>
      <c r="BI21" s="163" t="str">
        <f t="shared" si="14"/>
        <v>.</v>
      </c>
      <c r="BJ21" s="163" t="str">
        <f t="shared" si="15"/>
        <v>.</v>
      </c>
      <c r="BK21" s="163" t="str">
        <f t="shared" si="27"/>
        <v>.</v>
      </c>
      <c r="BL21" s="163" t="str">
        <f t="shared" si="28"/>
        <v>.</v>
      </c>
      <c r="BM21" s="163">
        <f t="shared" si="29"/>
        <v>0</v>
      </c>
      <c r="BN21" s="163" t="s">
        <v>155</v>
      </c>
      <c r="BO21" s="162" t="str">
        <f t="shared" si="16"/>
        <v/>
      </c>
      <c r="BP21" s="162" t="s">
        <v>383</v>
      </c>
      <c r="BQ21" s="162" t="s">
        <v>163</v>
      </c>
    </row>
    <row r="22" spans="1:70">
      <c r="A22" s="159">
        <f t="shared" si="17"/>
        <v>10</v>
      </c>
      <c r="B22" s="159">
        <f t="shared" si="18"/>
        <v>3</v>
      </c>
      <c r="C22" s="160" t="str">
        <f t="shared" si="0"/>
        <v>1003</v>
      </c>
      <c r="D22" s="159" t="s">
        <v>184</v>
      </c>
      <c r="E22" s="161">
        <v>2016</v>
      </c>
      <c r="F22" s="162" t="s">
        <v>430</v>
      </c>
      <c r="G22" s="162" t="s">
        <v>180</v>
      </c>
      <c r="H22" s="163" t="str">
        <f t="shared" si="1"/>
        <v>UM</v>
      </c>
      <c r="I22" s="163" t="s">
        <v>148</v>
      </c>
      <c r="J22" s="162" t="s">
        <v>393</v>
      </c>
      <c r="K22" s="163" t="s">
        <v>167</v>
      </c>
      <c r="L22" s="163" t="s">
        <v>147</v>
      </c>
      <c r="M22" s="163" t="str">
        <f t="shared" si="19"/>
        <v>PCV13 vs NoVax</v>
      </c>
      <c r="N22" s="159" t="s">
        <v>403</v>
      </c>
      <c r="O22" s="159">
        <v>4</v>
      </c>
      <c r="P22" s="162" t="s">
        <v>148</v>
      </c>
      <c r="Q22" s="164" t="s">
        <v>377</v>
      </c>
      <c r="R22" s="162" t="s">
        <v>150</v>
      </c>
      <c r="S22" s="162" t="s">
        <v>151</v>
      </c>
      <c r="T22" s="161">
        <v>2014</v>
      </c>
      <c r="U22" s="165">
        <v>55</v>
      </c>
      <c r="V22" s="165" t="e">
        <f>IF(ISNUMBER(U22),U22/VLOOKUP($S22,xRates!$A$1:$AA$267,data!$T22-xRates!$B$1+2,FALSE),U22)</f>
        <v>#REF!</v>
      </c>
      <c r="W22" s="162" t="s">
        <v>431</v>
      </c>
      <c r="Y22" s="165"/>
      <c r="AA22" s="163" t="s">
        <v>148</v>
      </c>
      <c r="AB22" s="162" t="s">
        <v>432</v>
      </c>
      <c r="AC22" s="162" t="s">
        <v>148</v>
      </c>
      <c r="AD22" s="163" t="s">
        <v>155</v>
      </c>
      <c r="AE22" s="162" t="str">
        <f t="shared" si="31"/>
        <v/>
      </c>
      <c r="AF22" s="163" t="s">
        <v>148</v>
      </c>
      <c r="AG22" s="163" t="s">
        <v>148</v>
      </c>
      <c r="AH22" s="163" t="s">
        <v>148</v>
      </c>
      <c r="AJ22" s="162" t="s">
        <v>427</v>
      </c>
      <c r="AK22" s="162" t="s">
        <v>435</v>
      </c>
      <c r="AL22" s="163" t="s">
        <v>152</v>
      </c>
      <c r="AM22" s="166">
        <v>6389</v>
      </c>
      <c r="AN22" s="166">
        <v>6389</v>
      </c>
      <c r="AO22" s="166">
        <f t="shared" si="3"/>
        <v>11045.6</v>
      </c>
      <c r="AP22" s="163" t="str">
        <f t="shared" si="32"/>
        <v>Cost-Effective</v>
      </c>
      <c r="AQ22" s="163" t="str">
        <f t="shared" si="20"/>
        <v>Cost-Effective</v>
      </c>
      <c r="AR22" s="167">
        <f t="shared" si="5"/>
        <v>0.57842036648077055</v>
      </c>
      <c r="AS22" s="167">
        <f t="shared" si="6"/>
        <v>0.75</v>
      </c>
      <c r="AT22" s="159" t="str">
        <f t="shared" si="21"/>
        <v>Cost-Effective</v>
      </c>
      <c r="AU22" s="167">
        <f t="shared" si="7"/>
        <v>0.45</v>
      </c>
      <c r="AV22" s="162" t="str">
        <f t="shared" si="22"/>
        <v>Not Cost-Effective</v>
      </c>
      <c r="AW22" s="167">
        <f t="shared" si="8"/>
        <v>0.5771973489191532</v>
      </c>
      <c r="AX22" s="159" t="str">
        <f t="shared" si="23"/>
        <v>Not Cost-Effective</v>
      </c>
      <c r="AY22" s="167">
        <f t="shared" si="9"/>
        <v>0.32448707551478878</v>
      </c>
      <c r="AZ22" s="159" t="str">
        <f t="shared" si="24"/>
        <v>Not Cost-Effective</v>
      </c>
      <c r="BA22" s="167">
        <f t="shared" si="10"/>
        <v>0.68675272410416721</v>
      </c>
      <c r="BB22" s="159" t="str">
        <f t="shared" si="25"/>
        <v>Cost-Effective</v>
      </c>
      <c r="BC22" s="167">
        <f t="shared" si="11"/>
        <v>0.28467225411198244</v>
      </c>
      <c r="BD22" s="159" t="str">
        <f t="shared" si="26"/>
        <v>Not Cost-Effective</v>
      </c>
      <c r="BE22" s="162" t="s">
        <v>176</v>
      </c>
      <c r="BF22" s="162" t="s">
        <v>382</v>
      </c>
      <c r="BG22" s="168">
        <f t="shared" si="12"/>
        <v>1</v>
      </c>
      <c r="BH22" s="168">
        <f t="shared" si="13"/>
        <v>0</v>
      </c>
      <c r="BI22" s="163">
        <f t="shared" si="14"/>
        <v>1</v>
      </c>
      <c r="BJ22" s="163">
        <f t="shared" si="15"/>
        <v>1</v>
      </c>
      <c r="BK22" s="163">
        <f t="shared" si="27"/>
        <v>1</v>
      </c>
      <c r="BL22" s="163">
        <f t="shared" si="28"/>
        <v>0</v>
      </c>
      <c r="BM22" s="163">
        <f t="shared" si="29"/>
        <v>4</v>
      </c>
      <c r="BN22" s="163" t="s">
        <v>155</v>
      </c>
      <c r="BO22" s="162" t="str">
        <f t="shared" si="16"/>
        <v/>
      </c>
      <c r="BP22" s="162" t="s">
        <v>383</v>
      </c>
      <c r="BQ22" s="162" t="s">
        <v>163</v>
      </c>
    </row>
    <row r="23" spans="1:70">
      <c r="A23" s="159">
        <f t="shared" si="17"/>
        <v>10</v>
      </c>
      <c r="B23" s="159">
        <f t="shared" si="18"/>
        <v>4</v>
      </c>
      <c r="C23" s="160" t="str">
        <f t="shared" si="0"/>
        <v>1004</v>
      </c>
      <c r="D23" s="159" t="s">
        <v>184</v>
      </c>
      <c r="E23" s="161">
        <v>2016</v>
      </c>
      <c r="F23" s="162" t="s">
        <v>430</v>
      </c>
      <c r="G23" s="162" t="s">
        <v>180</v>
      </c>
      <c r="H23" s="163" t="str">
        <f t="shared" si="1"/>
        <v>UM</v>
      </c>
      <c r="I23" s="163" t="s">
        <v>148</v>
      </c>
      <c r="J23" s="162" t="s">
        <v>393</v>
      </c>
      <c r="K23" s="163" t="s">
        <v>167</v>
      </c>
      <c r="L23" s="163" t="s">
        <v>147</v>
      </c>
      <c r="M23" s="163" t="str">
        <f t="shared" si="19"/>
        <v>PCV13 vs NoVax</v>
      </c>
      <c r="N23" s="159" t="s">
        <v>403</v>
      </c>
      <c r="O23" s="159">
        <v>4</v>
      </c>
      <c r="P23" s="162" t="s">
        <v>148</v>
      </c>
      <c r="Q23" s="164" t="s">
        <v>149</v>
      </c>
      <c r="R23" s="162" t="s">
        <v>150</v>
      </c>
      <c r="S23" s="162" t="s">
        <v>151</v>
      </c>
      <c r="T23" s="161">
        <v>2014</v>
      </c>
      <c r="U23" s="165">
        <v>55</v>
      </c>
      <c r="V23" s="165" t="e">
        <f>IF(ISNUMBER(U23),U23/VLOOKUP($S23,xRates!$A$1:$AA$267,data!$T23-xRates!$B$1+2,FALSE),U23)</f>
        <v>#REF!</v>
      </c>
      <c r="W23" s="162" t="s">
        <v>431</v>
      </c>
      <c r="Y23" s="165"/>
      <c r="AA23" s="163" t="s">
        <v>148</v>
      </c>
      <c r="AB23" s="162" t="s">
        <v>432</v>
      </c>
      <c r="AC23" s="162" t="s">
        <v>148</v>
      </c>
      <c r="AD23" s="163" t="s">
        <v>155</v>
      </c>
      <c r="AE23" s="162" t="str">
        <f t="shared" si="31"/>
        <v/>
      </c>
      <c r="AF23" s="163" t="s">
        <v>148</v>
      </c>
      <c r="AG23" s="163" t="s">
        <v>148</v>
      </c>
      <c r="AH23" s="163" t="s">
        <v>148</v>
      </c>
      <c r="AJ23" s="162" t="s">
        <v>427</v>
      </c>
      <c r="AK23" s="162" t="s">
        <v>436</v>
      </c>
      <c r="AL23" s="163" t="s">
        <v>152</v>
      </c>
      <c r="AM23" s="166">
        <v>4883</v>
      </c>
      <c r="AN23" s="166">
        <v>4883</v>
      </c>
      <c r="AO23" s="166">
        <f t="shared" si="3"/>
        <v>11045.6</v>
      </c>
      <c r="AP23" s="163" t="str">
        <f t="shared" si="32"/>
        <v>Cost-Effective</v>
      </c>
      <c r="AQ23" s="163" t="str">
        <f t="shared" si="20"/>
        <v>Cost-Effective</v>
      </c>
      <c r="AR23" s="167">
        <f t="shared" si="5"/>
        <v>0.44207648294343449</v>
      </c>
      <c r="AS23" s="167">
        <f t="shared" si="6"/>
        <v>0.75</v>
      </c>
      <c r="AT23" s="159" t="str">
        <f t="shared" si="21"/>
        <v>Cost-Effective</v>
      </c>
      <c r="AU23" s="167">
        <f t="shared" si="7"/>
        <v>0.45</v>
      </c>
      <c r="AV23" s="162" t="str">
        <f t="shared" si="22"/>
        <v>Cost-Effective</v>
      </c>
      <c r="AW23" s="167">
        <f t="shared" si="8"/>
        <v>0.5771973489191532</v>
      </c>
      <c r="AX23" s="159" t="str">
        <f t="shared" si="23"/>
        <v>Cost-Effective</v>
      </c>
      <c r="AY23" s="167">
        <f t="shared" si="9"/>
        <v>0.32448707551478878</v>
      </c>
      <c r="AZ23" s="159" t="str">
        <f t="shared" si="24"/>
        <v>Not Cost-Effective</v>
      </c>
      <c r="BA23" s="167">
        <f t="shared" si="10"/>
        <v>0.68675272410416721</v>
      </c>
      <c r="BB23" s="159" t="str">
        <f t="shared" si="25"/>
        <v>Cost-Effective</v>
      </c>
      <c r="BC23" s="167">
        <f t="shared" si="11"/>
        <v>0.28467225411198244</v>
      </c>
      <c r="BD23" s="159" t="str">
        <f t="shared" si="26"/>
        <v>Not Cost-Effective</v>
      </c>
      <c r="BE23" s="162" t="s">
        <v>176</v>
      </c>
      <c r="BF23" s="162" t="s">
        <v>382</v>
      </c>
      <c r="BG23" s="168">
        <f t="shared" si="12"/>
        <v>0</v>
      </c>
      <c r="BH23" s="168">
        <f t="shared" si="13"/>
        <v>0</v>
      </c>
      <c r="BI23" s="163">
        <f t="shared" si="14"/>
        <v>1</v>
      </c>
      <c r="BJ23" s="163">
        <f t="shared" si="15"/>
        <v>0</v>
      </c>
      <c r="BK23" s="163">
        <f t="shared" si="27"/>
        <v>1</v>
      </c>
      <c r="BL23" s="163">
        <f t="shared" si="28"/>
        <v>0</v>
      </c>
      <c r="BM23" s="163">
        <f t="shared" si="29"/>
        <v>2</v>
      </c>
      <c r="BN23" s="163" t="s">
        <v>155</v>
      </c>
      <c r="BO23" s="162" t="str">
        <f t="shared" si="16"/>
        <v/>
      </c>
      <c r="BP23" s="162" t="s">
        <v>383</v>
      </c>
      <c r="BQ23" s="162" t="s">
        <v>163</v>
      </c>
    </row>
    <row r="24" spans="1:70">
      <c r="A24" s="159">
        <f t="shared" si="17"/>
        <v>10</v>
      </c>
      <c r="B24" s="159">
        <f t="shared" si="18"/>
        <v>5</v>
      </c>
      <c r="C24" s="160" t="str">
        <f t="shared" si="0"/>
        <v>1005</v>
      </c>
      <c r="D24" s="159" t="s">
        <v>184</v>
      </c>
      <c r="E24" s="161">
        <v>2016</v>
      </c>
      <c r="F24" s="162" t="s">
        <v>430</v>
      </c>
      <c r="G24" s="162" t="s">
        <v>180</v>
      </c>
      <c r="H24" s="163" t="str">
        <f t="shared" si="1"/>
        <v>UM</v>
      </c>
      <c r="I24" s="163" t="s">
        <v>148</v>
      </c>
      <c r="J24" s="162" t="s">
        <v>437</v>
      </c>
      <c r="K24" s="163" t="s">
        <v>167</v>
      </c>
      <c r="L24" s="163" t="s">
        <v>166</v>
      </c>
      <c r="M24" s="163" t="str">
        <f t="shared" si="19"/>
        <v>PCV13 vs PCV10</v>
      </c>
      <c r="N24" s="159" t="s">
        <v>403</v>
      </c>
      <c r="O24" s="159">
        <v>4</v>
      </c>
      <c r="P24" s="162" t="s">
        <v>148</v>
      </c>
      <c r="Q24" s="164" t="s">
        <v>377</v>
      </c>
      <c r="R24" s="162" t="s">
        <v>150</v>
      </c>
      <c r="S24" s="162" t="s">
        <v>151</v>
      </c>
      <c r="T24" s="161">
        <v>2014</v>
      </c>
      <c r="U24" s="165">
        <v>55</v>
      </c>
      <c r="V24" s="165" t="e">
        <f>IF(ISNUMBER(U24),U24/VLOOKUP($S24,xRates!$A$1:$AA$267,data!$T24-xRates!$B$1+2,FALSE),U24)</f>
        <v>#REF!</v>
      </c>
      <c r="W24" s="162" t="s">
        <v>431</v>
      </c>
      <c r="X24" s="159">
        <v>55</v>
      </c>
      <c r="Y24" s="165">
        <v>55</v>
      </c>
      <c r="Z24" s="162" t="s">
        <v>431</v>
      </c>
      <c r="AA24" s="163" t="s">
        <v>148</v>
      </c>
      <c r="AB24" s="162" t="s">
        <v>432</v>
      </c>
      <c r="AC24" s="162" t="s">
        <v>148</v>
      </c>
      <c r="AD24" s="163" t="s">
        <v>155</v>
      </c>
      <c r="AE24" s="162" t="str">
        <f t="shared" si="31"/>
        <v/>
      </c>
      <c r="AF24" s="163" t="s">
        <v>148</v>
      </c>
      <c r="AG24" s="163" t="s">
        <v>148</v>
      </c>
      <c r="AH24" s="163" t="s">
        <v>148</v>
      </c>
      <c r="AJ24" s="162" t="s">
        <v>427</v>
      </c>
      <c r="AK24" s="162" t="s">
        <v>438</v>
      </c>
      <c r="AL24" s="163" t="s">
        <v>152</v>
      </c>
      <c r="AM24" s="166">
        <v>-3059</v>
      </c>
      <c r="AN24" s="166">
        <v>-3059</v>
      </c>
      <c r="AO24" s="166">
        <f t="shared" si="3"/>
        <v>11045.6</v>
      </c>
      <c r="AP24" s="163" t="str">
        <f t="shared" si="32"/>
        <v>Cost-Saving</v>
      </c>
      <c r="AQ24" s="163" t="str">
        <f t="shared" si="20"/>
        <v>Cost-Saving</v>
      </c>
      <c r="AR24" s="167">
        <f t="shared" si="5"/>
        <v>-0.27694285507351341</v>
      </c>
      <c r="AS24" s="167">
        <f t="shared" si="6"/>
        <v>0.75</v>
      </c>
      <c r="AT24" s="159" t="str">
        <f t="shared" si="21"/>
        <v>Cost-Saving</v>
      </c>
      <c r="AU24" s="167">
        <f t="shared" si="7"/>
        <v>0.45</v>
      </c>
      <c r="AV24" s="162" t="str">
        <f t="shared" si="22"/>
        <v>Cost-Saving</v>
      </c>
      <c r="AW24" s="167">
        <f t="shared" si="8"/>
        <v>0.5771973489191532</v>
      </c>
      <c r="AX24" s="159" t="str">
        <f t="shared" si="23"/>
        <v>Cost-Saving</v>
      </c>
      <c r="AY24" s="167">
        <f t="shared" si="9"/>
        <v>0.32448707551478878</v>
      </c>
      <c r="AZ24" s="159" t="str">
        <f t="shared" si="24"/>
        <v>Cost-Saving</v>
      </c>
      <c r="BA24" s="167">
        <f t="shared" si="10"/>
        <v>0.68675272410416721</v>
      </c>
      <c r="BB24" s="159" t="str">
        <f t="shared" si="25"/>
        <v>Cost-Saving</v>
      </c>
      <c r="BC24" s="167">
        <f t="shared" si="11"/>
        <v>0.28467225411198244</v>
      </c>
      <c r="BD24" s="159" t="str">
        <f t="shared" si="26"/>
        <v>Cost-Saving</v>
      </c>
      <c r="BE24" s="162" t="s">
        <v>176</v>
      </c>
      <c r="BF24" s="162" t="s">
        <v>439</v>
      </c>
      <c r="BG24" s="168" t="str">
        <f t="shared" si="12"/>
        <v>.</v>
      </c>
      <c r="BH24" s="168" t="str">
        <f t="shared" si="13"/>
        <v>.</v>
      </c>
      <c r="BI24" s="163" t="str">
        <f t="shared" si="14"/>
        <v>.</v>
      </c>
      <c r="BJ24" s="163" t="str">
        <f t="shared" si="15"/>
        <v>.</v>
      </c>
      <c r="BK24" s="163" t="str">
        <f t="shared" si="27"/>
        <v>.</v>
      </c>
      <c r="BL24" s="163" t="str">
        <f t="shared" si="28"/>
        <v>.</v>
      </c>
      <c r="BM24" s="163">
        <f t="shared" si="29"/>
        <v>0</v>
      </c>
      <c r="BN24" s="163" t="s">
        <v>155</v>
      </c>
      <c r="BO24" s="162" t="str">
        <f t="shared" si="16"/>
        <v/>
      </c>
      <c r="BP24" s="162" t="s">
        <v>383</v>
      </c>
      <c r="BQ24" s="162" t="s">
        <v>163</v>
      </c>
    </row>
    <row r="25" spans="1:70">
      <c r="A25" s="159">
        <f t="shared" si="17"/>
        <v>10</v>
      </c>
      <c r="B25" s="159">
        <f t="shared" si="18"/>
        <v>6</v>
      </c>
      <c r="C25" s="160" t="str">
        <f t="shared" si="0"/>
        <v>1006</v>
      </c>
      <c r="D25" s="159" t="s">
        <v>184</v>
      </c>
      <c r="E25" s="161">
        <v>2016</v>
      </c>
      <c r="F25" s="162" t="s">
        <v>430</v>
      </c>
      <c r="G25" s="162" t="s">
        <v>180</v>
      </c>
      <c r="H25" s="163" t="str">
        <f t="shared" si="1"/>
        <v>UM</v>
      </c>
      <c r="I25" s="163" t="s">
        <v>148</v>
      </c>
      <c r="J25" s="162" t="s">
        <v>437</v>
      </c>
      <c r="K25" s="163" t="s">
        <v>167</v>
      </c>
      <c r="L25" s="163" t="s">
        <v>166</v>
      </c>
      <c r="M25" s="163" t="str">
        <f t="shared" si="19"/>
        <v>PCV13 vs PCV10</v>
      </c>
      <c r="N25" s="159" t="s">
        <v>403</v>
      </c>
      <c r="O25" s="159">
        <v>4</v>
      </c>
      <c r="P25" s="162" t="s">
        <v>148</v>
      </c>
      <c r="Q25" s="164" t="s">
        <v>149</v>
      </c>
      <c r="R25" s="162" t="s">
        <v>150</v>
      </c>
      <c r="S25" s="162" t="s">
        <v>151</v>
      </c>
      <c r="T25" s="161">
        <v>2014</v>
      </c>
      <c r="U25" s="165">
        <v>55</v>
      </c>
      <c r="V25" s="165" t="e">
        <f>IF(ISNUMBER(U25),U25/VLOOKUP($S25,xRates!$A$1:$AA$267,data!$T25-xRates!$B$1+2,FALSE),U25)</f>
        <v>#REF!</v>
      </c>
      <c r="W25" s="162" t="s">
        <v>431</v>
      </c>
      <c r="X25" s="159">
        <v>55</v>
      </c>
      <c r="Y25" s="165">
        <v>55</v>
      </c>
      <c r="Z25" s="162" t="s">
        <v>431</v>
      </c>
      <c r="AA25" s="163" t="s">
        <v>148</v>
      </c>
      <c r="AB25" s="162" t="s">
        <v>432</v>
      </c>
      <c r="AC25" s="162" t="s">
        <v>148</v>
      </c>
      <c r="AD25" s="163" t="s">
        <v>155</v>
      </c>
      <c r="AE25" s="162" t="str">
        <f t="shared" si="31"/>
        <v/>
      </c>
      <c r="AF25" s="163" t="s">
        <v>148</v>
      </c>
      <c r="AG25" s="163" t="s">
        <v>148</v>
      </c>
      <c r="AH25" s="163" t="s">
        <v>148</v>
      </c>
      <c r="AJ25" s="162" t="s">
        <v>427</v>
      </c>
      <c r="AK25" s="162" t="s">
        <v>440</v>
      </c>
      <c r="AL25" s="163" t="s">
        <v>152</v>
      </c>
      <c r="AM25" s="166">
        <v>-5027</v>
      </c>
      <c r="AN25" s="166">
        <v>-5027</v>
      </c>
      <c r="AO25" s="166">
        <f t="shared" si="3"/>
        <v>11045.6</v>
      </c>
      <c r="AP25" s="163" t="str">
        <f t="shared" si="32"/>
        <v>Cost-Saving</v>
      </c>
      <c r="AQ25" s="163" t="str">
        <f t="shared" si="20"/>
        <v>Cost-Saving</v>
      </c>
      <c r="AR25" s="167">
        <f t="shared" si="5"/>
        <v>-0.45511334830158612</v>
      </c>
      <c r="AS25" s="167">
        <f t="shared" si="6"/>
        <v>0.75</v>
      </c>
      <c r="AT25" s="159" t="str">
        <f t="shared" si="21"/>
        <v>Cost-Saving</v>
      </c>
      <c r="AU25" s="167">
        <f t="shared" si="7"/>
        <v>0.45</v>
      </c>
      <c r="AV25" s="162" t="str">
        <f t="shared" si="22"/>
        <v>Cost-Saving</v>
      </c>
      <c r="AW25" s="167">
        <f t="shared" si="8"/>
        <v>0.5771973489191532</v>
      </c>
      <c r="AX25" s="159" t="str">
        <f t="shared" si="23"/>
        <v>Cost-Saving</v>
      </c>
      <c r="AY25" s="167">
        <f t="shared" si="9"/>
        <v>0.32448707551478878</v>
      </c>
      <c r="AZ25" s="159" t="str">
        <f t="shared" si="24"/>
        <v>Cost-Saving</v>
      </c>
      <c r="BA25" s="167">
        <f t="shared" si="10"/>
        <v>0.68675272410416721</v>
      </c>
      <c r="BB25" s="159" t="str">
        <f t="shared" si="25"/>
        <v>Cost-Saving</v>
      </c>
      <c r="BC25" s="167">
        <f t="shared" si="11"/>
        <v>0.28467225411198244</v>
      </c>
      <c r="BD25" s="159" t="str">
        <f t="shared" si="26"/>
        <v>Cost-Saving</v>
      </c>
      <c r="BE25" s="162" t="s">
        <v>176</v>
      </c>
      <c r="BF25" s="162" t="s">
        <v>439</v>
      </c>
      <c r="BG25" s="168" t="str">
        <f t="shared" si="12"/>
        <v>.</v>
      </c>
      <c r="BH25" s="168" t="str">
        <f t="shared" si="13"/>
        <v>.</v>
      </c>
      <c r="BI25" s="163" t="str">
        <f t="shared" si="14"/>
        <v>.</v>
      </c>
      <c r="BJ25" s="163" t="str">
        <f t="shared" si="15"/>
        <v>.</v>
      </c>
      <c r="BK25" s="163" t="str">
        <f t="shared" si="27"/>
        <v>.</v>
      </c>
      <c r="BL25" s="163" t="str">
        <f t="shared" si="28"/>
        <v>.</v>
      </c>
      <c r="BM25" s="163">
        <f t="shared" si="29"/>
        <v>0</v>
      </c>
      <c r="BN25" s="163" t="s">
        <v>155</v>
      </c>
      <c r="BO25" s="162" t="str">
        <f t="shared" si="16"/>
        <v/>
      </c>
      <c r="BP25" s="162" t="s">
        <v>383</v>
      </c>
      <c r="BQ25" s="162" t="s">
        <v>163</v>
      </c>
    </row>
    <row r="26" spans="1:70">
      <c r="A26" s="159">
        <f t="shared" si="17"/>
        <v>10</v>
      </c>
      <c r="B26" s="159">
        <f t="shared" si="18"/>
        <v>7</v>
      </c>
      <c r="C26" s="160" t="str">
        <f t="shared" si="0"/>
        <v>1007</v>
      </c>
      <c r="D26" s="159" t="s">
        <v>184</v>
      </c>
      <c r="E26" s="161">
        <v>2016</v>
      </c>
      <c r="F26" s="162" t="s">
        <v>430</v>
      </c>
      <c r="G26" s="162" t="s">
        <v>180</v>
      </c>
      <c r="H26" s="163" t="str">
        <f t="shared" si="1"/>
        <v>UM</v>
      </c>
      <c r="I26" s="163" t="s">
        <v>148</v>
      </c>
      <c r="J26" s="162" t="s">
        <v>393</v>
      </c>
      <c r="K26" s="163" t="s">
        <v>167</v>
      </c>
      <c r="L26" s="163" t="s">
        <v>147</v>
      </c>
      <c r="M26" s="163" t="str">
        <f t="shared" si="19"/>
        <v>PCV13 vs NoVax</v>
      </c>
      <c r="N26" s="159" t="s">
        <v>403</v>
      </c>
      <c r="O26" s="159">
        <v>4</v>
      </c>
      <c r="P26" s="162" t="s">
        <v>155</v>
      </c>
      <c r="Q26" s="164" t="s">
        <v>377</v>
      </c>
      <c r="R26" s="162" t="s">
        <v>150</v>
      </c>
      <c r="S26" s="162" t="s">
        <v>151</v>
      </c>
      <c r="T26" s="161">
        <v>2014</v>
      </c>
      <c r="U26" s="165">
        <v>55</v>
      </c>
      <c r="V26" s="165" t="e">
        <f>IF(ISNUMBER(U26),U26/VLOOKUP($S26,xRates!$A$1:$AA$267,data!$T26-xRates!$B$1+2,FALSE),U26)</f>
        <v>#REF!</v>
      </c>
      <c r="W26" s="162" t="s">
        <v>431</v>
      </c>
      <c r="Y26" s="165"/>
      <c r="AA26" s="163" t="s">
        <v>155</v>
      </c>
      <c r="AB26" s="162"/>
      <c r="AD26" s="163" t="s">
        <v>155</v>
      </c>
      <c r="AE26" s="162" t="str">
        <f t="shared" si="31"/>
        <v/>
      </c>
      <c r="AF26" s="163" t="s">
        <v>148</v>
      </c>
      <c r="AG26" s="163" t="s">
        <v>148</v>
      </c>
      <c r="AH26" s="163" t="s">
        <v>148</v>
      </c>
      <c r="AJ26" s="162" t="s">
        <v>427</v>
      </c>
      <c r="AK26" s="162" t="s">
        <v>441</v>
      </c>
      <c r="AL26" s="163" t="s">
        <v>152</v>
      </c>
      <c r="AM26" s="166">
        <v>15752</v>
      </c>
      <c r="AN26" s="166">
        <v>15752</v>
      </c>
      <c r="AO26" s="166">
        <f t="shared" si="3"/>
        <v>11045.6</v>
      </c>
      <c r="AP26" s="163" t="str">
        <f t="shared" si="32"/>
        <v>Not Cost-Effective</v>
      </c>
      <c r="AQ26" s="163" t="str">
        <f t="shared" si="20"/>
        <v>Cost-Effective</v>
      </c>
      <c r="AR26" s="167">
        <f t="shared" si="5"/>
        <v>1.4260882161222568</v>
      </c>
      <c r="AS26" s="167">
        <f t="shared" si="6"/>
        <v>0.75</v>
      </c>
      <c r="AT26" s="159" t="str">
        <f t="shared" si="21"/>
        <v>Not Cost-Effective</v>
      </c>
      <c r="AU26" s="167">
        <f t="shared" si="7"/>
        <v>0.45</v>
      </c>
      <c r="AV26" s="162" t="str">
        <f t="shared" si="22"/>
        <v>Not Cost-Effective</v>
      </c>
      <c r="AW26" s="167">
        <f t="shared" si="8"/>
        <v>0.5771973489191532</v>
      </c>
      <c r="AX26" s="159" t="str">
        <f t="shared" si="23"/>
        <v>Not Cost-Effective</v>
      </c>
      <c r="AY26" s="167">
        <f t="shared" si="9"/>
        <v>0.32448707551478878</v>
      </c>
      <c r="AZ26" s="159" t="str">
        <f t="shared" si="24"/>
        <v>Not Cost-Effective</v>
      </c>
      <c r="BA26" s="167">
        <f t="shared" si="10"/>
        <v>0.68675272410416721</v>
      </c>
      <c r="BB26" s="159" t="str">
        <f t="shared" si="25"/>
        <v>Not Cost-Effective</v>
      </c>
      <c r="BC26" s="167">
        <f t="shared" si="11"/>
        <v>0.28467225411198244</v>
      </c>
      <c r="BD26" s="159" t="str">
        <f t="shared" si="26"/>
        <v>Not Cost-Effective</v>
      </c>
      <c r="BE26" s="162" t="s">
        <v>176</v>
      </c>
      <c r="BF26" s="162" t="s">
        <v>371</v>
      </c>
      <c r="BG26" s="168" t="str">
        <f t="shared" si="12"/>
        <v>.</v>
      </c>
      <c r="BH26" s="168" t="str">
        <f t="shared" si="13"/>
        <v>.</v>
      </c>
      <c r="BI26" s="163" t="str">
        <f t="shared" si="14"/>
        <v>.</v>
      </c>
      <c r="BJ26" s="163" t="str">
        <f t="shared" si="15"/>
        <v>.</v>
      </c>
      <c r="BK26" s="163" t="str">
        <f t="shared" si="27"/>
        <v>.</v>
      </c>
      <c r="BL26" s="163" t="str">
        <f t="shared" si="28"/>
        <v>.</v>
      </c>
      <c r="BM26" s="163">
        <f t="shared" si="29"/>
        <v>0</v>
      </c>
      <c r="BN26" s="163" t="s">
        <v>155</v>
      </c>
      <c r="BO26" s="162" t="str">
        <f t="shared" si="16"/>
        <v/>
      </c>
      <c r="BP26" s="162" t="s">
        <v>383</v>
      </c>
      <c r="BQ26" s="162" t="s">
        <v>163</v>
      </c>
    </row>
    <row r="27" spans="1:70">
      <c r="A27" s="159">
        <f t="shared" si="17"/>
        <v>10</v>
      </c>
      <c r="B27" s="159">
        <f t="shared" si="18"/>
        <v>8</v>
      </c>
      <c r="C27" s="160" t="str">
        <f t="shared" si="0"/>
        <v>1008</v>
      </c>
      <c r="D27" s="159" t="s">
        <v>184</v>
      </c>
      <c r="E27" s="161">
        <v>2016</v>
      </c>
      <c r="F27" s="162" t="s">
        <v>430</v>
      </c>
      <c r="G27" s="162" t="s">
        <v>180</v>
      </c>
      <c r="H27" s="163" t="str">
        <f t="shared" si="1"/>
        <v>UM</v>
      </c>
      <c r="I27" s="163" t="s">
        <v>148</v>
      </c>
      <c r="J27" s="162" t="s">
        <v>393</v>
      </c>
      <c r="K27" s="163" t="s">
        <v>167</v>
      </c>
      <c r="L27" s="163" t="s">
        <v>147</v>
      </c>
      <c r="M27" s="163" t="str">
        <f t="shared" si="19"/>
        <v>PCV13 vs NoVax</v>
      </c>
      <c r="N27" s="159" t="s">
        <v>403</v>
      </c>
      <c r="O27" s="159">
        <v>4</v>
      </c>
      <c r="P27" s="162" t="s">
        <v>155</v>
      </c>
      <c r="Q27" s="164" t="s">
        <v>149</v>
      </c>
      <c r="R27" s="162" t="s">
        <v>150</v>
      </c>
      <c r="S27" s="162" t="s">
        <v>151</v>
      </c>
      <c r="T27" s="161">
        <v>2014</v>
      </c>
      <c r="U27" s="165">
        <v>55</v>
      </c>
      <c r="V27" s="165" t="e">
        <f>IF(ISNUMBER(U27),U27/VLOOKUP($S27,xRates!$A$1:$AA$267,data!$T27-xRates!$B$1+2,FALSE),U27)</f>
        <v>#REF!</v>
      </c>
      <c r="W27" s="162" t="s">
        <v>431</v>
      </c>
      <c r="Y27" s="165"/>
      <c r="AA27" s="163" t="s">
        <v>155</v>
      </c>
      <c r="AB27" s="162"/>
      <c r="AD27" s="163" t="s">
        <v>155</v>
      </c>
      <c r="AE27" s="162" t="str">
        <f t="shared" si="31"/>
        <v/>
      </c>
      <c r="AF27" s="163" t="s">
        <v>148</v>
      </c>
      <c r="AG27" s="163" t="s">
        <v>148</v>
      </c>
      <c r="AH27" s="163" t="s">
        <v>148</v>
      </c>
      <c r="AJ27" s="162" t="s">
        <v>427</v>
      </c>
      <c r="AK27" s="162" t="s">
        <v>442</v>
      </c>
      <c r="AL27" s="163" t="s">
        <v>152</v>
      </c>
      <c r="AM27" s="166">
        <v>14981</v>
      </c>
      <c r="AN27" s="166">
        <v>14981</v>
      </c>
      <c r="AO27" s="166">
        <f t="shared" si="3"/>
        <v>11045.6</v>
      </c>
      <c r="AP27" s="163" t="str">
        <f t="shared" si="32"/>
        <v>Not Cost-Effective</v>
      </c>
      <c r="AQ27" s="163" t="str">
        <f t="shared" si="20"/>
        <v>Cost-Effective</v>
      </c>
      <c r="AR27" s="167">
        <f t="shared" si="5"/>
        <v>1.3562866661838198</v>
      </c>
      <c r="AS27" s="167">
        <f t="shared" si="6"/>
        <v>0.75</v>
      </c>
      <c r="AT27" s="159" t="str">
        <f t="shared" si="21"/>
        <v>Not Cost-Effective</v>
      </c>
      <c r="AU27" s="167">
        <f t="shared" si="7"/>
        <v>0.45</v>
      </c>
      <c r="AV27" s="162" t="str">
        <f t="shared" si="22"/>
        <v>Not Cost-Effective</v>
      </c>
      <c r="AW27" s="167">
        <f t="shared" si="8"/>
        <v>0.5771973489191532</v>
      </c>
      <c r="AX27" s="159" t="str">
        <f t="shared" si="23"/>
        <v>Not Cost-Effective</v>
      </c>
      <c r="AY27" s="167">
        <f t="shared" si="9"/>
        <v>0.32448707551478878</v>
      </c>
      <c r="AZ27" s="159" t="str">
        <f t="shared" si="24"/>
        <v>Not Cost-Effective</v>
      </c>
      <c r="BA27" s="167">
        <f t="shared" si="10"/>
        <v>0.68675272410416721</v>
      </c>
      <c r="BB27" s="159" t="str">
        <f t="shared" si="25"/>
        <v>Not Cost-Effective</v>
      </c>
      <c r="BC27" s="167">
        <f t="shared" si="11"/>
        <v>0.28467225411198244</v>
      </c>
      <c r="BD27" s="159" t="str">
        <f t="shared" si="26"/>
        <v>Not Cost-Effective</v>
      </c>
      <c r="BE27" s="162" t="s">
        <v>176</v>
      </c>
      <c r="BF27" s="162" t="s">
        <v>371</v>
      </c>
      <c r="BG27" s="168" t="str">
        <f t="shared" si="12"/>
        <v>.</v>
      </c>
      <c r="BH27" s="168" t="str">
        <f t="shared" si="13"/>
        <v>.</v>
      </c>
      <c r="BI27" s="163" t="str">
        <f t="shared" si="14"/>
        <v>.</v>
      </c>
      <c r="BJ27" s="163" t="str">
        <f t="shared" si="15"/>
        <v>.</v>
      </c>
      <c r="BK27" s="163" t="str">
        <f t="shared" si="27"/>
        <v>.</v>
      </c>
      <c r="BL27" s="163" t="str">
        <f t="shared" si="28"/>
        <v>.</v>
      </c>
      <c r="BM27" s="163">
        <f t="shared" si="29"/>
        <v>0</v>
      </c>
      <c r="BN27" s="163" t="s">
        <v>155</v>
      </c>
      <c r="BO27" s="162" t="str">
        <f t="shared" si="16"/>
        <v/>
      </c>
      <c r="BP27" s="162" t="s">
        <v>383</v>
      </c>
      <c r="BQ27" s="162" t="s">
        <v>163</v>
      </c>
    </row>
    <row r="28" spans="1:70">
      <c r="A28" s="159">
        <f t="shared" si="17"/>
        <v>11</v>
      </c>
      <c r="B28" s="159">
        <f t="shared" si="18"/>
        <v>1</v>
      </c>
      <c r="C28" s="160" t="str">
        <f t="shared" si="0"/>
        <v>1101</v>
      </c>
      <c r="D28" s="159" t="s">
        <v>187</v>
      </c>
      <c r="E28" s="161">
        <v>2019</v>
      </c>
      <c r="F28" s="162" t="s">
        <v>443</v>
      </c>
      <c r="G28" s="162" t="s">
        <v>189</v>
      </c>
      <c r="H28" s="163" t="str">
        <f t="shared" si="1"/>
        <v>LM</v>
      </c>
      <c r="I28" s="163" t="s">
        <v>148</v>
      </c>
      <c r="J28" s="162" t="s">
        <v>393</v>
      </c>
      <c r="K28" s="163" t="s">
        <v>167</v>
      </c>
      <c r="L28" s="163" t="s">
        <v>147</v>
      </c>
      <c r="M28" s="163" t="str">
        <f t="shared" si="19"/>
        <v>PCV13 vs NoVax</v>
      </c>
      <c r="N28" s="159" t="s">
        <v>368</v>
      </c>
      <c r="O28" s="159">
        <v>3</v>
      </c>
      <c r="P28" s="162" t="s">
        <v>148</v>
      </c>
      <c r="Q28" s="162" t="s">
        <v>377</v>
      </c>
      <c r="R28" s="162" t="s">
        <v>150</v>
      </c>
      <c r="S28" s="162" t="s">
        <v>151</v>
      </c>
      <c r="T28" s="161">
        <v>2017</v>
      </c>
      <c r="U28" s="165">
        <v>3.3</v>
      </c>
      <c r="V28" s="165" t="e">
        <f>IF(ISNUMBER(U28),U28/VLOOKUP($S28,xRates!$A$1:$AA$267,data!$T28-xRates!$B$1+2,FALSE),U28)</f>
        <v>#REF!</v>
      </c>
      <c r="W28" s="162" t="s">
        <v>385</v>
      </c>
      <c r="Y28" s="165"/>
      <c r="AA28" s="163" t="s">
        <v>155</v>
      </c>
      <c r="AB28" s="162"/>
      <c r="AD28" s="163" t="s">
        <v>155</v>
      </c>
      <c r="AE28" s="162" t="str">
        <f t="shared" si="31"/>
        <v/>
      </c>
      <c r="AF28" s="163" t="s">
        <v>148</v>
      </c>
      <c r="AG28" s="163" t="s">
        <v>148</v>
      </c>
      <c r="AH28" s="163" t="s">
        <v>148</v>
      </c>
      <c r="AJ28" s="162"/>
      <c r="AK28" s="162" t="s">
        <v>444</v>
      </c>
      <c r="AL28" s="163" t="s">
        <v>190</v>
      </c>
      <c r="AM28" s="166">
        <v>467</v>
      </c>
      <c r="AN28" s="166">
        <v>467</v>
      </c>
      <c r="AO28" s="166">
        <f t="shared" si="3"/>
        <v>1958</v>
      </c>
      <c r="AP28" s="163" t="str">
        <f t="shared" si="32"/>
        <v>Cost-Effective</v>
      </c>
      <c r="AQ28" s="163" t="str">
        <f t="shared" si="20"/>
        <v>Cost-Effective</v>
      </c>
      <c r="AR28" s="167">
        <f t="shared" si="5"/>
        <v>0.23850868232890704</v>
      </c>
      <c r="AS28" s="167">
        <f t="shared" si="6"/>
        <v>0.23</v>
      </c>
      <c r="AT28" s="159" t="str">
        <f t="shared" si="21"/>
        <v>Not Cost-Effective</v>
      </c>
      <c r="AU28" s="167">
        <f t="shared" si="7"/>
        <v>0.17</v>
      </c>
      <c r="AV28" s="162" t="str">
        <f t="shared" si="22"/>
        <v>Not Cost-Effective</v>
      </c>
      <c r="AW28" s="167">
        <f t="shared" si="8"/>
        <v>0.53542869063347476</v>
      </c>
      <c r="AX28" s="159" t="str">
        <f t="shared" si="23"/>
        <v>Cost-Effective</v>
      </c>
      <c r="AY28" s="167">
        <f t="shared" si="9"/>
        <v>7.9966622627077405E-2</v>
      </c>
      <c r="AZ28" s="159" t="str">
        <f t="shared" si="24"/>
        <v>Not Cost-Effective</v>
      </c>
      <c r="BA28" s="167">
        <f t="shared" si="10"/>
        <v>0.3014340064383963</v>
      </c>
      <c r="BB28" s="159" t="str">
        <f t="shared" si="25"/>
        <v>Cost-Effective</v>
      </c>
      <c r="BC28" s="167">
        <f t="shared" si="11"/>
        <v>0.12145156570090723</v>
      </c>
      <c r="BD28" s="159" t="str">
        <f t="shared" si="26"/>
        <v>Not Cost-Effective</v>
      </c>
      <c r="BE28" s="162" t="s">
        <v>176</v>
      </c>
      <c r="BF28" s="162" t="s">
        <v>382</v>
      </c>
      <c r="BG28" s="168">
        <f t="shared" si="12"/>
        <v>1</v>
      </c>
      <c r="BH28" s="168">
        <f t="shared" si="13"/>
        <v>1</v>
      </c>
      <c r="BI28" s="163">
        <f t="shared" si="14"/>
        <v>1</v>
      </c>
      <c r="BJ28" s="163">
        <f t="shared" si="15"/>
        <v>0</v>
      </c>
      <c r="BK28" s="163">
        <f t="shared" si="27"/>
        <v>1</v>
      </c>
      <c r="BL28" s="163">
        <f t="shared" si="28"/>
        <v>0</v>
      </c>
      <c r="BM28" s="163">
        <f t="shared" si="29"/>
        <v>4</v>
      </c>
      <c r="BN28" s="163" t="s">
        <v>148</v>
      </c>
      <c r="BO28" s="162" t="s">
        <v>445</v>
      </c>
      <c r="BP28" s="162" t="s">
        <v>170</v>
      </c>
      <c r="BQ28" s="162" t="s">
        <v>170</v>
      </c>
      <c r="BR28" s="162" t="s">
        <v>446</v>
      </c>
    </row>
    <row r="29" spans="1:70">
      <c r="A29" s="159">
        <f t="shared" si="17"/>
        <v>12</v>
      </c>
      <c r="B29" s="159">
        <f t="shared" si="18"/>
        <v>1</v>
      </c>
      <c r="C29" s="160" t="str">
        <f t="shared" si="0"/>
        <v>1201</v>
      </c>
      <c r="D29" s="159" t="s">
        <v>191</v>
      </c>
      <c r="E29" s="161">
        <v>2019</v>
      </c>
      <c r="F29" s="162" t="s">
        <v>447</v>
      </c>
      <c r="G29" s="162" t="s">
        <v>193</v>
      </c>
      <c r="H29" s="163" t="str">
        <f t="shared" si="1"/>
        <v>UM</v>
      </c>
      <c r="I29" s="163" t="s">
        <v>148</v>
      </c>
      <c r="J29" s="162" t="s">
        <v>391</v>
      </c>
      <c r="K29" s="163" t="s">
        <v>166</v>
      </c>
      <c r="L29" s="163" t="s">
        <v>147</v>
      </c>
      <c r="M29" s="163" t="str">
        <f t="shared" si="19"/>
        <v>PCV10 vs NoVax</v>
      </c>
      <c r="N29" s="159" t="s">
        <v>403</v>
      </c>
      <c r="O29" s="159">
        <v>4</v>
      </c>
      <c r="P29" s="162" t="s">
        <v>155</v>
      </c>
      <c r="Q29" s="162" t="s">
        <v>149</v>
      </c>
      <c r="R29" s="162" t="s">
        <v>194</v>
      </c>
      <c r="S29" s="162" t="s">
        <v>193</v>
      </c>
      <c r="T29" s="161">
        <v>2018</v>
      </c>
      <c r="U29" s="165">
        <v>1440</v>
      </c>
      <c r="V29" s="165" t="e">
        <f>IF(ISNUMBER(U29),U29/VLOOKUP($S29,xRates!$A$1:$AA$267,data!$T29-xRates!$B$1+2,FALSE),U29)</f>
        <v>#REF!</v>
      </c>
      <c r="W29" s="162" t="s">
        <v>448</v>
      </c>
      <c r="Y29" s="165"/>
      <c r="AA29" s="163" t="s">
        <v>148</v>
      </c>
      <c r="AB29" s="162" t="s">
        <v>379</v>
      </c>
      <c r="AC29" s="162" t="s">
        <v>148</v>
      </c>
      <c r="AD29" s="163" t="s">
        <v>155</v>
      </c>
      <c r="AE29" s="162" t="str">
        <f t="shared" si="31"/>
        <v/>
      </c>
      <c r="AF29" s="163" t="s">
        <v>148</v>
      </c>
      <c r="AG29" s="163" t="s">
        <v>148</v>
      </c>
      <c r="AH29" s="163" t="s">
        <v>148</v>
      </c>
      <c r="AJ29" s="162" t="s">
        <v>449</v>
      </c>
      <c r="AK29" s="162" t="s">
        <v>450</v>
      </c>
      <c r="AL29" s="163" t="s">
        <v>152</v>
      </c>
      <c r="AM29" s="166">
        <v>-46918</v>
      </c>
      <c r="AN29" s="166" t="e">
        <f>AM29/xRates!$X$194</f>
        <v>#DIV/0!</v>
      </c>
      <c r="AO29" s="166">
        <f t="shared" si="3"/>
        <v>7124.6</v>
      </c>
      <c r="AP29" s="163" t="e">
        <f t="shared" si="32"/>
        <v>#DIV/0!</v>
      </c>
      <c r="AQ29" s="163" t="e">
        <f t="shared" si="20"/>
        <v>#DIV/0!</v>
      </c>
      <c r="AR29" s="167" t="str">
        <f t="shared" si="5"/>
        <v>.</v>
      </c>
      <c r="AS29" s="167">
        <f t="shared" si="6"/>
        <v>1.1200000000000001</v>
      </c>
      <c r="AT29" s="159" t="str">
        <f t="shared" si="21"/>
        <v>Not Cost-Effective</v>
      </c>
      <c r="AU29" s="167">
        <f t="shared" si="7"/>
        <v>0.7</v>
      </c>
      <c r="AV29" s="162" t="str">
        <f t="shared" si="22"/>
        <v>Not Cost-Effective</v>
      </c>
      <c r="AW29" s="167">
        <f t="shared" si="8"/>
        <v>0.65269570111403552</v>
      </c>
      <c r="AX29" s="159" t="str">
        <f t="shared" si="23"/>
        <v>Not Cost-Effective</v>
      </c>
      <c r="AY29" s="167">
        <f t="shared" si="9"/>
        <v>0.19549419807650922</v>
      </c>
      <c r="AZ29" s="159" t="str">
        <f t="shared" si="24"/>
        <v>Not Cost-Effective</v>
      </c>
      <c r="BA29" s="167">
        <f t="shared" si="10"/>
        <v>0.67102744933539571</v>
      </c>
      <c r="BB29" s="159" t="str">
        <f t="shared" si="25"/>
        <v>Not Cost-Effective</v>
      </c>
      <c r="BC29" s="167">
        <f t="shared" si="11"/>
        <v>0.27816375219568462</v>
      </c>
      <c r="BD29" s="159" t="str">
        <f t="shared" si="26"/>
        <v>Not Cost-Effective</v>
      </c>
      <c r="BE29" s="162" t="s">
        <v>195</v>
      </c>
      <c r="BF29" s="162" t="s">
        <v>439</v>
      </c>
      <c r="BG29" s="168" t="str">
        <f t="shared" si="12"/>
        <v>.</v>
      </c>
      <c r="BH29" s="168" t="str">
        <f t="shared" si="13"/>
        <v>.</v>
      </c>
      <c r="BI29" s="163" t="str">
        <f t="shared" si="14"/>
        <v>.</v>
      </c>
      <c r="BJ29" s="163" t="str">
        <f t="shared" si="15"/>
        <v>.</v>
      </c>
      <c r="BK29" s="163" t="str">
        <f t="shared" si="27"/>
        <v>.</v>
      </c>
      <c r="BL29" s="163" t="str">
        <f t="shared" si="28"/>
        <v>.</v>
      </c>
      <c r="BM29" s="163">
        <f t="shared" si="29"/>
        <v>0</v>
      </c>
      <c r="BN29" s="163" t="s">
        <v>148</v>
      </c>
      <c r="BP29" s="162" t="s">
        <v>383</v>
      </c>
      <c r="BQ29" s="162" t="s">
        <v>163</v>
      </c>
      <c r="BR29" s="162" t="s">
        <v>451</v>
      </c>
    </row>
    <row r="30" spans="1:70">
      <c r="A30" s="159">
        <f t="shared" si="17"/>
        <v>12</v>
      </c>
      <c r="B30" s="159">
        <f t="shared" si="18"/>
        <v>2</v>
      </c>
      <c r="C30" s="160" t="str">
        <f t="shared" si="0"/>
        <v>1202</v>
      </c>
      <c r="D30" s="159" t="s">
        <v>191</v>
      </c>
      <c r="E30" s="161">
        <v>2019</v>
      </c>
      <c r="F30" s="162" t="s">
        <v>447</v>
      </c>
      <c r="G30" s="162" t="s">
        <v>193</v>
      </c>
      <c r="H30" s="163" t="str">
        <f t="shared" si="1"/>
        <v>UM</v>
      </c>
      <c r="I30" s="163" t="s">
        <v>148</v>
      </c>
      <c r="J30" s="162" t="s">
        <v>391</v>
      </c>
      <c r="K30" s="163" t="s">
        <v>166</v>
      </c>
      <c r="L30" s="163" t="s">
        <v>147</v>
      </c>
      <c r="M30" s="163" t="str">
        <f t="shared" si="19"/>
        <v>PCV10 vs NoVax</v>
      </c>
      <c r="N30" s="159" t="s">
        <v>368</v>
      </c>
      <c r="O30" s="159">
        <v>3</v>
      </c>
      <c r="P30" s="162" t="s">
        <v>155</v>
      </c>
      <c r="Q30" s="162" t="s">
        <v>149</v>
      </c>
      <c r="R30" s="162" t="s">
        <v>194</v>
      </c>
      <c r="S30" s="162" t="s">
        <v>193</v>
      </c>
      <c r="T30" s="161">
        <v>2018</v>
      </c>
      <c r="U30" s="165">
        <v>1440</v>
      </c>
      <c r="V30" s="165" t="e">
        <f>IF(ISNUMBER(U30),U30/VLOOKUP($S30,xRates!$A$1:$AA$267,data!$T30-xRates!$B$1+2,FALSE),U30)</f>
        <v>#REF!</v>
      </c>
      <c r="W30" s="162" t="s">
        <v>448</v>
      </c>
      <c r="Y30" s="165"/>
      <c r="AA30" s="163" t="s">
        <v>148</v>
      </c>
      <c r="AB30" s="162" t="s">
        <v>379</v>
      </c>
      <c r="AC30" s="162" t="s">
        <v>148</v>
      </c>
      <c r="AD30" s="163" t="s">
        <v>155</v>
      </c>
      <c r="AE30" s="162" t="str">
        <f t="shared" si="31"/>
        <v/>
      </c>
      <c r="AF30" s="163" t="s">
        <v>148</v>
      </c>
      <c r="AG30" s="163" t="s">
        <v>148</v>
      </c>
      <c r="AH30" s="163" t="s">
        <v>148</v>
      </c>
      <c r="AJ30" s="162" t="s">
        <v>449</v>
      </c>
      <c r="AK30" s="162" t="s">
        <v>452</v>
      </c>
      <c r="AL30" s="163" t="s">
        <v>152</v>
      </c>
      <c r="AM30" s="166">
        <v>-70854</v>
      </c>
      <c r="AN30" s="166" t="e">
        <f>AM30/xRates!$X$194</f>
        <v>#DIV/0!</v>
      </c>
      <c r="AO30" s="166">
        <f t="shared" si="3"/>
        <v>7124.6</v>
      </c>
      <c r="AP30" s="163" t="e">
        <f t="shared" si="32"/>
        <v>#DIV/0!</v>
      </c>
      <c r="AQ30" s="163" t="e">
        <f t="shared" si="20"/>
        <v>#DIV/0!</v>
      </c>
      <c r="AR30" s="167" t="str">
        <f t="shared" si="5"/>
        <v>.</v>
      </c>
      <c r="AS30" s="167">
        <f t="shared" si="6"/>
        <v>1.1200000000000001</v>
      </c>
      <c r="AT30" s="159" t="str">
        <f t="shared" si="21"/>
        <v>Not Cost-Effective</v>
      </c>
      <c r="AU30" s="167">
        <f t="shared" si="7"/>
        <v>0.7</v>
      </c>
      <c r="AV30" s="162" t="str">
        <f t="shared" si="22"/>
        <v>Not Cost-Effective</v>
      </c>
      <c r="AW30" s="167">
        <f t="shared" si="8"/>
        <v>0.65269570111403552</v>
      </c>
      <c r="AX30" s="159" t="str">
        <f t="shared" si="23"/>
        <v>Not Cost-Effective</v>
      </c>
      <c r="AY30" s="167">
        <f t="shared" si="9"/>
        <v>0.19549419807650922</v>
      </c>
      <c r="AZ30" s="159" t="str">
        <f t="shared" si="24"/>
        <v>Not Cost-Effective</v>
      </c>
      <c r="BA30" s="167">
        <f t="shared" si="10"/>
        <v>0.67102744933539571</v>
      </c>
      <c r="BB30" s="159" t="str">
        <f t="shared" si="25"/>
        <v>Not Cost-Effective</v>
      </c>
      <c r="BC30" s="167">
        <f t="shared" si="11"/>
        <v>0.27816375219568462</v>
      </c>
      <c r="BD30" s="159" t="str">
        <f t="shared" si="26"/>
        <v>Not Cost-Effective</v>
      </c>
      <c r="BE30" s="162" t="s">
        <v>195</v>
      </c>
      <c r="BF30" s="162" t="s">
        <v>439</v>
      </c>
      <c r="BG30" s="168" t="str">
        <f t="shared" si="12"/>
        <v>.</v>
      </c>
      <c r="BH30" s="168" t="str">
        <f t="shared" si="13"/>
        <v>.</v>
      </c>
      <c r="BI30" s="163" t="str">
        <f t="shared" si="14"/>
        <v>.</v>
      </c>
      <c r="BJ30" s="163" t="str">
        <f t="shared" si="15"/>
        <v>.</v>
      </c>
      <c r="BK30" s="163" t="str">
        <f t="shared" si="27"/>
        <v>.</v>
      </c>
      <c r="BL30" s="163" t="str">
        <f t="shared" si="28"/>
        <v>.</v>
      </c>
      <c r="BM30" s="163">
        <f t="shared" si="29"/>
        <v>0</v>
      </c>
      <c r="BN30" s="163" t="s">
        <v>148</v>
      </c>
      <c r="BP30" s="162" t="s">
        <v>383</v>
      </c>
      <c r="BQ30" s="162" t="s">
        <v>163</v>
      </c>
    </row>
    <row r="31" spans="1:70">
      <c r="A31" s="159">
        <f t="shared" si="17"/>
        <v>12</v>
      </c>
      <c r="B31" s="159">
        <f t="shared" si="18"/>
        <v>3</v>
      </c>
      <c r="C31" s="160" t="str">
        <f t="shared" si="0"/>
        <v>1203</v>
      </c>
      <c r="D31" s="159" t="s">
        <v>191</v>
      </c>
      <c r="E31" s="161">
        <v>2019</v>
      </c>
      <c r="F31" s="162" t="s">
        <v>447</v>
      </c>
      <c r="G31" s="162" t="s">
        <v>193</v>
      </c>
      <c r="H31" s="163" t="str">
        <f t="shared" si="1"/>
        <v>UM</v>
      </c>
      <c r="I31" s="163" t="s">
        <v>148</v>
      </c>
      <c r="J31" s="162" t="s">
        <v>393</v>
      </c>
      <c r="K31" s="163" t="s">
        <v>167</v>
      </c>
      <c r="L31" s="163" t="s">
        <v>147</v>
      </c>
      <c r="M31" s="163" t="str">
        <f t="shared" si="19"/>
        <v>PCV13 vs NoVax</v>
      </c>
      <c r="N31" s="159" t="s">
        <v>403</v>
      </c>
      <c r="O31" s="159">
        <v>4</v>
      </c>
      <c r="P31" s="162" t="s">
        <v>155</v>
      </c>
      <c r="Q31" s="162" t="s">
        <v>149</v>
      </c>
      <c r="R31" s="162" t="s">
        <v>194</v>
      </c>
      <c r="S31" s="162" t="s">
        <v>193</v>
      </c>
      <c r="T31" s="161">
        <v>2018</v>
      </c>
      <c r="U31" s="165">
        <v>1146</v>
      </c>
      <c r="V31" s="165" t="e">
        <f>IF(ISNUMBER(U31),U31/VLOOKUP($S31,xRates!$A$1:$AA$267,data!$T31-xRates!$B$1+2,FALSE),U31)</f>
        <v>#REF!</v>
      </c>
      <c r="W31" s="162" t="s">
        <v>448</v>
      </c>
      <c r="Y31" s="165"/>
      <c r="AA31" s="163" t="s">
        <v>148</v>
      </c>
      <c r="AB31" s="162" t="s">
        <v>379</v>
      </c>
      <c r="AC31" s="162" t="s">
        <v>148</v>
      </c>
      <c r="AD31" s="163" t="s">
        <v>155</v>
      </c>
      <c r="AE31" s="162" t="str">
        <f t="shared" si="31"/>
        <v/>
      </c>
      <c r="AF31" s="163" t="s">
        <v>148</v>
      </c>
      <c r="AG31" s="163" t="s">
        <v>148</v>
      </c>
      <c r="AH31" s="163" t="s">
        <v>148</v>
      </c>
      <c r="AJ31" s="162" t="s">
        <v>449</v>
      </c>
      <c r="AK31" s="162" t="s">
        <v>453</v>
      </c>
      <c r="AL31" s="163" t="s">
        <v>152</v>
      </c>
      <c r="AM31" s="166">
        <v>-84770</v>
      </c>
      <c r="AN31" s="166" t="e">
        <f>AM31/xRates!$X$194</f>
        <v>#DIV/0!</v>
      </c>
      <c r="AO31" s="166">
        <f t="shared" si="3"/>
        <v>7124.6</v>
      </c>
      <c r="AP31" s="163" t="e">
        <f t="shared" si="32"/>
        <v>#DIV/0!</v>
      </c>
      <c r="AQ31" s="163" t="e">
        <f t="shared" si="20"/>
        <v>#DIV/0!</v>
      </c>
      <c r="AR31" s="167" t="str">
        <f t="shared" si="5"/>
        <v>.</v>
      </c>
      <c r="AS31" s="167">
        <f t="shared" si="6"/>
        <v>1.1200000000000001</v>
      </c>
      <c r="AT31" s="159" t="str">
        <f t="shared" si="21"/>
        <v>Not Cost-Effective</v>
      </c>
      <c r="AU31" s="167">
        <f t="shared" si="7"/>
        <v>0.7</v>
      </c>
      <c r="AV31" s="162" t="str">
        <f t="shared" si="22"/>
        <v>Not Cost-Effective</v>
      </c>
      <c r="AW31" s="167">
        <f t="shared" si="8"/>
        <v>0.65269570111403552</v>
      </c>
      <c r="AX31" s="159" t="str">
        <f t="shared" si="23"/>
        <v>Not Cost-Effective</v>
      </c>
      <c r="AY31" s="167">
        <f t="shared" si="9"/>
        <v>0.19549419807650922</v>
      </c>
      <c r="AZ31" s="159" t="str">
        <f t="shared" si="24"/>
        <v>Not Cost-Effective</v>
      </c>
      <c r="BA31" s="167">
        <f t="shared" si="10"/>
        <v>0.67102744933539571</v>
      </c>
      <c r="BB31" s="159" t="str">
        <f t="shared" si="25"/>
        <v>Not Cost-Effective</v>
      </c>
      <c r="BC31" s="167">
        <f t="shared" si="11"/>
        <v>0.27816375219568462</v>
      </c>
      <c r="BD31" s="159" t="str">
        <f t="shared" si="26"/>
        <v>Not Cost-Effective</v>
      </c>
      <c r="BE31" s="162" t="s">
        <v>195</v>
      </c>
      <c r="BF31" s="162" t="s">
        <v>439</v>
      </c>
      <c r="BG31" s="168" t="str">
        <f t="shared" si="12"/>
        <v>.</v>
      </c>
      <c r="BH31" s="168" t="str">
        <f t="shared" si="13"/>
        <v>.</v>
      </c>
      <c r="BI31" s="163" t="str">
        <f t="shared" si="14"/>
        <v>.</v>
      </c>
      <c r="BJ31" s="163" t="str">
        <f t="shared" si="15"/>
        <v>.</v>
      </c>
      <c r="BK31" s="163" t="str">
        <f t="shared" si="27"/>
        <v>.</v>
      </c>
      <c r="BL31" s="163" t="str">
        <f t="shared" si="28"/>
        <v>.</v>
      </c>
      <c r="BM31" s="163">
        <f t="shared" si="29"/>
        <v>0</v>
      </c>
      <c r="BN31" s="163" t="s">
        <v>148</v>
      </c>
      <c r="BP31" s="162" t="s">
        <v>383</v>
      </c>
      <c r="BQ31" s="162" t="s">
        <v>163</v>
      </c>
    </row>
    <row r="32" spans="1:70">
      <c r="A32" s="159">
        <f t="shared" si="17"/>
        <v>12</v>
      </c>
      <c r="B32" s="159">
        <f t="shared" si="18"/>
        <v>4</v>
      </c>
      <c r="C32" s="160" t="str">
        <f t="shared" si="0"/>
        <v>1204</v>
      </c>
      <c r="D32" s="159" t="s">
        <v>191</v>
      </c>
      <c r="E32" s="161">
        <v>2019</v>
      </c>
      <c r="F32" s="162" t="s">
        <v>447</v>
      </c>
      <c r="G32" s="162" t="s">
        <v>193</v>
      </c>
      <c r="H32" s="163" t="str">
        <f t="shared" si="1"/>
        <v>UM</v>
      </c>
      <c r="I32" s="163" t="s">
        <v>148</v>
      </c>
      <c r="J32" s="162" t="s">
        <v>393</v>
      </c>
      <c r="K32" s="163" t="s">
        <v>167</v>
      </c>
      <c r="L32" s="163" t="s">
        <v>147</v>
      </c>
      <c r="M32" s="163" t="str">
        <f t="shared" si="19"/>
        <v>PCV13 vs NoVax</v>
      </c>
      <c r="N32" s="159" t="s">
        <v>368</v>
      </c>
      <c r="O32" s="159">
        <v>3</v>
      </c>
      <c r="P32" s="162" t="s">
        <v>155</v>
      </c>
      <c r="Q32" s="162" t="s">
        <v>149</v>
      </c>
      <c r="R32" s="162" t="s">
        <v>194</v>
      </c>
      <c r="S32" s="162" t="s">
        <v>193</v>
      </c>
      <c r="T32" s="161">
        <v>2018</v>
      </c>
      <c r="U32" s="165">
        <v>1146</v>
      </c>
      <c r="V32" s="165" t="e">
        <f>IF(ISNUMBER(U32),U32/VLOOKUP($S32,xRates!$A$1:$AA$267,data!$T32-xRates!$B$1+2,FALSE),U32)</f>
        <v>#REF!</v>
      </c>
      <c r="W32" s="162" t="s">
        <v>448</v>
      </c>
      <c r="Y32" s="165"/>
      <c r="AA32" s="163" t="s">
        <v>148</v>
      </c>
      <c r="AB32" s="162" t="s">
        <v>379</v>
      </c>
      <c r="AC32" s="162" t="s">
        <v>148</v>
      </c>
      <c r="AD32" s="163" t="s">
        <v>155</v>
      </c>
      <c r="AE32" s="162" t="str">
        <f t="shared" si="31"/>
        <v/>
      </c>
      <c r="AF32" s="163" t="s">
        <v>148</v>
      </c>
      <c r="AG32" s="163" t="s">
        <v>148</v>
      </c>
      <c r="AH32" s="163" t="s">
        <v>148</v>
      </c>
      <c r="AJ32" s="162" t="s">
        <v>449</v>
      </c>
      <c r="AK32" s="162" t="s">
        <v>454</v>
      </c>
      <c r="AL32" s="163" t="s">
        <v>152</v>
      </c>
      <c r="AM32" s="166">
        <v>-99394</v>
      </c>
      <c r="AN32" s="166" t="e">
        <f>AM32/xRates!$X$194</f>
        <v>#DIV/0!</v>
      </c>
      <c r="AO32" s="166">
        <f t="shared" si="3"/>
        <v>7124.6</v>
      </c>
      <c r="AP32" s="163" t="e">
        <f t="shared" si="32"/>
        <v>#DIV/0!</v>
      </c>
      <c r="AQ32" s="163" t="e">
        <f t="shared" si="20"/>
        <v>#DIV/0!</v>
      </c>
      <c r="AR32" s="167" t="str">
        <f t="shared" si="5"/>
        <v>.</v>
      </c>
      <c r="AS32" s="167">
        <f t="shared" si="6"/>
        <v>1.1200000000000001</v>
      </c>
      <c r="AT32" s="159" t="str">
        <f t="shared" si="21"/>
        <v>Not Cost-Effective</v>
      </c>
      <c r="AU32" s="167">
        <f t="shared" si="7"/>
        <v>0.7</v>
      </c>
      <c r="AV32" s="162" t="str">
        <f t="shared" si="22"/>
        <v>Not Cost-Effective</v>
      </c>
      <c r="AW32" s="167">
        <f t="shared" si="8"/>
        <v>0.65269570111403552</v>
      </c>
      <c r="AX32" s="159" t="str">
        <f t="shared" si="23"/>
        <v>Not Cost-Effective</v>
      </c>
      <c r="AY32" s="167">
        <f t="shared" si="9"/>
        <v>0.19549419807650922</v>
      </c>
      <c r="AZ32" s="159" t="str">
        <f t="shared" si="24"/>
        <v>Not Cost-Effective</v>
      </c>
      <c r="BA32" s="167">
        <f t="shared" si="10"/>
        <v>0.67102744933539571</v>
      </c>
      <c r="BB32" s="159" t="str">
        <f t="shared" si="25"/>
        <v>Not Cost-Effective</v>
      </c>
      <c r="BC32" s="167">
        <f t="shared" si="11"/>
        <v>0.27816375219568462</v>
      </c>
      <c r="BD32" s="159" t="str">
        <f t="shared" si="26"/>
        <v>Not Cost-Effective</v>
      </c>
      <c r="BE32" s="162" t="s">
        <v>195</v>
      </c>
      <c r="BF32" s="162" t="s">
        <v>439</v>
      </c>
      <c r="BG32" s="168" t="str">
        <f t="shared" si="12"/>
        <v>.</v>
      </c>
      <c r="BH32" s="168" t="str">
        <f t="shared" si="13"/>
        <v>.</v>
      </c>
      <c r="BI32" s="163" t="str">
        <f t="shared" si="14"/>
        <v>.</v>
      </c>
      <c r="BJ32" s="163" t="str">
        <f t="shared" si="15"/>
        <v>.</v>
      </c>
      <c r="BK32" s="163" t="str">
        <f t="shared" si="27"/>
        <v>.</v>
      </c>
      <c r="BL32" s="163" t="str">
        <f t="shared" si="28"/>
        <v>.</v>
      </c>
      <c r="BM32" s="163">
        <f t="shared" si="29"/>
        <v>0</v>
      </c>
      <c r="BN32" s="163" t="s">
        <v>148</v>
      </c>
      <c r="BP32" s="162" t="s">
        <v>383</v>
      </c>
      <c r="BQ32" s="162" t="s">
        <v>163</v>
      </c>
    </row>
    <row r="33" spans="1:69">
      <c r="A33" s="159">
        <f t="shared" si="17"/>
        <v>12</v>
      </c>
      <c r="B33" s="159">
        <f t="shared" si="18"/>
        <v>5</v>
      </c>
      <c r="C33" s="160" t="str">
        <f t="shared" si="0"/>
        <v>1205</v>
      </c>
      <c r="D33" s="159" t="s">
        <v>191</v>
      </c>
      <c r="E33" s="161">
        <v>2019</v>
      </c>
      <c r="F33" s="162" t="s">
        <v>447</v>
      </c>
      <c r="G33" s="162" t="s">
        <v>193</v>
      </c>
      <c r="H33" s="163" t="str">
        <f t="shared" si="1"/>
        <v>UM</v>
      </c>
      <c r="I33" s="163" t="s">
        <v>148</v>
      </c>
      <c r="J33" s="162" t="s">
        <v>391</v>
      </c>
      <c r="K33" s="163" t="s">
        <v>166</v>
      </c>
      <c r="L33" s="163" t="s">
        <v>147</v>
      </c>
      <c r="M33" s="163" t="str">
        <f t="shared" si="19"/>
        <v>PCV10 vs NoVax</v>
      </c>
      <c r="N33" s="159" t="s">
        <v>403</v>
      </c>
      <c r="O33" s="159">
        <v>4</v>
      </c>
      <c r="P33" s="162" t="s">
        <v>155</v>
      </c>
      <c r="Q33" s="162" t="s">
        <v>149</v>
      </c>
      <c r="R33" s="162" t="s">
        <v>194</v>
      </c>
      <c r="S33" s="162" t="s">
        <v>193</v>
      </c>
      <c r="T33" s="161">
        <v>2018</v>
      </c>
      <c r="U33" s="165">
        <v>1440</v>
      </c>
      <c r="V33" s="165" t="e">
        <f>IF(ISNUMBER(U33),U33/VLOOKUP($S33,xRates!$A$1:$AA$267,data!$T33-xRates!$B$1+2,FALSE),U33)</f>
        <v>#REF!</v>
      </c>
      <c r="W33" s="162" t="s">
        <v>448</v>
      </c>
      <c r="Y33" s="165"/>
      <c r="AA33" s="163" t="s">
        <v>155</v>
      </c>
      <c r="AB33" s="162"/>
      <c r="AD33" s="163" t="s">
        <v>155</v>
      </c>
      <c r="AE33" s="162" t="str">
        <f t="shared" si="31"/>
        <v/>
      </c>
      <c r="AF33" s="163" t="s">
        <v>148</v>
      </c>
      <c r="AG33" s="163" t="s">
        <v>148</v>
      </c>
      <c r="AH33" s="163" t="s">
        <v>148</v>
      </c>
      <c r="AJ33" s="162" t="s">
        <v>449</v>
      </c>
      <c r="AK33" s="162" t="s">
        <v>455</v>
      </c>
      <c r="AL33" s="163" t="s">
        <v>152</v>
      </c>
      <c r="AM33" s="166">
        <v>215948</v>
      </c>
      <c r="AN33" s="166" t="e">
        <f>AM33/xRates!$X$194</f>
        <v>#DIV/0!</v>
      </c>
      <c r="AO33" s="166">
        <f t="shared" si="3"/>
        <v>7124.6</v>
      </c>
      <c r="AP33" s="163" t="e">
        <f t="shared" si="32"/>
        <v>#DIV/0!</v>
      </c>
      <c r="AQ33" s="163" t="e">
        <f>IF(AN33="NA", ".", IF(AN33&lt;0,"Cost-Saving",IF(AN33&lt;=AO33*3,"Cost-Effective",IF(AN33&gt;AO33*3&amp;AN33&lt;&gt;"NA","Not Cost-Effective","Missing"))))</f>
        <v>#DIV/0!</v>
      </c>
      <c r="AR33" s="167" t="str">
        <f t="shared" si="5"/>
        <v>.</v>
      </c>
      <c r="AS33" s="167">
        <f t="shared" si="6"/>
        <v>1.1200000000000001</v>
      </c>
      <c r="AT33" s="159" t="str">
        <f t="shared" si="21"/>
        <v>Not Cost-Effective</v>
      </c>
      <c r="AU33" s="167">
        <f t="shared" si="7"/>
        <v>0.7</v>
      </c>
      <c r="AV33" s="162" t="str">
        <f t="shared" si="22"/>
        <v>Not Cost-Effective</v>
      </c>
      <c r="AW33" s="167">
        <f t="shared" si="8"/>
        <v>0.65269570111403552</v>
      </c>
      <c r="AX33" s="159" t="str">
        <f t="shared" si="23"/>
        <v>Not Cost-Effective</v>
      </c>
      <c r="AY33" s="167">
        <f t="shared" si="9"/>
        <v>0.19549419807650922</v>
      </c>
      <c r="AZ33" s="159" t="str">
        <f t="shared" si="24"/>
        <v>Not Cost-Effective</v>
      </c>
      <c r="BA33" s="167">
        <f t="shared" si="10"/>
        <v>0.67102744933539571</v>
      </c>
      <c r="BB33" s="159" t="str">
        <f t="shared" si="25"/>
        <v>Not Cost-Effective</v>
      </c>
      <c r="BC33" s="167">
        <f t="shared" si="11"/>
        <v>0.27816375219568462</v>
      </c>
      <c r="BD33" s="159" t="str">
        <f t="shared" si="26"/>
        <v>Not Cost-Effective</v>
      </c>
      <c r="BE33" s="162" t="s">
        <v>195</v>
      </c>
      <c r="BF33" s="162" t="s">
        <v>371</v>
      </c>
      <c r="BG33" s="168" t="str">
        <f t="shared" si="12"/>
        <v>.</v>
      </c>
      <c r="BH33" s="168" t="str">
        <f t="shared" si="13"/>
        <v>.</v>
      </c>
      <c r="BI33" s="163" t="str">
        <f t="shared" si="14"/>
        <v>.</v>
      </c>
      <c r="BJ33" s="163" t="str">
        <f t="shared" si="15"/>
        <v>.</v>
      </c>
      <c r="BK33" s="163" t="str">
        <f t="shared" si="27"/>
        <v>.</v>
      </c>
      <c r="BL33" s="163" t="str">
        <f t="shared" si="28"/>
        <v>.</v>
      </c>
      <c r="BM33" s="163">
        <f t="shared" si="29"/>
        <v>0</v>
      </c>
      <c r="BN33" s="163" t="s">
        <v>148</v>
      </c>
      <c r="BO33" s="162" t="s">
        <v>456</v>
      </c>
      <c r="BP33" s="162" t="s">
        <v>383</v>
      </c>
      <c r="BQ33" s="162" t="s">
        <v>163</v>
      </c>
    </row>
    <row r="34" spans="1:69">
      <c r="A34" s="159">
        <f t="shared" si="17"/>
        <v>12</v>
      </c>
      <c r="B34" s="159">
        <f t="shared" si="18"/>
        <v>6</v>
      </c>
      <c r="C34" s="160" t="str">
        <f t="shared" si="0"/>
        <v>1206</v>
      </c>
      <c r="D34" s="159" t="s">
        <v>191</v>
      </c>
      <c r="E34" s="161">
        <v>2019</v>
      </c>
      <c r="F34" s="162" t="s">
        <v>447</v>
      </c>
      <c r="G34" s="162" t="s">
        <v>193</v>
      </c>
      <c r="H34" s="163" t="str">
        <f t="shared" si="1"/>
        <v>UM</v>
      </c>
      <c r="I34" s="163" t="s">
        <v>148</v>
      </c>
      <c r="J34" s="162" t="s">
        <v>391</v>
      </c>
      <c r="K34" s="163" t="s">
        <v>166</v>
      </c>
      <c r="L34" s="163" t="s">
        <v>147</v>
      </c>
      <c r="M34" s="163" t="str">
        <f t="shared" si="19"/>
        <v>PCV10 vs NoVax</v>
      </c>
      <c r="N34" s="159" t="s">
        <v>368</v>
      </c>
      <c r="O34" s="159">
        <v>3</v>
      </c>
      <c r="P34" s="162" t="s">
        <v>148</v>
      </c>
      <c r="Q34" s="162" t="s">
        <v>149</v>
      </c>
      <c r="R34" s="162" t="s">
        <v>194</v>
      </c>
      <c r="S34" s="162" t="s">
        <v>193</v>
      </c>
      <c r="T34" s="161">
        <v>2018</v>
      </c>
      <c r="U34" s="165">
        <v>1440</v>
      </c>
      <c r="V34" s="165" t="e">
        <f>IF(ISNUMBER(U34),U34/VLOOKUP($S34,xRates!$A$1:$AA$267,data!$T34-xRates!$B$1+2,FALSE),U34)</f>
        <v>#REF!</v>
      </c>
      <c r="W34" s="162" t="s">
        <v>448</v>
      </c>
      <c r="Y34" s="165"/>
      <c r="AA34" s="163" t="s">
        <v>155</v>
      </c>
      <c r="AB34" s="162"/>
      <c r="AD34" s="163" t="s">
        <v>155</v>
      </c>
      <c r="AE34" s="162" t="str">
        <f t="shared" si="31"/>
        <v/>
      </c>
      <c r="AF34" s="163" t="s">
        <v>148</v>
      </c>
      <c r="AG34" s="163" t="s">
        <v>148</v>
      </c>
      <c r="AH34" s="163" t="s">
        <v>148</v>
      </c>
      <c r="AJ34" s="162" t="s">
        <v>449</v>
      </c>
      <c r="AK34" s="162" t="s">
        <v>457</v>
      </c>
      <c r="AL34" s="163" t="s">
        <v>152</v>
      </c>
      <c r="AM34" s="166">
        <v>170437</v>
      </c>
      <c r="AN34" s="166" t="e">
        <f>AM34/xRates!$X$194</f>
        <v>#DIV/0!</v>
      </c>
      <c r="AO34" s="166">
        <f t="shared" si="3"/>
        <v>7124.6</v>
      </c>
      <c r="AP34" s="163" t="e">
        <f t="shared" si="32"/>
        <v>#DIV/0!</v>
      </c>
      <c r="AQ34" s="163" t="e">
        <f t="shared" si="20"/>
        <v>#DIV/0!</v>
      </c>
      <c r="AR34" s="167" t="str">
        <f t="shared" si="5"/>
        <v>.</v>
      </c>
      <c r="AS34" s="167">
        <f t="shared" ref="AS34:AS65" si="33">IFERROR(VLOOKUP(G34,ochalek,11,FALSE),".")</f>
        <v>1.1200000000000001</v>
      </c>
      <c r="AT34" s="159" t="str">
        <f t="shared" si="21"/>
        <v>Not Cost-Effective</v>
      </c>
      <c r="AU34" s="167">
        <f t="shared" ref="AU34:AU65" si="34">IFERROR(VLOOKUP(G34,ochalek,10,FALSE),".")</f>
        <v>0.7</v>
      </c>
      <c r="AV34" s="162" t="str">
        <f t="shared" si="22"/>
        <v>Not Cost-Effective</v>
      </c>
      <c r="AW34" s="167">
        <f t="shared" ref="AW34:AW65" si="35">IFERROR(VLOOKUP(G34,woods,6,FALSE),".")</f>
        <v>0.65269570111403552</v>
      </c>
      <c r="AX34" s="159" t="str">
        <f t="shared" si="23"/>
        <v>Not Cost-Effective</v>
      </c>
      <c r="AY34" s="167">
        <f t="shared" ref="AY34:AY65" si="36">IFERROR(VLOOKUP(G34,woods,5,FALSE),".")</f>
        <v>0.19549419807650922</v>
      </c>
      <c r="AZ34" s="159" t="str">
        <f t="shared" si="24"/>
        <v>Not Cost-Effective</v>
      </c>
      <c r="BA34" s="167">
        <f t="shared" ref="BA34:BA65" si="37">IFERROR(VLOOKUP(G34,riviere,8,FALSE),".")</f>
        <v>0.67102744933539571</v>
      </c>
      <c r="BB34" s="159" t="str">
        <f t="shared" si="25"/>
        <v>Not Cost-Effective</v>
      </c>
      <c r="BC34" s="167">
        <f t="shared" ref="BC34:BC65" si="38">IFERROR(VLOOKUP(G34,riviere,7,FALSE),".")</f>
        <v>0.27816375219568462</v>
      </c>
      <c r="BD34" s="159" t="str">
        <f t="shared" si="26"/>
        <v>Not Cost-Effective</v>
      </c>
      <c r="BE34" s="162" t="s">
        <v>195</v>
      </c>
      <c r="BF34" s="162" t="s">
        <v>371</v>
      </c>
      <c r="BG34" s="168" t="str">
        <f t="shared" ref="BG34:BG65" si="39">IF(BF34="Cost-Effective",IF(AV34="Not Cost-Effective",1,0),".")</f>
        <v>.</v>
      </c>
      <c r="BH34" s="168" t="str">
        <f t="shared" ref="BH34:BH65" si="40">IF(BF34="Cost-Effective",IF(AT34="Not Cost-Effective",1,0),".")</f>
        <v>.</v>
      </c>
      <c r="BI34" s="163" t="str">
        <f t="shared" ref="BI34:BI65" si="41">IF(BF34="Cost-Effective",IF(AZ34="Not Cost-Effective",1,0),".")</f>
        <v>.</v>
      </c>
      <c r="BJ34" s="163" t="str">
        <f t="shared" ref="BJ34:BJ65" si="42">IF(BF34="Cost-Effective",IF(AX34="Not Cost-Effective",1,0),".")</f>
        <v>.</v>
      </c>
      <c r="BK34" s="163" t="str">
        <f t="shared" si="27"/>
        <v>.</v>
      </c>
      <c r="BL34" s="163" t="str">
        <f t="shared" si="28"/>
        <v>.</v>
      </c>
      <c r="BM34" s="163">
        <f t="shared" si="29"/>
        <v>0</v>
      </c>
      <c r="BN34" s="163" t="s">
        <v>148</v>
      </c>
      <c r="BO34" s="162" t="s">
        <v>458</v>
      </c>
      <c r="BP34" s="162" t="s">
        <v>383</v>
      </c>
      <c r="BQ34" s="162" t="s">
        <v>163</v>
      </c>
    </row>
    <row r="35" spans="1:69">
      <c r="A35" s="159">
        <f t="shared" si="17"/>
        <v>12</v>
      </c>
      <c r="B35" s="159">
        <f t="shared" si="18"/>
        <v>7</v>
      </c>
      <c r="C35" s="160" t="str">
        <f t="shared" si="0"/>
        <v>1207</v>
      </c>
      <c r="D35" s="159" t="s">
        <v>191</v>
      </c>
      <c r="E35" s="161">
        <v>2019</v>
      </c>
      <c r="F35" s="162" t="s">
        <v>447</v>
      </c>
      <c r="G35" s="162" t="s">
        <v>193</v>
      </c>
      <c r="H35" s="163" t="str">
        <f t="shared" ref="H35:H66" si="43">VLOOKUP(G35,income,T35-1985,FALSE)</f>
        <v>UM</v>
      </c>
      <c r="I35" s="163" t="s">
        <v>148</v>
      </c>
      <c r="J35" s="162" t="s">
        <v>393</v>
      </c>
      <c r="K35" s="163" t="s">
        <v>167</v>
      </c>
      <c r="L35" s="163" t="s">
        <v>147</v>
      </c>
      <c r="M35" s="163" t="str">
        <f t="shared" si="19"/>
        <v>PCV13 vs NoVax</v>
      </c>
      <c r="N35" s="159" t="s">
        <v>403</v>
      </c>
      <c r="O35" s="159">
        <v>4</v>
      </c>
      <c r="P35" s="162" t="s">
        <v>155</v>
      </c>
      <c r="Q35" s="162" t="s">
        <v>149</v>
      </c>
      <c r="R35" s="162" t="s">
        <v>194</v>
      </c>
      <c r="S35" s="162" t="s">
        <v>193</v>
      </c>
      <c r="T35" s="161">
        <v>2018</v>
      </c>
      <c r="U35" s="165">
        <v>1146</v>
      </c>
      <c r="V35" s="165" t="e">
        <f>IF(ISNUMBER(U35),U35/VLOOKUP($S35,xRates!$A$1:$AA$267,data!$T35-xRates!$B$1+2,FALSE),U35)</f>
        <v>#REF!</v>
      </c>
      <c r="W35" s="162" t="s">
        <v>448</v>
      </c>
      <c r="Y35" s="165"/>
      <c r="AA35" s="163" t="s">
        <v>155</v>
      </c>
      <c r="AB35" s="162"/>
      <c r="AD35" s="163" t="s">
        <v>155</v>
      </c>
      <c r="AE35" s="162" t="str">
        <f t="shared" si="31"/>
        <v/>
      </c>
      <c r="AF35" s="163" t="s">
        <v>148</v>
      </c>
      <c r="AG35" s="163" t="s">
        <v>148</v>
      </c>
      <c r="AH35" s="163" t="s">
        <v>148</v>
      </c>
      <c r="AJ35" s="162" t="s">
        <v>449</v>
      </c>
      <c r="AK35" s="162" t="s">
        <v>459</v>
      </c>
      <c r="AL35" s="163" t="s">
        <v>152</v>
      </c>
      <c r="AM35" s="166">
        <v>97269</v>
      </c>
      <c r="AN35" s="166" t="e">
        <f>AM35/xRates!$X$194</f>
        <v>#DIV/0!</v>
      </c>
      <c r="AO35" s="166">
        <f t="shared" ref="AO35:AO66" si="44">VLOOKUP(G35,gdppc,T35-1958,FALSE)</f>
        <v>7124.6</v>
      </c>
      <c r="AP35" s="163" t="e">
        <f t="shared" si="32"/>
        <v>#DIV/0!</v>
      </c>
      <c r="AQ35" s="163" t="e">
        <f t="shared" si="20"/>
        <v>#DIV/0!</v>
      </c>
      <c r="AR35" s="167" t="str">
        <f t="shared" si="5"/>
        <v>.</v>
      </c>
      <c r="AS35" s="167">
        <f t="shared" si="33"/>
        <v>1.1200000000000001</v>
      </c>
      <c r="AT35" s="159" t="str">
        <f t="shared" si="21"/>
        <v>Not Cost-Effective</v>
      </c>
      <c r="AU35" s="167">
        <f t="shared" si="34"/>
        <v>0.7</v>
      </c>
      <c r="AV35" s="162" t="str">
        <f t="shared" si="22"/>
        <v>Not Cost-Effective</v>
      </c>
      <c r="AW35" s="167">
        <f t="shared" si="35"/>
        <v>0.65269570111403552</v>
      </c>
      <c r="AX35" s="159" t="str">
        <f t="shared" si="23"/>
        <v>Not Cost-Effective</v>
      </c>
      <c r="AY35" s="167">
        <f t="shared" si="36"/>
        <v>0.19549419807650922</v>
      </c>
      <c r="AZ35" s="159" t="str">
        <f t="shared" si="24"/>
        <v>Not Cost-Effective</v>
      </c>
      <c r="BA35" s="167">
        <f t="shared" si="37"/>
        <v>0.67102744933539571</v>
      </c>
      <c r="BB35" s="159" t="str">
        <f t="shared" si="25"/>
        <v>Not Cost-Effective</v>
      </c>
      <c r="BC35" s="167">
        <f t="shared" si="38"/>
        <v>0.27816375219568462</v>
      </c>
      <c r="BD35" s="159" t="str">
        <f t="shared" si="26"/>
        <v>Not Cost-Effective</v>
      </c>
      <c r="BE35" s="162" t="s">
        <v>195</v>
      </c>
      <c r="BF35" s="162" t="s">
        <v>382</v>
      </c>
      <c r="BG35" s="168">
        <f t="shared" si="39"/>
        <v>1</v>
      </c>
      <c r="BH35" s="168">
        <f t="shared" si="40"/>
        <v>1</v>
      </c>
      <c r="BI35" s="163">
        <f t="shared" si="41"/>
        <v>1</v>
      </c>
      <c r="BJ35" s="163">
        <f t="shared" si="42"/>
        <v>1</v>
      </c>
      <c r="BK35" s="163">
        <f t="shared" si="27"/>
        <v>1</v>
      </c>
      <c r="BL35" s="163">
        <f t="shared" si="28"/>
        <v>1</v>
      </c>
      <c r="BM35" s="163">
        <f t="shared" si="29"/>
        <v>6</v>
      </c>
      <c r="BN35" s="163" t="s">
        <v>148</v>
      </c>
      <c r="BO35" s="162" t="s">
        <v>460</v>
      </c>
      <c r="BP35" s="162" t="s">
        <v>383</v>
      </c>
      <c r="BQ35" s="162" t="s">
        <v>163</v>
      </c>
    </row>
    <row r="36" spans="1:69">
      <c r="A36" s="159">
        <f t="shared" si="17"/>
        <v>12</v>
      </c>
      <c r="B36" s="159">
        <f t="shared" si="18"/>
        <v>8</v>
      </c>
      <c r="C36" s="160" t="str">
        <f t="shared" si="0"/>
        <v>1208</v>
      </c>
      <c r="D36" s="159" t="s">
        <v>191</v>
      </c>
      <c r="E36" s="161">
        <v>2019</v>
      </c>
      <c r="F36" s="162" t="s">
        <v>447</v>
      </c>
      <c r="G36" s="162" t="s">
        <v>193</v>
      </c>
      <c r="H36" s="163" t="str">
        <f t="shared" si="43"/>
        <v>UM</v>
      </c>
      <c r="I36" s="163" t="s">
        <v>148</v>
      </c>
      <c r="J36" s="162" t="s">
        <v>393</v>
      </c>
      <c r="K36" s="163" t="s">
        <v>167</v>
      </c>
      <c r="L36" s="163" t="s">
        <v>147</v>
      </c>
      <c r="M36" s="163" t="str">
        <f t="shared" si="19"/>
        <v>PCV13 vs NoVax</v>
      </c>
      <c r="N36" s="159" t="s">
        <v>368</v>
      </c>
      <c r="O36" s="159">
        <v>3</v>
      </c>
      <c r="P36" s="162" t="s">
        <v>148</v>
      </c>
      <c r="Q36" s="162" t="s">
        <v>149</v>
      </c>
      <c r="R36" s="162" t="s">
        <v>194</v>
      </c>
      <c r="S36" s="162" t="s">
        <v>193</v>
      </c>
      <c r="T36" s="161">
        <v>2018</v>
      </c>
      <c r="U36" s="165">
        <v>1146</v>
      </c>
      <c r="V36" s="165" t="e">
        <f>IF(ISNUMBER(U36),U36/VLOOKUP($S36,xRates!$A$1:$AA$267,data!$T36-xRates!$B$1+2,FALSE),U36)</f>
        <v>#REF!</v>
      </c>
      <c r="W36" s="162" t="s">
        <v>448</v>
      </c>
      <c r="Y36" s="165"/>
      <c r="AA36" s="163" t="s">
        <v>155</v>
      </c>
      <c r="AB36" s="162"/>
      <c r="AD36" s="163" t="s">
        <v>155</v>
      </c>
      <c r="AE36" s="162" t="str">
        <f t="shared" si="31"/>
        <v/>
      </c>
      <c r="AF36" s="163" t="s">
        <v>148</v>
      </c>
      <c r="AG36" s="163" t="s">
        <v>148</v>
      </c>
      <c r="AH36" s="163" t="s">
        <v>148</v>
      </c>
      <c r="AJ36" s="162" t="s">
        <v>449</v>
      </c>
      <c r="AK36" s="162" t="s">
        <v>461</v>
      </c>
      <c r="AL36" s="163" t="s">
        <v>152</v>
      </c>
      <c r="AM36" s="166">
        <v>73674</v>
      </c>
      <c r="AN36" s="166" t="e">
        <f>AM36/xRates!$X$194</f>
        <v>#DIV/0!</v>
      </c>
      <c r="AO36" s="166">
        <f t="shared" si="44"/>
        <v>7124.6</v>
      </c>
      <c r="AP36" s="163" t="e">
        <f t="shared" si="32"/>
        <v>#DIV/0!</v>
      </c>
      <c r="AQ36" s="163" t="e">
        <f t="shared" si="20"/>
        <v>#DIV/0!</v>
      </c>
      <c r="AR36" s="167" t="str">
        <f t="shared" si="5"/>
        <v>.</v>
      </c>
      <c r="AS36" s="167">
        <f t="shared" si="33"/>
        <v>1.1200000000000001</v>
      </c>
      <c r="AT36" s="159" t="str">
        <f t="shared" si="21"/>
        <v>Not Cost-Effective</v>
      </c>
      <c r="AU36" s="167">
        <f t="shared" si="34"/>
        <v>0.7</v>
      </c>
      <c r="AV36" s="162" t="str">
        <f t="shared" si="22"/>
        <v>Not Cost-Effective</v>
      </c>
      <c r="AW36" s="167">
        <f t="shared" si="35"/>
        <v>0.65269570111403552</v>
      </c>
      <c r="AX36" s="159" t="str">
        <f t="shared" si="23"/>
        <v>Not Cost-Effective</v>
      </c>
      <c r="AY36" s="167">
        <f t="shared" si="36"/>
        <v>0.19549419807650922</v>
      </c>
      <c r="AZ36" s="159" t="str">
        <f t="shared" si="24"/>
        <v>Not Cost-Effective</v>
      </c>
      <c r="BA36" s="167">
        <f t="shared" si="37"/>
        <v>0.67102744933539571</v>
      </c>
      <c r="BB36" s="159" t="str">
        <f t="shared" si="25"/>
        <v>Not Cost-Effective</v>
      </c>
      <c r="BC36" s="167">
        <f t="shared" si="38"/>
        <v>0.27816375219568462</v>
      </c>
      <c r="BD36" s="159" t="str">
        <f t="shared" si="26"/>
        <v>Not Cost-Effective</v>
      </c>
      <c r="BE36" s="162" t="s">
        <v>195</v>
      </c>
      <c r="BF36" s="162" t="s">
        <v>382</v>
      </c>
      <c r="BG36" s="168">
        <f t="shared" si="39"/>
        <v>1</v>
      </c>
      <c r="BH36" s="168">
        <f t="shared" si="40"/>
        <v>1</v>
      </c>
      <c r="BI36" s="163">
        <f t="shared" si="41"/>
        <v>1</v>
      </c>
      <c r="BJ36" s="163">
        <f t="shared" si="42"/>
        <v>1</v>
      </c>
      <c r="BK36" s="163">
        <f t="shared" si="27"/>
        <v>1</v>
      </c>
      <c r="BL36" s="163">
        <f t="shared" si="28"/>
        <v>1</v>
      </c>
      <c r="BM36" s="163">
        <f t="shared" si="29"/>
        <v>6</v>
      </c>
      <c r="BN36" s="163" t="s">
        <v>148</v>
      </c>
      <c r="BO36" s="162" t="s">
        <v>462</v>
      </c>
      <c r="BP36" s="162" t="s">
        <v>383</v>
      </c>
      <c r="BQ36" s="162" t="s">
        <v>163</v>
      </c>
    </row>
    <row r="37" spans="1:69">
      <c r="A37" s="159">
        <f t="shared" si="17"/>
        <v>13</v>
      </c>
      <c r="B37" s="159">
        <f t="shared" si="18"/>
        <v>1</v>
      </c>
      <c r="C37" s="160" t="str">
        <f t="shared" si="0"/>
        <v>1301</v>
      </c>
      <c r="D37" s="159" t="s">
        <v>196</v>
      </c>
      <c r="E37" s="161">
        <v>2013</v>
      </c>
      <c r="F37" s="162" t="s">
        <v>463</v>
      </c>
      <c r="G37" s="162" t="s">
        <v>193</v>
      </c>
      <c r="H37" s="163" t="str">
        <f t="shared" si="43"/>
        <v>UM</v>
      </c>
      <c r="I37" s="163" t="s">
        <v>148</v>
      </c>
      <c r="J37" s="162" t="s">
        <v>391</v>
      </c>
      <c r="K37" s="163" t="s">
        <v>166</v>
      </c>
      <c r="L37" s="163" t="s">
        <v>147</v>
      </c>
      <c r="M37" s="163" t="str">
        <f t="shared" si="19"/>
        <v>PCV10 vs NoVax</v>
      </c>
      <c r="N37" s="159" t="s">
        <v>368</v>
      </c>
      <c r="O37" s="159">
        <v>3</v>
      </c>
      <c r="P37" s="162" t="s">
        <v>155</v>
      </c>
      <c r="Q37" s="162" t="s">
        <v>149</v>
      </c>
      <c r="R37" s="162" t="s">
        <v>194</v>
      </c>
      <c r="S37" s="162" t="s">
        <v>193</v>
      </c>
      <c r="T37" s="161">
        <v>2010</v>
      </c>
      <c r="U37" s="165">
        <v>1440</v>
      </c>
      <c r="V37" s="165" t="e">
        <f>IF(ISNUMBER(U37),U37/VLOOKUP($S37,xRates!$A$1:$AA$267,data!$T37-xRates!$B$1+2,FALSE),U37)</f>
        <v>#REF!</v>
      </c>
      <c r="W37" s="162" t="s">
        <v>422</v>
      </c>
      <c r="Y37" s="165"/>
      <c r="AA37" s="163" t="s">
        <v>148</v>
      </c>
      <c r="AB37" s="162" t="s">
        <v>417</v>
      </c>
      <c r="AC37" s="162" t="s">
        <v>148</v>
      </c>
      <c r="AD37" s="163" t="s">
        <v>148</v>
      </c>
      <c r="AE37" s="162" t="s">
        <v>464</v>
      </c>
      <c r="AF37" s="163" t="s">
        <v>148</v>
      </c>
      <c r="AG37" s="163" t="s">
        <v>148</v>
      </c>
      <c r="AH37" s="163" t="s">
        <v>148</v>
      </c>
      <c r="AJ37" s="162"/>
      <c r="AK37" s="162" t="s">
        <v>465</v>
      </c>
      <c r="AL37" s="163" t="s">
        <v>152</v>
      </c>
      <c r="AM37" s="166">
        <v>519399</v>
      </c>
      <c r="AN37" s="166" t="e">
        <f>AM37/xRates!$P$194</f>
        <v>#DIV/0!</v>
      </c>
      <c r="AO37" s="166">
        <f t="shared" si="44"/>
        <v>4996.3999999999996</v>
      </c>
      <c r="AP37" s="163" t="e">
        <f t="shared" si="32"/>
        <v>#DIV/0!</v>
      </c>
      <c r="AQ37" s="163" t="e">
        <f t="shared" si="20"/>
        <v>#DIV/0!</v>
      </c>
      <c r="AR37" s="167" t="str">
        <f t="shared" si="5"/>
        <v>.</v>
      </c>
      <c r="AS37" s="167">
        <f t="shared" si="33"/>
        <v>1.1200000000000001</v>
      </c>
      <c r="AT37" s="159" t="str">
        <f t="shared" si="21"/>
        <v>Not Cost-Effective</v>
      </c>
      <c r="AU37" s="167">
        <f t="shared" si="34"/>
        <v>0.7</v>
      </c>
      <c r="AV37" s="162" t="str">
        <f t="shared" si="22"/>
        <v>Not Cost-Effective</v>
      </c>
      <c r="AW37" s="167">
        <f t="shared" si="35"/>
        <v>0.65269570111403552</v>
      </c>
      <c r="AX37" s="159" t="str">
        <f t="shared" si="23"/>
        <v>Not Cost-Effective</v>
      </c>
      <c r="AY37" s="167">
        <f t="shared" si="36"/>
        <v>0.19549419807650922</v>
      </c>
      <c r="AZ37" s="159" t="str">
        <f t="shared" si="24"/>
        <v>Not Cost-Effective</v>
      </c>
      <c r="BA37" s="167">
        <f t="shared" si="37"/>
        <v>0.67102744933539571</v>
      </c>
      <c r="BB37" s="159" t="str">
        <f t="shared" si="25"/>
        <v>Not Cost-Effective</v>
      </c>
      <c r="BC37" s="167">
        <f t="shared" si="38"/>
        <v>0.27816375219568462</v>
      </c>
      <c r="BD37" s="159" t="str">
        <f t="shared" si="26"/>
        <v>Not Cost-Effective</v>
      </c>
      <c r="BE37" s="162" t="s">
        <v>198</v>
      </c>
      <c r="BF37" s="162" t="s">
        <v>371</v>
      </c>
      <c r="BG37" s="168" t="str">
        <f t="shared" si="39"/>
        <v>.</v>
      </c>
      <c r="BH37" s="168" t="str">
        <f t="shared" si="40"/>
        <v>.</v>
      </c>
      <c r="BI37" s="163" t="str">
        <f t="shared" si="41"/>
        <v>.</v>
      </c>
      <c r="BJ37" s="163" t="str">
        <f t="shared" si="42"/>
        <v>.</v>
      </c>
      <c r="BK37" s="163" t="str">
        <f t="shared" si="27"/>
        <v>.</v>
      </c>
      <c r="BL37" s="163" t="str">
        <f t="shared" si="28"/>
        <v>.</v>
      </c>
      <c r="BM37" s="163">
        <f t="shared" si="29"/>
        <v>0</v>
      </c>
      <c r="BN37" s="163" t="s">
        <v>155</v>
      </c>
      <c r="BO37" s="162" t="str">
        <f t="shared" ref="BO37:BO44" si="45">IF(BN37="No", "", "")</f>
        <v/>
      </c>
      <c r="BP37" s="162" t="s">
        <v>466</v>
      </c>
      <c r="BQ37" s="162" t="s">
        <v>156</v>
      </c>
    </row>
    <row r="38" spans="1:69">
      <c r="A38" s="159">
        <f t="shared" si="17"/>
        <v>13</v>
      </c>
      <c r="B38" s="159">
        <f t="shared" si="18"/>
        <v>2</v>
      </c>
      <c r="C38" s="160" t="str">
        <f t="shared" si="0"/>
        <v>1302</v>
      </c>
      <c r="D38" s="159" t="s">
        <v>196</v>
      </c>
      <c r="E38" s="161">
        <v>2013</v>
      </c>
      <c r="F38" s="162" t="s">
        <v>463</v>
      </c>
      <c r="G38" s="162" t="s">
        <v>193</v>
      </c>
      <c r="H38" s="163" t="str">
        <f t="shared" si="43"/>
        <v>UM</v>
      </c>
      <c r="I38" s="163" t="s">
        <v>148</v>
      </c>
      <c r="J38" s="162" t="s">
        <v>391</v>
      </c>
      <c r="K38" s="163" t="s">
        <v>166</v>
      </c>
      <c r="L38" s="163" t="s">
        <v>147</v>
      </c>
      <c r="M38" s="163" t="str">
        <f t="shared" si="19"/>
        <v>PCV10 vs NoVax</v>
      </c>
      <c r="N38" s="159" t="s">
        <v>403</v>
      </c>
      <c r="O38" s="159">
        <v>4</v>
      </c>
      <c r="P38" s="162" t="s">
        <v>155</v>
      </c>
      <c r="Q38" s="162" t="s">
        <v>149</v>
      </c>
      <c r="R38" s="162" t="s">
        <v>194</v>
      </c>
      <c r="S38" s="162" t="s">
        <v>193</v>
      </c>
      <c r="T38" s="161">
        <v>2010</v>
      </c>
      <c r="U38" s="165">
        <v>1440</v>
      </c>
      <c r="V38" s="165" t="e">
        <f>IF(ISNUMBER(U38),U38/VLOOKUP($S38,xRates!$A$1:$AA$267,data!$T38-xRates!$B$1+2,FALSE),U38)</f>
        <v>#REF!</v>
      </c>
      <c r="W38" s="162" t="s">
        <v>422</v>
      </c>
      <c r="Y38" s="165"/>
      <c r="AA38" s="163" t="s">
        <v>148</v>
      </c>
      <c r="AB38" s="162" t="s">
        <v>417</v>
      </c>
      <c r="AC38" s="162" t="s">
        <v>148</v>
      </c>
      <c r="AD38" s="163" t="s">
        <v>148</v>
      </c>
      <c r="AE38" s="162" t="s">
        <v>464</v>
      </c>
      <c r="AF38" s="163" t="s">
        <v>148</v>
      </c>
      <c r="AG38" s="163" t="s">
        <v>148</v>
      </c>
      <c r="AH38" s="163" t="s">
        <v>148</v>
      </c>
      <c r="AJ38" s="162"/>
      <c r="AK38" s="162" t="s">
        <v>467</v>
      </c>
      <c r="AL38" s="163" t="s">
        <v>152</v>
      </c>
      <c r="AM38" s="166">
        <v>650087</v>
      </c>
      <c r="AN38" s="166" t="e">
        <f>AM38/xRates!$P$194</f>
        <v>#DIV/0!</v>
      </c>
      <c r="AO38" s="166">
        <f t="shared" si="44"/>
        <v>4996.3999999999996</v>
      </c>
      <c r="AP38" s="163" t="e">
        <f t="shared" si="32"/>
        <v>#DIV/0!</v>
      </c>
      <c r="AQ38" s="163" t="e">
        <f t="shared" si="20"/>
        <v>#DIV/0!</v>
      </c>
      <c r="AR38" s="167" t="str">
        <f t="shared" si="5"/>
        <v>.</v>
      </c>
      <c r="AS38" s="167">
        <f t="shared" si="33"/>
        <v>1.1200000000000001</v>
      </c>
      <c r="AT38" s="159" t="str">
        <f t="shared" si="21"/>
        <v>Not Cost-Effective</v>
      </c>
      <c r="AU38" s="167">
        <f t="shared" si="34"/>
        <v>0.7</v>
      </c>
      <c r="AV38" s="162" t="str">
        <f t="shared" si="22"/>
        <v>Not Cost-Effective</v>
      </c>
      <c r="AW38" s="167">
        <f t="shared" si="35"/>
        <v>0.65269570111403552</v>
      </c>
      <c r="AX38" s="159" t="str">
        <f t="shared" si="23"/>
        <v>Not Cost-Effective</v>
      </c>
      <c r="AY38" s="167">
        <f t="shared" si="36"/>
        <v>0.19549419807650922</v>
      </c>
      <c r="AZ38" s="159" t="str">
        <f t="shared" si="24"/>
        <v>Not Cost-Effective</v>
      </c>
      <c r="BA38" s="167">
        <f t="shared" si="37"/>
        <v>0.67102744933539571</v>
      </c>
      <c r="BB38" s="159" t="str">
        <f t="shared" si="25"/>
        <v>Not Cost-Effective</v>
      </c>
      <c r="BC38" s="167">
        <f t="shared" si="38"/>
        <v>0.27816375219568462</v>
      </c>
      <c r="BD38" s="159" t="str">
        <f t="shared" si="26"/>
        <v>Not Cost-Effective</v>
      </c>
      <c r="BE38" s="162" t="s">
        <v>198</v>
      </c>
      <c r="BF38" s="162" t="s">
        <v>371</v>
      </c>
      <c r="BG38" s="168" t="str">
        <f t="shared" si="39"/>
        <v>.</v>
      </c>
      <c r="BH38" s="168" t="str">
        <f t="shared" si="40"/>
        <v>.</v>
      </c>
      <c r="BI38" s="163" t="str">
        <f t="shared" si="41"/>
        <v>.</v>
      </c>
      <c r="BJ38" s="163" t="str">
        <f t="shared" si="42"/>
        <v>.</v>
      </c>
      <c r="BK38" s="163" t="str">
        <f t="shared" si="27"/>
        <v>.</v>
      </c>
      <c r="BL38" s="163" t="str">
        <f t="shared" si="28"/>
        <v>.</v>
      </c>
      <c r="BM38" s="163">
        <f t="shared" si="29"/>
        <v>0</v>
      </c>
      <c r="BN38" s="163" t="s">
        <v>155</v>
      </c>
      <c r="BO38" s="162" t="str">
        <f t="shared" si="45"/>
        <v/>
      </c>
      <c r="BP38" s="162" t="s">
        <v>466</v>
      </c>
      <c r="BQ38" s="162" t="s">
        <v>156</v>
      </c>
    </row>
    <row r="39" spans="1:69">
      <c r="A39" s="159">
        <f t="shared" si="17"/>
        <v>13</v>
      </c>
      <c r="B39" s="159">
        <f t="shared" si="18"/>
        <v>3</v>
      </c>
      <c r="C39" s="160" t="str">
        <f t="shared" si="0"/>
        <v>1303</v>
      </c>
      <c r="D39" s="159" t="s">
        <v>196</v>
      </c>
      <c r="E39" s="161">
        <v>2013</v>
      </c>
      <c r="F39" s="162" t="s">
        <v>463</v>
      </c>
      <c r="G39" s="162" t="s">
        <v>193</v>
      </c>
      <c r="H39" s="163" t="str">
        <f t="shared" si="43"/>
        <v>UM</v>
      </c>
      <c r="I39" s="163" t="s">
        <v>148</v>
      </c>
      <c r="J39" s="162" t="s">
        <v>391</v>
      </c>
      <c r="K39" s="163" t="s">
        <v>166</v>
      </c>
      <c r="L39" s="163" t="s">
        <v>147</v>
      </c>
      <c r="M39" s="163" t="str">
        <f t="shared" si="19"/>
        <v>PCV10 vs NoVax</v>
      </c>
      <c r="N39" s="159" t="s">
        <v>368</v>
      </c>
      <c r="O39" s="159">
        <v>3</v>
      </c>
      <c r="P39" s="162" t="s">
        <v>148</v>
      </c>
      <c r="Q39" s="162" t="s">
        <v>149</v>
      </c>
      <c r="R39" s="162" t="s">
        <v>194</v>
      </c>
      <c r="S39" s="162" t="s">
        <v>193</v>
      </c>
      <c r="T39" s="161">
        <v>2010</v>
      </c>
      <c r="U39" s="165">
        <v>1440</v>
      </c>
      <c r="V39" s="165" t="e">
        <f>IF(ISNUMBER(U39),U39/VLOOKUP($S39,xRates!$A$1:$AA$267,data!$T39-xRates!$B$1+2,FALSE),U39)</f>
        <v>#REF!</v>
      </c>
      <c r="W39" s="162" t="s">
        <v>422</v>
      </c>
      <c r="Y39" s="165"/>
      <c r="AA39" s="163" t="s">
        <v>155</v>
      </c>
      <c r="AB39" s="162"/>
      <c r="AD39" s="163" t="s">
        <v>155</v>
      </c>
      <c r="AE39" s="162" t="str">
        <f>IF(AD39="No", "", "")</f>
        <v/>
      </c>
      <c r="AF39" s="163" t="s">
        <v>148</v>
      </c>
      <c r="AG39" s="163" t="s">
        <v>148</v>
      </c>
      <c r="AH39" s="163" t="s">
        <v>148</v>
      </c>
      <c r="AJ39" s="162"/>
      <c r="AK39" s="162" t="s">
        <v>468</v>
      </c>
      <c r="AL39" s="163" t="s">
        <v>152</v>
      </c>
      <c r="AM39" s="166">
        <v>1368072</v>
      </c>
      <c r="AN39" s="166" t="e">
        <f>AM39/xRates!$P$194</f>
        <v>#DIV/0!</v>
      </c>
      <c r="AO39" s="166">
        <f t="shared" si="44"/>
        <v>4996.3999999999996</v>
      </c>
      <c r="AP39" s="163" t="e">
        <f t="shared" si="32"/>
        <v>#DIV/0!</v>
      </c>
      <c r="AQ39" s="163" t="e">
        <f t="shared" si="20"/>
        <v>#DIV/0!</v>
      </c>
      <c r="AR39" s="167" t="str">
        <f t="shared" si="5"/>
        <v>.</v>
      </c>
      <c r="AS39" s="167">
        <f t="shared" si="33"/>
        <v>1.1200000000000001</v>
      </c>
      <c r="AT39" s="159" t="str">
        <f t="shared" si="21"/>
        <v>Not Cost-Effective</v>
      </c>
      <c r="AU39" s="167">
        <f t="shared" si="34"/>
        <v>0.7</v>
      </c>
      <c r="AV39" s="162" t="str">
        <f t="shared" si="22"/>
        <v>Not Cost-Effective</v>
      </c>
      <c r="AW39" s="167">
        <f t="shared" si="35"/>
        <v>0.65269570111403552</v>
      </c>
      <c r="AX39" s="159" t="str">
        <f t="shared" si="23"/>
        <v>Not Cost-Effective</v>
      </c>
      <c r="AY39" s="167">
        <f t="shared" si="36"/>
        <v>0.19549419807650922</v>
      </c>
      <c r="AZ39" s="159" t="str">
        <f t="shared" si="24"/>
        <v>Not Cost-Effective</v>
      </c>
      <c r="BA39" s="167">
        <f t="shared" si="37"/>
        <v>0.67102744933539571</v>
      </c>
      <c r="BB39" s="159" t="str">
        <f t="shared" si="25"/>
        <v>Not Cost-Effective</v>
      </c>
      <c r="BC39" s="167">
        <f t="shared" si="38"/>
        <v>0.27816375219568462</v>
      </c>
      <c r="BD39" s="159" t="str">
        <f t="shared" si="26"/>
        <v>Not Cost-Effective</v>
      </c>
      <c r="BE39" s="162" t="s">
        <v>198</v>
      </c>
      <c r="BF39" s="162" t="s">
        <v>371</v>
      </c>
      <c r="BG39" s="168" t="str">
        <f t="shared" si="39"/>
        <v>.</v>
      </c>
      <c r="BH39" s="168" t="str">
        <f t="shared" si="40"/>
        <v>.</v>
      </c>
      <c r="BI39" s="163" t="str">
        <f t="shared" si="41"/>
        <v>.</v>
      </c>
      <c r="BJ39" s="163" t="str">
        <f t="shared" si="42"/>
        <v>.</v>
      </c>
      <c r="BK39" s="163" t="str">
        <f t="shared" si="27"/>
        <v>.</v>
      </c>
      <c r="BL39" s="163" t="str">
        <f t="shared" si="28"/>
        <v>.</v>
      </c>
      <c r="BM39" s="163">
        <f t="shared" si="29"/>
        <v>0</v>
      </c>
      <c r="BN39" s="163" t="s">
        <v>155</v>
      </c>
      <c r="BO39" s="162" t="str">
        <f t="shared" si="45"/>
        <v/>
      </c>
      <c r="BP39" s="162" t="s">
        <v>466</v>
      </c>
      <c r="BQ39" s="162" t="s">
        <v>156</v>
      </c>
    </row>
    <row r="40" spans="1:69">
      <c r="A40" s="159">
        <f t="shared" si="17"/>
        <v>13</v>
      </c>
      <c r="B40" s="159">
        <f t="shared" si="18"/>
        <v>4</v>
      </c>
      <c r="C40" s="160" t="str">
        <f t="shared" si="0"/>
        <v>1304</v>
      </c>
      <c r="D40" s="159" t="s">
        <v>196</v>
      </c>
      <c r="E40" s="161">
        <v>2013</v>
      </c>
      <c r="F40" s="162" t="s">
        <v>463</v>
      </c>
      <c r="G40" s="162" t="s">
        <v>193</v>
      </c>
      <c r="H40" s="163" t="str">
        <f t="shared" si="43"/>
        <v>UM</v>
      </c>
      <c r="I40" s="163" t="s">
        <v>148</v>
      </c>
      <c r="J40" s="162" t="s">
        <v>391</v>
      </c>
      <c r="K40" s="163" t="s">
        <v>166</v>
      </c>
      <c r="L40" s="163" t="s">
        <v>147</v>
      </c>
      <c r="M40" s="163" t="str">
        <f t="shared" si="19"/>
        <v>PCV10 vs NoVax</v>
      </c>
      <c r="N40" s="159" t="s">
        <v>403</v>
      </c>
      <c r="O40" s="159">
        <v>4</v>
      </c>
      <c r="P40" s="162" t="s">
        <v>155</v>
      </c>
      <c r="Q40" s="162" t="s">
        <v>149</v>
      </c>
      <c r="R40" s="162" t="s">
        <v>194</v>
      </c>
      <c r="S40" s="162" t="s">
        <v>193</v>
      </c>
      <c r="T40" s="161">
        <v>2010</v>
      </c>
      <c r="U40" s="165">
        <v>1440</v>
      </c>
      <c r="V40" s="165" t="e">
        <f>IF(ISNUMBER(U40),U40/VLOOKUP($S40,xRates!$A$1:$AA$267,data!$T40-xRates!$B$1+2,FALSE),U40)</f>
        <v>#REF!</v>
      </c>
      <c r="W40" s="162" t="s">
        <v>422</v>
      </c>
      <c r="Y40" s="165"/>
      <c r="AA40" s="163" t="s">
        <v>155</v>
      </c>
      <c r="AB40" s="162"/>
      <c r="AD40" s="163" t="s">
        <v>155</v>
      </c>
      <c r="AE40" s="162" t="str">
        <f>IF(AD40="No", "", "")</f>
        <v/>
      </c>
      <c r="AF40" s="163" t="s">
        <v>148</v>
      </c>
      <c r="AG40" s="163" t="s">
        <v>148</v>
      </c>
      <c r="AH40" s="163" t="s">
        <v>148</v>
      </c>
      <c r="AJ40" s="162"/>
      <c r="AK40" s="162" t="s">
        <v>469</v>
      </c>
      <c r="AL40" s="163" t="s">
        <v>152</v>
      </c>
      <c r="AM40" s="166">
        <v>1677379</v>
      </c>
      <c r="AN40" s="166" t="e">
        <f>AM40/xRates!$P$194</f>
        <v>#DIV/0!</v>
      </c>
      <c r="AO40" s="166">
        <f t="shared" si="44"/>
        <v>4996.3999999999996</v>
      </c>
      <c r="AP40" s="163" t="e">
        <f t="shared" si="32"/>
        <v>#DIV/0!</v>
      </c>
      <c r="AQ40" s="163" t="e">
        <f t="shared" si="20"/>
        <v>#DIV/0!</v>
      </c>
      <c r="AR40" s="167" t="str">
        <f t="shared" si="5"/>
        <v>.</v>
      </c>
      <c r="AS40" s="167">
        <f t="shared" si="33"/>
        <v>1.1200000000000001</v>
      </c>
      <c r="AT40" s="159" t="str">
        <f t="shared" si="21"/>
        <v>Not Cost-Effective</v>
      </c>
      <c r="AU40" s="167">
        <f t="shared" si="34"/>
        <v>0.7</v>
      </c>
      <c r="AV40" s="162" t="str">
        <f t="shared" si="22"/>
        <v>Not Cost-Effective</v>
      </c>
      <c r="AW40" s="167">
        <f t="shared" si="35"/>
        <v>0.65269570111403552</v>
      </c>
      <c r="AX40" s="159" t="str">
        <f t="shared" si="23"/>
        <v>Not Cost-Effective</v>
      </c>
      <c r="AY40" s="167">
        <f t="shared" si="36"/>
        <v>0.19549419807650922</v>
      </c>
      <c r="AZ40" s="159" t="str">
        <f t="shared" si="24"/>
        <v>Not Cost-Effective</v>
      </c>
      <c r="BA40" s="167">
        <f t="shared" si="37"/>
        <v>0.67102744933539571</v>
      </c>
      <c r="BB40" s="159" t="str">
        <f t="shared" si="25"/>
        <v>Not Cost-Effective</v>
      </c>
      <c r="BC40" s="167">
        <f t="shared" si="38"/>
        <v>0.27816375219568462</v>
      </c>
      <c r="BD40" s="159" t="str">
        <f t="shared" si="26"/>
        <v>Not Cost-Effective</v>
      </c>
      <c r="BE40" s="162" t="s">
        <v>198</v>
      </c>
      <c r="BF40" s="162" t="s">
        <v>371</v>
      </c>
      <c r="BG40" s="168" t="str">
        <f t="shared" si="39"/>
        <v>.</v>
      </c>
      <c r="BH40" s="168" t="str">
        <f t="shared" si="40"/>
        <v>.</v>
      </c>
      <c r="BI40" s="163" t="str">
        <f t="shared" si="41"/>
        <v>.</v>
      </c>
      <c r="BJ40" s="163" t="str">
        <f t="shared" si="42"/>
        <v>.</v>
      </c>
      <c r="BK40" s="163" t="str">
        <f t="shared" si="27"/>
        <v>.</v>
      </c>
      <c r="BL40" s="163" t="str">
        <f t="shared" si="28"/>
        <v>.</v>
      </c>
      <c r="BM40" s="163">
        <f t="shared" si="29"/>
        <v>0</v>
      </c>
      <c r="BN40" s="163" t="s">
        <v>155</v>
      </c>
      <c r="BO40" s="162" t="str">
        <f t="shared" si="45"/>
        <v/>
      </c>
      <c r="BP40" s="162" t="s">
        <v>466</v>
      </c>
      <c r="BQ40" s="162" t="s">
        <v>156</v>
      </c>
    </row>
    <row r="41" spans="1:69">
      <c r="A41" s="159">
        <f t="shared" si="17"/>
        <v>13</v>
      </c>
      <c r="B41" s="159">
        <f t="shared" si="18"/>
        <v>5</v>
      </c>
      <c r="C41" s="160" t="str">
        <f t="shared" si="0"/>
        <v>1305</v>
      </c>
      <c r="D41" s="159" t="s">
        <v>196</v>
      </c>
      <c r="E41" s="161">
        <v>2013</v>
      </c>
      <c r="F41" s="162" t="s">
        <v>463</v>
      </c>
      <c r="G41" s="162" t="s">
        <v>193</v>
      </c>
      <c r="H41" s="163" t="str">
        <f t="shared" si="43"/>
        <v>UM</v>
      </c>
      <c r="I41" s="163" t="s">
        <v>148</v>
      </c>
      <c r="J41" s="162" t="s">
        <v>393</v>
      </c>
      <c r="K41" s="163" t="s">
        <v>167</v>
      </c>
      <c r="L41" s="163" t="s">
        <v>147</v>
      </c>
      <c r="M41" s="163" t="str">
        <f t="shared" si="19"/>
        <v>PCV13 vs NoVax</v>
      </c>
      <c r="N41" s="159" t="s">
        <v>368</v>
      </c>
      <c r="O41" s="159">
        <v>3</v>
      </c>
      <c r="P41" s="162" t="s">
        <v>155</v>
      </c>
      <c r="Q41" s="162" t="s">
        <v>149</v>
      </c>
      <c r="R41" s="162" t="s">
        <v>194</v>
      </c>
      <c r="S41" s="162" t="s">
        <v>193</v>
      </c>
      <c r="T41" s="161">
        <v>2010</v>
      </c>
      <c r="U41" s="165">
        <v>1930</v>
      </c>
      <c r="V41" s="165" t="e">
        <f>IF(ISNUMBER(U41),U41/VLOOKUP($S41,xRates!$A$1:$AA$267,data!$T41-xRates!$B$1+2,FALSE),U41)</f>
        <v>#REF!</v>
      </c>
      <c r="W41" s="162" t="s">
        <v>383</v>
      </c>
      <c r="Y41" s="165"/>
      <c r="AA41" s="163" t="s">
        <v>148</v>
      </c>
      <c r="AB41" s="162" t="s">
        <v>417</v>
      </c>
      <c r="AC41" s="162" t="s">
        <v>148</v>
      </c>
      <c r="AD41" s="163" t="s">
        <v>148</v>
      </c>
      <c r="AE41" s="162" t="s">
        <v>464</v>
      </c>
      <c r="AF41" s="163" t="s">
        <v>148</v>
      </c>
      <c r="AG41" s="163" t="s">
        <v>148</v>
      </c>
      <c r="AH41" s="163" t="s">
        <v>148</v>
      </c>
      <c r="AJ41" s="162"/>
      <c r="AK41" s="162" t="s">
        <v>470</v>
      </c>
      <c r="AL41" s="163" t="s">
        <v>152</v>
      </c>
      <c r="AM41" s="166">
        <v>527378</v>
      </c>
      <c r="AN41" s="166" t="e">
        <f>AM41/xRates!$P$194</f>
        <v>#DIV/0!</v>
      </c>
      <c r="AO41" s="166">
        <f t="shared" si="44"/>
        <v>4996.3999999999996</v>
      </c>
      <c r="AP41" s="163" t="e">
        <f t="shared" si="32"/>
        <v>#DIV/0!</v>
      </c>
      <c r="AQ41" s="163" t="e">
        <f t="shared" si="20"/>
        <v>#DIV/0!</v>
      </c>
      <c r="AR41" s="167" t="str">
        <f t="shared" si="5"/>
        <v>.</v>
      </c>
      <c r="AS41" s="167">
        <f t="shared" si="33"/>
        <v>1.1200000000000001</v>
      </c>
      <c r="AT41" s="159" t="str">
        <f t="shared" si="21"/>
        <v>Not Cost-Effective</v>
      </c>
      <c r="AU41" s="167">
        <f t="shared" si="34"/>
        <v>0.7</v>
      </c>
      <c r="AV41" s="162" t="str">
        <f t="shared" si="22"/>
        <v>Not Cost-Effective</v>
      </c>
      <c r="AW41" s="167">
        <f t="shared" si="35"/>
        <v>0.65269570111403552</v>
      </c>
      <c r="AX41" s="159" t="str">
        <f t="shared" si="23"/>
        <v>Not Cost-Effective</v>
      </c>
      <c r="AY41" s="167">
        <f t="shared" si="36"/>
        <v>0.19549419807650922</v>
      </c>
      <c r="AZ41" s="159" t="str">
        <f t="shared" si="24"/>
        <v>Not Cost-Effective</v>
      </c>
      <c r="BA41" s="167">
        <f t="shared" si="37"/>
        <v>0.67102744933539571</v>
      </c>
      <c r="BB41" s="159" t="str">
        <f t="shared" si="25"/>
        <v>Not Cost-Effective</v>
      </c>
      <c r="BC41" s="167">
        <f t="shared" si="38"/>
        <v>0.27816375219568462</v>
      </c>
      <c r="BD41" s="159" t="str">
        <f t="shared" si="26"/>
        <v>Not Cost-Effective</v>
      </c>
      <c r="BE41" s="162" t="s">
        <v>198</v>
      </c>
      <c r="BF41" s="162" t="s">
        <v>371</v>
      </c>
      <c r="BG41" s="168" t="str">
        <f t="shared" si="39"/>
        <v>.</v>
      </c>
      <c r="BH41" s="168" t="str">
        <f t="shared" si="40"/>
        <v>.</v>
      </c>
      <c r="BI41" s="163" t="str">
        <f t="shared" si="41"/>
        <v>.</v>
      </c>
      <c r="BJ41" s="163" t="str">
        <f t="shared" si="42"/>
        <v>.</v>
      </c>
      <c r="BK41" s="163" t="str">
        <f t="shared" si="27"/>
        <v>.</v>
      </c>
      <c r="BL41" s="163" t="str">
        <f t="shared" si="28"/>
        <v>.</v>
      </c>
      <c r="BM41" s="163">
        <f t="shared" si="29"/>
        <v>0</v>
      </c>
      <c r="BN41" s="163" t="s">
        <v>155</v>
      </c>
      <c r="BO41" s="162" t="str">
        <f t="shared" si="45"/>
        <v/>
      </c>
      <c r="BP41" s="162" t="s">
        <v>466</v>
      </c>
      <c r="BQ41" s="162" t="s">
        <v>156</v>
      </c>
    </row>
    <row r="42" spans="1:69">
      <c r="A42" s="159">
        <f t="shared" si="17"/>
        <v>13</v>
      </c>
      <c r="B42" s="159">
        <f t="shared" si="18"/>
        <v>6</v>
      </c>
      <c r="C42" s="160" t="str">
        <f t="shared" si="0"/>
        <v>1306</v>
      </c>
      <c r="D42" s="159" t="s">
        <v>196</v>
      </c>
      <c r="E42" s="161">
        <v>2013</v>
      </c>
      <c r="F42" s="162" t="s">
        <v>463</v>
      </c>
      <c r="G42" s="162" t="s">
        <v>193</v>
      </c>
      <c r="H42" s="163" t="str">
        <f t="shared" si="43"/>
        <v>UM</v>
      </c>
      <c r="I42" s="163" t="s">
        <v>148</v>
      </c>
      <c r="J42" s="162" t="s">
        <v>393</v>
      </c>
      <c r="K42" s="163" t="s">
        <v>167</v>
      </c>
      <c r="L42" s="163" t="s">
        <v>147</v>
      </c>
      <c r="M42" s="163" t="str">
        <f t="shared" si="19"/>
        <v>PCV13 vs NoVax</v>
      </c>
      <c r="N42" s="159" t="s">
        <v>403</v>
      </c>
      <c r="O42" s="159">
        <v>4</v>
      </c>
      <c r="P42" s="162" t="s">
        <v>155</v>
      </c>
      <c r="Q42" s="162" t="s">
        <v>149</v>
      </c>
      <c r="R42" s="162" t="s">
        <v>194</v>
      </c>
      <c r="S42" s="162" t="s">
        <v>193</v>
      </c>
      <c r="T42" s="161">
        <v>2010</v>
      </c>
      <c r="U42" s="165">
        <v>1930</v>
      </c>
      <c r="V42" s="165" t="e">
        <f>IF(ISNUMBER(U42),U42/VLOOKUP($S42,xRates!$A$1:$AA$267,data!$T42-xRates!$B$1+2,FALSE),U42)</f>
        <v>#REF!</v>
      </c>
      <c r="W42" s="162" t="s">
        <v>383</v>
      </c>
      <c r="Y42" s="165"/>
      <c r="AA42" s="163" t="s">
        <v>148</v>
      </c>
      <c r="AB42" s="162" t="s">
        <v>417</v>
      </c>
      <c r="AC42" s="162" t="s">
        <v>148</v>
      </c>
      <c r="AD42" s="163" t="s">
        <v>148</v>
      </c>
      <c r="AE42" s="162" t="s">
        <v>464</v>
      </c>
      <c r="AF42" s="163" t="s">
        <v>148</v>
      </c>
      <c r="AG42" s="163" t="s">
        <v>148</v>
      </c>
      <c r="AH42" s="163" t="s">
        <v>148</v>
      </c>
      <c r="AJ42" s="162"/>
      <c r="AK42" s="162" t="s">
        <v>471</v>
      </c>
      <c r="AL42" s="163" t="s">
        <v>152</v>
      </c>
      <c r="AM42" s="166">
        <v>660662</v>
      </c>
      <c r="AN42" s="166" t="e">
        <f>AM42/xRates!$P$194</f>
        <v>#DIV/0!</v>
      </c>
      <c r="AO42" s="166">
        <f t="shared" si="44"/>
        <v>4996.3999999999996</v>
      </c>
      <c r="AP42" s="163" t="e">
        <f t="shared" si="32"/>
        <v>#DIV/0!</v>
      </c>
      <c r="AQ42" s="163" t="e">
        <f>IF(AN42="NA", ".", IF(AN42&lt;0,"Cost-Saving",IF(AN42&lt;=AO42*3,"Cost-Effective",IF(AN42&gt;AO42*3&amp;AN42&lt;&gt;"NA","Not Cost-Effective","Missing"))))</f>
        <v>#DIV/0!</v>
      </c>
      <c r="AR42" s="167" t="str">
        <f t="shared" si="5"/>
        <v>.</v>
      </c>
      <c r="AS42" s="167">
        <f t="shared" si="33"/>
        <v>1.1200000000000001</v>
      </c>
      <c r="AT42" s="159" t="str">
        <f t="shared" si="21"/>
        <v>Not Cost-Effective</v>
      </c>
      <c r="AU42" s="167">
        <f t="shared" si="34"/>
        <v>0.7</v>
      </c>
      <c r="AV42" s="162" t="str">
        <f t="shared" si="22"/>
        <v>Not Cost-Effective</v>
      </c>
      <c r="AW42" s="167">
        <f t="shared" si="35"/>
        <v>0.65269570111403552</v>
      </c>
      <c r="AX42" s="159" t="str">
        <f t="shared" si="23"/>
        <v>Not Cost-Effective</v>
      </c>
      <c r="AY42" s="167">
        <f t="shared" si="36"/>
        <v>0.19549419807650922</v>
      </c>
      <c r="AZ42" s="159" t="str">
        <f t="shared" si="24"/>
        <v>Not Cost-Effective</v>
      </c>
      <c r="BA42" s="167">
        <f t="shared" si="37"/>
        <v>0.67102744933539571</v>
      </c>
      <c r="BB42" s="159" t="str">
        <f t="shared" si="25"/>
        <v>Not Cost-Effective</v>
      </c>
      <c r="BC42" s="167">
        <f t="shared" si="38"/>
        <v>0.27816375219568462</v>
      </c>
      <c r="BD42" s="159" t="str">
        <f t="shared" si="26"/>
        <v>Not Cost-Effective</v>
      </c>
      <c r="BE42" s="162" t="s">
        <v>198</v>
      </c>
      <c r="BF42" s="162" t="s">
        <v>371</v>
      </c>
      <c r="BG42" s="168" t="str">
        <f t="shared" si="39"/>
        <v>.</v>
      </c>
      <c r="BH42" s="168" t="str">
        <f t="shared" si="40"/>
        <v>.</v>
      </c>
      <c r="BI42" s="163" t="str">
        <f t="shared" si="41"/>
        <v>.</v>
      </c>
      <c r="BJ42" s="163" t="str">
        <f t="shared" si="42"/>
        <v>.</v>
      </c>
      <c r="BK42" s="163" t="str">
        <f t="shared" si="27"/>
        <v>.</v>
      </c>
      <c r="BL42" s="163" t="str">
        <f t="shared" si="28"/>
        <v>.</v>
      </c>
      <c r="BM42" s="163">
        <f t="shared" si="29"/>
        <v>0</v>
      </c>
      <c r="BN42" s="163" t="s">
        <v>155</v>
      </c>
      <c r="BO42" s="162" t="str">
        <f t="shared" si="45"/>
        <v/>
      </c>
      <c r="BP42" s="162" t="s">
        <v>466</v>
      </c>
      <c r="BQ42" s="162" t="s">
        <v>156</v>
      </c>
    </row>
    <row r="43" spans="1:69">
      <c r="A43" s="159">
        <f t="shared" si="17"/>
        <v>13</v>
      </c>
      <c r="B43" s="159">
        <f t="shared" si="18"/>
        <v>7</v>
      </c>
      <c r="C43" s="160" t="str">
        <f t="shared" si="0"/>
        <v>1307</v>
      </c>
      <c r="D43" s="159" t="s">
        <v>196</v>
      </c>
      <c r="E43" s="161">
        <v>2013</v>
      </c>
      <c r="F43" s="162" t="s">
        <v>463</v>
      </c>
      <c r="G43" s="162" t="s">
        <v>193</v>
      </c>
      <c r="H43" s="163" t="str">
        <f t="shared" si="43"/>
        <v>UM</v>
      </c>
      <c r="I43" s="163" t="s">
        <v>148</v>
      </c>
      <c r="J43" s="162" t="s">
        <v>393</v>
      </c>
      <c r="K43" s="163" t="s">
        <v>167</v>
      </c>
      <c r="L43" s="163" t="s">
        <v>147</v>
      </c>
      <c r="M43" s="163" t="str">
        <f t="shared" si="19"/>
        <v>PCV13 vs NoVax</v>
      </c>
      <c r="N43" s="159" t="s">
        <v>368</v>
      </c>
      <c r="O43" s="159">
        <v>3</v>
      </c>
      <c r="P43" s="162" t="s">
        <v>148</v>
      </c>
      <c r="Q43" s="162" t="s">
        <v>149</v>
      </c>
      <c r="R43" s="162" t="s">
        <v>194</v>
      </c>
      <c r="S43" s="162" t="s">
        <v>193</v>
      </c>
      <c r="T43" s="161">
        <v>2010</v>
      </c>
      <c r="U43" s="165">
        <v>1930</v>
      </c>
      <c r="V43" s="165" t="e">
        <f>IF(ISNUMBER(U43),U43/VLOOKUP($S43,xRates!$A$1:$AA$267,data!$T43-xRates!$B$1+2,FALSE),U43)</f>
        <v>#REF!</v>
      </c>
      <c r="W43" s="162" t="s">
        <v>383</v>
      </c>
      <c r="Y43" s="165"/>
      <c r="AA43" s="163" t="s">
        <v>155</v>
      </c>
      <c r="AB43" s="162"/>
      <c r="AD43" s="163" t="s">
        <v>155</v>
      </c>
      <c r="AE43" s="162" t="str">
        <f t="shared" ref="AE43:AE50" si="46">IF(AD43="No", "", "")</f>
        <v/>
      </c>
      <c r="AF43" s="163" t="s">
        <v>148</v>
      </c>
      <c r="AG43" s="163" t="s">
        <v>148</v>
      </c>
      <c r="AH43" s="163" t="s">
        <v>148</v>
      </c>
      <c r="AJ43" s="162"/>
      <c r="AK43" s="162" t="s">
        <v>472</v>
      </c>
      <c r="AL43" s="163" t="s">
        <v>152</v>
      </c>
      <c r="AM43" s="166">
        <v>1490305</v>
      </c>
      <c r="AN43" s="166" t="e">
        <f>AM43/xRates!$P$194</f>
        <v>#DIV/0!</v>
      </c>
      <c r="AO43" s="166">
        <f t="shared" si="44"/>
        <v>4996.3999999999996</v>
      </c>
      <c r="AP43" s="163" t="e">
        <f t="shared" si="32"/>
        <v>#DIV/0!</v>
      </c>
      <c r="AQ43" s="163" t="e">
        <f t="shared" si="20"/>
        <v>#DIV/0!</v>
      </c>
      <c r="AR43" s="167" t="str">
        <f t="shared" si="5"/>
        <v>.</v>
      </c>
      <c r="AS43" s="167">
        <f t="shared" si="33"/>
        <v>1.1200000000000001</v>
      </c>
      <c r="AT43" s="159" t="str">
        <f t="shared" si="21"/>
        <v>Not Cost-Effective</v>
      </c>
      <c r="AU43" s="167">
        <f t="shared" si="34"/>
        <v>0.7</v>
      </c>
      <c r="AV43" s="162" t="str">
        <f t="shared" si="22"/>
        <v>Not Cost-Effective</v>
      </c>
      <c r="AW43" s="167">
        <f t="shared" si="35"/>
        <v>0.65269570111403552</v>
      </c>
      <c r="AX43" s="159" t="str">
        <f t="shared" si="23"/>
        <v>Not Cost-Effective</v>
      </c>
      <c r="AY43" s="167">
        <f t="shared" si="36"/>
        <v>0.19549419807650922</v>
      </c>
      <c r="AZ43" s="159" t="str">
        <f t="shared" si="24"/>
        <v>Not Cost-Effective</v>
      </c>
      <c r="BA43" s="167">
        <f t="shared" si="37"/>
        <v>0.67102744933539571</v>
      </c>
      <c r="BB43" s="159" t="str">
        <f t="shared" si="25"/>
        <v>Not Cost-Effective</v>
      </c>
      <c r="BC43" s="167">
        <f t="shared" si="38"/>
        <v>0.27816375219568462</v>
      </c>
      <c r="BD43" s="159" t="str">
        <f t="shared" si="26"/>
        <v>Not Cost-Effective</v>
      </c>
      <c r="BE43" s="162" t="s">
        <v>198</v>
      </c>
      <c r="BF43" s="162" t="s">
        <v>371</v>
      </c>
      <c r="BG43" s="168" t="str">
        <f t="shared" si="39"/>
        <v>.</v>
      </c>
      <c r="BH43" s="168" t="str">
        <f t="shared" si="40"/>
        <v>.</v>
      </c>
      <c r="BI43" s="163" t="str">
        <f t="shared" si="41"/>
        <v>.</v>
      </c>
      <c r="BJ43" s="163" t="str">
        <f t="shared" si="42"/>
        <v>.</v>
      </c>
      <c r="BK43" s="163" t="str">
        <f t="shared" si="27"/>
        <v>.</v>
      </c>
      <c r="BL43" s="163" t="str">
        <f t="shared" si="28"/>
        <v>.</v>
      </c>
      <c r="BM43" s="163">
        <f t="shared" si="29"/>
        <v>0</v>
      </c>
      <c r="BN43" s="163" t="s">
        <v>155</v>
      </c>
      <c r="BO43" s="162" t="str">
        <f t="shared" si="45"/>
        <v/>
      </c>
      <c r="BP43" s="162" t="s">
        <v>466</v>
      </c>
      <c r="BQ43" s="162" t="s">
        <v>156</v>
      </c>
    </row>
    <row r="44" spans="1:69">
      <c r="A44" s="159">
        <f t="shared" si="17"/>
        <v>13</v>
      </c>
      <c r="B44" s="159">
        <f t="shared" si="18"/>
        <v>8</v>
      </c>
      <c r="C44" s="160" t="str">
        <f t="shared" si="0"/>
        <v>1308</v>
      </c>
      <c r="D44" s="159" t="s">
        <v>196</v>
      </c>
      <c r="E44" s="161">
        <v>2013</v>
      </c>
      <c r="F44" s="162" t="s">
        <v>463</v>
      </c>
      <c r="G44" s="162" t="s">
        <v>193</v>
      </c>
      <c r="H44" s="163" t="str">
        <f t="shared" si="43"/>
        <v>UM</v>
      </c>
      <c r="I44" s="163" t="s">
        <v>148</v>
      </c>
      <c r="J44" s="162" t="s">
        <v>393</v>
      </c>
      <c r="K44" s="163" t="s">
        <v>167</v>
      </c>
      <c r="L44" s="163" t="s">
        <v>147</v>
      </c>
      <c r="M44" s="163" t="str">
        <f t="shared" si="19"/>
        <v>PCV13 vs NoVax</v>
      </c>
      <c r="N44" s="159" t="s">
        <v>403</v>
      </c>
      <c r="O44" s="159">
        <v>4</v>
      </c>
      <c r="P44" s="162" t="s">
        <v>155</v>
      </c>
      <c r="Q44" s="162" t="s">
        <v>149</v>
      </c>
      <c r="R44" s="162" t="s">
        <v>194</v>
      </c>
      <c r="S44" s="162" t="s">
        <v>193</v>
      </c>
      <c r="T44" s="161">
        <v>2010</v>
      </c>
      <c r="U44" s="165">
        <v>1930</v>
      </c>
      <c r="V44" s="165" t="e">
        <f>IF(ISNUMBER(U44),U44/VLOOKUP($S44,xRates!$A$1:$AA$267,data!$T44-xRates!$B$1+2,FALSE),U44)</f>
        <v>#REF!</v>
      </c>
      <c r="W44" s="162" t="s">
        <v>383</v>
      </c>
      <c r="Y44" s="165"/>
      <c r="AA44" s="163" t="s">
        <v>155</v>
      </c>
      <c r="AB44" s="162"/>
      <c r="AD44" s="163" t="s">
        <v>155</v>
      </c>
      <c r="AE44" s="162" t="str">
        <f t="shared" si="46"/>
        <v/>
      </c>
      <c r="AF44" s="163" t="s">
        <v>148</v>
      </c>
      <c r="AG44" s="163" t="s">
        <v>148</v>
      </c>
      <c r="AH44" s="163" t="s">
        <v>148</v>
      </c>
      <c r="AJ44" s="162"/>
      <c r="AK44" s="162" t="s">
        <v>473</v>
      </c>
      <c r="AL44" s="163" t="s">
        <v>152</v>
      </c>
      <c r="AM44" s="166">
        <v>1830716</v>
      </c>
      <c r="AN44" s="166" t="e">
        <f>AM44/xRates!$P$194</f>
        <v>#DIV/0!</v>
      </c>
      <c r="AO44" s="166">
        <f t="shared" si="44"/>
        <v>4996.3999999999996</v>
      </c>
      <c r="AP44" s="163" t="e">
        <f t="shared" si="32"/>
        <v>#DIV/0!</v>
      </c>
      <c r="AQ44" s="163" t="e">
        <f t="shared" si="20"/>
        <v>#DIV/0!</v>
      </c>
      <c r="AR44" s="167" t="str">
        <f t="shared" si="5"/>
        <v>.</v>
      </c>
      <c r="AS44" s="167">
        <f t="shared" si="33"/>
        <v>1.1200000000000001</v>
      </c>
      <c r="AT44" s="159" t="str">
        <f t="shared" si="21"/>
        <v>Not Cost-Effective</v>
      </c>
      <c r="AU44" s="167">
        <f t="shared" si="34"/>
        <v>0.7</v>
      </c>
      <c r="AV44" s="162" t="str">
        <f t="shared" si="22"/>
        <v>Not Cost-Effective</v>
      </c>
      <c r="AW44" s="167">
        <f t="shared" si="35"/>
        <v>0.65269570111403552</v>
      </c>
      <c r="AX44" s="159" t="str">
        <f t="shared" si="23"/>
        <v>Not Cost-Effective</v>
      </c>
      <c r="AY44" s="167">
        <f t="shared" si="36"/>
        <v>0.19549419807650922</v>
      </c>
      <c r="AZ44" s="159" t="str">
        <f t="shared" si="24"/>
        <v>Not Cost-Effective</v>
      </c>
      <c r="BA44" s="167">
        <f t="shared" si="37"/>
        <v>0.67102744933539571</v>
      </c>
      <c r="BB44" s="159" t="str">
        <f t="shared" si="25"/>
        <v>Not Cost-Effective</v>
      </c>
      <c r="BC44" s="167">
        <f t="shared" si="38"/>
        <v>0.27816375219568462</v>
      </c>
      <c r="BD44" s="159" t="str">
        <f t="shared" si="26"/>
        <v>Not Cost-Effective</v>
      </c>
      <c r="BE44" s="162" t="s">
        <v>198</v>
      </c>
      <c r="BF44" s="162" t="s">
        <v>371</v>
      </c>
      <c r="BG44" s="168" t="str">
        <f t="shared" si="39"/>
        <v>.</v>
      </c>
      <c r="BH44" s="168" t="str">
        <f t="shared" si="40"/>
        <v>.</v>
      </c>
      <c r="BI44" s="163" t="str">
        <f t="shared" si="41"/>
        <v>.</v>
      </c>
      <c r="BJ44" s="163" t="str">
        <f t="shared" si="42"/>
        <v>.</v>
      </c>
      <c r="BK44" s="163" t="str">
        <f t="shared" si="27"/>
        <v>.</v>
      </c>
      <c r="BL44" s="163" t="str">
        <f t="shared" si="28"/>
        <v>.</v>
      </c>
      <c r="BM44" s="163">
        <f t="shared" si="29"/>
        <v>0</v>
      </c>
      <c r="BN44" s="163" t="s">
        <v>155</v>
      </c>
      <c r="BO44" s="162" t="str">
        <f t="shared" si="45"/>
        <v/>
      </c>
      <c r="BP44" s="162" t="s">
        <v>466</v>
      </c>
      <c r="BQ44" s="162" t="s">
        <v>156</v>
      </c>
    </row>
    <row r="45" spans="1:69">
      <c r="A45" s="159">
        <f t="shared" si="17"/>
        <v>14</v>
      </c>
      <c r="B45" s="159">
        <f t="shared" si="18"/>
        <v>1</v>
      </c>
      <c r="C45" s="160" t="str">
        <f t="shared" si="0"/>
        <v>1401</v>
      </c>
      <c r="D45" s="159" t="s">
        <v>24</v>
      </c>
      <c r="E45" s="161">
        <v>2015</v>
      </c>
      <c r="F45" s="162" t="s">
        <v>474</v>
      </c>
      <c r="G45" s="162" t="s">
        <v>200</v>
      </c>
      <c r="H45" s="163" t="str">
        <f t="shared" si="43"/>
        <v>LM</v>
      </c>
      <c r="I45" s="163" t="s">
        <v>148</v>
      </c>
      <c r="J45" s="162" t="s">
        <v>391</v>
      </c>
      <c r="K45" s="163" t="s">
        <v>166</v>
      </c>
      <c r="L45" s="163" t="s">
        <v>147</v>
      </c>
      <c r="M45" s="163" t="str">
        <f t="shared" si="19"/>
        <v>PCV10 vs NoVax</v>
      </c>
      <c r="N45" s="159" t="s">
        <v>368</v>
      </c>
      <c r="O45" s="159">
        <v>3</v>
      </c>
      <c r="P45" s="162" t="s">
        <v>148</v>
      </c>
      <c r="Q45" s="162" t="s">
        <v>377</v>
      </c>
      <c r="R45" s="162" t="s">
        <v>201</v>
      </c>
      <c r="S45" s="162" t="s">
        <v>200</v>
      </c>
      <c r="T45" s="161">
        <v>2013</v>
      </c>
      <c r="U45" s="165">
        <v>624</v>
      </c>
      <c r="V45" s="165" t="e">
        <f>IF(ISNUMBER(U45),U45/VLOOKUP($S45,xRates!$A$1:$AA$267,data!$T45-xRates!$B$1+2,FALSE),U45)</f>
        <v>#REF!</v>
      </c>
      <c r="W45" s="162" t="s">
        <v>475</v>
      </c>
      <c r="Y45" s="165"/>
      <c r="AA45" s="163" t="s">
        <v>148</v>
      </c>
      <c r="AB45" s="162" t="s">
        <v>417</v>
      </c>
      <c r="AC45" s="162" t="s">
        <v>148</v>
      </c>
      <c r="AD45" s="163" t="s">
        <v>155</v>
      </c>
      <c r="AE45" s="162" t="str">
        <f t="shared" si="46"/>
        <v/>
      </c>
      <c r="AF45" s="163" t="s">
        <v>148</v>
      </c>
      <c r="AG45" s="163" t="s">
        <v>148</v>
      </c>
      <c r="AH45" s="163" t="s">
        <v>148</v>
      </c>
      <c r="AJ45" s="162"/>
      <c r="AK45" s="162" t="s">
        <v>476</v>
      </c>
      <c r="AL45" s="163" t="s">
        <v>152</v>
      </c>
      <c r="AM45" s="166">
        <v>68182</v>
      </c>
      <c r="AN45" s="166" t="e">
        <f>AM45/xRates!$S$157</f>
        <v>#DIV/0!</v>
      </c>
      <c r="AO45" s="166">
        <f t="shared" si="44"/>
        <v>2847.6</v>
      </c>
      <c r="AP45" s="163" t="e">
        <f t="shared" si="32"/>
        <v>#DIV/0!</v>
      </c>
      <c r="AQ45" s="163" t="e">
        <f t="shared" si="20"/>
        <v>#DIV/0!</v>
      </c>
      <c r="AR45" s="167" t="str">
        <f t="shared" si="5"/>
        <v>.</v>
      </c>
      <c r="AS45" s="167">
        <f t="shared" si="33"/>
        <v>0.34</v>
      </c>
      <c r="AT45" s="159" t="str">
        <f t="shared" si="21"/>
        <v>Not Cost-Effective</v>
      </c>
      <c r="AU45" s="167">
        <f t="shared" si="34"/>
        <v>0.23</v>
      </c>
      <c r="AV45" s="162" t="str">
        <f t="shared" si="22"/>
        <v>Not Cost-Effective</v>
      </c>
      <c r="AW45" s="167">
        <f t="shared" si="35"/>
        <v>0.49901671583087515</v>
      </c>
      <c r="AX45" s="159" t="str">
        <f t="shared" si="23"/>
        <v>Not Cost-Effective</v>
      </c>
      <c r="AY45" s="167">
        <f t="shared" si="36"/>
        <v>8.9900266891417335E-2</v>
      </c>
      <c r="AZ45" s="159" t="str">
        <f t="shared" si="24"/>
        <v>Not Cost-Effective</v>
      </c>
      <c r="BA45" s="167">
        <f t="shared" si="37"/>
        <v>0.41039311031694881</v>
      </c>
      <c r="BB45" s="159" t="str">
        <f t="shared" si="25"/>
        <v>Not Cost-Effective</v>
      </c>
      <c r="BC45" s="167">
        <f t="shared" si="38"/>
        <v>0.16521178745093443</v>
      </c>
      <c r="BD45" s="159" t="str">
        <f t="shared" si="26"/>
        <v>Not Cost-Effective</v>
      </c>
      <c r="BE45" s="162" t="s">
        <v>202</v>
      </c>
      <c r="BF45" s="162" t="s">
        <v>382</v>
      </c>
      <c r="BG45" s="168">
        <f t="shared" si="39"/>
        <v>1</v>
      </c>
      <c r="BH45" s="168">
        <f t="shared" si="40"/>
        <v>1</v>
      </c>
      <c r="BI45" s="163">
        <f t="shared" si="41"/>
        <v>1</v>
      </c>
      <c r="BJ45" s="163">
        <f t="shared" si="42"/>
        <v>1</v>
      </c>
      <c r="BK45" s="163">
        <f t="shared" si="27"/>
        <v>1</v>
      </c>
      <c r="BL45" s="163">
        <f t="shared" si="28"/>
        <v>1</v>
      </c>
      <c r="BM45" s="163">
        <f t="shared" si="29"/>
        <v>6</v>
      </c>
      <c r="BN45" s="163" t="s">
        <v>148</v>
      </c>
      <c r="BO45" s="162" t="s">
        <v>477</v>
      </c>
      <c r="BP45" s="162" t="s">
        <v>478</v>
      </c>
      <c r="BQ45" s="162" t="s">
        <v>156</v>
      </c>
    </row>
    <row r="46" spans="1:69">
      <c r="A46" s="159">
        <f t="shared" si="17"/>
        <v>14</v>
      </c>
      <c r="B46" s="159">
        <f t="shared" si="18"/>
        <v>2</v>
      </c>
      <c r="C46" s="160" t="str">
        <f t="shared" si="0"/>
        <v>1402</v>
      </c>
      <c r="D46" s="159" t="s">
        <v>24</v>
      </c>
      <c r="E46" s="161">
        <v>2015</v>
      </c>
      <c r="F46" s="162" t="s">
        <v>474</v>
      </c>
      <c r="G46" s="162" t="s">
        <v>200</v>
      </c>
      <c r="H46" s="163" t="str">
        <f t="shared" si="43"/>
        <v>LM</v>
      </c>
      <c r="I46" s="163" t="s">
        <v>148</v>
      </c>
      <c r="J46" s="162" t="s">
        <v>391</v>
      </c>
      <c r="K46" s="163" t="s">
        <v>166</v>
      </c>
      <c r="L46" s="163" t="s">
        <v>147</v>
      </c>
      <c r="M46" s="163" t="str">
        <f t="shared" si="19"/>
        <v>PCV10 vs NoVax</v>
      </c>
      <c r="N46" s="159" t="s">
        <v>368</v>
      </c>
      <c r="O46" s="159">
        <v>3</v>
      </c>
      <c r="P46" s="162" t="s">
        <v>155</v>
      </c>
      <c r="Q46" s="162" t="s">
        <v>377</v>
      </c>
      <c r="R46" s="162" t="s">
        <v>201</v>
      </c>
      <c r="S46" s="162" t="s">
        <v>200</v>
      </c>
      <c r="T46" s="161">
        <v>2013</v>
      </c>
      <c r="U46" s="165">
        <v>624</v>
      </c>
      <c r="V46" s="165" t="e">
        <f>IF(ISNUMBER(U46),U46/VLOOKUP($S46,xRates!$A$1:$AA$267,data!$T46-xRates!$B$1+2,FALSE),U46)</f>
        <v>#REF!</v>
      </c>
      <c r="W46" s="162" t="s">
        <v>475</v>
      </c>
      <c r="Y46" s="165"/>
      <c r="AA46" s="163" t="s">
        <v>155</v>
      </c>
      <c r="AB46" s="162"/>
      <c r="AD46" s="163" t="s">
        <v>155</v>
      </c>
      <c r="AE46" s="162" t="str">
        <f t="shared" si="46"/>
        <v/>
      </c>
      <c r="AF46" s="163" t="s">
        <v>148</v>
      </c>
      <c r="AG46" s="163" t="s">
        <v>148</v>
      </c>
      <c r="AH46" s="163" t="s">
        <v>148</v>
      </c>
      <c r="AJ46" s="162"/>
      <c r="AK46" s="162" t="s">
        <v>479</v>
      </c>
      <c r="AL46" s="163" t="s">
        <v>152</v>
      </c>
      <c r="AM46" s="166">
        <v>112640</v>
      </c>
      <c r="AN46" s="166" t="e">
        <f>AM46/xRates!$S$157</f>
        <v>#DIV/0!</v>
      </c>
      <c r="AO46" s="166">
        <f t="shared" si="44"/>
        <v>2847.6</v>
      </c>
      <c r="AP46" s="163" t="e">
        <f t="shared" si="32"/>
        <v>#DIV/0!</v>
      </c>
      <c r="AQ46" s="163" t="e">
        <f t="shared" si="20"/>
        <v>#DIV/0!</v>
      </c>
      <c r="AR46" s="167" t="str">
        <f t="shared" si="5"/>
        <v>.</v>
      </c>
      <c r="AS46" s="167">
        <f t="shared" si="33"/>
        <v>0.34</v>
      </c>
      <c r="AT46" s="159" t="str">
        <f t="shared" si="21"/>
        <v>Not Cost-Effective</v>
      </c>
      <c r="AU46" s="167">
        <f t="shared" si="34"/>
        <v>0.23</v>
      </c>
      <c r="AV46" s="162" t="str">
        <f t="shared" si="22"/>
        <v>Not Cost-Effective</v>
      </c>
      <c r="AW46" s="167">
        <f t="shared" si="35"/>
        <v>0.49901671583087515</v>
      </c>
      <c r="AX46" s="159" t="str">
        <f t="shared" si="23"/>
        <v>Not Cost-Effective</v>
      </c>
      <c r="AY46" s="167">
        <f t="shared" si="36"/>
        <v>8.9900266891417335E-2</v>
      </c>
      <c r="AZ46" s="159" t="str">
        <f t="shared" si="24"/>
        <v>Not Cost-Effective</v>
      </c>
      <c r="BA46" s="167">
        <f t="shared" si="37"/>
        <v>0.41039311031694881</v>
      </c>
      <c r="BB46" s="159" t="str">
        <f t="shared" si="25"/>
        <v>Not Cost-Effective</v>
      </c>
      <c r="BC46" s="167">
        <f t="shared" si="38"/>
        <v>0.16521178745093443</v>
      </c>
      <c r="BD46" s="159" t="str">
        <f t="shared" si="26"/>
        <v>Not Cost-Effective</v>
      </c>
      <c r="BE46" s="162" t="s">
        <v>202</v>
      </c>
      <c r="BF46" s="162" t="s">
        <v>382</v>
      </c>
      <c r="BG46" s="168">
        <f t="shared" si="39"/>
        <v>1</v>
      </c>
      <c r="BH46" s="168">
        <f t="shared" si="40"/>
        <v>1</v>
      </c>
      <c r="BI46" s="163">
        <f t="shared" si="41"/>
        <v>1</v>
      </c>
      <c r="BJ46" s="163">
        <f t="shared" si="42"/>
        <v>1</v>
      </c>
      <c r="BK46" s="163">
        <f t="shared" si="27"/>
        <v>1</v>
      </c>
      <c r="BL46" s="163">
        <f t="shared" si="28"/>
        <v>1</v>
      </c>
      <c r="BM46" s="163">
        <f t="shared" si="29"/>
        <v>6</v>
      </c>
      <c r="BN46" s="163" t="s">
        <v>148</v>
      </c>
      <c r="BO46" s="162" t="s">
        <v>480</v>
      </c>
      <c r="BP46" s="162" t="s">
        <v>478</v>
      </c>
      <c r="BQ46" s="162" t="s">
        <v>156</v>
      </c>
    </row>
    <row r="47" spans="1:69">
      <c r="A47" s="159">
        <f t="shared" si="17"/>
        <v>14</v>
      </c>
      <c r="B47" s="159">
        <f t="shared" si="18"/>
        <v>3</v>
      </c>
      <c r="C47" s="160" t="str">
        <f t="shared" si="0"/>
        <v>1403</v>
      </c>
      <c r="D47" s="159" t="s">
        <v>24</v>
      </c>
      <c r="E47" s="161">
        <v>2015</v>
      </c>
      <c r="F47" s="162" t="s">
        <v>474</v>
      </c>
      <c r="G47" s="162" t="s">
        <v>200</v>
      </c>
      <c r="H47" s="163" t="str">
        <f t="shared" si="43"/>
        <v>LM</v>
      </c>
      <c r="I47" s="163" t="s">
        <v>148</v>
      </c>
      <c r="J47" s="162" t="s">
        <v>393</v>
      </c>
      <c r="K47" s="163" t="s">
        <v>167</v>
      </c>
      <c r="L47" s="163" t="s">
        <v>147</v>
      </c>
      <c r="M47" s="163" t="str">
        <f t="shared" si="19"/>
        <v>PCV13 vs NoVax</v>
      </c>
      <c r="N47" s="159" t="s">
        <v>368</v>
      </c>
      <c r="O47" s="159">
        <v>3</v>
      </c>
      <c r="P47" s="162" t="s">
        <v>148</v>
      </c>
      <c r="Q47" s="162" t="s">
        <v>377</v>
      </c>
      <c r="R47" s="162" t="s">
        <v>201</v>
      </c>
      <c r="S47" s="162" t="s">
        <v>200</v>
      </c>
      <c r="T47" s="161">
        <v>2013</v>
      </c>
      <c r="U47" s="165">
        <v>700</v>
      </c>
      <c r="V47" s="165" t="e">
        <f>IF(ISNUMBER(U47),U47/VLOOKUP($S47,xRates!$A$1:$AA$267,data!$T47-xRates!$B$1+2,FALSE),U47)</f>
        <v>#REF!</v>
      </c>
      <c r="W47" s="162" t="s">
        <v>475</v>
      </c>
      <c r="Y47" s="165"/>
      <c r="AA47" s="163" t="s">
        <v>148</v>
      </c>
      <c r="AB47" s="162" t="s">
        <v>417</v>
      </c>
      <c r="AC47" s="162" t="s">
        <v>148</v>
      </c>
      <c r="AD47" s="163" t="s">
        <v>155</v>
      </c>
      <c r="AE47" s="162" t="str">
        <f t="shared" si="46"/>
        <v/>
      </c>
      <c r="AF47" s="163" t="s">
        <v>148</v>
      </c>
      <c r="AG47" s="163" t="s">
        <v>148</v>
      </c>
      <c r="AH47" s="163" t="s">
        <v>148</v>
      </c>
      <c r="AJ47" s="162"/>
      <c r="AK47" s="162" t="s">
        <v>481</v>
      </c>
      <c r="AL47" s="163" t="s">
        <v>152</v>
      </c>
      <c r="AM47" s="166">
        <v>54510</v>
      </c>
      <c r="AN47" s="166" t="e">
        <f>AM47/xRates!$S$157</f>
        <v>#DIV/0!</v>
      </c>
      <c r="AO47" s="166">
        <f t="shared" si="44"/>
        <v>2847.6</v>
      </c>
      <c r="AP47" s="163" t="e">
        <f t="shared" si="32"/>
        <v>#DIV/0!</v>
      </c>
      <c r="AQ47" s="163" t="e">
        <f t="shared" si="20"/>
        <v>#DIV/0!</v>
      </c>
      <c r="AR47" s="167" t="str">
        <f t="shared" si="5"/>
        <v>.</v>
      </c>
      <c r="AS47" s="167">
        <f t="shared" si="33"/>
        <v>0.34</v>
      </c>
      <c r="AT47" s="159" t="str">
        <f t="shared" si="21"/>
        <v>Not Cost-Effective</v>
      </c>
      <c r="AU47" s="167">
        <f t="shared" si="34"/>
        <v>0.23</v>
      </c>
      <c r="AV47" s="162" t="str">
        <f t="shared" si="22"/>
        <v>Not Cost-Effective</v>
      </c>
      <c r="AW47" s="167">
        <f t="shared" si="35"/>
        <v>0.49901671583087515</v>
      </c>
      <c r="AX47" s="159" t="str">
        <f t="shared" si="23"/>
        <v>Not Cost-Effective</v>
      </c>
      <c r="AY47" s="167">
        <f t="shared" si="36"/>
        <v>8.9900266891417335E-2</v>
      </c>
      <c r="AZ47" s="159" t="str">
        <f t="shared" si="24"/>
        <v>Not Cost-Effective</v>
      </c>
      <c r="BA47" s="167">
        <f t="shared" si="37"/>
        <v>0.41039311031694881</v>
      </c>
      <c r="BB47" s="159" t="str">
        <f t="shared" si="25"/>
        <v>Not Cost-Effective</v>
      </c>
      <c r="BC47" s="167">
        <f t="shared" si="38"/>
        <v>0.16521178745093443</v>
      </c>
      <c r="BD47" s="159" t="str">
        <f t="shared" si="26"/>
        <v>Not Cost-Effective</v>
      </c>
      <c r="BE47" s="162" t="s">
        <v>202</v>
      </c>
      <c r="BF47" s="162" t="s">
        <v>382</v>
      </c>
      <c r="BG47" s="168">
        <f t="shared" si="39"/>
        <v>1</v>
      </c>
      <c r="BH47" s="168">
        <f t="shared" si="40"/>
        <v>1</v>
      </c>
      <c r="BI47" s="163">
        <f t="shared" si="41"/>
        <v>1</v>
      </c>
      <c r="BJ47" s="163">
        <f t="shared" si="42"/>
        <v>1</v>
      </c>
      <c r="BK47" s="163">
        <f t="shared" si="27"/>
        <v>1</v>
      </c>
      <c r="BL47" s="163">
        <f t="shared" si="28"/>
        <v>1</v>
      </c>
      <c r="BM47" s="163">
        <f t="shared" si="29"/>
        <v>6</v>
      </c>
      <c r="BN47" s="163" t="s">
        <v>148</v>
      </c>
      <c r="BO47" s="162" t="s">
        <v>482</v>
      </c>
      <c r="BP47" s="162" t="s">
        <v>478</v>
      </c>
      <c r="BQ47" s="162" t="s">
        <v>156</v>
      </c>
    </row>
    <row r="48" spans="1:69">
      <c r="A48" s="159">
        <f t="shared" si="17"/>
        <v>14</v>
      </c>
      <c r="B48" s="159">
        <f t="shared" si="18"/>
        <v>4</v>
      </c>
      <c r="C48" s="160" t="str">
        <f t="shared" si="0"/>
        <v>1404</v>
      </c>
      <c r="D48" s="159" t="s">
        <v>24</v>
      </c>
      <c r="E48" s="161">
        <v>2015</v>
      </c>
      <c r="F48" s="162" t="s">
        <v>474</v>
      </c>
      <c r="G48" s="162" t="s">
        <v>200</v>
      </c>
      <c r="H48" s="163" t="str">
        <f t="shared" si="43"/>
        <v>LM</v>
      </c>
      <c r="I48" s="163" t="s">
        <v>148</v>
      </c>
      <c r="J48" s="162" t="s">
        <v>393</v>
      </c>
      <c r="K48" s="163" t="s">
        <v>167</v>
      </c>
      <c r="L48" s="163" t="s">
        <v>147</v>
      </c>
      <c r="M48" s="163" t="str">
        <f t="shared" si="19"/>
        <v>PCV13 vs NoVax</v>
      </c>
      <c r="N48" s="159" t="s">
        <v>368</v>
      </c>
      <c r="O48" s="159">
        <v>3</v>
      </c>
      <c r="P48" s="162" t="s">
        <v>155</v>
      </c>
      <c r="Q48" s="162" t="s">
        <v>377</v>
      </c>
      <c r="R48" s="162" t="s">
        <v>201</v>
      </c>
      <c r="S48" s="162" t="s">
        <v>200</v>
      </c>
      <c r="T48" s="161">
        <v>2013</v>
      </c>
      <c r="U48" s="165">
        <v>700</v>
      </c>
      <c r="V48" s="165" t="e">
        <f>IF(ISNUMBER(U48),U48/VLOOKUP($S48,xRates!$A$1:$AA$267,data!$T48-xRates!$B$1+2,FALSE),U48)</f>
        <v>#REF!</v>
      </c>
      <c r="W48" s="162" t="s">
        <v>475</v>
      </c>
      <c r="Y48" s="165"/>
      <c r="AA48" s="163" t="s">
        <v>155</v>
      </c>
      <c r="AB48" s="162"/>
      <c r="AD48" s="163" t="s">
        <v>155</v>
      </c>
      <c r="AE48" s="162" t="str">
        <f t="shared" si="46"/>
        <v/>
      </c>
      <c r="AF48" s="163" t="s">
        <v>148</v>
      </c>
      <c r="AG48" s="163" t="s">
        <v>148</v>
      </c>
      <c r="AH48" s="163" t="s">
        <v>148</v>
      </c>
      <c r="AJ48" s="162"/>
      <c r="AK48" s="162" t="s">
        <v>483</v>
      </c>
      <c r="AL48" s="163" t="s">
        <v>152</v>
      </c>
      <c r="AM48" s="166">
        <v>84654</v>
      </c>
      <c r="AN48" s="166" t="e">
        <f>AM48/xRates!$S$157</f>
        <v>#DIV/0!</v>
      </c>
      <c r="AO48" s="166">
        <f t="shared" si="44"/>
        <v>2847.6</v>
      </c>
      <c r="AP48" s="163" t="e">
        <f t="shared" si="32"/>
        <v>#DIV/0!</v>
      </c>
      <c r="AQ48" s="163" t="e">
        <f t="shared" si="20"/>
        <v>#DIV/0!</v>
      </c>
      <c r="AR48" s="167" t="str">
        <f t="shared" si="5"/>
        <v>.</v>
      </c>
      <c r="AS48" s="167">
        <f t="shared" si="33"/>
        <v>0.34</v>
      </c>
      <c r="AT48" s="159" t="str">
        <f t="shared" si="21"/>
        <v>Not Cost-Effective</v>
      </c>
      <c r="AU48" s="167">
        <f t="shared" si="34"/>
        <v>0.23</v>
      </c>
      <c r="AV48" s="162" t="str">
        <f t="shared" si="22"/>
        <v>Not Cost-Effective</v>
      </c>
      <c r="AW48" s="167">
        <f t="shared" si="35"/>
        <v>0.49901671583087515</v>
      </c>
      <c r="AX48" s="159" t="str">
        <f t="shared" si="23"/>
        <v>Not Cost-Effective</v>
      </c>
      <c r="AY48" s="167">
        <f t="shared" si="36"/>
        <v>8.9900266891417335E-2</v>
      </c>
      <c r="AZ48" s="159" t="str">
        <f t="shared" si="24"/>
        <v>Not Cost-Effective</v>
      </c>
      <c r="BA48" s="167">
        <f t="shared" si="37"/>
        <v>0.41039311031694881</v>
      </c>
      <c r="BB48" s="159" t="str">
        <f t="shared" si="25"/>
        <v>Not Cost-Effective</v>
      </c>
      <c r="BC48" s="167">
        <f t="shared" si="38"/>
        <v>0.16521178745093443</v>
      </c>
      <c r="BD48" s="159" t="str">
        <f t="shared" si="26"/>
        <v>Not Cost-Effective</v>
      </c>
      <c r="BE48" s="162" t="s">
        <v>202</v>
      </c>
      <c r="BF48" s="162" t="s">
        <v>382</v>
      </c>
      <c r="BG48" s="168">
        <f t="shared" si="39"/>
        <v>1</v>
      </c>
      <c r="BH48" s="168">
        <f t="shared" si="40"/>
        <v>1</v>
      </c>
      <c r="BI48" s="163">
        <f t="shared" si="41"/>
        <v>1</v>
      </c>
      <c r="BJ48" s="163">
        <f t="shared" si="42"/>
        <v>1</v>
      </c>
      <c r="BK48" s="163">
        <f t="shared" si="27"/>
        <v>1</v>
      </c>
      <c r="BL48" s="163">
        <f t="shared" si="28"/>
        <v>1</v>
      </c>
      <c r="BM48" s="163">
        <f t="shared" si="29"/>
        <v>6</v>
      </c>
      <c r="BN48" s="163" t="s">
        <v>148</v>
      </c>
      <c r="BO48" s="162" t="s">
        <v>484</v>
      </c>
      <c r="BP48" s="162" t="s">
        <v>478</v>
      </c>
      <c r="BQ48" s="162" t="s">
        <v>156</v>
      </c>
    </row>
    <row r="49" spans="1:70">
      <c r="A49" s="159">
        <f t="shared" si="17"/>
        <v>14</v>
      </c>
      <c r="B49" s="159">
        <f t="shared" si="18"/>
        <v>5</v>
      </c>
      <c r="C49" s="160" t="str">
        <f t="shared" si="0"/>
        <v>1405</v>
      </c>
      <c r="D49" s="159" t="s">
        <v>24</v>
      </c>
      <c r="E49" s="161">
        <v>2015</v>
      </c>
      <c r="F49" s="162" t="s">
        <v>474</v>
      </c>
      <c r="G49" s="162" t="s">
        <v>200</v>
      </c>
      <c r="H49" s="163" t="str">
        <f t="shared" si="43"/>
        <v>LM</v>
      </c>
      <c r="I49" s="163" t="s">
        <v>148</v>
      </c>
      <c r="J49" s="162" t="s">
        <v>437</v>
      </c>
      <c r="K49" s="163" t="s">
        <v>167</v>
      </c>
      <c r="L49" s="163" t="s">
        <v>166</v>
      </c>
      <c r="M49" s="163" t="str">
        <f t="shared" si="19"/>
        <v>PCV13 vs PCV10</v>
      </c>
      <c r="N49" s="159" t="s">
        <v>368</v>
      </c>
      <c r="O49" s="159">
        <v>3</v>
      </c>
      <c r="P49" s="162" t="s">
        <v>148</v>
      </c>
      <c r="Q49" s="162" t="s">
        <v>377</v>
      </c>
      <c r="R49" s="162" t="s">
        <v>201</v>
      </c>
      <c r="S49" s="162" t="s">
        <v>200</v>
      </c>
      <c r="T49" s="161">
        <v>2013</v>
      </c>
      <c r="U49" s="165">
        <v>700</v>
      </c>
      <c r="V49" s="165" t="e">
        <f>IF(ISNUMBER(U49),U49/VLOOKUP($S49,xRates!$A$1:$AA$267,data!$T49-xRates!$B$1+2,FALSE),U49)</f>
        <v>#REF!</v>
      </c>
      <c r="W49" s="162" t="s">
        <v>475</v>
      </c>
      <c r="X49" s="159">
        <v>624</v>
      </c>
      <c r="Y49" s="165">
        <v>14.700967884139789</v>
      </c>
      <c r="Z49" s="162" t="s">
        <v>485</v>
      </c>
      <c r="AA49" s="163" t="s">
        <v>148</v>
      </c>
      <c r="AB49" s="162" t="s">
        <v>417</v>
      </c>
      <c r="AC49" s="162" t="s">
        <v>148</v>
      </c>
      <c r="AD49" s="163" t="s">
        <v>155</v>
      </c>
      <c r="AE49" s="162" t="str">
        <f t="shared" si="46"/>
        <v/>
      </c>
      <c r="AF49" s="163" t="s">
        <v>148</v>
      </c>
      <c r="AG49" s="163" t="s">
        <v>148</v>
      </c>
      <c r="AH49" s="163" t="s">
        <v>148</v>
      </c>
      <c r="AJ49" s="162"/>
      <c r="AK49" s="162" t="s">
        <v>486</v>
      </c>
      <c r="AL49" s="163" t="s">
        <v>152</v>
      </c>
      <c r="AM49" s="166">
        <v>15795</v>
      </c>
      <c r="AN49" s="166" t="e">
        <f>AM49/xRates!$S$157</f>
        <v>#DIV/0!</v>
      </c>
      <c r="AO49" s="166">
        <f t="shared" si="44"/>
        <v>2847.6</v>
      </c>
      <c r="AP49" s="163" t="e">
        <f t="shared" si="32"/>
        <v>#DIV/0!</v>
      </c>
      <c r="AQ49" s="163" t="e">
        <f t="shared" si="20"/>
        <v>#DIV/0!</v>
      </c>
      <c r="AR49" s="167" t="str">
        <f t="shared" si="5"/>
        <v>.</v>
      </c>
      <c r="AS49" s="167">
        <f t="shared" si="33"/>
        <v>0.34</v>
      </c>
      <c r="AT49" s="159" t="str">
        <f t="shared" si="21"/>
        <v>Not Cost-Effective</v>
      </c>
      <c r="AU49" s="167">
        <f t="shared" si="34"/>
        <v>0.23</v>
      </c>
      <c r="AV49" s="162" t="str">
        <f t="shared" si="22"/>
        <v>Not Cost-Effective</v>
      </c>
      <c r="AW49" s="167">
        <f t="shared" si="35"/>
        <v>0.49901671583087515</v>
      </c>
      <c r="AX49" s="159" t="str">
        <f t="shared" si="23"/>
        <v>Not Cost-Effective</v>
      </c>
      <c r="AY49" s="167">
        <f t="shared" si="36"/>
        <v>8.9900266891417335E-2</v>
      </c>
      <c r="AZ49" s="159" t="str">
        <f t="shared" si="24"/>
        <v>Not Cost-Effective</v>
      </c>
      <c r="BA49" s="167">
        <f t="shared" si="37"/>
        <v>0.41039311031694881</v>
      </c>
      <c r="BB49" s="159" t="str">
        <f t="shared" si="25"/>
        <v>Not Cost-Effective</v>
      </c>
      <c r="BC49" s="167">
        <f t="shared" si="38"/>
        <v>0.16521178745093443</v>
      </c>
      <c r="BD49" s="159" t="str">
        <f t="shared" si="26"/>
        <v>Not Cost-Effective</v>
      </c>
      <c r="BE49" s="162" t="s">
        <v>202</v>
      </c>
      <c r="BF49" s="162" t="s">
        <v>382</v>
      </c>
      <c r="BG49" s="168">
        <f t="shared" si="39"/>
        <v>1</v>
      </c>
      <c r="BH49" s="168">
        <f t="shared" si="40"/>
        <v>1</v>
      </c>
      <c r="BI49" s="163">
        <f t="shared" si="41"/>
        <v>1</v>
      </c>
      <c r="BJ49" s="163">
        <f t="shared" si="42"/>
        <v>1</v>
      </c>
      <c r="BK49" s="163">
        <f t="shared" si="27"/>
        <v>1</v>
      </c>
      <c r="BL49" s="163">
        <f t="shared" si="28"/>
        <v>1</v>
      </c>
      <c r="BM49" s="163">
        <f t="shared" si="29"/>
        <v>6</v>
      </c>
      <c r="BN49" s="163" t="s">
        <v>148</v>
      </c>
      <c r="BP49" s="162" t="s">
        <v>478</v>
      </c>
      <c r="BQ49" s="162" t="s">
        <v>156</v>
      </c>
    </row>
    <row r="50" spans="1:70">
      <c r="A50" s="159">
        <f t="shared" si="17"/>
        <v>14</v>
      </c>
      <c r="B50" s="159">
        <f t="shared" si="18"/>
        <v>6</v>
      </c>
      <c r="C50" s="160" t="str">
        <f t="shared" si="0"/>
        <v>1406</v>
      </c>
      <c r="D50" s="159" t="s">
        <v>24</v>
      </c>
      <c r="E50" s="161">
        <v>2015</v>
      </c>
      <c r="F50" s="162" t="s">
        <v>474</v>
      </c>
      <c r="G50" s="162" t="s">
        <v>200</v>
      </c>
      <c r="H50" s="163" t="str">
        <f t="shared" si="43"/>
        <v>LM</v>
      </c>
      <c r="I50" s="163" t="s">
        <v>148</v>
      </c>
      <c r="J50" s="162" t="s">
        <v>437</v>
      </c>
      <c r="K50" s="163" t="s">
        <v>167</v>
      </c>
      <c r="L50" s="163" t="s">
        <v>166</v>
      </c>
      <c r="M50" s="163" t="str">
        <f t="shared" si="19"/>
        <v>PCV13 vs PCV10</v>
      </c>
      <c r="N50" s="159" t="s">
        <v>368</v>
      </c>
      <c r="O50" s="159">
        <v>3</v>
      </c>
      <c r="P50" s="162" t="s">
        <v>155</v>
      </c>
      <c r="Q50" s="162" t="s">
        <v>377</v>
      </c>
      <c r="R50" s="162" t="s">
        <v>201</v>
      </c>
      <c r="S50" s="162" t="s">
        <v>200</v>
      </c>
      <c r="T50" s="161">
        <v>2013</v>
      </c>
      <c r="U50" s="165">
        <v>700</v>
      </c>
      <c r="V50" s="165" t="e">
        <f>IF(ISNUMBER(U50),U50/VLOOKUP($S50,xRates!$A$1:$AA$267,data!$T50-xRates!$B$1+2,FALSE),U50)</f>
        <v>#REF!</v>
      </c>
      <c r="W50" s="162" t="s">
        <v>475</v>
      </c>
      <c r="X50" s="159">
        <v>624</v>
      </c>
      <c r="Y50" s="165">
        <v>14.700967884139789</v>
      </c>
      <c r="Z50" s="162" t="s">
        <v>485</v>
      </c>
      <c r="AA50" s="163" t="s">
        <v>155</v>
      </c>
      <c r="AB50" s="162"/>
      <c r="AD50" s="163" t="s">
        <v>155</v>
      </c>
      <c r="AE50" s="162" t="str">
        <f t="shared" si="46"/>
        <v/>
      </c>
      <c r="AF50" s="163" t="s">
        <v>148</v>
      </c>
      <c r="AG50" s="163" t="s">
        <v>148</v>
      </c>
      <c r="AH50" s="163" t="s">
        <v>148</v>
      </c>
      <c r="AJ50" s="162"/>
      <c r="AK50" s="162" t="s">
        <v>487</v>
      </c>
      <c r="AL50" s="163" t="s">
        <v>152</v>
      </c>
      <c r="AM50" s="166">
        <v>23836</v>
      </c>
      <c r="AN50" s="166" t="e">
        <f>AM50/xRates!$S$157</f>
        <v>#DIV/0!</v>
      </c>
      <c r="AO50" s="166">
        <f t="shared" si="44"/>
        <v>2847.6</v>
      </c>
      <c r="AP50" s="163" t="e">
        <f t="shared" si="32"/>
        <v>#DIV/0!</v>
      </c>
      <c r="AQ50" s="163" t="e">
        <f t="shared" si="20"/>
        <v>#DIV/0!</v>
      </c>
      <c r="AR50" s="167" t="str">
        <f t="shared" si="5"/>
        <v>.</v>
      </c>
      <c r="AS50" s="167">
        <f t="shared" si="33"/>
        <v>0.34</v>
      </c>
      <c r="AT50" s="159" t="str">
        <f t="shared" si="21"/>
        <v>Not Cost-Effective</v>
      </c>
      <c r="AU50" s="167">
        <f t="shared" si="34"/>
        <v>0.23</v>
      </c>
      <c r="AV50" s="162" t="str">
        <f t="shared" si="22"/>
        <v>Not Cost-Effective</v>
      </c>
      <c r="AW50" s="167">
        <f t="shared" si="35"/>
        <v>0.49901671583087515</v>
      </c>
      <c r="AX50" s="159" t="str">
        <f t="shared" si="23"/>
        <v>Not Cost-Effective</v>
      </c>
      <c r="AY50" s="167">
        <f t="shared" si="36"/>
        <v>8.9900266891417335E-2</v>
      </c>
      <c r="AZ50" s="159" t="str">
        <f t="shared" si="24"/>
        <v>Not Cost-Effective</v>
      </c>
      <c r="BA50" s="167">
        <f t="shared" si="37"/>
        <v>0.41039311031694881</v>
      </c>
      <c r="BB50" s="159" t="str">
        <f t="shared" si="25"/>
        <v>Not Cost-Effective</v>
      </c>
      <c r="BC50" s="167">
        <f t="shared" si="38"/>
        <v>0.16521178745093443</v>
      </c>
      <c r="BD50" s="159" t="str">
        <f t="shared" si="26"/>
        <v>Not Cost-Effective</v>
      </c>
      <c r="BE50" s="162" t="s">
        <v>202</v>
      </c>
      <c r="BF50" s="162" t="s">
        <v>382</v>
      </c>
      <c r="BG50" s="168">
        <f t="shared" si="39"/>
        <v>1</v>
      </c>
      <c r="BH50" s="168">
        <f t="shared" si="40"/>
        <v>1</v>
      </c>
      <c r="BI50" s="163">
        <f t="shared" si="41"/>
        <v>1</v>
      </c>
      <c r="BJ50" s="163">
        <f t="shared" si="42"/>
        <v>1</v>
      </c>
      <c r="BK50" s="163">
        <f t="shared" si="27"/>
        <v>1</v>
      </c>
      <c r="BL50" s="163">
        <f t="shared" si="28"/>
        <v>1</v>
      </c>
      <c r="BM50" s="163">
        <f t="shared" si="29"/>
        <v>6</v>
      </c>
      <c r="BN50" s="163" t="s">
        <v>148</v>
      </c>
      <c r="BP50" s="162" t="s">
        <v>478</v>
      </c>
      <c r="BQ50" s="162" t="s">
        <v>156</v>
      </c>
    </row>
    <row r="51" spans="1:70">
      <c r="A51" s="159">
        <f t="shared" si="17"/>
        <v>15</v>
      </c>
      <c r="B51" s="159">
        <f t="shared" si="18"/>
        <v>1</v>
      </c>
      <c r="C51" s="160" t="str">
        <f t="shared" si="0"/>
        <v>1501</v>
      </c>
      <c r="D51" s="159" t="s">
        <v>36</v>
      </c>
      <c r="E51" s="161">
        <v>2014</v>
      </c>
      <c r="F51" s="162" t="s">
        <v>488</v>
      </c>
      <c r="G51" s="162" t="s">
        <v>200</v>
      </c>
      <c r="H51" s="163" t="str">
        <f t="shared" si="43"/>
        <v>LM</v>
      </c>
      <c r="I51" s="163" t="s">
        <v>148</v>
      </c>
      <c r="J51" s="162" t="s">
        <v>391</v>
      </c>
      <c r="K51" s="163" t="s">
        <v>166</v>
      </c>
      <c r="L51" s="163" t="s">
        <v>147</v>
      </c>
      <c r="M51" s="163" t="str">
        <f t="shared" si="19"/>
        <v>PCV10 vs NoVax</v>
      </c>
      <c r="N51" s="159" t="s">
        <v>368</v>
      </c>
      <c r="O51" s="159">
        <v>3</v>
      </c>
      <c r="P51" s="162" t="s">
        <v>148</v>
      </c>
      <c r="Q51" s="162" t="s">
        <v>377</v>
      </c>
      <c r="R51" s="162" t="s">
        <v>201</v>
      </c>
      <c r="S51" s="162" t="s">
        <v>200</v>
      </c>
      <c r="T51" s="159">
        <v>2012</v>
      </c>
      <c r="U51" s="165">
        <v>800</v>
      </c>
      <c r="V51" s="165" t="e">
        <f>IF(ISNUMBER(U51),U51/VLOOKUP($S51,xRates!$A$1:$AA$267,data!$T51-xRates!$B$1+2,FALSE),U51)</f>
        <v>#REF!</v>
      </c>
      <c r="W51" s="162" t="s">
        <v>489</v>
      </c>
      <c r="Y51" s="165"/>
      <c r="AA51" s="163" t="s">
        <v>155</v>
      </c>
      <c r="AB51" s="162"/>
      <c r="AD51" s="163" t="s">
        <v>148</v>
      </c>
      <c r="AE51" s="162" t="s">
        <v>385</v>
      </c>
      <c r="AF51" s="163" t="s">
        <v>148</v>
      </c>
      <c r="AG51" s="163" t="s">
        <v>148</v>
      </c>
      <c r="AH51" s="163" t="s">
        <v>148</v>
      </c>
      <c r="AJ51" s="162" t="s">
        <v>449</v>
      </c>
      <c r="AK51" s="162" t="s">
        <v>490</v>
      </c>
      <c r="AL51" s="163" t="s">
        <v>152</v>
      </c>
      <c r="AM51" s="166">
        <v>50913</v>
      </c>
      <c r="AN51" s="166" t="e">
        <f>AM51/xRates!$R$157</f>
        <v>#DIV/0!</v>
      </c>
      <c r="AO51" s="166">
        <f t="shared" si="44"/>
        <v>2671.8</v>
      </c>
      <c r="AP51" s="163" t="e">
        <f t="shared" si="32"/>
        <v>#DIV/0!</v>
      </c>
      <c r="AQ51" s="163" t="e">
        <f t="shared" si="20"/>
        <v>#DIV/0!</v>
      </c>
      <c r="AR51" s="167" t="str">
        <f t="shared" si="5"/>
        <v>.</v>
      </c>
      <c r="AS51" s="167">
        <f t="shared" si="33"/>
        <v>0.34</v>
      </c>
      <c r="AT51" s="159" t="str">
        <f t="shared" si="21"/>
        <v>Not Cost-Effective</v>
      </c>
      <c r="AU51" s="167">
        <f t="shared" si="34"/>
        <v>0.23</v>
      </c>
      <c r="AV51" s="162" t="str">
        <f t="shared" si="22"/>
        <v>Not Cost-Effective</v>
      </c>
      <c r="AW51" s="167">
        <f t="shared" si="35"/>
        <v>0.49901671583087515</v>
      </c>
      <c r="AX51" s="159" t="str">
        <f t="shared" si="23"/>
        <v>Not Cost-Effective</v>
      </c>
      <c r="AY51" s="167">
        <f t="shared" si="36"/>
        <v>8.9900266891417335E-2</v>
      </c>
      <c r="AZ51" s="159" t="str">
        <f t="shared" si="24"/>
        <v>Not Cost-Effective</v>
      </c>
      <c r="BA51" s="167">
        <f t="shared" si="37"/>
        <v>0.41039311031694881</v>
      </c>
      <c r="BB51" s="159" t="str">
        <f t="shared" si="25"/>
        <v>Not Cost-Effective</v>
      </c>
      <c r="BC51" s="167">
        <f t="shared" si="38"/>
        <v>0.16521178745093443</v>
      </c>
      <c r="BD51" s="159" t="str">
        <f t="shared" si="26"/>
        <v>Not Cost-Effective</v>
      </c>
      <c r="BE51" s="162" t="s">
        <v>176</v>
      </c>
      <c r="BF51" s="162" t="s">
        <v>382</v>
      </c>
      <c r="BG51" s="168">
        <f t="shared" si="39"/>
        <v>1</v>
      </c>
      <c r="BH51" s="168">
        <f t="shared" si="40"/>
        <v>1</v>
      </c>
      <c r="BI51" s="163">
        <f t="shared" si="41"/>
        <v>1</v>
      </c>
      <c r="BJ51" s="163">
        <f t="shared" si="42"/>
        <v>1</v>
      </c>
      <c r="BK51" s="163">
        <f t="shared" si="27"/>
        <v>1</v>
      </c>
      <c r="BL51" s="163">
        <f t="shared" si="28"/>
        <v>1</v>
      </c>
      <c r="BM51" s="163">
        <f t="shared" si="29"/>
        <v>6</v>
      </c>
      <c r="BN51" s="163" t="s">
        <v>155</v>
      </c>
      <c r="BO51" s="162" t="str">
        <f>IF(BN51="No", "", "")</f>
        <v/>
      </c>
      <c r="BP51" s="162" t="s">
        <v>422</v>
      </c>
      <c r="BQ51" s="162" t="s">
        <v>163</v>
      </c>
    </row>
    <row r="52" spans="1:70" s="173" customFormat="1">
      <c r="A52" s="159">
        <f t="shared" si="17"/>
        <v>15</v>
      </c>
      <c r="B52" s="159">
        <f t="shared" si="18"/>
        <v>2</v>
      </c>
      <c r="C52" s="170" t="str">
        <f t="shared" si="0"/>
        <v>1502</v>
      </c>
      <c r="D52" s="171" t="s">
        <v>36</v>
      </c>
      <c r="E52" s="172">
        <v>2014</v>
      </c>
      <c r="F52" s="173" t="s">
        <v>488</v>
      </c>
      <c r="G52" s="173" t="s">
        <v>200</v>
      </c>
      <c r="H52" s="174" t="str">
        <f t="shared" si="43"/>
        <v>LM</v>
      </c>
      <c r="I52" s="174" t="s">
        <v>148</v>
      </c>
      <c r="J52" s="173" t="s">
        <v>423</v>
      </c>
      <c r="K52" s="174" t="s">
        <v>167</v>
      </c>
      <c r="L52" s="174" t="s">
        <v>166</v>
      </c>
      <c r="M52" s="163" t="str">
        <f t="shared" si="19"/>
        <v>PCV13 vs PCV10</v>
      </c>
      <c r="N52" s="171" t="s">
        <v>368</v>
      </c>
      <c r="O52" s="171">
        <v>3</v>
      </c>
      <c r="P52" s="173" t="s">
        <v>148</v>
      </c>
      <c r="Q52" s="175" t="s">
        <v>377</v>
      </c>
      <c r="R52" s="173" t="s">
        <v>201</v>
      </c>
      <c r="S52" s="173" t="s">
        <v>200</v>
      </c>
      <c r="T52" s="172">
        <v>2012</v>
      </c>
      <c r="U52" s="176">
        <v>800</v>
      </c>
      <c r="V52" s="176" t="e">
        <f>IF(ISNUMBER(U52),U52/VLOOKUP($S52,xRates!$A$1:$AA$267,data!$T52-xRates!$B$1+2,FALSE),U52)</f>
        <v>#REF!</v>
      </c>
      <c r="W52" s="173" t="s">
        <v>489</v>
      </c>
      <c r="X52" s="171">
        <v>800</v>
      </c>
      <c r="Y52" s="176">
        <v>18.944419442263115</v>
      </c>
      <c r="Z52" s="173" t="s">
        <v>491</v>
      </c>
      <c r="AA52" s="174" t="s">
        <v>155</v>
      </c>
      <c r="AD52" s="174" t="s">
        <v>148</v>
      </c>
      <c r="AE52" s="173" t="s">
        <v>385</v>
      </c>
      <c r="AF52" s="174" t="s">
        <v>148</v>
      </c>
      <c r="AG52" s="174" t="s">
        <v>148</v>
      </c>
      <c r="AH52" s="174" t="s">
        <v>148</v>
      </c>
      <c r="AI52" s="174"/>
      <c r="AJ52" s="173" t="s">
        <v>449</v>
      </c>
      <c r="AK52" s="173" t="s">
        <v>492</v>
      </c>
      <c r="AL52" s="163" t="s">
        <v>152</v>
      </c>
      <c r="AM52" s="177">
        <v>310274.65999999997</v>
      </c>
      <c r="AN52" s="177" t="e">
        <f>AM52/xRates!$R$157</f>
        <v>#DIV/0!</v>
      </c>
      <c r="AO52" s="177">
        <f t="shared" si="44"/>
        <v>2671.8</v>
      </c>
      <c r="AP52" s="174" t="e">
        <f t="shared" si="32"/>
        <v>#DIV/0!</v>
      </c>
      <c r="AQ52" s="174" t="e">
        <f t="shared" si="20"/>
        <v>#DIV/0!</v>
      </c>
      <c r="AR52" s="167" t="str">
        <f t="shared" si="5"/>
        <v>.</v>
      </c>
      <c r="AS52" s="167">
        <f t="shared" si="33"/>
        <v>0.34</v>
      </c>
      <c r="AT52" s="159" t="str">
        <f t="shared" si="21"/>
        <v>Not Cost-Effective</v>
      </c>
      <c r="AU52" s="167">
        <f t="shared" si="34"/>
        <v>0.23</v>
      </c>
      <c r="AV52" s="162" t="str">
        <f t="shared" si="22"/>
        <v>Not Cost-Effective</v>
      </c>
      <c r="AW52" s="167">
        <f t="shared" si="35"/>
        <v>0.49901671583087515</v>
      </c>
      <c r="AX52" s="159" t="str">
        <f t="shared" si="23"/>
        <v>Not Cost-Effective</v>
      </c>
      <c r="AY52" s="167">
        <f t="shared" si="36"/>
        <v>8.9900266891417335E-2</v>
      </c>
      <c r="AZ52" s="159" t="str">
        <f t="shared" si="24"/>
        <v>Not Cost-Effective</v>
      </c>
      <c r="BA52" s="167">
        <f t="shared" si="37"/>
        <v>0.41039311031694881</v>
      </c>
      <c r="BB52" s="159" t="str">
        <f t="shared" si="25"/>
        <v>Not Cost-Effective</v>
      </c>
      <c r="BC52" s="167">
        <f t="shared" si="38"/>
        <v>0.16521178745093443</v>
      </c>
      <c r="BD52" s="159" t="str">
        <f t="shared" si="26"/>
        <v>Not Cost-Effective</v>
      </c>
      <c r="BE52" s="173" t="s">
        <v>176</v>
      </c>
      <c r="BF52" s="171" t="s">
        <v>371</v>
      </c>
      <c r="BG52" s="178" t="str">
        <f t="shared" si="39"/>
        <v>.</v>
      </c>
      <c r="BH52" s="178" t="str">
        <f t="shared" si="40"/>
        <v>.</v>
      </c>
      <c r="BI52" s="174" t="str">
        <f t="shared" si="41"/>
        <v>.</v>
      </c>
      <c r="BJ52" s="174" t="str">
        <f t="shared" si="42"/>
        <v>.</v>
      </c>
      <c r="BK52" s="163" t="str">
        <f t="shared" si="27"/>
        <v>.</v>
      </c>
      <c r="BL52" s="163" t="str">
        <f t="shared" si="28"/>
        <v>.</v>
      </c>
      <c r="BM52" s="163">
        <f t="shared" si="29"/>
        <v>0</v>
      </c>
      <c r="BN52" s="174" t="s">
        <v>155</v>
      </c>
      <c r="BO52" s="173" t="str">
        <f>IF(BN52="No", "", "")</f>
        <v/>
      </c>
      <c r="BP52" s="173" t="s">
        <v>422</v>
      </c>
      <c r="BQ52" s="162" t="s">
        <v>163</v>
      </c>
    </row>
    <row r="53" spans="1:70">
      <c r="A53" s="159">
        <f t="shared" si="17"/>
        <v>16</v>
      </c>
      <c r="B53" s="159">
        <f t="shared" si="18"/>
        <v>1</v>
      </c>
      <c r="C53" s="160" t="str">
        <f t="shared" si="0"/>
        <v>1601</v>
      </c>
      <c r="D53" s="159" t="s">
        <v>204</v>
      </c>
      <c r="E53" s="161">
        <v>2017</v>
      </c>
      <c r="F53" s="162" t="s">
        <v>493</v>
      </c>
      <c r="G53" s="162" t="s">
        <v>206</v>
      </c>
      <c r="H53" s="163" t="str">
        <f t="shared" si="43"/>
        <v>UM</v>
      </c>
      <c r="I53" s="163" t="s">
        <v>148</v>
      </c>
      <c r="J53" s="162" t="s">
        <v>393</v>
      </c>
      <c r="K53" s="163" t="s">
        <v>167</v>
      </c>
      <c r="L53" s="163" t="s">
        <v>147</v>
      </c>
      <c r="M53" s="163" t="str">
        <f t="shared" si="19"/>
        <v>PCV13 vs NoVax</v>
      </c>
      <c r="N53" s="159" t="s">
        <v>494</v>
      </c>
      <c r="O53" s="159">
        <v>3</v>
      </c>
      <c r="P53" s="162" t="s">
        <v>148</v>
      </c>
      <c r="Q53" s="162" t="s">
        <v>149</v>
      </c>
      <c r="R53" s="162" t="s">
        <v>150</v>
      </c>
      <c r="S53" s="162" t="s">
        <v>151</v>
      </c>
      <c r="T53" s="159">
        <v>2014</v>
      </c>
      <c r="U53" s="165">
        <v>3.3</v>
      </c>
      <c r="V53" s="165" t="e">
        <f>IF(ISNUMBER(U53),U53/VLOOKUP($S53,xRates!$A$1:$AA$267,data!$T53-xRates!$B$1+2,FALSE),U53)</f>
        <v>#REF!</v>
      </c>
      <c r="W53" s="162" t="s">
        <v>495</v>
      </c>
      <c r="Y53" s="165"/>
      <c r="AA53" s="163" t="s">
        <v>148</v>
      </c>
      <c r="AB53" s="162" t="s">
        <v>496</v>
      </c>
      <c r="AC53" s="162" t="s">
        <v>148</v>
      </c>
      <c r="AD53" s="163" t="s">
        <v>148</v>
      </c>
      <c r="AE53" s="162" t="s">
        <v>497</v>
      </c>
      <c r="AF53" s="163" t="s">
        <v>148</v>
      </c>
      <c r="AG53" s="163" t="s">
        <v>148</v>
      </c>
      <c r="AH53" s="163" t="s">
        <v>148</v>
      </c>
      <c r="AI53" s="163" t="s">
        <v>498</v>
      </c>
      <c r="AJ53" s="162" t="s">
        <v>380</v>
      </c>
      <c r="AK53" s="162" t="s">
        <v>499</v>
      </c>
      <c r="AL53" s="163" t="s">
        <v>190</v>
      </c>
      <c r="AM53" s="179">
        <v>-27</v>
      </c>
      <c r="AN53" s="179">
        <v>-27</v>
      </c>
      <c r="AO53" s="179">
        <f t="shared" si="44"/>
        <v>4211.8999999999996</v>
      </c>
      <c r="AP53" s="163" t="str">
        <f t="shared" si="32"/>
        <v>Cost-Saving</v>
      </c>
      <c r="AQ53" s="163" t="str">
        <f t="shared" si="20"/>
        <v>Cost-Saving</v>
      </c>
      <c r="AR53" s="167">
        <f t="shared" si="5"/>
        <v>-6.4104086041928826E-3</v>
      </c>
      <c r="AS53" s="167">
        <f t="shared" si="33"/>
        <v>0.49</v>
      </c>
      <c r="AT53" s="159" t="str">
        <f t="shared" si="21"/>
        <v>Cost-Saving</v>
      </c>
      <c r="AU53" s="167">
        <f t="shared" si="34"/>
        <v>0.35</v>
      </c>
      <c r="AV53" s="162" t="str">
        <f t="shared" si="22"/>
        <v>Cost-Saving</v>
      </c>
      <c r="AW53" s="167">
        <f t="shared" si="35"/>
        <v>0.47147411980191301</v>
      </c>
      <c r="AX53" s="159" t="str">
        <f t="shared" si="23"/>
        <v>Cost-Saving</v>
      </c>
      <c r="AY53" s="167">
        <f t="shared" si="36"/>
        <v>0.12278678515704497</v>
      </c>
      <c r="AZ53" s="159" t="str">
        <f t="shared" si="24"/>
        <v>Cost-Saving</v>
      </c>
      <c r="BA53" s="167">
        <f t="shared" si="37"/>
        <v>0.36292065803545021</v>
      </c>
      <c r="BB53" s="159" t="str">
        <f t="shared" si="25"/>
        <v>Cost-Saving</v>
      </c>
      <c r="BC53" s="167">
        <f t="shared" si="38"/>
        <v>0.14607840906505268</v>
      </c>
      <c r="BD53" s="159" t="str">
        <f t="shared" si="26"/>
        <v>Cost-Saving</v>
      </c>
      <c r="BE53" s="162" t="s">
        <v>176</v>
      </c>
      <c r="BF53" s="162" t="s">
        <v>439</v>
      </c>
      <c r="BG53" s="168" t="str">
        <f t="shared" si="39"/>
        <v>.</v>
      </c>
      <c r="BH53" s="168" t="str">
        <f t="shared" si="40"/>
        <v>.</v>
      </c>
      <c r="BI53" s="163" t="str">
        <f t="shared" si="41"/>
        <v>.</v>
      </c>
      <c r="BJ53" s="163" t="str">
        <f t="shared" si="42"/>
        <v>.</v>
      </c>
      <c r="BK53" s="163" t="str">
        <f t="shared" si="27"/>
        <v>.</v>
      </c>
      <c r="BL53" s="163" t="str">
        <f t="shared" si="28"/>
        <v>.</v>
      </c>
      <c r="BM53" s="163">
        <f t="shared" si="29"/>
        <v>0</v>
      </c>
      <c r="BN53" s="163" t="s">
        <v>148</v>
      </c>
      <c r="BO53" s="162" t="s">
        <v>500</v>
      </c>
      <c r="BP53" s="162" t="s">
        <v>478</v>
      </c>
      <c r="BQ53" s="162" t="s">
        <v>156</v>
      </c>
      <c r="BR53" s="162" t="s">
        <v>501</v>
      </c>
    </row>
    <row r="54" spans="1:70">
      <c r="A54" s="159">
        <f t="shared" si="17"/>
        <v>16</v>
      </c>
      <c r="B54" s="159">
        <f t="shared" si="18"/>
        <v>2</v>
      </c>
      <c r="C54" s="160" t="str">
        <f t="shared" si="0"/>
        <v>1602</v>
      </c>
      <c r="D54" s="159" t="s">
        <v>204</v>
      </c>
      <c r="E54" s="161">
        <v>2017</v>
      </c>
      <c r="F54" s="162" t="s">
        <v>493</v>
      </c>
      <c r="G54" s="162" t="s">
        <v>206</v>
      </c>
      <c r="H54" s="163" t="str">
        <f t="shared" si="43"/>
        <v>UM</v>
      </c>
      <c r="I54" s="163" t="s">
        <v>148</v>
      </c>
      <c r="J54" s="162" t="s">
        <v>393</v>
      </c>
      <c r="K54" s="163" t="s">
        <v>167</v>
      </c>
      <c r="L54" s="163" t="s">
        <v>147</v>
      </c>
      <c r="M54" s="163" t="str">
        <f t="shared" si="19"/>
        <v>PCV13 vs NoVax</v>
      </c>
      <c r="N54" s="159" t="s">
        <v>494</v>
      </c>
      <c r="O54" s="159">
        <v>3</v>
      </c>
      <c r="P54" s="162" t="s">
        <v>148</v>
      </c>
      <c r="Q54" s="162" t="s">
        <v>377</v>
      </c>
      <c r="R54" s="162" t="s">
        <v>150</v>
      </c>
      <c r="S54" s="162" t="s">
        <v>151</v>
      </c>
      <c r="T54" s="159">
        <v>2014</v>
      </c>
      <c r="U54" s="165">
        <v>3.3</v>
      </c>
      <c r="V54" s="165" t="e">
        <f>IF(ISNUMBER(U54),U54/VLOOKUP($S54,xRates!$A$1:$AA$267,data!$T54-xRates!$B$1+2,FALSE),U54)</f>
        <v>#REF!</v>
      </c>
      <c r="W54" s="162" t="s">
        <v>495</v>
      </c>
      <c r="Y54" s="165"/>
      <c r="AA54" s="163" t="s">
        <v>148</v>
      </c>
      <c r="AB54" s="162" t="s">
        <v>496</v>
      </c>
      <c r="AC54" s="162" t="s">
        <v>148</v>
      </c>
      <c r="AD54" s="163" t="s">
        <v>148</v>
      </c>
      <c r="AE54" s="162" t="s">
        <v>497</v>
      </c>
      <c r="AF54" s="163" t="s">
        <v>148</v>
      </c>
      <c r="AG54" s="163" t="s">
        <v>148</v>
      </c>
      <c r="AH54" s="163" t="s">
        <v>148</v>
      </c>
      <c r="AI54" s="163" t="s">
        <v>498</v>
      </c>
      <c r="AJ54" s="162" t="s">
        <v>380</v>
      </c>
      <c r="AK54" s="162" t="s">
        <v>502</v>
      </c>
      <c r="AL54" s="163" t="s">
        <v>190</v>
      </c>
      <c r="AM54" s="179">
        <v>52</v>
      </c>
      <c r="AN54" s="179">
        <v>52</v>
      </c>
      <c r="AO54" s="179">
        <f t="shared" si="44"/>
        <v>4211.8999999999996</v>
      </c>
      <c r="AP54" s="163" t="str">
        <f t="shared" si="32"/>
        <v>Cost-Effective</v>
      </c>
      <c r="AQ54" s="163" t="str">
        <f t="shared" si="20"/>
        <v>Cost-Effective</v>
      </c>
      <c r="AR54" s="167">
        <f t="shared" si="5"/>
        <v>1.2345972126593699E-2</v>
      </c>
      <c r="AS54" s="167">
        <f t="shared" si="33"/>
        <v>0.49</v>
      </c>
      <c r="AT54" s="159" t="str">
        <f t="shared" si="21"/>
        <v>Cost-Effective</v>
      </c>
      <c r="AU54" s="167">
        <f t="shared" si="34"/>
        <v>0.35</v>
      </c>
      <c r="AV54" s="162" t="str">
        <f t="shared" si="22"/>
        <v>Cost-Effective</v>
      </c>
      <c r="AW54" s="167">
        <f t="shared" si="35"/>
        <v>0.47147411980191301</v>
      </c>
      <c r="AX54" s="159" t="str">
        <f t="shared" si="23"/>
        <v>Cost-Effective</v>
      </c>
      <c r="AY54" s="167">
        <f t="shared" si="36"/>
        <v>0.12278678515704497</v>
      </c>
      <c r="AZ54" s="159" t="str">
        <f t="shared" si="24"/>
        <v>Cost-Effective</v>
      </c>
      <c r="BA54" s="167">
        <f t="shared" si="37"/>
        <v>0.36292065803545021</v>
      </c>
      <c r="BB54" s="159" t="str">
        <f t="shared" si="25"/>
        <v>Cost-Effective</v>
      </c>
      <c r="BC54" s="167">
        <f t="shared" si="38"/>
        <v>0.14607840906505268</v>
      </c>
      <c r="BD54" s="159" t="str">
        <f t="shared" si="26"/>
        <v>Cost-Effective</v>
      </c>
      <c r="BE54" s="162" t="s">
        <v>176</v>
      </c>
      <c r="BF54" s="162" t="s">
        <v>382</v>
      </c>
      <c r="BG54" s="168">
        <f t="shared" si="39"/>
        <v>0</v>
      </c>
      <c r="BH54" s="168">
        <f t="shared" si="40"/>
        <v>0</v>
      </c>
      <c r="BI54" s="163">
        <f t="shared" si="41"/>
        <v>0</v>
      </c>
      <c r="BJ54" s="163">
        <f t="shared" si="42"/>
        <v>0</v>
      </c>
      <c r="BK54" s="163">
        <f t="shared" si="27"/>
        <v>0</v>
      </c>
      <c r="BL54" s="163">
        <f t="shared" si="28"/>
        <v>0</v>
      </c>
      <c r="BM54" s="163">
        <f t="shared" si="29"/>
        <v>0</v>
      </c>
      <c r="BN54" s="163" t="s">
        <v>148</v>
      </c>
      <c r="BO54" s="162" t="s">
        <v>503</v>
      </c>
      <c r="BP54" s="162" t="s">
        <v>478</v>
      </c>
      <c r="BQ54" s="162" t="s">
        <v>156</v>
      </c>
      <c r="BR54" s="162" t="s">
        <v>501</v>
      </c>
    </row>
    <row r="55" spans="1:70">
      <c r="A55" s="159">
        <f t="shared" si="17"/>
        <v>16</v>
      </c>
      <c r="B55" s="159">
        <f t="shared" si="18"/>
        <v>3</v>
      </c>
      <c r="C55" s="160" t="str">
        <f t="shared" si="0"/>
        <v>1603</v>
      </c>
      <c r="D55" s="159" t="s">
        <v>204</v>
      </c>
      <c r="E55" s="161">
        <v>2017</v>
      </c>
      <c r="F55" s="162" t="s">
        <v>493</v>
      </c>
      <c r="G55" s="162" t="s">
        <v>206</v>
      </c>
      <c r="H55" s="163" t="str">
        <f t="shared" si="43"/>
        <v>UM</v>
      </c>
      <c r="I55" s="163" t="s">
        <v>148</v>
      </c>
      <c r="J55" s="162" t="s">
        <v>393</v>
      </c>
      <c r="K55" s="163" t="s">
        <v>167</v>
      </c>
      <c r="L55" s="163" t="s">
        <v>147</v>
      </c>
      <c r="M55" s="163" t="str">
        <f t="shared" si="19"/>
        <v>PCV13 vs NoVax</v>
      </c>
      <c r="N55" s="159" t="s">
        <v>494</v>
      </c>
      <c r="O55" s="159">
        <v>3</v>
      </c>
      <c r="P55" s="162" t="s">
        <v>155</v>
      </c>
      <c r="Q55" s="162" t="s">
        <v>149</v>
      </c>
      <c r="R55" s="162" t="s">
        <v>150</v>
      </c>
      <c r="S55" s="162" t="s">
        <v>151</v>
      </c>
      <c r="T55" s="159">
        <v>2014</v>
      </c>
      <c r="U55" s="165">
        <v>3.3</v>
      </c>
      <c r="V55" s="165" t="e">
        <f>IF(ISNUMBER(U55),U55/VLOOKUP($S55,xRates!$A$1:$AA$267,data!$T55-xRates!$B$1+2,FALSE),U55)</f>
        <v>#REF!</v>
      </c>
      <c r="W55" s="162" t="s">
        <v>495</v>
      </c>
      <c r="Y55" s="165"/>
      <c r="AA55" s="163" t="s">
        <v>155</v>
      </c>
      <c r="AB55" s="162"/>
      <c r="AD55" s="163" t="s">
        <v>155</v>
      </c>
      <c r="AE55" s="162" t="str">
        <f t="shared" ref="AE55:AE71" si="47">IF(AD55="No", "", "")</f>
        <v/>
      </c>
      <c r="AF55" s="163" t="s">
        <v>148</v>
      </c>
      <c r="AG55" s="163" t="s">
        <v>148</v>
      </c>
      <c r="AH55" s="163" t="s">
        <v>148</v>
      </c>
      <c r="AJ55" s="162" t="s">
        <v>380</v>
      </c>
      <c r="AK55" s="162" t="s">
        <v>504</v>
      </c>
      <c r="AL55" s="163" t="s">
        <v>190</v>
      </c>
      <c r="AM55" s="179">
        <v>19</v>
      </c>
      <c r="AN55" s="179">
        <v>19</v>
      </c>
      <c r="AO55" s="179">
        <f t="shared" si="44"/>
        <v>4211.8999999999996</v>
      </c>
      <c r="AP55" s="163" t="str">
        <f t="shared" si="32"/>
        <v>Cost-Effective</v>
      </c>
      <c r="AQ55" s="163" t="str">
        <f t="shared" si="20"/>
        <v>Cost-Effective</v>
      </c>
      <c r="AR55" s="167">
        <f t="shared" si="5"/>
        <v>4.5110282770246214E-3</v>
      </c>
      <c r="AS55" s="167">
        <f t="shared" si="33"/>
        <v>0.49</v>
      </c>
      <c r="AT55" s="159" t="str">
        <f t="shared" si="21"/>
        <v>Cost-Effective</v>
      </c>
      <c r="AU55" s="167">
        <f t="shared" si="34"/>
        <v>0.35</v>
      </c>
      <c r="AV55" s="162" t="str">
        <f t="shared" si="22"/>
        <v>Cost-Effective</v>
      </c>
      <c r="AW55" s="167">
        <f t="shared" si="35"/>
        <v>0.47147411980191301</v>
      </c>
      <c r="AX55" s="159" t="str">
        <f t="shared" si="23"/>
        <v>Cost-Effective</v>
      </c>
      <c r="AY55" s="167">
        <f t="shared" si="36"/>
        <v>0.12278678515704497</v>
      </c>
      <c r="AZ55" s="159" t="str">
        <f t="shared" si="24"/>
        <v>Cost-Effective</v>
      </c>
      <c r="BA55" s="167">
        <f t="shared" si="37"/>
        <v>0.36292065803545021</v>
      </c>
      <c r="BB55" s="159" t="str">
        <f t="shared" si="25"/>
        <v>Cost-Effective</v>
      </c>
      <c r="BC55" s="167">
        <f t="shared" si="38"/>
        <v>0.14607840906505268</v>
      </c>
      <c r="BD55" s="159" t="str">
        <f t="shared" si="26"/>
        <v>Cost-Effective</v>
      </c>
      <c r="BE55" s="162" t="s">
        <v>176</v>
      </c>
      <c r="BF55" s="162" t="s">
        <v>382</v>
      </c>
      <c r="BG55" s="168">
        <f t="shared" si="39"/>
        <v>0</v>
      </c>
      <c r="BH55" s="168">
        <f t="shared" si="40"/>
        <v>0</v>
      </c>
      <c r="BI55" s="163">
        <f t="shared" si="41"/>
        <v>0</v>
      </c>
      <c r="BJ55" s="163">
        <f t="shared" si="42"/>
        <v>0</v>
      </c>
      <c r="BK55" s="163">
        <f t="shared" si="27"/>
        <v>0</v>
      </c>
      <c r="BL55" s="163">
        <f t="shared" si="28"/>
        <v>0</v>
      </c>
      <c r="BM55" s="163">
        <f t="shared" si="29"/>
        <v>0</v>
      </c>
      <c r="BN55" s="163" t="s">
        <v>148</v>
      </c>
      <c r="BP55" s="162" t="s">
        <v>478</v>
      </c>
      <c r="BQ55" s="162" t="s">
        <v>156</v>
      </c>
      <c r="BR55" s="162" t="s">
        <v>501</v>
      </c>
    </row>
    <row r="56" spans="1:70">
      <c r="A56" s="159">
        <f t="shared" si="17"/>
        <v>16</v>
      </c>
      <c r="B56" s="159">
        <f t="shared" si="18"/>
        <v>4</v>
      </c>
      <c r="C56" s="160" t="str">
        <f t="shared" si="0"/>
        <v>1604</v>
      </c>
      <c r="D56" s="159" t="s">
        <v>204</v>
      </c>
      <c r="E56" s="161">
        <v>2017</v>
      </c>
      <c r="F56" s="162" t="s">
        <v>493</v>
      </c>
      <c r="G56" s="162" t="s">
        <v>206</v>
      </c>
      <c r="H56" s="163" t="str">
        <f t="shared" si="43"/>
        <v>UM</v>
      </c>
      <c r="I56" s="163" t="s">
        <v>148</v>
      </c>
      <c r="J56" s="162" t="s">
        <v>393</v>
      </c>
      <c r="K56" s="163" t="s">
        <v>167</v>
      </c>
      <c r="L56" s="163" t="s">
        <v>147</v>
      </c>
      <c r="M56" s="163" t="str">
        <f t="shared" si="19"/>
        <v>PCV13 vs NoVax</v>
      </c>
      <c r="N56" s="159" t="s">
        <v>494</v>
      </c>
      <c r="O56" s="159">
        <v>3</v>
      </c>
      <c r="P56" s="162" t="s">
        <v>155</v>
      </c>
      <c r="Q56" s="162" t="s">
        <v>377</v>
      </c>
      <c r="R56" s="162" t="s">
        <v>150</v>
      </c>
      <c r="S56" s="162" t="s">
        <v>151</v>
      </c>
      <c r="T56" s="159">
        <v>2014</v>
      </c>
      <c r="U56" s="165">
        <v>3.3</v>
      </c>
      <c r="V56" s="165" t="e">
        <f>IF(ISNUMBER(U56),U56/VLOOKUP($S56,xRates!$A$1:$AA$267,data!$T56-xRates!$B$1+2,FALSE),U56)</f>
        <v>#REF!</v>
      </c>
      <c r="W56" s="162" t="s">
        <v>495</v>
      </c>
      <c r="Y56" s="165"/>
      <c r="AA56" s="163" t="s">
        <v>155</v>
      </c>
      <c r="AB56" s="162"/>
      <c r="AD56" s="163" t="s">
        <v>155</v>
      </c>
      <c r="AE56" s="162" t="str">
        <f t="shared" si="47"/>
        <v/>
      </c>
      <c r="AF56" s="163" t="s">
        <v>148</v>
      </c>
      <c r="AG56" s="163" t="s">
        <v>148</v>
      </c>
      <c r="AH56" s="163" t="s">
        <v>148</v>
      </c>
      <c r="AJ56" s="162" t="s">
        <v>380</v>
      </c>
      <c r="AK56" s="162" t="s">
        <v>505</v>
      </c>
      <c r="AL56" s="163" t="s">
        <v>190</v>
      </c>
      <c r="AM56" s="179">
        <v>79</v>
      </c>
      <c r="AN56" s="179">
        <v>79</v>
      </c>
      <c r="AO56" s="179">
        <f t="shared" si="44"/>
        <v>4211.8999999999996</v>
      </c>
      <c r="AP56" s="163" t="str">
        <f t="shared" si="32"/>
        <v>Cost-Effective</v>
      </c>
      <c r="AQ56" s="163" t="str">
        <f>IF(AN56="NA", ".", IF(AN56&lt;0,"Cost-Saving",IF(AN56&lt;=AO56*3,"Cost-Effective",IF(AN56&gt;AO56*3&amp;AN56&lt;&gt;"NA","Not Cost-Effective","Missing"))))</f>
        <v>Cost-Effective</v>
      </c>
      <c r="AR56" s="167">
        <f t="shared" si="5"/>
        <v>1.8756380730786584E-2</v>
      </c>
      <c r="AS56" s="167">
        <f t="shared" si="33"/>
        <v>0.49</v>
      </c>
      <c r="AT56" s="159" t="str">
        <f t="shared" si="21"/>
        <v>Cost-Effective</v>
      </c>
      <c r="AU56" s="167">
        <f t="shared" si="34"/>
        <v>0.35</v>
      </c>
      <c r="AV56" s="162" t="str">
        <f t="shared" si="22"/>
        <v>Cost-Effective</v>
      </c>
      <c r="AW56" s="167">
        <f t="shared" si="35"/>
        <v>0.47147411980191301</v>
      </c>
      <c r="AX56" s="159" t="str">
        <f t="shared" si="23"/>
        <v>Cost-Effective</v>
      </c>
      <c r="AY56" s="167">
        <f t="shared" si="36"/>
        <v>0.12278678515704497</v>
      </c>
      <c r="AZ56" s="159" t="str">
        <f t="shared" si="24"/>
        <v>Cost-Effective</v>
      </c>
      <c r="BA56" s="167">
        <f t="shared" si="37"/>
        <v>0.36292065803545021</v>
      </c>
      <c r="BB56" s="159" t="str">
        <f t="shared" si="25"/>
        <v>Cost-Effective</v>
      </c>
      <c r="BC56" s="167">
        <f t="shared" si="38"/>
        <v>0.14607840906505268</v>
      </c>
      <c r="BD56" s="159" t="str">
        <f t="shared" si="26"/>
        <v>Cost-Effective</v>
      </c>
      <c r="BE56" s="162" t="s">
        <v>176</v>
      </c>
      <c r="BF56" s="162" t="s">
        <v>382</v>
      </c>
      <c r="BG56" s="168">
        <f t="shared" si="39"/>
        <v>0</v>
      </c>
      <c r="BH56" s="168">
        <f t="shared" si="40"/>
        <v>0</v>
      </c>
      <c r="BI56" s="163">
        <f t="shared" si="41"/>
        <v>0</v>
      </c>
      <c r="BJ56" s="163">
        <f t="shared" si="42"/>
        <v>0</v>
      </c>
      <c r="BK56" s="163">
        <f t="shared" si="27"/>
        <v>0</v>
      </c>
      <c r="BL56" s="163">
        <f t="shared" si="28"/>
        <v>0</v>
      </c>
      <c r="BM56" s="163">
        <f t="shared" si="29"/>
        <v>0</v>
      </c>
      <c r="BN56" s="163" t="s">
        <v>148</v>
      </c>
      <c r="BP56" s="162" t="s">
        <v>478</v>
      </c>
      <c r="BQ56" s="162" t="s">
        <v>156</v>
      </c>
      <c r="BR56" s="162" t="s">
        <v>501</v>
      </c>
    </row>
    <row r="57" spans="1:70">
      <c r="A57" s="159">
        <f t="shared" si="17"/>
        <v>17</v>
      </c>
      <c r="B57" s="159">
        <f t="shared" si="18"/>
        <v>1</v>
      </c>
      <c r="C57" s="160" t="str">
        <f t="shared" si="0"/>
        <v>1701</v>
      </c>
      <c r="D57" s="159" t="s">
        <v>207</v>
      </c>
      <c r="E57" s="161">
        <v>2018</v>
      </c>
      <c r="F57" s="162" t="s">
        <v>506</v>
      </c>
      <c r="G57" s="162" t="s">
        <v>209</v>
      </c>
      <c r="H57" s="163" t="str">
        <f t="shared" si="43"/>
        <v>LM</v>
      </c>
      <c r="I57" s="163" t="s">
        <v>148</v>
      </c>
      <c r="J57" s="162" t="s">
        <v>391</v>
      </c>
      <c r="K57" s="163" t="s">
        <v>166</v>
      </c>
      <c r="L57" s="163" t="s">
        <v>147</v>
      </c>
      <c r="M57" s="163" t="str">
        <f t="shared" si="19"/>
        <v>PCV10 vs NoVax</v>
      </c>
      <c r="N57" s="159" t="s">
        <v>368</v>
      </c>
      <c r="O57" s="159">
        <v>3</v>
      </c>
      <c r="P57" s="162" t="s">
        <v>148</v>
      </c>
      <c r="Q57" s="162" t="s">
        <v>377</v>
      </c>
      <c r="R57" s="162" t="s">
        <v>150</v>
      </c>
      <c r="S57" s="162" t="s">
        <v>151</v>
      </c>
      <c r="T57" s="159">
        <v>2017</v>
      </c>
      <c r="U57" s="165">
        <v>3.05</v>
      </c>
      <c r="V57" s="165" t="e">
        <f>IF(ISNUMBER(U57),U57/VLOOKUP($S57,xRates!$A$1:$AA$267,data!$T57-xRates!$B$1+2,FALSE),U57)</f>
        <v>#REF!</v>
      </c>
      <c r="W57" s="162" t="s">
        <v>507</v>
      </c>
      <c r="Y57" s="165"/>
      <c r="AA57" s="163" t="s">
        <v>148</v>
      </c>
      <c r="AB57" s="162" t="s">
        <v>417</v>
      </c>
      <c r="AC57" s="162" t="s">
        <v>155</v>
      </c>
      <c r="AD57" s="163" t="s">
        <v>155</v>
      </c>
      <c r="AE57" s="162" t="str">
        <f t="shared" si="47"/>
        <v/>
      </c>
      <c r="AF57" s="163" t="s">
        <v>148</v>
      </c>
      <c r="AG57" s="163" t="s">
        <v>148</v>
      </c>
      <c r="AH57" s="163" t="s">
        <v>148</v>
      </c>
      <c r="AJ57" s="162"/>
      <c r="AK57" s="162" t="s">
        <v>508</v>
      </c>
      <c r="AL57" s="163" t="s">
        <v>152</v>
      </c>
      <c r="AM57" s="179">
        <v>36</v>
      </c>
      <c r="AN57" s="179">
        <v>36</v>
      </c>
      <c r="AO57" s="179">
        <f t="shared" si="44"/>
        <v>3427.2</v>
      </c>
      <c r="AP57" s="163" t="str">
        <f t="shared" si="32"/>
        <v>Cost-Effective</v>
      </c>
      <c r="AQ57" s="163" t="str">
        <f t="shared" si="20"/>
        <v>Cost-Effective</v>
      </c>
      <c r="AR57" s="167">
        <f t="shared" si="5"/>
        <v>1.050420168067227E-2</v>
      </c>
      <c r="AS57" s="167" t="str">
        <f t="shared" si="33"/>
        <v>.</v>
      </c>
      <c r="AT57" s="159" t="str">
        <f t="shared" si="21"/>
        <v>.</v>
      </c>
      <c r="AU57" s="167" t="str">
        <f t="shared" si="34"/>
        <v>.</v>
      </c>
      <c r="AV57" s="162" t="str">
        <f t="shared" si="22"/>
        <v>.</v>
      </c>
      <c r="AW57" s="167">
        <f t="shared" si="35"/>
        <v>0.47927461139896371</v>
      </c>
      <c r="AX57" s="159" t="str">
        <f t="shared" si="23"/>
        <v>Cost-Effective</v>
      </c>
      <c r="AY57" s="167">
        <f t="shared" si="36"/>
        <v>0.10172203596464492</v>
      </c>
      <c r="AZ57" s="159" t="str">
        <f t="shared" si="24"/>
        <v>Cost-Effective</v>
      </c>
      <c r="BA57" s="167">
        <f t="shared" si="37"/>
        <v>0.31896987039218988</v>
      </c>
      <c r="BB57" s="159" t="str">
        <f t="shared" si="25"/>
        <v>Cost-Effective</v>
      </c>
      <c r="BC57" s="167">
        <f t="shared" si="38"/>
        <v>0.12848566459069741</v>
      </c>
      <c r="BD57" s="159" t="str">
        <f t="shared" si="26"/>
        <v>Cost-Effective</v>
      </c>
      <c r="BE57" s="162" t="s">
        <v>176</v>
      </c>
      <c r="BF57" s="162" t="s">
        <v>382</v>
      </c>
      <c r="BG57" s="168">
        <f t="shared" si="39"/>
        <v>0</v>
      </c>
      <c r="BH57" s="168">
        <f t="shared" si="40"/>
        <v>0</v>
      </c>
      <c r="BI57" s="163">
        <f t="shared" si="41"/>
        <v>0</v>
      </c>
      <c r="BJ57" s="163">
        <f t="shared" si="42"/>
        <v>0</v>
      </c>
      <c r="BK57" s="163">
        <f t="shared" si="27"/>
        <v>0</v>
      </c>
      <c r="BL57" s="163">
        <f t="shared" si="28"/>
        <v>0</v>
      </c>
      <c r="BM57" s="163">
        <f t="shared" si="29"/>
        <v>0</v>
      </c>
      <c r="BN57" s="163" t="s">
        <v>148</v>
      </c>
      <c r="BO57" s="162" t="s">
        <v>509</v>
      </c>
      <c r="BP57" s="162" t="s">
        <v>478</v>
      </c>
      <c r="BQ57" s="162" t="s">
        <v>156</v>
      </c>
    </row>
    <row r="58" spans="1:70">
      <c r="A58" s="159">
        <f t="shared" si="17"/>
        <v>17</v>
      </c>
      <c r="B58" s="159">
        <f t="shared" si="18"/>
        <v>2</v>
      </c>
      <c r="C58" s="160" t="str">
        <f t="shared" si="0"/>
        <v>1702</v>
      </c>
      <c r="D58" s="159" t="s">
        <v>207</v>
      </c>
      <c r="E58" s="161">
        <v>2018</v>
      </c>
      <c r="F58" s="162" t="s">
        <v>506</v>
      </c>
      <c r="G58" s="162" t="s">
        <v>209</v>
      </c>
      <c r="H58" s="163" t="str">
        <f t="shared" si="43"/>
        <v>LM</v>
      </c>
      <c r="I58" s="163" t="s">
        <v>148</v>
      </c>
      <c r="J58" s="162" t="s">
        <v>393</v>
      </c>
      <c r="K58" s="163" t="s">
        <v>167</v>
      </c>
      <c r="L58" s="163" t="s">
        <v>147</v>
      </c>
      <c r="M58" s="163" t="str">
        <f t="shared" si="19"/>
        <v>PCV13 vs NoVax</v>
      </c>
      <c r="N58" s="159" t="s">
        <v>368</v>
      </c>
      <c r="O58" s="159">
        <v>3</v>
      </c>
      <c r="P58" s="162" t="s">
        <v>148</v>
      </c>
      <c r="Q58" s="162" t="s">
        <v>377</v>
      </c>
      <c r="R58" s="162" t="s">
        <v>150</v>
      </c>
      <c r="S58" s="162" t="s">
        <v>151</v>
      </c>
      <c r="T58" s="159">
        <v>2017</v>
      </c>
      <c r="U58" s="165">
        <v>3.55</v>
      </c>
      <c r="V58" s="165" t="e">
        <f>IF(ISNUMBER(U58),U58/VLOOKUP($S58,xRates!$A$1:$AA$267,data!$T58-xRates!$B$1+2,FALSE),U58)</f>
        <v>#REF!</v>
      </c>
      <c r="W58" s="162" t="s">
        <v>507</v>
      </c>
      <c r="Y58" s="165"/>
      <c r="AA58" s="163" t="s">
        <v>148</v>
      </c>
      <c r="AB58" s="162" t="s">
        <v>417</v>
      </c>
      <c r="AC58" s="162" t="s">
        <v>155</v>
      </c>
      <c r="AD58" s="163" t="s">
        <v>155</v>
      </c>
      <c r="AE58" s="162" t="str">
        <f t="shared" si="47"/>
        <v/>
      </c>
      <c r="AF58" s="163" t="s">
        <v>148</v>
      </c>
      <c r="AG58" s="163" t="s">
        <v>148</v>
      </c>
      <c r="AH58" s="163" t="s">
        <v>148</v>
      </c>
      <c r="AJ58" s="162"/>
      <c r="AK58" s="162" t="s">
        <v>510</v>
      </c>
      <c r="AL58" s="163" t="s">
        <v>152</v>
      </c>
      <c r="AM58" s="179">
        <v>40</v>
      </c>
      <c r="AN58" s="179">
        <v>40</v>
      </c>
      <c r="AO58" s="179">
        <f t="shared" si="44"/>
        <v>3427.2</v>
      </c>
      <c r="AP58" s="163" t="str">
        <f t="shared" si="32"/>
        <v>Cost-Effective</v>
      </c>
      <c r="AQ58" s="163" t="str">
        <f t="shared" si="20"/>
        <v>Cost-Effective</v>
      </c>
      <c r="AR58" s="167">
        <f t="shared" si="5"/>
        <v>1.1671335200746966E-2</v>
      </c>
      <c r="AS58" s="167" t="str">
        <f t="shared" si="33"/>
        <v>.</v>
      </c>
      <c r="AT58" s="159" t="str">
        <f t="shared" si="21"/>
        <v>.</v>
      </c>
      <c r="AU58" s="167" t="str">
        <f t="shared" si="34"/>
        <v>.</v>
      </c>
      <c r="AV58" s="162" t="str">
        <f t="shared" si="22"/>
        <v>.</v>
      </c>
      <c r="AW58" s="167">
        <f t="shared" si="35"/>
        <v>0.47927461139896371</v>
      </c>
      <c r="AX58" s="159" t="str">
        <f t="shared" si="23"/>
        <v>Cost-Effective</v>
      </c>
      <c r="AY58" s="167">
        <f t="shared" si="36"/>
        <v>0.10172203596464492</v>
      </c>
      <c r="AZ58" s="159" t="str">
        <f t="shared" si="24"/>
        <v>Cost-Effective</v>
      </c>
      <c r="BA58" s="167">
        <f t="shared" si="37"/>
        <v>0.31896987039218988</v>
      </c>
      <c r="BB58" s="159" t="str">
        <f t="shared" si="25"/>
        <v>Cost-Effective</v>
      </c>
      <c r="BC58" s="167">
        <f t="shared" si="38"/>
        <v>0.12848566459069741</v>
      </c>
      <c r="BD58" s="159" t="str">
        <f t="shared" si="26"/>
        <v>Cost-Effective</v>
      </c>
      <c r="BE58" s="162" t="s">
        <v>176</v>
      </c>
      <c r="BF58" s="162" t="s">
        <v>382</v>
      </c>
      <c r="BG58" s="168">
        <f t="shared" si="39"/>
        <v>0</v>
      </c>
      <c r="BH58" s="168">
        <f t="shared" si="40"/>
        <v>0</v>
      </c>
      <c r="BI58" s="163">
        <f t="shared" si="41"/>
        <v>0</v>
      </c>
      <c r="BJ58" s="163">
        <f t="shared" si="42"/>
        <v>0</v>
      </c>
      <c r="BK58" s="163">
        <f t="shared" si="27"/>
        <v>0</v>
      </c>
      <c r="BL58" s="163">
        <f t="shared" si="28"/>
        <v>0</v>
      </c>
      <c r="BM58" s="163">
        <f t="shared" si="29"/>
        <v>0</v>
      </c>
      <c r="BN58" s="163" t="s">
        <v>148</v>
      </c>
      <c r="BO58" s="162" t="s">
        <v>511</v>
      </c>
      <c r="BP58" s="162" t="s">
        <v>478</v>
      </c>
      <c r="BQ58" s="162" t="s">
        <v>156</v>
      </c>
    </row>
    <row r="59" spans="1:70">
      <c r="A59" s="159">
        <f t="shared" si="17"/>
        <v>17</v>
      </c>
      <c r="B59" s="159">
        <f t="shared" si="18"/>
        <v>3</v>
      </c>
      <c r="C59" s="160" t="str">
        <f t="shared" si="0"/>
        <v>1703</v>
      </c>
      <c r="D59" s="159" t="s">
        <v>207</v>
      </c>
      <c r="E59" s="161">
        <v>2018</v>
      </c>
      <c r="F59" s="162" t="s">
        <v>506</v>
      </c>
      <c r="G59" s="162" t="s">
        <v>209</v>
      </c>
      <c r="H59" s="163" t="str">
        <f t="shared" si="43"/>
        <v>LM</v>
      </c>
      <c r="I59" s="163" t="s">
        <v>148</v>
      </c>
      <c r="J59" s="162" t="s">
        <v>437</v>
      </c>
      <c r="K59" s="163" t="s">
        <v>167</v>
      </c>
      <c r="L59" s="163" t="s">
        <v>166</v>
      </c>
      <c r="M59" s="163" t="str">
        <f t="shared" si="19"/>
        <v>PCV13 vs PCV10</v>
      </c>
      <c r="N59" s="159" t="s">
        <v>368</v>
      </c>
      <c r="O59" s="159">
        <v>3</v>
      </c>
      <c r="P59" s="162" t="s">
        <v>148</v>
      </c>
      <c r="Q59" s="162" t="s">
        <v>377</v>
      </c>
      <c r="R59" s="162" t="s">
        <v>150</v>
      </c>
      <c r="S59" s="162" t="s">
        <v>151</v>
      </c>
      <c r="T59" s="159">
        <v>2017</v>
      </c>
      <c r="U59" s="165">
        <v>3.55</v>
      </c>
      <c r="V59" s="165" t="e">
        <f>IF(ISNUMBER(U59),U59/VLOOKUP($S59,xRates!$A$1:$AA$267,data!$T59-xRates!$B$1+2,FALSE),U59)</f>
        <v>#REF!</v>
      </c>
      <c r="W59" s="162" t="s">
        <v>507</v>
      </c>
      <c r="X59" s="159">
        <v>3.05</v>
      </c>
      <c r="Y59" s="165">
        <v>3.05</v>
      </c>
      <c r="Z59" s="162" t="s">
        <v>507</v>
      </c>
      <c r="AA59" s="163" t="s">
        <v>148</v>
      </c>
      <c r="AB59" s="162" t="s">
        <v>417</v>
      </c>
      <c r="AC59" s="162" t="s">
        <v>155</v>
      </c>
      <c r="AD59" s="163" t="s">
        <v>155</v>
      </c>
      <c r="AE59" s="162" t="str">
        <f t="shared" si="47"/>
        <v/>
      </c>
      <c r="AF59" s="163" t="s">
        <v>148</v>
      </c>
      <c r="AG59" s="163" t="s">
        <v>148</v>
      </c>
      <c r="AH59" s="163" t="s">
        <v>148</v>
      </c>
      <c r="AJ59" s="162"/>
      <c r="AK59" s="162" t="s">
        <v>512</v>
      </c>
      <c r="AL59" s="163" t="s">
        <v>152</v>
      </c>
      <c r="AM59" s="179">
        <v>92</v>
      </c>
      <c r="AN59" s="179">
        <v>92</v>
      </c>
      <c r="AO59" s="179">
        <f t="shared" si="44"/>
        <v>3427.2</v>
      </c>
      <c r="AP59" s="163" t="str">
        <f t="shared" si="32"/>
        <v>Cost-Effective</v>
      </c>
      <c r="AQ59" s="163" t="str">
        <f t="shared" si="20"/>
        <v>Cost-Effective</v>
      </c>
      <c r="AR59" s="167">
        <f t="shared" si="5"/>
        <v>2.6844070961718022E-2</v>
      </c>
      <c r="AS59" s="167" t="str">
        <f t="shared" si="33"/>
        <v>.</v>
      </c>
      <c r="AT59" s="159" t="str">
        <f t="shared" si="21"/>
        <v>.</v>
      </c>
      <c r="AU59" s="167" t="str">
        <f t="shared" si="34"/>
        <v>.</v>
      </c>
      <c r="AV59" s="162" t="str">
        <f t="shared" si="22"/>
        <v>.</v>
      </c>
      <c r="AW59" s="167">
        <f t="shared" si="35"/>
        <v>0.47927461139896371</v>
      </c>
      <c r="AX59" s="159" t="str">
        <f t="shared" si="23"/>
        <v>Cost-Effective</v>
      </c>
      <c r="AY59" s="167">
        <f t="shared" si="36"/>
        <v>0.10172203596464492</v>
      </c>
      <c r="AZ59" s="159" t="str">
        <f t="shared" si="24"/>
        <v>Cost-Effective</v>
      </c>
      <c r="BA59" s="167">
        <f t="shared" si="37"/>
        <v>0.31896987039218988</v>
      </c>
      <c r="BB59" s="159" t="str">
        <f t="shared" si="25"/>
        <v>Cost-Effective</v>
      </c>
      <c r="BC59" s="167">
        <f t="shared" si="38"/>
        <v>0.12848566459069741</v>
      </c>
      <c r="BD59" s="159" t="str">
        <f t="shared" si="26"/>
        <v>Cost-Effective</v>
      </c>
      <c r="BE59" s="162" t="s">
        <v>176</v>
      </c>
      <c r="BF59" s="162" t="s">
        <v>382</v>
      </c>
      <c r="BG59" s="168">
        <f t="shared" si="39"/>
        <v>0</v>
      </c>
      <c r="BH59" s="168">
        <f t="shared" si="40"/>
        <v>0</v>
      </c>
      <c r="BI59" s="163">
        <f t="shared" si="41"/>
        <v>0</v>
      </c>
      <c r="BJ59" s="163">
        <f t="shared" si="42"/>
        <v>0</v>
      </c>
      <c r="BK59" s="163">
        <f t="shared" si="27"/>
        <v>0</v>
      </c>
      <c r="BL59" s="163">
        <f t="shared" si="28"/>
        <v>0</v>
      </c>
      <c r="BM59" s="163">
        <f t="shared" si="29"/>
        <v>0</v>
      </c>
      <c r="BN59" s="163" t="s">
        <v>148</v>
      </c>
      <c r="BO59" s="162" t="str">
        <f t="shared" ref="BO59:BO80" si="48">IF(BN59="No", "", "")</f>
        <v/>
      </c>
      <c r="BP59" s="162" t="s">
        <v>478</v>
      </c>
      <c r="BQ59" s="162" t="s">
        <v>156</v>
      </c>
    </row>
    <row r="60" spans="1:70">
      <c r="A60" s="159">
        <f t="shared" si="17"/>
        <v>18</v>
      </c>
      <c r="B60" s="159">
        <f t="shared" si="18"/>
        <v>1</v>
      </c>
      <c r="C60" s="160" t="str">
        <f t="shared" si="0"/>
        <v>1801</v>
      </c>
      <c r="D60" s="159" t="s">
        <v>66</v>
      </c>
      <c r="E60" s="161">
        <v>2008</v>
      </c>
      <c r="F60" s="162" t="s">
        <v>513</v>
      </c>
      <c r="G60" s="162" t="s">
        <v>211</v>
      </c>
      <c r="H60" s="163" t="str">
        <f t="shared" si="43"/>
        <v>LM</v>
      </c>
      <c r="I60" s="163" t="s">
        <v>155</v>
      </c>
      <c r="J60" s="180" t="s">
        <v>367</v>
      </c>
      <c r="K60" s="163" t="s">
        <v>146</v>
      </c>
      <c r="L60" s="163" t="s">
        <v>147</v>
      </c>
      <c r="M60" s="163" t="str">
        <f t="shared" si="19"/>
        <v>PCV7 vs NoVax</v>
      </c>
      <c r="N60" s="159" t="s">
        <v>514</v>
      </c>
      <c r="O60" s="159">
        <v>3</v>
      </c>
      <c r="P60" s="162" t="s">
        <v>148</v>
      </c>
      <c r="Q60" s="162" t="s">
        <v>149</v>
      </c>
      <c r="R60" s="162" t="s">
        <v>150</v>
      </c>
      <c r="S60" s="162" t="s">
        <v>151</v>
      </c>
      <c r="T60" s="159">
        <v>2004</v>
      </c>
      <c r="U60" s="165">
        <v>53</v>
      </c>
      <c r="V60" s="165" t="e">
        <f>IF(ISNUMBER(U60),U60/VLOOKUP($S60,xRates!$A$1:$AA$267,data!$T60-xRates!$B$1+2,FALSE),U60)</f>
        <v>#REF!</v>
      </c>
      <c r="W60" s="162" t="s">
        <v>515</v>
      </c>
      <c r="Y60" s="165"/>
      <c r="AA60" s="163" t="s">
        <v>155</v>
      </c>
      <c r="AB60" s="162"/>
      <c r="AD60" s="163" t="s">
        <v>155</v>
      </c>
      <c r="AE60" s="162" t="str">
        <f t="shared" si="47"/>
        <v/>
      </c>
      <c r="AF60" s="163" t="s">
        <v>148</v>
      </c>
      <c r="AG60" s="163" t="s">
        <v>148</v>
      </c>
      <c r="AH60" s="163" t="s">
        <v>148</v>
      </c>
      <c r="AJ60" s="162"/>
      <c r="AK60" s="162" t="s">
        <v>516</v>
      </c>
      <c r="AL60" s="163" t="s">
        <v>190</v>
      </c>
      <c r="AM60" s="179">
        <v>664</v>
      </c>
      <c r="AN60" s="179">
        <v>664</v>
      </c>
      <c r="AO60" s="179">
        <f t="shared" si="44"/>
        <v>3623.2</v>
      </c>
      <c r="AP60" s="163" t="str">
        <f t="shared" si="32"/>
        <v>Cost-Effective</v>
      </c>
      <c r="AQ60" s="163" t="str">
        <f t="shared" si="20"/>
        <v>Cost-Effective</v>
      </c>
      <c r="AR60" s="167">
        <f t="shared" si="5"/>
        <v>0.18326341355707662</v>
      </c>
      <c r="AS60" s="167">
        <f t="shared" si="33"/>
        <v>1.0900000000000001</v>
      </c>
      <c r="AT60" s="159" t="str">
        <f t="shared" si="21"/>
        <v>Cost-Effective</v>
      </c>
      <c r="AU60" s="167">
        <f t="shared" si="34"/>
        <v>0.71</v>
      </c>
      <c r="AV60" s="162" t="str">
        <f t="shared" si="22"/>
        <v>Cost-Effective</v>
      </c>
      <c r="AW60" s="167">
        <f t="shared" si="35"/>
        <v>0.61540469547909216</v>
      </c>
      <c r="AX60" s="159" t="str">
        <f t="shared" si="23"/>
        <v>Cost-Effective</v>
      </c>
      <c r="AY60" s="167">
        <f t="shared" si="36"/>
        <v>0.19520989346254874</v>
      </c>
      <c r="AZ60" s="159" t="str">
        <f t="shared" si="24"/>
        <v>Cost-Effective</v>
      </c>
      <c r="BA60" s="167">
        <f t="shared" si="37"/>
        <v>1.6838320916192782</v>
      </c>
      <c r="BB60" s="159" t="str">
        <f t="shared" si="25"/>
        <v>Cost-Effective</v>
      </c>
      <c r="BC60" s="167">
        <f t="shared" si="38"/>
        <v>0.69788475235435776</v>
      </c>
      <c r="BD60" s="159" t="str">
        <f t="shared" si="26"/>
        <v>Cost-Effective</v>
      </c>
      <c r="BE60" s="162" t="s">
        <v>161</v>
      </c>
      <c r="BF60" s="162" t="s">
        <v>382</v>
      </c>
      <c r="BG60" s="168">
        <f t="shared" si="39"/>
        <v>0</v>
      </c>
      <c r="BH60" s="168">
        <f t="shared" si="40"/>
        <v>0</v>
      </c>
      <c r="BI60" s="163">
        <f t="shared" si="41"/>
        <v>0</v>
      </c>
      <c r="BJ60" s="163">
        <f t="shared" si="42"/>
        <v>0</v>
      </c>
      <c r="BK60" s="163">
        <f t="shared" si="27"/>
        <v>0</v>
      </c>
      <c r="BL60" s="163">
        <f t="shared" si="28"/>
        <v>0</v>
      </c>
      <c r="BM60" s="163">
        <f t="shared" si="29"/>
        <v>0</v>
      </c>
      <c r="BN60" s="163" t="s">
        <v>155</v>
      </c>
      <c r="BO60" s="162" t="str">
        <f t="shared" si="48"/>
        <v/>
      </c>
      <c r="BP60" s="162" t="s">
        <v>517</v>
      </c>
      <c r="BQ60" s="162" t="s">
        <v>156</v>
      </c>
    </row>
    <row r="61" spans="1:70">
      <c r="A61" s="159">
        <f t="shared" si="17"/>
        <v>18</v>
      </c>
      <c r="B61" s="159">
        <f t="shared" si="18"/>
        <v>2</v>
      </c>
      <c r="C61" s="160" t="str">
        <f t="shared" si="0"/>
        <v>1802</v>
      </c>
      <c r="D61" s="159" t="s">
        <v>66</v>
      </c>
      <c r="E61" s="161">
        <v>2008</v>
      </c>
      <c r="F61" s="162" t="s">
        <v>513</v>
      </c>
      <c r="G61" s="162" t="s">
        <v>212</v>
      </c>
      <c r="H61" s="163" t="str">
        <f t="shared" si="43"/>
        <v>UM</v>
      </c>
      <c r="I61" s="163" t="s">
        <v>155</v>
      </c>
      <c r="J61" s="180" t="s">
        <v>367</v>
      </c>
      <c r="K61" s="163" t="s">
        <v>146</v>
      </c>
      <c r="L61" s="163" t="s">
        <v>147</v>
      </c>
      <c r="M61" s="163" t="str">
        <f t="shared" si="19"/>
        <v>PCV7 vs NoVax</v>
      </c>
      <c r="N61" s="159" t="s">
        <v>514</v>
      </c>
      <c r="O61" s="159">
        <v>3</v>
      </c>
      <c r="P61" s="162" t="s">
        <v>148</v>
      </c>
      <c r="Q61" s="162" t="s">
        <v>149</v>
      </c>
      <c r="R61" s="162" t="s">
        <v>150</v>
      </c>
      <c r="S61" s="162" t="s">
        <v>151</v>
      </c>
      <c r="T61" s="159">
        <v>2004</v>
      </c>
      <c r="U61" s="165">
        <v>53</v>
      </c>
      <c r="V61" s="165" t="e">
        <f>IF(ISNUMBER(U61),U61/VLOOKUP($S61,xRates!$A$1:$AA$267,data!$T61-xRates!$B$1+2,FALSE),U61)</f>
        <v>#REF!</v>
      </c>
      <c r="W61" s="162" t="s">
        <v>515</v>
      </c>
      <c r="Y61" s="165"/>
      <c r="AA61" s="163" t="s">
        <v>155</v>
      </c>
      <c r="AB61" s="162"/>
      <c r="AD61" s="163" t="s">
        <v>155</v>
      </c>
      <c r="AE61" s="162" t="str">
        <f t="shared" si="47"/>
        <v/>
      </c>
      <c r="AF61" s="163" t="s">
        <v>148</v>
      </c>
      <c r="AG61" s="163" t="s">
        <v>148</v>
      </c>
      <c r="AH61" s="163" t="s">
        <v>148</v>
      </c>
      <c r="AJ61" s="162"/>
      <c r="AK61" s="162" t="s">
        <v>518</v>
      </c>
      <c r="AL61" s="163" t="s">
        <v>190</v>
      </c>
      <c r="AM61" s="179">
        <v>1546</v>
      </c>
      <c r="AN61" s="179">
        <v>1546</v>
      </c>
      <c r="AO61" s="179">
        <f t="shared" si="44"/>
        <v>4130.1000000000004</v>
      </c>
      <c r="AP61" s="163" t="str">
        <f t="shared" si="32"/>
        <v>Cost-Effective</v>
      </c>
      <c r="AQ61" s="163" t="str">
        <f t="shared" si="20"/>
        <v>Cost-Effective</v>
      </c>
      <c r="AR61" s="167">
        <f t="shared" si="5"/>
        <v>0.37432507687465189</v>
      </c>
      <c r="AS61" s="167" t="str">
        <f t="shared" si="33"/>
        <v>.</v>
      </c>
      <c r="AT61" s="159" t="str">
        <f t="shared" si="21"/>
        <v>.</v>
      </c>
      <c r="AU61" s="167" t="str">
        <f t="shared" si="34"/>
        <v>.</v>
      </c>
      <c r="AV61" s="162" t="str">
        <f t="shared" si="22"/>
        <v>.</v>
      </c>
      <c r="AW61" s="167">
        <f t="shared" si="35"/>
        <v>0.55934380322916721</v>
      </c>
      <c r="AX61" s="159" t="str">
        <f t="shared" si="23"/>
        <v>Cost-Effective</v>
      </c>
      <c r="AY61" s="167">
        <f t="shared" si="36"/>
        <v>0.25070420982420938</v>
      </c>
      <c r="AZ61" s="159" t="str">
        <f t="shared" si="24"/>
        <v>Not Cost-Effective</v>
      </c>
      <c r="BA61" s="167">
        <f t="shared" si="37"/>
        <v>0.96456573604200768</v>
      </c>
      <c r="BB61" s="159" t="str">
        <f t="shared" si="25"/>
        <v>Cost-Effective</v>
      </c>
      <c r="BC61" s="167">
        <f t="shared" si="38"/>
        <v>0.65551459852003691</v>
      </c>
      <c r="BD61" s="159" t="str">
        <f t="shared" si="26"/>
        <v>Cost-Effective</v>
      </c>
      <c r="BE61" s="162" t="s">
        <v>161</v>
      </c>
      <c r="BF61" s="162" t="s">
        <v>382</v>
      </c>
      <c r="BG61" s="168">
        <f t="shared" si="39"/>
        <v>0</v>
      </c>
      <c r="BH61" s="168">
        <f t="shared" si="40"/>
        <v>0</v>
      </c>
      <c r="BI61" s="163">
        <f t="shared" si="41"/>
        <v>1</v>
      </c>
      <c r="BJ61" s="163">
        <f t="shared" si="42"/>
        <v>0</v>
      </c>
      <c r="BK61" s="163">
        <f t="shared" si="27"/>
        <v>0</v>
      </c>
      <c r="BL61" s="163">
        <f t="shared" si="28"/>
        <v>0</v>
      </c>
      <c r="BM61" s="163">
        <f t="shared" si="29"/>
        <v>1</v>
      </c>
      <c r="BN61" s="163" t="s">
        <v>155</v>
      </c>
      <c r="BO61" s="162" t="str">
        <f t="shared" si="48"/>
        <v/>
      </c>
      <c r="BP61" s="162" t="s">
        <v>517</v>
      </c>
      <c r="BQ61" s="162" t="s">
        <v>156</v>
      </c>
    </row>
    <row r="62" spans="1:70">
      <c r="A62" s="159">
        <f t="shared" si="17"/>
        <v>19</v>
      </c>
      <c r="B62" s="159">
        <f t="shared" si="18"/>
        <v>1</v>
      </c>
      <c r="C62" s="160" t="str">
        <f t="shared" si="0"/>
        <v>1901</v>
      </c>
      <c r="D62" s="159" t="s">
        <v>213</v>
      </c>
      <c r="E62" s="161">
        <v>2009</v>
      </c>
      <c r="F62" s="162" t="s">
        <v>519</v>
      </c>
      <c r="G62" s="162" t="s">
        <v>211</v>
      </c>
      <c r="H62" s="163" t="str">
        <f t="shared" si="43"/>
        <v>UM</v>
      </c>
      <c r="I62" s="163" t="s">
        <v>155</v>
      </c>
      <c r="J62" s="180" t="s">
        <v>367</v>
      </c>
      <c r="K62" s="163" t="s">
        <v>146</v>
      </c>
      <c r="L62" s="163" t="s">
        <v>147</v>
      </c>
      <c r="M62" s="163" t="str">
        <f t="shared" si="19"/>
        <v>PCV7 vs NoVax</v>
      </c>
      <c r="N62" s="159" t="s">
        <v>514</v>
      </c>
      <c r="O62" s="159">
        <v>3</v>
      </c>
      <c r="P62" s="162" t="s">
        <v>148</v>
      </c>
      <c r="Q62" s="162" t="s">
        <v>377</v>
      </c>
      <c r="R62" s="162" t="s">
        <v>215</v>
      </c>
      <c r="S62" s="162" t="s">
        <v>211</v>
      </c>
      <c r="T62" s="159">
        <v>2006</v>
      </c>
      <c r="U62" s="165">
        <v>51.12</v>
      </c>
      <c r="V62" s="165" t="e">
        <f>IF(ISNUMBER(U62),U62/VLOOKUP($S62,xRates!$A$1:$AA$267,data!$T62-xRates!$B$1+2,FALSE),U62)</f>
        <v>#REF!</v>
      </c>
      <c r="W62" s="162" t="s">
        <v>515</v>
      </c>
      <c r="Y62" s="165"/>
      <c r="AA62" s="163" t="s">
        <v>155</v>
      </c>
      <c r="AB62" s="162"/>
      <c r="AD62" s="163" t="s">
        <v>155</v>
      </c>
      <c r="AE62" s="162" t="str">
        <f t="shared" si="47"/>
        <v/>
      </c>
      <c r="AF62" s="163" t="s">
        <v>148</v>
      </c>
      <c r="AG62" s="163" t="s">
        <v>148</v>
      </c>
      <c r="AH62" s="163" t="s">
        <v>148</v>
      </c>
      <c r="AJ62" s="162"/>
      <c r="AK62" s="162" t="s">
        <v>520</v>
      </c>
      <c r="AL62" s="163" t="s">
        <v>190</v>
      </c>
      <c r="AM62" s="179">
        <v>4516</v>
      </c>
      <c r="AN62" s="179">
        <f>AM62/xRates!$L$28</f>
        <v>2704.1916167664672</v>
      </c>
      <c r="AO62" s="179">
        <f t="shared" si="44"/>
        <v>5866</v>
      </c>
      <c r="AP62" s="163" t="str">
        <f t="shared" si="32"/>
        <v>Cost-Effective</v>
      </c>
      <c r="AQ62" s="163" t="str">
        <f t="shared" si="20"/>
        <v>Cost-Effective</v>
      </c>
      <c r="AR62" s="167">
        <f t="shared" si="5"/>
        <v>0.46099413855548366</v>
      </c>
      <c r="AS62" s="167">
        <f t="shared" si="33"/>
        <v>1.0900000000000001</v>
      </c>
      <c r="AT62" s="159" t="str">
        <f t="shared" si="21"/>
        <v>Cost-Effective</v>
      </c>
      <c r="AU62" s="167">
        <f t="shared" si="34"/>
        <v>0.71</v>
      </c>
      <c r="AV62" s="162" t="str">
        <f t="shared" si="22"/>
        <v>Cost-Effective</v>
      </c>
      <c r="AW62" s="167">
        <f t="shared" si="35"/>
        <v>0.61540469547909216</v>
      </c>
      <c r="AX62" s="159" t="str">
        <f t="shared" si="23"/>
        <v>Cost-Effective</v>
      </c>
      <c r="AY62" s="167">
        <f t="shared" si="36"/>
        <v>0.19520989346254874</v>
      </c>
      <c r="AZ62" s="159" t="str">
        <f t="shared" si="24"/>
        <v>Not Cost-Effective</v>
      </c>
      <c r="BA62" s="167">
        <f t="shared" si="37"/>
        <v>1.6838320916192782</v>
      </c>
      <c r="BB62" s="159" t="str">
        <f t="shared" si="25"/>
        <v>Cost-Effective</v>
      </c>
      <c r="BC62" s="167">
        <f t="shared" si="38"/>
        <v>0.69788475235435776</v>
      </c>
      <c r="BD62" s="159" t="str">
        <f t="shared" si="26"/>
        <v>Cost-Effective</v>
      </c>
      <c r="BE62" s="162" t="s">
        <v>176</v>
      </c>
      <c r="BF62" s="162" t="s">
        <v>382</v>
      </c>
      <c r="BG62" s="168">
        <f t="shared" si="39"/>
        <v>0</v>
      </c>
      <c r="BH62" s="168">
        <f t="shared" si="40"/>
        <v>0</v>
      </c>
      <c r="BI62" s="163">
        <f t="shared" si="41"/>
        <v>1</v>
      </c>
      <c r="BJ62" s="163">
        <f t="shared" si="42"/>
        <v>0</v>
      </c>
      <c r="BK62" s="163">
        <f t="shared" si="27"/>
        <v>0</v>
      </c>
      <c r="BL62" s="163">
        <f t="shared" si="28"/>
        <v>0</v>
      </c>
      <c r="BM62" s="163">
        <f t="shared" si="29"/>
        <v>1</v>
      </c>
      <c r="BN62" s="163" t="s">
        <v>155</v>
      </c>
      <c r="BO62" s="162" t="str">
        <f t="shared" si="48"/>
        <v/>
      </c>
      <c r="BP62" s="162" t="s">
        <v>521</v>
      </c>
      <c r="BQ62" s="162" t="s">
        <v>163</v>
      </c>
    </row>
    <row r="63" spans="1:70">
      <c r="A63" s="159">
        <f t="shared" si="17"/>
        <v>19</v>
      </c>
      <c r="B63" s="159">
        <f t="shared" si="18"/>
        <v>2</v>
      </c>
      <c r="C63" s="160" t="str">
        <f t="shared" si="0"/>
        <v>1902</v>
      </c>
      <c r="D63" s="159" t="s">
        <v>213</v>
      </c>
      <c r="E63" s="161">
        <v>2009</v>
      </c>
      <c r="F63" s="162" t="s">
        <v>519</v>
      </c>
      <c r="G63" s="162" t="s">
        <v>211</v>
      </c>
      <c r="H63" s="163" t="str">
        <f t="shared" si="43"/>
        <v>UM</v>
      </c>
      <c r="I63" s="163" t="s">
        <v>155</v>
      </c>
      <c r="J63" s="180" t="s">
        <v>367</v>
      </c>
      <c r="K63" s="163" t="s">
        <v>146</v>
      </c>
      <c r="L63" s="163" t="s">
        <v>147</v>
      </c>
      <c r="M63" s="163" t="str">
        <f t="shared" si="19"/>
        <v>PCV7 vs NoVax</v>
      </c>
      <c r="N63" s="159" t="s">
        <v>514</v>
      </c>
      <c r="O63" s="159">
        <v>3</v>
      </c>
      <c r="P63" s="162" t="s">
        <v>148</v>
      </c>
      <c r="Q63" s="162" t="s">
        <v>149</v>
      </c>
      <c r="R63" s="162" t="s">
        <v>215</v>
      </c>
      <c r="S63" s="162" t="s">
        <v>211</v>
      </c>
      <c r="T63" s="159">
        <v>2006</v>
      </c>
      <c r="U63" s="165">
        <v>51.12</v>
      </c>
      <c r="V63" s="165" t="e">
        <f>IF(ISNUMBER(U63),U63/VLOOKUP($S63,xRates!$A$1:$AA$267,data!$T63-xRates!$B$1+2,FALSE),U63)</f>
        <v>#REF!</v>
      </c>
      <c r="W63" s="162" t="s">
        <v>515</v>
      </c>
      <c r="Y63" s="165"/>
      <c r="AA63" s="163" t="s">
        <v>155</v>
      </c>
      <c r="AB63" s="162"/>
      <c r="AD63" s="163" t="s">
        <v>155</v>
      </c>
      <c r="AE63" s="162" t="str">
        <f t="shared" si="47"/>
        <v/>
      </c>
      <c r="AF63" s="163" t="s">
        <v>148</v>
      </c>
      <c r="AG63" s="163" t="s">
        <v>148</v>
      </c>
      <c r="AH63" s="163" t="s">
        <v>148</v>
      </c>
      <c r="AJ63" s="162"/>
      <c r="AK63" s="162" t="s">
        <v>522</v>
      </c>
      <c r="AL63" s="163" t="s">
        <v>190</v>
      </c>
      <c r="AM63" s="179">
        <v>3946</v>
      </c>
      <c r="AN63" s="179">
        <f>AM63/xRates!$L$28</f>
        <v>2362.8742514970063</v>
      </c>
      <c r="AO63" s="179">
        <f t="shared" si="44"/>
        <v>5866</v>
      </c>
      <c r="AP63" s="163" t="str">
        <f t="shared" si="32"/>
        <v>Cost-Effective</v>
      </c>
      <c r="AQ63" s="163" t="str">
        <f t="shared" si="20"/>
        <v>Cost-Effective</v>
      </c>
      <c r="AR63" s="167">
        <f t="shared" si="5"/>
        <v>0.40280843019042045</v>
      </c>
      <c r="AS63" s="167">
        <f t="shared" si="33"/>
        <v>1.0900000000000001</v>
      </c>
      <c r="AT63" s="159" t="str">
        <f t="shared" si="21"/>
        <v>Cost-Effective</v>
      </c>
      <c r="AU63" s="167">
        <f t="shared" si="34"/>
        <v>0.71</v>
      </c>
      <c r="AV63" s="162" t="str">
        <f t="shared" si="22"/>
        <v>Cost-Effective</v>
      </c>
      <c r="AW63" s="167">
        <f t="shared" si="35"/>
        <v>0.61540469547909216</v>
      </c>
      <c r="AX63" s="159" t="str">
        <f t="shared" si="23"/>
        <v>Cost-Effective</v>
      </c>
      <c r="AY63" s="167">
        <f t="shared" si="36"/>
        <v>0.19520989346254874</v>
      </c>
      <c r="AZ63" s="159" t="str">
        <f t="shared" si="24"/>
        <v>Not Cost-Effective</v>
      </c>
      <c r="BA63" s="167">
        <f t="shared" si="37"/>
        <v>1.6838320916192782</v>
      </c>
      <c r="BB63" s="159" t="str">
        <f t="shared" si="25"/>
        <v>Cost-Effective</v>
      </c>
      <c r="BC63" s="167">
        <f t="shared" si="38"/>
        <v>0.69788475235435776</v>
      </c>
      <c r="BD63" s="159" t="str">
        <f t="shared" si="26"/>
        <v>Cost-Effective</v>
      </c>
      <c r="BE63" s="162" t="s">
        <v>176</v>
      </c>
      <c r="BF63" s="162" t="s">
        <v>382</v>
      </c>
      <c r="BG63" s="168">
        <f t="shared" si="39"/>
        <v>0</v>
      </c>
      <c r="BH63" s="168">
        <f t="shared" si="40"/>
        <v>0</v>
      </c>
      <c r="BI63" s="163">
        <f t="shared" si="41"/>
        <v>1</v>
      </c>
      <c r="BJ63" s="163">
        <f t="shared" si="42"/>
        <v>0</v>
      </c>
      <c r="BK63" s="163">
        <f t="shared" si="27"/>
        <v>0</v>
      </c>
      <c r="BL63" s="163">
        <f t="shared" si="28"/>
        <v>0</v>
      </c>
      <c r="BM63" s="163">
        <f t="shared" si="29"/>
        <v>1</v>
      </c>
      <c r="BN63" s="163" t="s">
        <v>155</v>
      </c>
      <c r="BO63" s="162" t="str">
        <f t="shared" si="48"/>
        <v/>
      </c>
      <c r="BP63" s="162" t="s">
        <v>521</v>
      </c>
      <c r="BQ63" s="162" t="s">
        <v>163</v>
      </c>
    </row>
    <row r="64" spans="1:70">
      <c r="A64" s="159">
        <f t="shared" si="17"/>
        <v>19</v>
      </c>
      <c r="B64" s="159">
        <f t="shared" si="18"/>
        <v>3</v>
      </c>
      <c r="C64" s="160" t="str">
        <f t="shared" si="0"/>
        <v>1903</v>
      </c>
      <c r="D64" s="159" t="s">
        <v>213</v>
      </c>
      <c r="E64" s="161">
        <v>2009</v>
      </c>
      <c r="F64" s="162" t="s">
        <v>519</v>
      </c>
      <c r="G64" s="162" t="s">
        <v>211</v>
      </c>
      <c r="H64" s="163" t="str">
        <f t="shared" si="43"/>
        <v>UM</v>
      </c>
      <c r="I64" s="163" t="s">
        <v>155</v>
      </c>
      <c r="J64" s="180" t="s">
        <v>367</v>
      </c>
      <c r="K64" s="163" t="s">
        <v>146</v>
      </c>
      <c r="L64" s="163" t="s">
        <v>147</v>
      </c>
      <c r="M64" s="163" t="str">
        <f t="shared" si="19"/>
        <v>PCV7 vs NoVax</v>
      </c>
      <c r="N64" s="159" t="s">
        <v>514</v>
      </c>
      <c r="O64" s="159">
        <v>3</v>
      </c>
      <c r="P64" s="162" t="s">
        <v>155</v>
      </c>
      <c r="Q64" s="162" t="s">
        <v>149</v>
      </c>
      <c r="R64" s="162" t="s">
        <v>215</v>
      </c>
      <c r="S64" s="162" t="s">
        <v>211</v>
      </c>
      <c r="T64" s="159">
        <v>2006</v>
      </c>
      <c r="U64" s="165">
        <v>51.12</v>
      </c>
      <c r="V64" s="165" t="e">
        <f>IF(ISNUMBER(U64),U64/VLOOKUP($S64,xRates!$A$1:$AA$267,data!$T64-xRates!$B$1+2,FALSE),U64)</f>
        <v>#REF!</v>
      </c>
      <c r="W64" s="162" t="s">
        <v>515</v>
      </c>
      <c r="Y64" s="165"/>
      <c r="AA64" s="163" t="s">
        <v>148</v>
      </c>
      <c r="AB64" s="162" t="s">
        <v>417</v>
      </c>
      <c r="AC64" s="162" t="s">
        <v>148</v>
      </c>
      <c r="AD64" s="163" t="s">
        <v>155</v>
      </c>
      <c r="AE64" s="162" t="str">
        <f t="shared" si="47"/>
        <v/>
      </c>
      <c r="AF64" s="163" t="s">
        <v>148</v>
      </c>
      <c r="AG64" s="163" t="s">
        <v>148</v>
      </c>
      <c r="AH64" s="163" t="s">
        <v>148</v>
      </c>
      <c r="AJ64" s="162"/>
      <c r="AK64" s="162" t="s">
        <v>523</v>
      </c>
      <c r="AL64" s="163" t="s">
        <v>190</v>
      </c>
      <c r="AM64" s="179">
        <v>1302</v>
      </c>
      <c r="AN64" s="179">
        <f>AM64/xRates!$L$28</f>
        <v>779.64071856287433</v>
      </c>
      <c r="AO64" s="179">
        <f t="shared" si="44"/>
        <v>5866</v>
      </c>
      <c r="AP64" s="163" t="str">
        <f t="shared" si="32"/>
        <v>Cost-Effective</v>
      </c>
      <c r="AQ64" s="163" t="str">
        <f t="shared" si="20"/>
        <v>Cost-Effective</v>
      </c>
      <c r="AR64" s="167">
        <f t="shared" si="5"/>
        <v>0.13290840752861818</v>
      </c>
      <c r="AS64" s="167">
        <f t="shared" si="33"/>
        <v>1.0900000000000001</v>
      </c>
      <c r="AT64" s="159" t="str">
        <f t="shared" si="21"/>
        <v>Cost-Effective</v>
      </c>
      <c r="AU64" s="167">
        <f t="shared" si="34"/>
        <v>0.71</v>
      </c>
      <c r="AV64" s="162" t="str">
        <f t="shared" si="22"/>
        <v>Cost-Effective</v>
      </c>
      <c r="AW64" s="167">
        <f t="shared" si="35"/>
        <v>0.61540469547909216</v>
      </c>
      <c r="AX64" s="159" t="str">
        <f t="shared" si="23"/>
        <v>Cost-Effective</v>
      </c>
      <c r="AY64" s="167">
        <f t="shared" si="36"/>
        <v>0.19520989346254874</v>
      </c>
      <c r="AZ64" s="159" t="str">
        <f t="shared" si="24"/>
        <v>Cost-Effective</v>
      </c>
      <c r="BA64" s="167">
        <f t="shared" si="37"/>
        <v>1.6838320916192782</v>
      </c>
      <c r="BB64" s="159" t="str">
        <f t="shared" si="25"/>
        <v>Cost-Effective</v>
      </c>
      <c r="BC64" s="167">
        <f t="shared" si="38"/>
        <v>0.69788475235435776</v>
      </c>
      <c r="BD64" s="159" t="str">
        <f t="shared" si="26"/>
        <v>Cost-Effective</v>
      </c>
      <c r="BE64" s="162" t="s">
        <v>176</v>
      </c>
      <c r="BF64" s="162" t="s">
        <v>382</v>
      </c>
      <c r="BG64" s="168">
        <f t="shared" si="39"/>
        <v>0</v>
      </c>
      <c r="BH64" s="168">
        <f t="shared" si="40"/>
        <v>0</v>
      </c>
      <c r="BI64" s="163">
        <f t="shared" si="41"/>
        <v>0</v>
      </c>
      <c r="BJ64" s="163">
        <f t="shared" si="42"/>
        <v>0</v>
      </c>
      <c r="BK64" s="163">
        <f t="shared" si="27"/>
        <v>0</v>
      </c>
      <c r="BL64" s="163">
        <f t="shared" si="28"/>
        <v>0</v>
      </c>
      <c r="BM64" s="163">
        <f t="shared" si="29"/>
        <v>0</v>
      </c>
      <c r="BN64" s="163" t="s">
        <v>155</v>
      </c>
      <c r="BO64" s="162" t="str">
        <f t="shared" si="48"/>
        <v/>
      </c>
      <c r="BP64" s="162" t="s">
        <v>521</v>
      </c>
      <c r="BQ64" s="162" t="s">
        <v>163</v>
      </c>
    </row>
    <row r="65" spans="1:70">
      <c r="A65" s="159">
        <f t="shared" si="17"/>
        <v>19</v>
      </c>
      <c r="B65" s="159">
        <f t="shared" si="18"/>
        <v>4</v>
      </c>
      <c r="C65" s="160" t="str">
        <f t="shared" si="0"/>
        <v>1904</v>
      </c>
      <c r="D65" s="159" t="s">
        <v>213</v>
      </c>
      <c r="E65" s="161">
        <v>2009</v>
      </c>
      <c r="F65" s="162" t="s">
        <v>519</v>
      </c>
      <c r="G65" s="162" t="s">
        <v>211</v>
      </c>
      <c r="H65" s="163" t="str">
        <f t="shared" si="43"/>
        <v>UM</v>
      </c>
      <c r="I65" s="163" t="s">
        <v>155</v>
      </c>
      <c r="J65" s="180" t="s">
        <v>367</v>
      </c>
      <c r="K65" s="163" t="s">
        <v>146</v>
      </c>
      <c r="L65" s="163" t="s">
        <v>147</v>
      </c>
      <c r="M65" s="163" t="str">
        <f t="shared" si="19"/>
        <v>PCV7 vs NoVax</v>
      </c>
      <c r="N65" s="159" t="s">
        <v>514</v>
      </c>
      <c r="O65" s="159">
        <v>3</v>
      </c>
      <c r="P65" s="162" t="s">
        <v>155</v>
      </c>
      <c r="Q65" s="162" t="s">
        <v>377</v>
      </c>
      <c r="R65" s="162" t="s">
        <v>215</v>
      </c>
      <c r="S65" s="162" t="s">
        <v>211</v>
      </c>
      <c r="T65" s="159">
        <v>2006</v>
      </c>
      <c r="U65" s="165">
        <v>51.12</v>
      </c>
      <c r="V65" s="165" t="e">
        <f>IF(ISNUMBER(U65),U65/VLOOKUP($S65,xRates!$A$1:$AA$267,data!$T65-xRates!$B$1+2,FALSE),U65)</f>
        <v>#REF!</v>
      </c>
      <c r="W65" s="162" t="s">
        <v>515</v>
      </c>
      <c r="Y65" s="165"/>
      <c r="AA65" s="163" t="s">
        <v>148</v>
      </c>
      <c r="AB65" s="162" t="s">
        <v>417</v>
      </c>
      <c r="AC65" s="162" t="s">
        <v>148</v>
      </c>
      <c r="AD65" s="163" t="s">
        <v>155</v>
      </c>
      <c r="AE65" s="162" t="str">
        <f t="shared" si="47"/>
        <v/>
      </c>
      <c r="AF65" s="163" t="s">
        <v>148</v>
      </c>
      <c r="AG65" s="163" t="s">
        <v>148</v>
      </c>
      <c r="AH65" s="163" t="s">
        <v>148</v>
      </c>
      <c r="AJ65" s="162"/>
      <c r="AK65" s="162" t="s">
        <v>524</v>
      </c>
      <c r="AL65" s="163" t="s">
        <v>190</v>
      </c>
      <c r="AM65" s="179">
        <v>1490</v>
      </c>
      <c r="AN65" s="179">
        <f>AM65/xRates!$L$28</f>
        <v>892.21556886227552</v>
      </c>
      <c r="AO65" s="179">
        <f t="shared" si="44"/>
        <v>5866</v>
      </c>
      <c r="AP65" s="163" t="str">
        <f t="shared" si="32"/>
        <v>Cost-Effective</v>
      </c>
      <c r="AQ65" s="163" t="str">
        <f t="shared" si="20"/>
        <v>Cost-Effective</v>
      </c>
      <c r="AR65" s="167">
        <f t="shared" si="5"/>
        <v>0.15209948327007766</v>
      </c>
      <c r="AS65" s="167">
        <f t="shared" si="33"/>
        <v>1.0900000000000001</v>
      </c>
      <c r="AT65" s="159" t="str">
        <f t="shared" si="21"/>
        <v>Cost-Effective</v>
      </c>
      <c r="AU65" s="167">
        <f t="shared" si="34"/>
        <v>0.71</v>
      </c>
      <c r="AV65" s="162" t="str">
        <f t="shared" si="22"/>
        <v>Cost-Effective</v>
      </c>
      <c r="AW65" s="167">
        <f t="shared" si="35"/>
        <v>0.61540469547909216</v>
      </c>
      <c r="AX65" s="159" t="str">
        <f t="shared" si="23"/>
        <v>Cost-Effective</v>
      </c>
      <c r="AY65" s="167">
        <f t="shared" si="36"/>
        <v>0.19520989346254874</v>
      </c>
      <c r="AZ65" s="159" t="str">
        <f t="shared" si="24"/>
        <v>Cost-Effective</v>
      </c>
      <c r="BA65" s="167">
        <f t="shared" si="37"/>
        <v>1.6838320916192782</v>
      </c>
      <c r="BB65" s="159" t="str">
        <f t="shared" si="25"/>
        <v>Cost-Effective</v>
      </c>
      <c r="BC65" s="167">
        <f t="shared" si="38"/>
        <v>0.69788475235435776</v>
      </c>
      <c r="BD65" s="159" t="str">
        <f t="shared" si="26"/>
        <v>Cost-Effective</v>
      </c>
      <c r="BE65" s="162" t="s">
        <v>176</v>
      </c>
      <c r="BF65" s="162" t="s">
        <v>382</v>
      </c>
      <c r="BG65" s="168">
        <f t="shared" si="39"/>
        <v>0</v>
      </c>
      <c r="BH65" s="168">
        <f t="shared" si="40"/>
        <v>0</v>
      </c>
      <c r="BI65" s="163">
        <f t="shared" si="41"/>
        <v>0</v>
      </c>
      <c r="BJ65" s="163">
        <f t="shared" si="42"/>
        <v>0</v>
      </c>
      <c r="BK65" s="163">
        <f t="shared" si="27"/>
        <v>0</v>
      </c>
      <c r="BL65" s="163">
        <f t="shared" si="28"/>
        <v>0</v>
      </c>
      <c r="BM65" s="163">
        <f t="shared" si="29"/>
        <v>0</v>
      </c>
      <c r="BN65" s="163" t="s">
        <v>155</v>
      </c>
      <c r="BO65" s="162" t="str">
        <f t="shared" si="48"/>
        <v/>
      </c>
      <c r="BP65" s="162" t="s">
        <v>521</v>
      </c>
      <c r="BQ65" s="162" t="s">
        <v>163</v>
      </c>
    </row>
    <row r="66" spans="1:70">
      <c r="A66" s="159">
        <f t="shared" si="17"/>
        <v>19</v>
      </c>
      <c r="B66" s="159">
        <f t="shared" si="18"/>
        <v>5</v>
      </c>
      <c r="C66" s="160" t="str">
        <f t="shared" ref="C66:C129" si="49">_xlfn.CONCAT(TEXT(A66,"00"),TEXT(B66,"00"))</f>
        <v>1905</v>
      </c>
      <c r="D66" s="159" t="s">
        <v>213</v>
      </c>
      <c r="E66" s="161">
        <v>2009</v>
      </c>
      <c r="F66" s="162" t="s">
        <v>519</v>
      </c>
      <c r="G66" s="162" t="s">
        <v>211</v>
      </c>
      <c r="H66" s="163" t="str">
        <f t="shared" si="43"/>
        <v>UM</v>
      </c>
      <c r="I66" s="163" t="s">
        <v>155</v>
      </c>
      <c r="J66" s="180" t="s">
        <v>367</v>
      </c>
      <c r="K66" s="163" t="s">
        <v>146</v>
      </c>
      <c r="L66" s="163" t="s">
        <v>147</v>
      </c>
      <c r="M66" s="163" t="str">
        <f t="shared" si="19"/>
        <v>PCV7 vs NoVax</v>
      </c>
      <c r="N66" s="159" t="s">
        <v>376</v>
      </c>
      <c r="O66" s="159">
        <v>4</v>
      </c>
      <c r="P66" s="162" t="s">
        <v>148</v>
      </c>
      <c r="Q66" s="162" t="s">
        <v>377</v>
      </c>
      <c r="R66" s="162" t="s">
        <v>215</v>
      </c>
      <c r="S66" s="162" t="s">
        <v>211</v>
      </c>
      <c r="T66" s="159">
        <v>2006</v>
      </c>
      <c r="U66" s="165">
        <v>51.12</v>
      </c>
      <c r="V66" s="165" t="e">
        <f>IF(ISNUMBER(U66),U66/VLOOKUP($S66,xRates!$A$1:$AA$267,data!$T66-xRates!$B$1+2,FALSE),U66)</f>
        <v>#REF!</v>
      </c>
      <c r="W66" s="162" t="s">
        <v>515</v>
      </c>
      <c r="Y66" s="165"/>
      <c r="AA66" s="163" t="s">
        <v>155</v>
      </c>
      <c r="AB66" s="162"/>
      <c r="AD66" s="163" t="s">
        <v>155</v>
      </c>
      <c r="AE66" s="162" t="str">
        <f t="shared" si="47"/>
        <v/>
      </c>
      <c r="AF66" s="163" t="s">
        <v>148</v>
      </c>
      <c r="AG66" s="163" t="s">
        <v>148</v>
      </c>
      <c r="AH66" s="163" t="s">
        <v>148</v>
      </c>
      <c r="AJ66" s="162"/>
      <c r="AK66" s="162" t="s">
        <v>525</v>
      </c>
      <c r="AL66" s="163" t="s">
        <v>190</v>
      </c>
      <c r="AM66" s="179">
        <v>5973</v>
      </c>
      <c r="AN66" s="179">
        <f>AM66/xRates!$L$28</f>
        <v>3576.6467065868264</v>
      </c>
      <c r="AO66" s="179">
        <f t="shared" si="44"/>
        <v>5866</v>
      </c>
      <c r="AP66" s="163" t="str">
        <f t="shared" si="32"/>
        <v>Cost-Effective</v>
      </c>
      <c r="AQ66" s="163" t="str">
        <f t="shared" si="20"/>
        <v>Cost-Effective</v>
      </c>
      <c r="AR66" s="167">
        <f t="shared" ref="AR66:AR128" si="50">IFERROR(AN66/AO66,".")</f>
        <v>0.6097249755517945</v>
      </c>
      <c r="AS66" s="167">
        <f t="shared" ref="AS66:AS97" si="51">IFERROR(VLOOKUP(G66,ochalek,11,FALSE),".")</f>
        <v>1.0900000000000001</v>
      </c>
      <c r="AT66" s="159" t="str">
        <f t="shared" si="21"/>
        <v>Cost-Effective</v>
      </c>
      <c r="AU66" s="167">
        <f t="shared" ref="AU66:AU97" si="52">IFERROR(VLOOKUP(G66,ochalek,10,FALSE),".")</f>
        <v>0.71</v>
      </c>
      <c r="AV66" s="162" t="str">
        <f t="shared" si="22"/>
        <v>Cost-Effective</v>
      </c>
      <c r="AW66" s="167">
        <f t="shared" ref="AW66:AW97" si="53">IFERROR(VLOOKUP(G66,woods,6,FALSE),".")</f>
        <v>0.61540469547909216</v>
      </c>
      <c r="AX66" s="159" t="str">
        <f t="shared" si="23"/>
        <v>Cost-Effective</v>
      </c>
      <c r="AY66" s="167">
        <f t="shared" ref="AY66:AY97" si="54">IFERROR(VLOOKUP(G66,woods,5,FALSE),".")</f>
        <v>0.19520989346254874</v>
      </c>
      <c r="AZ66" s="159" t="str">
        <f t="shared" si="24"/>
        <v>Not Cost-Effective</v>
      </c>
      <c r="BA66" s="167">
        <f t="shared" ref="BA66:BA97" si="55">IFERROR(VLOOKUP(G66,riviere,8,FALSE),".")</f>
        <v>1.6838320916192782</v>
      </c>
      <c r="BB66" s="159" t="str">
        <f t="shared" si="25"/>
        <v>Cost-Effective</v>
      </c>
      <c r="BC66" s="167">
        <f t="shared" ref="BC66:BC97" si="56">IFERROR(VLOOKUP(G66,riviere,7,FALSE),".")</f>
        <v>0.69788475235435776</v>
      </c>
      <c r="BD66" s="159" t="str">
        <f t="shared" si="26"/>
        <v>Cost-Effective</v>
      </c>
      <c r="BE66" s="162" t="s">
        <v>176</v>
      </c>
      <c r="BF66" s="162" t="s">
        <v>382</v>
      </c>
      <c r="BG66" s="168">
        <f t="shared" ref="BG66:BG97" si="57">IF(BF66="Cost-Effective",IF(AV66="Not Cost-Effective",1,0),".")</f>
        <v>0</v>
      </c>
      <c r="BH66" s="168">
        <f t="shared" ref="BH66:BH97" si="58">IF(BF66="Cost-Effective",IF(AT66="Not Cost-Effective",1,0),".")</f>
        <v>0</v>
      </c>
      <c r="BI66" s="163">
        <f t="shared" ref="BI66:BI97" si="59">IF(BF66="Cost-Effective",IF(AZ66="Not Cost-Effective",1,0),".")</f>
        <v>1</v>
      </c>
      <c r="BJ66" s="163">
        <f t="shared" ref="BJ66:BJ97" si="60">IF(BF66="Cost-Effective",IF(AX66="Not Cost-Effective",1,0),".")</f>
        <v>0</v>
      </c>
      <c r="BK66" s="163">
        <f t="shared" si="27"/>
        <v>0</v>
      </c>
      <c r="BL66" s="163">
        <f t="shared" si="28"/>
        <v>0</v>
      </c>
      <c r="BM66" s="163">
        <f t="shared" si="29"/>
        <v>1</v>
      </c>
      <c r="BN66" s="163" t="s">
        <v>155</v>
      </c>
      <c r="BO66" s="162" t="str">
        <f t="shared" si="48"/>
        <v/>
      </c>
      <c r="BP66" s="162" t="s">
        <v>521</v>
      </c>
      <c r="BQ66" s="162" t="s">
        <v>163</v>
      </c>
    </row>
    <row r="67" spans="1:70">
      <c r="A67" s="159">
        <f t="shared" ref="A67:A130" si="61">IF(F67=F66,A66,A66+1)</f>
        <v>19</v>
      </c>
      <c r="B67" s="159">
        <f t="shared" ref="B67:B130" si="62">IF(F67=F66,B66+1,1)</f>
        <v>6</v>
      </c>
      <c r="C67" s="160" t="str">
        <f t="shared" si="49"/>
        <v>1906</v>
      </c>
      <c r="D67" s="159" t="s">
        <v>213</v>
      </c>
      <c r="E67" s="161">
        <v>2009</v>
      </c>
      <c r="F67" s="162" t="s">
        <v>519</v>
      </c>
      <c r="G67" s="162" t="s">
        <v>211</v>
      </c>
      <c r="H67" s="163" t="str">
        <f t="shared" ref="H67:H98" si="63">VLOOKUP(G67,income,T67-1985,FALSE)</f>
        <v>UM</v>
      </c>
      <c r="I67" s="163" t="s">
        <v>155</v>
      </c>
      <c r="J67" s="180" t="s">
        <v>367</v>
      </c>
      <c r="K67" s="163" t="s">
        <v>146</v>
      </c>
      <c r="L67" s="163" t="s">
        <v>147</v>
      </c>
      <c r="M67" s="163" t="str">
        <f t="shared" ref="M67:M130" si="64">_xlfn.CONCAT(K67, " vs ", L67)</f>
        <v>PCV7 vs NoVax</v>
      </c>
      <c r="N67" s="159" t="s">
        <v>376</v>
      </c>
      <c r="O67" s="159">
        <v>4</v>
      </c>
      <c r="P67" s="162" t="s">
        <v>148</v>
      </c>
      <c r="Q67" s="162" t="s">
        <v>149</v>
      </c>
      <c r="R67" s="162" t="s">
        <v>215</v>
      </c>
      <c r="S67" s="162" t="s">
        <v>211</v>
      </c>
      <c r="T67" s="159">
        <v>2006</v>
      </c>
      <c r="U67" s="165">
        <v>51.12</v>
      </c>
      <c r="V67" s="165" t="e">
        <f>IF(ISNUMBER(U67),U67/VLOOKUP($S67,xRates!$A$1:$AA$267,data!$T67-xRates!$B$1+2,FALSE),U67)</f>
        <v>#REF!</v>
      </c>
      <c r="W67" s="162" t="s">
        <v>515</v>
      </c>
      <c r="Y67" s="165"/>
      <c r="AA67" s="163" t="s">
        <v>155</v>
      </c>
      <c r="AB67" s="162"/>
      <c r="AD67" s="163" t="s">
        <v>155</v>
      </c>
      <c r="AE67" s="162" t="str">
        <f t="shared" si="47"/>
        <v/>
      </c>
      <c r="AF67" s="163" t="s">
        <v>148</v>
      </c>
      <c r="AG67" s="163" t="s">
        <v>148</v>
      </c>
      <c r="AH67" s="163" t="s">
        <v>148</v>
      </c>
      <c r="AJ67" s="162"/>
      <c r="AK67" s="162" t="s">
        <v>526</v>
      </c>
      <c r="AL67" s="163" t="s">
        <v>190</v>
      </c>
      <c r="AM67" s="179">
        <v>5403</v>
      </c>
      <c r="AN67" s="179">
        <f>AM67/xRates!$L$28</f>
        <v>3235.3293413173656</v>
      </c>
      <c r="AO67" s="179">
        <f t="shared" ref="AO67:AO98" si="65">VLOOKUP(G67,gdppc,T67-1958,FALSE)</f>
        <v>5866</v>
      </c>
      <c r="AP67" s="163" t="str">
        <f t="shared" si="32"/>
        <v>Cost-Effective</v>
      </c>
      <c r="AQ67" s="163" t="str">
        <f t="shared" ref="AQ67:AQ129" si="66">IF(AN67="NA", ".", IF(AN67&lt;0,"Cost-Saving",IF(AN67&lt;=AO67*3,"Cost-Effective",IF(AN67&gt;AO67*3&amp;AN67&lt;&gt;"NA","Not Cost-Effective","Missing"))))</f>
        <v>Cost-Effective</v>
      </c>
      <c r="AR67" s="167">
        <f t="shared" si="50"/>
        <v>0.5515392671867313</v>
      </c>
      <c r="AS67" s="167">
        <f t="shared" si="51"/>
        <v>1.0900000000000001</v>
      </c>
      <c r="AT67" s="159" t="str">
        <f t="shared" ref="AT67:AT130" si="67">IF(AR67&lt;0,"Cost-Saving", IF(AS67=".", ".", IF(AR67&lt;AS67, "Cost-Effective", "Not Cost-Effective")))</f>
        <v>Cost-Effective</v>
      </c>
      <c r="AU67" s="167">
        <f t="shared" si="52"/>
        <v>0.71</v>
      </c>
      <c r="AV67" s="162" t="str">
        <f t="shared" ref="AV67:AV130" si="68">IF(AR67&lt;0,"Cost-Saving", IF(AU67=".", ".", IF(AR67&lt;AU67, "Cost-Effective", "Not Cost-Effective")))</f>
        <v>Cost-Effective</v>
      </c>
      <c r="AW67" s="167">
        <f t="shared" si="53"/>
        <v>0.61540469547909216</v>
      </c>
      <c r="AX67" s="159" t="str">
        <f t="shared" ref="AX67:AX130" si="69">IF(AR67&lt;0,"Cost-Saving", IF(AW67=".", ".", IF(AR67&lt;AW67, "Cost-Effective", "Not Cost-Effective")))</f>
        <v>Cost-Effective</v>
      </c>
      <c r="AY67" s="167">
        <f t="shared" si="54"/>
        <v>0.19520989346254874</v>
      </c>
      <c r="AZ67" s="159" t="str">
        <f t="shared" ref="AZ67:AZ130" si="70">IF(AR67&lt;0,"Cost-Saving", IF(AY67=".", ".", IF(AR67&lt;AY67, "Cost-Effective", "Not Cost-Effective")))</f>
        <v>Not Cost-Effective</v>
      </c>
      <c r="BA67" s="167">
        <f t="shared" si="55"/>
        <v>1.6838320916192782</v>
      </c>
      <c r="BB67" s="159" t="str">
        <f t="shared" ref="BB67:BB130" si="71">IF(AR67&lt;0,"Cost-Saving", IF(BA67=".", ".", IF(AR67&lt;BA67, "Cost-Effective", "Not Cost-Effective")))</f>
        <v>Cost-Effective</v>
      </c>
      <c r="BC67" s="167">
        <f t="shared" si="56"/>
        <v>0.69788475235435776</v>
      </c>
      <c r="BD67" s="159" t="str">
        <f t="shared" ref="BD67:BD130" si="72">IF(AR67&lt;0,"Cost-Saving", IF(BC67=".", ".", IF(AR67&lt;BC67, "Cost-Effective", "Not Cost-Effective")))</f>
        <v>Cost-Effective</v>
      </c>
      <c r="BE67" s="162" t="s">
        <v>176</v>
      </c>
      <c r="BF67" s="162" t="s">
        <v>382</v>
      </c>
      <c r="BG67" s="168">
        <f t="shared" si="57"/>
        <v>0</v>
      </c>
      <c r="BH67" s="168">
        <f t="shared" si="58"/>
        <v>0</v>
      </c>
      <c r="BI67" s="163">
        <f t="shared" si="59"/>
        <v>1</v>
      </c>
      <c r="BJ67" s="163">
        <f t="shared" si="60"/>
        <v>0</v>
      </c>
      <c r="BK67" s="163">
        <f t="shared" ref="BK67:BK130" si="73">IF(BF67="Cost-Effective",IF(BD67="Not Cost-Effective",1,0),".")</f>
        <v>0</v>
      </c>
      <c r="BL67" s="163">
        <f t="shared" ref="BL67:BL130" si="74">IF(BF67="Cost-Effective",IF(BB67="Not Cost-Effective",1,0),".")</f>
        <v>0</v>
      </c>
      <c r="BM67" s="163">
        <f t="shared" ref="BM67:BM130" si="75">SUM(BG67:BL67)</f>
        <v>1</v>
      </c>
      <c r="BN67" s="163" t="s">
        <v>155</v>
      </c>
      <c r="BO67" s="162" t="str">
        <f t="shared" si="48"/>
        <v/>
      </c>
      <c r="BP67" s="162" t="s">
        <v>521</v>
      </c>
      <c r="BQ67" s="162" t="s">
        <v>163</v>
      </c>
    </row>
    <row r="68" spans="1:70">
      <c r="A68" s="159">
        <f t="shared" si="61"/>
        <v>20</v>
      </c>
      <c r="B68" s="159">
        <f t="shared" si="62"/>
        <v>1</v>
      </c>
      <c r="C68" s="160" t="str">
        <f t="shared" si="49"/>
        <v>2001</v>
      </c>
      <c r="D68" s="159" t="s">
        <v>38</v>
      </c>
      <c r="E68" s="161">
        <v>2010</v>
      </c>
      <c r="F68" s="162" t="s">
        <v>527</v>
      </c>
      <c r="G68" s="162" t="s">
        <v>217</v>
      </c>
      <c r="H68" s="163" t="str">
        <f t="shared" si="63"/>
        <v>L</v>
      </c>
      <c r="I68" s="163" t="s">
        <v>155</v>
      </c>
      <c r="J68" s="180" t="s">
        <v>528</v>
      </c>
      <c r="K68" s="163" t="s">
        <v>218</v>
      </c>
      <c r="L68" s="163" t="s">
        <v>147</v>
      </c>
      <c r="M68" s="163" t="str">
        <f t="shared" si="64"/>
        <v>PCV9 vs NoVax</v>
      </c>
      <c r="N68" s="159" t="s">
        <v>514</v>
      </c>
      <c r="O68" s="159">
        <v>3</v>
      </c>
      <c r="P68" s="162" t="s">
        <v>148</v>
      </c>
      <c r="Q68" s="162" t="s">
        <v>149</v>
      </c>
      <c r="R68" s="162" t="s">
        <v>150</v>
      </c>
      <c r="S68" s="162" t="s">
        <v>151</v>
      </c>
      <c r="T68" s="159">
        <v>2005</v>
      </c>
      <c r="U68" s="165">
        <v>3.5</v>
      </c>
      <c r="V68" s="165" t="e">
        <f>IF(ISNUMBER(U68),U68/VLOOKUP($S68,xRates!$A$1:$AA$267,data!$T68-xRates!$B$1+2,FALSE),U68)</f>
        <v>#REF!</v>
      </c>
      <c r="W68" s="162" t="s">
        <v>529</v>
      </c>
      <c r="Y68" s="165"/>
      <c r="AA68" s="163" t="s">
        <v>155</v>
      </c>
      <c r="AB68" s="162"/>
      <c r="AD68" s="163" t="s">
        <v>155</v>
      </c>
      <c r="AE68" s="162" t="str">
        <f t="shared" si="47"/>
        <v/>
      </c>
      <c r="AF68" s="163" t="s">
        <v>148</v>
      </c>
      <c r="AG68" s="163" t="s">
        <v>148</v>
      </c>
      <c r="AH68" s="163" t="s">
        <v>155</v>
      </c>
      <c r="AJ68" s="162"/>
      <c r="AK68" s="162" t="s">
        <v>530</v>
      </c>
      <c r="AL68" s="163" t="s">
        <v>190</v>
      </c>
      <c r="AM68" s="179">
        <v>670</v>
      </c>
      <c r="AN68" s="179">
        <v>670</v>
      </c>
      <c r="AO68" s="179">
        <f t="shared" si="65"/>
        <v>619</v>
      </c>
      <c r="AP68" s="163" t="str">
        <f t="shared" si="32"/>
        <v>Not Cost-Effective</v>
      </c>
      <c r="AQ68" s="163" t="str">
        <f t="shared" si="66"/>
        <v>Cost-Effective</v>
      </c>
      <c r="AR68" s="167">
        <f t="shared" si="50"/>
        <v>1.0823909531502423</v>
      </c>
      <c r="AS68" s="167">
        <f t="shared" si="51"/>
        <v>0.69</v>
      </c>
      <c r="AT68" s="159" t="str">
        <f t="shared" si="67"/>
        <v>Not Cost-Effective</v>
      </c>
      <c r="AU68" s="167">
        <f t="shared" si="52"/>
        <v>0.52</v>
      </c>
      <c r="AV68" s="162" t="str">
        <f t="shared" si="68"/>
        <v>Not Cost-Effective</v>
      </c>
      <c r="AW68" s="167">
        <f t="shared" si="53"/>
        <v>0.38924930491195553</v>
      </c>
      <c r="AX68" s="159" t="str">
        <f t="shared" si="69"/>
        <v>Not Cost-Effective</v>
      </c>
      <c r="AY68" s="167">
        <f t="shared" si="54"/>
        <v>1.8535681186283598E-2</v>
      </c>
      <c r="AZ68" s="159" t="str">
        <f t="shared" si="70"/>
        <v>Not Cost-Effective</v>
      </c>
      <c r="BA68" s="167">
        <f t="shared" si="55"/>
        <v>0.27251348734264769</v>
      </c>
      <c r="BB68" s="159" t="str">
        <f t="shared" si="71"/>
        <v>Not Cost-Effective</v>
      </c>
      <c r="BC68" s="167">
        <f t="shared" si="56"/>
        <v>5.3949370590676442E-2</v>
      </c>
      <c r="BD68" s="159" t="str">
        <f t="shared" si="72"/>
        <v>Not Cost-Effective</v>
      </c>
      <c r="BE68" s="162" t="s">
        <v>161</v>
      </c>
      <c r="BF68" s="162" t="s">
        <v>382</v>
      </c>
      <c r="BG68" s="168">
        <f t="shared" si="57"/>
        <v>1</v>
      </c>
      <c r="BH68" s="168">
        <f t="shared" si="58"/>
        <v>1</v>
      </c>
      <c r="BI68" s="163">
        <f t="shared" si="59"/>
        <v>1</v>
      </c>
      <c r="BJ68" s="163">
        <f t="shared" si="60"/>
        <v>1</v>
      </c>
      <c r="BK68" s="163">
        <f t="shared" si="73"/>
        <v>1</v>
      </c>
      <c r="BL68" s="163">
        <f t="shared" si="74"/>
        <v>1</v>
      </c>
      <c r="BM68" s="163">
        <f t="shared" si="75"/>
        <v>6</v>
      </c>
      <c r="BN68" s="163" t="s">
        <v>155</v>
      </c>
      <c r="BO68" s="162" t="str">
        <f t="shared" si="48"/>
        <v/>
      </c>
      <c r="BP68" s="162" t="s">
        <v>531</v>
      </c>
      <c r="BQ68" s="162" t="s">
        <v>156</v>
      </c>
    </row>
    <row r="69" spans="1:70">
      <c r="A69" s="159">
        <f t="shared" si="61"/>
        <v>20</v>
      </c>
      <c r="B69" s="159">
        <f t="shared" si="62"/>
        <v>2</v>
      </c>
      <c r="C69" s="160" t="str">
        <f t="shared" si="49"/>
        <v>2002</v>
      </c>
      <c r="D69" s="159" t="s">
        <v>38</v>
      </c>
      <c r="E69" s="161">
        <v>2010</v>
      </c>
      <c r="F69" s="162" t="s">
        <v>527</v>
      </c>
      <c r="G69" s="162" t="s">
        <v>217</v>
      </c>
      <c r="H69" s="163" t="str">
        <f t="shared" si="63"/>
        <v>L</v>
      </c>
      <c r="I69" s="163" t="s">
        <v>155</v>
      </c>
      <c r="J69" s="180" t="s">
        <v>367</v>
      </c>
      <c r="K69" s="163" t="s">
        <v>146</v>
      </c>
      <c r="L69" s="163" t="s">
        <v>147</v>
      </c>
      <c r="M69" s="163" t="str">
        <f t="shared" si="64"/>
        <v>PCV7 vs NoVax</v>
      </c>
      <c r="N69" s="159" t="s">
        <v>514</v>
      </c>
      <c r="O69" s="159">
        <v>3</v>
      </c>
      <c r="P69" s="162" t="s">
        <v>148</v>
      </c>
      <c r="Q69" s="162" t="s">
        <v>149</v>
      </c>
      <c r="R69" s="162" t="s">
        <v>150</v>
      </c>
      <c r="S69" s="162" t="s">
        <v>151</v>
      </c>
      <c r="T69" s="159">
        <v>2005</v>
      </c>
      <c r="U69" s="165">
        <v>3.5</v>
      </c>
      <c r="V69" s="165" t="e">
        <f>IF(ISNUMBER(U69),U69/VLOOKUP($S69,xRates!$A$1:$AA$267,data!$T69-xRates!$B$1+2,FALSE),U69)</f>
        <v>#REF!</v>
      </c>
      <c r="W69" s="162" t="s">
        <v>529</v>
      </c>
      <c r="Y69" s="165"/>
      <c r="AA69" s="163" t="s">
        <v>155</v>
      </c>
      <c r="AB69" s="162"/>
      <c r="AD69" s="163" t="s">
        <v>155</v>
      </c>
      <c r="AE69" s="162" t="str">
        <f t="shared" si="47"/>
        <v/>
      </c>
      <c r="AF69" s="163" t="s">
        <v>148</v>
      </c>
      <c r="AG69" s="163" t="s">
        <v>148</v>
      </c>
      <c r="AH69" s="163" t="s">
        <v>155</v>
      </c>
      <c r="AJ69" s="162"/>
      <c r="AK69" s="162" t="s">
        <v>532</v>
      </c>
      <c r="AL69" s="163" t="s">
        <v>190</v>
      </c>
      <c r="AM69" s="179">
        <v>910</v>
      </c>
      <c r="AN69" s="179">
        <v>910</v>
      </c>
      <c r="AO69" s="179">
        <f t="shared" si="65"/>
        <v>619</v>
      </c>
      <c r="AP69" s="163" t="str">
        <f t="shared" si="32"/>
        <v>Not Cost-Effective</v>
      </c>
      <c r="AQ69" s="163" t="str">
        <f t="shared" si="66"/>
        <v>Cost-Effective</v>
      </c>
      <c r="AR69" s="167">
        <f t="shared" si="50"/>
        <v>1.4701130856219708</v>
      </c>
      <c r="AS69" s="167">
        <f t="shared" si="51"/>
        <v>0.69</v>
      </c>
      <c r="AT69" s="159" t="str">
        <f t="shared" si="67"/>
        <v>Not Cost-Effective</v>
      </c>
      <c r="AU69" s="167">
        <f t="shared" si="52"/>
        <v>0.52</v>
      </c>
      <c r="AV69" s="162" t="str">
        <f t="shared" si="68"/>
        <v>Not Cost-Effective</v>
      </c>
      <c r="AW69" s="167">
        <f t="shared" si="53"/>
        <v>0.38924930491195553</v>
      </c>
      <c r="AX69" s="159" t="str">
        <f t="shared" si="69"/>
        <v>Not Cost-Effective</v>
      </c>
      <c r="AY69" s="167">
        <f t="shared" si="54"/>
        <v>1.8535681186283598E-2</v>
      </c>
      <c r="AZ69" s="159" t="str">
        <f t="shared" si="70"/>
        <v>Not Cost-Effective</v>
      </c>
      <c r="BA69" s="167">
        <f t="shared" si="55"/>
        <v>0.27251348734264769</v>
      </c>
      <c r="BB69" s="159" t="str">
        <f t="shared" si="71"/>
        <v>Not Cost-Effective</v>
      </c>
      <c r="BC69" s="167">
        <f t="shared" si="56"/>
        <v>5.3949370590676442E-2</v>
      </c>
      <c r="BD69" s="159" t="str">
        <f t="shared" si="72"/>
        <v>Not Cost-Effective</v>
      </c>
      <c r="BE69" s="162" t="s">
        <v>161</v>
      </c>
      <c r="BF69" s="162" t="s">
        <v>382</v>
      </c>
      <c r="BG69" s="168">
        <f t="shared" si="57"/>
        <v>1</v>
      </c>
      <c r="BH69" s="168">
        <f t="shared" si="58"/>
        <v>1</v>
      </c>
      <c r="BI69" s="163">
        <f t="shared" si="59"/>
        <v>1</v>
      </c>
      <c r="BJ69" s="163">
        <f t="shared" si="60"/>
        <v>1</v>
      </c>
      <c r="BK69" s="163">
        <f t="shared" si="73"/>
        <v>1</v>
      </c>
      <c r="BL69" s="163">
        <f t="shared" si="74"/>
        <v>1</v>
      </c>
      <c r="BM69" s="163">
        <f t="shared" si="75"/>
        <v>6</v>
      </c>
      <c r="BN69" s="163" t="s">
        <v>155</v>
      </c>
      <c r="BO69" s="162" t="str">
        <f t="shared" si="48"/>
        <v/>
      </c>
      <c r="BP69" s="162" t="s">
        <v>531</v>
      </c>
      <c r="BQ69" s="162" t="s">
        <v>156</v>
      </c>
    </row>
    <row r="70" spans="1:70">
      <c r="A70" s="159">
        <f t="shared" si="61"/>
        <v>20</v>
      </c>
      <c r="B70" s="159">
        <f t="shared" si="62"/>
        <v>3</v>
      </c>
      <c r="C70" s="160" t="str">
        <f t="shared" si="49"/>
        <v>2003</v>
      </c>
      <c r="D70" s="159" t="s">
        <v>38</v>
      </c>
      <c r="E70" s="161">
        <v>2010</v>
      </c>
      <c r="F70" s="162" t="s">
        <v>527</v>
      </c>
      <c r="G70" s="162" t="s">
        <v>217</v>
      </c>
      <c r="H70" s="163" t="str">
        <f t="shared" si="63"/>
        <v>L</v>
      </c>
      <c r="I70" s="163" t="s">
        <v>155</v>
      </c>
      <c r="J70" s="180" t="s">
        <v>533</v>
      </c>
      <c r="K70" s="163" t="s">
        <v>166</v>
      </c>
      <c r="L70" s="163" t="s">
        <v>147</v>
      </c>
      <c r="M70" s="163" t="str">
        <f t="shared" si="64"/>
        <v>PCV10 vs NoVax</v>
      </c>
      <c r="N70" s="159" t="s">
        <v>514</v>
      </c>
      <c r="O70" s="159">
        <v>3</v>
      </c>
      <c r="P70" s="162" t="s">
        <v>148</v>
      </c>
      <c r="Q70" s="162" t="s">
        <v>149</v>
      </c>
      <c r="R70" s="162" t="s">
        <v>150</v>
      </c>
      <c r="S70" s="162" t="s">
        <v>151</v>
      </c>
      <c r="T70" s="159">
        <v>2005</v>
      </c>
      <c r="U70" s="165">
        <v>3.5</v>
      </c>
      <c r="V70" s="165" t="e">
        <f>IF(ISNUMBER(U70),U70/VLOOKUP($S70,xRates!$A$1:$AA$267,data!$T70-xRates!$B$1+2,FALSE),U70)</f>
        <v>#REF!</v>
      </c>
      <c r="W70" s="162" t="s">
        <v>529</v>
      </c>
      <c r="Y70" s="165"/>
      <c r="AA70" s="163" t="s">
        <v>155</v>
      </c>
      <c r="AB70" s="162"/>
      <c r="AD70" s="163" t="s">
        <v>155</v>
      </c>
      <c r="AE70" s="162" t="str">
        <f t="shared" si="47"/>
        <v/>
      </c>
      <c r="AF70" s="163" t="s">
        <v>148</v>
      </c>
      <c r="AG70" s="163" t="s">
        <v>148</v>
      </c>
      <c r="AH70" s="163" t="s">
        <v>155</v>
      </c>
      <c r="AJ70" s="162"/>
      <c r="AK70" s="162" t="s">
        <v>530</v>
      </c>
      <c r="AL70" s="163" t="s">
        <v>190</v>
      </c>
      <c r="AM70" s="179">
        <v>670</v>
      </c>
      <c r="AN70" s="179">
        <v>670</v>
      </c>
      <c r="AO70" s="179">
        <f t="shared" si="65"/>
        <v>619</v>
      </c>
      <c r="AP70" s="163" t="str">
        <f t="shared" si="32"/>
        <v>Not Cost-Effective</v>
      </c>
      <c r="AQ70" s="163" t="str">
        <f t="shared" si="66"/>
        <v>Cost-Effective</v>
      </c>
      <c r="AR70" s="167">
        <f t="shared" si="50"/>
        <v>1.0823909531502423</v>
      </c>
      <c r="AS70" s="167">
        <f t="shared" si="51"/>
        <v>0.69</v>
      </c>
      <c r="AT70" s="159" t="str">
        <f t="shared" si="67"/>
        <v>Not Cost-Effective</v>
      </c>
      <c r="AU70" s="167">
        <f t="shared" si="52"/>
        <v>0.52</v>
      </c>
      <c r="AV70" s="162" t="str">
        <f t="shared" si="68"/>
        <v>Not Cost-Effective</v>
      </c>
      <c r="AW70" s="167">
        <f t="shared" si="53"/>
        <v>0.38924930491195553</v>
      </c>
      <c r="AX70" s="159" t="str">
        <f t="shared" si="69"/>
        <v>Not Cost-Effective</v>
      </c>
      <c r="AY70" s="167">
        <f t="shared" si="54"/>
        <v>1.8535681186283598E-2</v>
      </c>
      <c r="AZ70" s="159" t="str">
        <f t="shared" si="70"/>
        <v>Not Cost-Effective</v>
      </c>
      <c r="BA70" s="167">
        <f t="shared" si="55"/>
        <v>0.27251348734264769</v>
      </c>
      <c r="BB70" s="159" t="str">
        <f t="shared" si="71"/>
        <v>Not Cost-Effective</v>
      </c>
      <c r="BC70" s="167">
        <f t="shared" si="56"/>
        <v>5.3949370590676442E-2</v>
      </c>
      <c r="BD70" s="159" t="str">
        <f t="shared" si="72"/>
        <v>Not Cost-Effective</v>
      </c>
      <c r="BE70" s="162" t="s">
        <v>161</v>
      </c>
      <c r="BF70" s="162" t="s">
        <v>382</v>
      </c>
      <c r="BG70" s="168">
        <f t="shared" si="57"/>
        <v>1</v>
      </c>
      <c r="BH70" s="168">
        <f t="shared" si="58"/>
        <v>1</v>
      </c>
      <c r="BI70" s="163">
        <f t="shared" si="59"/>
        <v>1</v>
      </c>
      <c r="BJ70" s="163">
        <f t="shared" si="60"/>
        <v>1</v>
      </c>
      <c r="BK70" s="163">
        <f t="shared" si="73"/>
        <v>1</v>
      </c>
      <c r="BL70" s="163">
        <f t="shared" si="74"/>
        <v>1</v>
      </c>
      <c r="BM70" s="163">
        <f t="shared" si="75"/>
        <v>6</v>
      </c>
      <c r="BN70" s="163" t="s">
        <v>155</v>
      </c>
      <c r="BO70" s="162" t="str">
        <f t="shared" si="48"/>
        <v/>
      </c>
      <c r="BP70" s="162" t="s">
        <v>531</v>
      </c>
      <c r="BQ70" s="162" t="s">
        <v>156</v>
      </c>
    </row>
    <row r="71" spans="1:70">
      <c r="A71" s="159">
        <f t="shared" si="61"/>
        <v>20</v>
      </c>
      <c r="B71" s="159">
        <f t="shared" si="62"/>
        <v>4</v>
      </c>
      <c r="C71" s="160" t="str">
        <f t="shared" si="49"/>
        <v>2004</v>
      </c>
      <c r="D71" s="159" t="s">
        <v>38</v>
      </c>
      <c r="E71" s="161">
        <v>2010</v>
      </c>
      <c r="F71" s="162" t="s">
        <v>527</v>
      </c>
      <c r="G71" s="162" t="s">
        <v>217</v>
      </c>
      <c r="H71" s="163" t="str">
        <f t="shared" si="63"/>
        <v>L</v>
      </c>
      <c r="I71" s="163" t="s">
        <v>155</v>
      </c>
      <c r="J71" s="180" t="s">
        <v>534</v>
      </c>
      <c r="K71" s="163" t="s">
        <v>167</v>
      </c>
      <c r="L71" s="163" t="s">
        <v>147</v>
      </c>
      <c r="M71" s="163" t="str">
        <f t="shared" si="64"/>
        <v>PCV13 vs NoVax</v>
      </c>
      <c r="N71" s="159" t="s">
        <v>514</v>
      </c>
      <c r="O71" s="159">
        <v>3</v>
      </c>
      <c r="P71" s="162" t="s">
        <v>148</v>
      </c>
      <c r="Q71" s="162" t="s">
        <v>149</v>
      </c>
      <c r="R71" s="162" t="s">
        <v>150</v>
      </c>
      <c r="S71" s="162" t="s">
        <v>151</v>
      </c>
      <c r="T71" s="159">
        <v>2005</v>
      </c>
      <c r="U71" s="165">
        <v>3.5</v>
      </c>
      <c r="V71" s="165" t="e">
        <f>IF(ISNUMBER(U71),U71/VLOOKUP($S71,xRates!$A$1:$AA$267,data!$T71-xRates!$B$1+2,FALSE),U71)</f>
        <v>#REF!</v>
      </c>
      <c r="W71" s="162" t="s">
        <v>529</v>
      </c>
      <c r="Y71" s="165"/>
      <c r="AA71" s="163" t="s">
        <v>155</v>
      </c>
      <c r="AB71" s="162"/>
      <c r="AD71" s="163" t="s">
        <v>155</v>
      </c>
      <c r="AE71" s="162" t="str">
        <f t="shared" si="47"/>
        <v/>
      </c>
      <c r="AF71" s="163" t="s">
        <v>148</v>
      </c>
      <c r="AG71" s="163" t="s">
        <v>148</v>
      </c>
      <c r="AH71" s="163" t="s">
        <v>155</v>
      </c>
      <c r="AJ71" s="162"/>
      <c r="AK71" s="162" t="s">
        <v>535</v>
      </c>
      <c r="AL71" s="163" t="s">
        <v>190</v>
      </c>
      <c r="AM71" s="179">
        <v>570</v>
      </c>
      <c r="AN71" s="179">
        <v>570</v>
      </c>
      <c r="AO71" s="179">
        <f t="shared" si="65"/>
        <v>619</v>
      </c>
      <c r="AP71" s="163" t="str">
        <f t="shared" si="32"/>
        <v>Cost-Effective</v>
      </c>
      <c r="AQ71" s="163" t="str">
        <f t="shared" si="66"/>
        <v>Cost-Effective</v>
      </c>
      <c r="AR71" s="167">
        <f t="shared" si="50"/>
        <v>0.92084006462035539</v>
      </c>
      <c r="AS71" s="167">
        <f t="shared" si="51"/>
        <v>0.69</v>
      </c>
      <c r="AT71" s="159" t="str">
        <f t="shared" si="67"/>
        <v>Not Cost-Effective</v>
      </c>
      <c r="AU71" s="167">
        <f t="shared" si="52"/>
        <v>0.52</v>
      </c>
      <c r="AV71" s="162" t="str">
        <f t="shared" si="68"/>
        <v>Not Cost-Effective</v>
      </c>
      <c r="AW71" s="167">
        <f t="shared" si="53"/>
        <v>0.38924930491195553</v>
      </c>
      <c r="AX71" s="159" t="str">
        <f t="shared" si="69"/>
        <v>Not Cost-Effective</v>
      </c>
      <c r="AY71" s="167">
        <f t="shared" si="54"/>
        <v>1.8535681186283598E-2</v>
      </c>
      <c r="AZ71" s="159" t="str">
        <f t="shared" si="70"/>
        <v>Not Cost-Effective</v>
      </c>
      <c r="BA71" s="167">
        <f t="shared" si="55"/>
        <v>0.27251348734264769</v>
      </c>
      <c r="BB71" s="159" t="str">
        <f t="shared" si="71"/>
        <v>Not Cost-Effective</v>
      </c>
      <c r="BC71" s="167">
        <f t="shared" si="56"/>
        <v>5.3949370590676442E-2</v>
      </c>
      <c r="BD71" s="159" t="str">
        <f t="shared" si="72"/>
        <v>Not Cost-Effective</v>
      </c>
      <c r="BE71" s="162" t="s">
        <v>161</v>
      </c>
      <c r="BF71" s="162" t="s">
        <v>382</v>
      </c>
      <c r="BG71" s="168">
        <f t="shared" si="57"/>
        <v>1</v>
      </c>
      <c r="BH71" s="168">
        <f t="shared" si="58"/>
        <v>1</v>
      </c>
      <c r="BI71" s="163">
        <f t="shared" si="59"/>
        <v>1</v>
      </c>
      <c r="BJ71" s="163">
        <f t="shared" si="60"/>
        <v>1</v>
      </c>
      <c r="BK71" s="163">
        <f t="shared" si="73"/>
        <v>1</v>
      </c>
      <c r="BL71" s="163">
        <f t="shared" si="74"/>
        <v>1</v>
      </c>
      <c r="BM71" s="163">
        <f t="shared" si="75"/>
        <v>6</v>
      </c>
      <c r="BN71" s="163" t="s">
        <v>155</v>
      </c>
      <c r="BO71" s="162" t="str">
        <f t="shared" si="48"/>
        <v/>
      </c>
      <c r="BP71" s="162" t="s">
        <v>531</v>
      </c>
      <c r="BQ71" s="162" t="s">
        <v>156</v>
      </c>
    </row>
    <row r="72" spans="1:70">
      <c r="A72" s="159">
        <f t="shared" si="61"/>
        <v>20</v>
      </c>
      <c r="B72" s="159">
        <f t="shared" si="62"/>
        <v>5</v>
      </c>
      <c r="C72" s="160" t="str">
        <f t="shared" si="49"/>
        <v>2005</v>
      </c>
      <c r="D72" s="159" t="s">
        <v>38</v>
      </c>
      <c r="E72" s="161">
        <v>2010</v>
      </c>
      <c r="F72" s="162" t="s">
        <v>527</v>
      </c>
      <c r="G72" s="162" t="s">
        <v>217</v>
      </c>
      <c r="H72" s="163" t="str">
        <f t="shared" si="63"/>
        <v>L</v>
      </c>
      <c r="I72" s="163" t="s">
        <v>155</v>
      </c>
      <c r="J72" s="180" t="s">
        <v>367</v>
      </c>
      <c r="K72" s="163" t="s">
        <v>146</v>
      </c>
      <c r="L72" s="163" t="s">
        <v>147</v>
      </c>
      <c r="M72" s="163" t="str">
        <f t="shared" si="64"/>
        <v>PCV7 vs NoVax</v>
      </c>
      <c r="N72" s="159" t="s">
        <v>514</v>
      </c>
      <c r="O72" s="159">
        <v>3</v>
      </c>
      <c r="P72" s="162" t="s">
        <v>155</v>
      </c>
      <c r="Q72" s="162" t="s">
        <v>149</v>
      </c>
      <c r="R72" s="162" t="s">
        <v>150</v>
      </c>
      <c r="S72" s="162" t="s">
        <v>151</v>
      </c>
      <c r="T72" s="159">
        <v>2005</v>
      </c>
      <c r="U72" s="165">
        <v>3.5</v>
      </c>
      <c r="V72" s="165" t="e">
        <f>IF(ISNUMBER(U72),U72/VLOOKUP($S72,xRates!$A$1:$AA$267,data!$T72-xRates!$B$1+2,FALSE),U72)</f>
        <v>#REF!</v>
      </c>
      <c r="W72" s="162" t="s">
        <v>536</v>
      </c>
      <c r="Y72" s="165"/>
      <c r="AA72" s="163" t="s">
        <v>148</v>
      </c>
      <c r="AB72" s="162" t="s">
        <v>537</v>
      </c>
      <c r="AC72" s="162" t="s">
        <v>148</v>
      </c>
      <c r="AD72" s="163" t="s">
        <v>148</v>
      </c>
      <c r="AE72" s="162" t="s">
        <v>538</v>
      </c>
      <c r="AF72" s="163" t="s">
        <v>148</v>
      </c>
      <c r="AG72" s="163" t="s">
        <v>148</v>
      </c>
      <c r="AH72" s="163" t="s">
        <v>155</v>
      </c>
      <c r="AJ72" s="162" t="s">
        <v>539</v>
      </c>
      <c r="AK72" s="162" t="s">
        <v>540</v>
      </c>
      <c r="AL72" s="163" t="s">
        <v>190</v>
      </c>
      <c r="AM72" s="179">
        <v>830</v>
      </c>
      <c r="AN72" s="179">
        <f t="shared" ref="AN72:AN88" si="76">AM72</f>
        <v>830</v>
      </c>
      <c r="AO72" s="179">
        <f t="shared" si="65"/>
        <v>619</v>
      </c>
      <c r="AP72" s="163" t="str">
        <f t="shared" ref="AP72:AP136" si="77">IF(AN72="NA", ".", IF(AN72&lt;0,"Cost-Saving",IF(AN72&lt;=AO72,"Cost-Effective",IF(AN72&gt;AO72&amp;AN72&lt;&gt;"NA","Not Cost-Effective","Missing"))))</f>
        <v>Not Cost-Effective</v>
      </c>
      <c r="AQ72" s="163" t="str">
        <f t="shared" si="66"/>
        <v>Cost-Effective</v>
      </c>
      <c r="AR72" s="167">
        <f t="shared" si="50"/>
        <v>1.3408723747980613</v>
      </c>
      <c r="AS72" s="167">
        <f t="shared" si="51"/>
        <v>0.69</v>
      </c>
      <c r="AT72" s="159" t="str">
        <f t="shared" si="67"/>
        <v>Not Cost-Effective</v>
      </c>
      <c r="AU72" s="167">
        <f t="shared" si="52"/>
        <v>0.52</v>
      </c>
      <c r="AV72" s="162" t="str">
        <f t="shared" si="68"/>
        <v>Not Cost-Effective</v>
      </c>
      <c r="AW72" s="167">
        <f t="shared" si="53"/>
        <v>0.38924930491195553</v>
      </c>
      <c r="AX72" s="159" t="str">
        <f t="shared" si="69"/>
        <v>Not Cost-Effective</v>
      </c>
      <c r="AY72" s="167">
        <f t="shared" si="54"/>
        <v>1.8535681186283598E-2</v>
      </c>
      <c r="AZ72" s="159" t="str">
        <f t="shared" si="70"/>
        <v>Not Cost-Effective</v>
      </c>
      <c r="BA72" s="167">
        <f t="shared" si="55"/>
        <v>0.27251348734264769</v>
      </c>
      <c r="BB72" s="159" t="str">
        <f t="shared" si="71"/>
        <v>Not Cost-Effective</v>
      </c>
      <c r="BC72" s="167">
        <f t="shared" si="56"/>
        <v>5.3949370590676442E-2</v>
      </c>
      <c r="BD72" s="159" t="str">
        <f t="shared" si="72"/>
        <v>Not Cost-Effective</v>
      </c>
      <c r="BE72" s="162" t="s">
        <v>161</v>
      </c>
      <c r="BF72" s="162" t="s">
        <v>382</v>
      </c>
      <c r="BG72" s="168">
        <f t="shared" si="57"/>
        <v>1</v>
      </c>
      <c r="BH72" s="168">
        <f t="shared" si="58"/>
        <v>1</v>
      </c>
      <c r="BI72" s="163">
        <f t="shared" si="59"/>
        <v>1</v>
      </c>
      <c r="BJ72" s="163">
        <f t="shared" si="60"/>
        <v>1</v>
      </c>
      <c r="BK72" s="163">
        <f t="shared" si="73"/>
        <v>1</v>
      </c>
      <c r="BL72" s="163">
        <f t="shared" si="74"/>
        <v>1</v>
      </c>
      <c r="BM72" s="163">
        <f t="shared" si="75"/>
        <v>6</v>
      </c>
      <c r="BN72" s="163" t="s">
        <v>155</v>
      </c>
      <c r="BO72" s="162" t="str">
        <f t="shared" si="48"/>
        <v/>
      </c>
      <c r="BP72" s="162" t="s">
        <v>531</v>
      </c>
      <c r="BQ72" s="162" t="s">
        <v>156</v>
      </c>
      <c r="BR72" s="162" t="s">
        <v>541</v>
      </c>
    </row>
    <row r="73" spans="1:70">
      <c r="A73" s="159">
        <f t="shared" si="61"/>
        <v>20</v>
      </c>
      <c r="B73" s="159">
        <f t="shared" si="62"/>
        <v>6</v>
      </c>
      <c r="C73" s="160" t="str">
        <f t="shared" si="49"/>
        <v>2006</v>
      </c>
      <c r="D73" s="159" t="s">
        <v>38</v>
      </c>
      <c r="E73" s="161">
        <v>2010</v>
      </c>
      <c r="F73" s="162" t="s">
        <v>527</v>
      </c>
      <c r="G73" s="162" t="s">
        <v>217</v>
      </c>
      <c r="H73" s="163" t="str">
        <f t="shared" si="63"/>
        <v>L</v>
      </c>
      <c r="I73" s="163" t="s">
        <v>155</v>
      </c>
      <c r="J73" s="180" t="s">
        <v>533</v>
      </c>
      <c r="K73" s="163" t="s">
        <v>166</v>
      </c>
      <c r="L73" s="163" t="s">
        <v>147</v>
      </c>
      <c r="M73" s="163" t="str">
        <f t="shared" si="64"/>
        <v>PCV10 vs NoVax</v>
      </c>
      <c r="N73" s="159" t="s">
        <v>514</v>
      </c>
      <c r="O73" s="159">
        <v>3</v>
      </c>
      <c r="P73" s="162" t="s">
        <v>155</v>
      </c>
      <c r="Q73" s="162" t="s">
        <v>149</v>
      </c>
      <c r="R73" s="162" t="s">
        <v>150</v>
      </c>
      <c r="S73" s="162" t="s">
        <v>151</v>
      </c>
      <c r="T73" s="159">
        <v>2005</v>
      </c>
      <c r="U73" s="165">
        <v>3.5</v>
      </c>
      <c r="V73" s="165" t="e">
        <f>IF(ISNUMBER(U73),U73/VLOOKUP($S73,xRates!$A$1:$AA$267,data!$T73-xRates!$B$1+2,FALSE),U73)</f>
        <v>#REF!</v>
      </c>
      <c r="W73" s="162" t="s">
        <v>536</v>
      </c>
      <c r="Y73" s="165"/>
      <c r="AA73" s="163" t="s">
        <v>148</v>
      </c>
      <c r="AB73" s="162" t="s">
        <v>537</v>
      </c>
      <c r="AC73" s="162" t="s">
        <v>148</v>
      </c>
      <c r="AD73" s="163" t="s">
        <v>148</v>
      </c>
      <c r="AE73" s="162" t="s">
        <v>538</v>
      </c>
      <c r="AF73" s="163" t="s">
        <v>148</v>
      </c>
      <c r="AG73" s="163" t="s">
        <v>148</v>
      </c>
      <c r="AH73" s="163" t="s">
        <v>155</v>
      </c>
      <c r="AJ73" s="162" t="s">
        <v>539</v>
      </c>
      <c r="AK73" s="162" t="s">
        <v>542</v>
      </c>
      <c r="AL73" s="163" t="s">
        <v>190</v>
      </c>
      <c r="AM73" s="179">
        <v>550</v>
      </c>
      <c r="AN73" s="179">
        <f t="shared" si="76"/>
        <v>550</v>
      </c>
      <c r="AO73" s="179">
        <f t="shared" si="65"/>
        <v>619</v>
      </c>
      <c r="AP73" s="163" t="str">
        <f t="shared" si="77"/>
        <v>Cost-Effective</v>
      </c>
      <c r="AQ73" s="163" t="str">
        <f t="shared" si="66"/>
        <v>Cost-Effective</v>
      </c>
      <c r="AR73" s="167">
        <f t="shared" si="50"/>
        <v>0.88852988691437806</v>
      </c>
      <c r="AS73" s="167">
        <f t="shared" si="51"/>
        <v>0.69</v>
      </c>
      <c r="AT73" s="159" t="str">
        <f t="shared" si="67"/>
        <v>Not Cost-Effective</v>
      </c>
      <c r="AU73" s="167">
        <f t="shared" si="52"/>
        <v>0.52</v>
      </c>
      <c r="AV73" s="162" t="str">
        <f t="shared" si="68"/>
        <v>Not Cost-Effective</v>
      </c>
      <c r="AW73" s="167">
        <f t="shared" si="53"/>
        <v>0.38924930491195553</v>
      </c>
      <c r="AX73" s="159" t="str">
        <f t="shared" si="69"/>
        <v>Not Cost-Effective</v>
      </c>
      <c r="AY73" s="167">
        <f t="shared" si="54"/>
        <v>1.8535681186283598E-2</v>
      </c>
      <c r="AZ73" s="159" t="str">
        <f t="shared" si="70"/>
        <v>Not Cost-Effective</v>
      </c>
      <c r="BA73" s="167">
        <f t="shared" si="55"/>
        <v>0.27251348734264769</v>
      </c>
      <c r="BB73" s="159" t="str">
        <f t="shared" si="71"/>
        <v>Not Cost-Effective</v>
      </c>
      <c r="BC73" s="167">
        <f t="shared" si="56"/>
        <v>5.3949370590676442E-2</v>
      </c>
      <c r="BD73" s="159" t="str">
        <f t="shared" si="72"/>
        <v>Not Cost-Effective</v>
      </c>
      <c r="BE73" s="162" t="s">
        <v>161</v>
      </c>
      <c r="BF73" s="162" t="s">
        <v>382</v>
      </c>
      <c r="BG73" s="168">
        <f t="shared" si="57"/>
        <v>1</v>
      </c>
      <c r="BH73" s="168">
        <f t="shared" si="58"/>
        <v>1</v>
      </c>
      <c r="BI73" s="163">
        <f t="shared" si="59"/>
        <v>1</v>
      </c>
      <c r="BJ73" s="163">
        <f t="shared" si="60"/>
        <v>1</v>
      </c>
      <c r="BK73" s="163">
        <f t="shared" si="73"/>
        <v>1</v>
      </c>
      <c r="BL73" s="163">
        <f t="shared" si="74"/>
        <v>1</v>
      </c>
      <c r="BM73" s="163">
        <f t="shared" si="75"/>
        <v>6</v>
      </c>
      <c r="BN73" s="163" t="s">
        <v>155</v>
      </c>
      <c r="BO73" s="162" t="str">
        <f t="shared" si="48"/>
        <v/>
      </c>
      <c r="BP73" s="162" t="s">
        <v>531</v>
      </c>
      <c r="BQ73" s="162" t="s">
        <v>156</v>
      </c>
      <c r="BR73" s="162" t="s">
        <v>541</v>
      </c>
    </row>
    <row r="74" spans="1:70">
      <c r="A74" s="159">
        <f t="shared" si="61"/>
        <v>20</v>
      </c>
      <c r="B74" s="159">
        <f t="shared" si="62"/>
        <v>7</v>
      </c>
      <c r="C74" s="160" t="str">
        <f t="shared" si="49"/>
        <v>2007</v>
      </c>
      <c r="D74" s="159" t="s">
        <v>38</v>
      </c>
      <c r="E74" s="161">
        <v>2010</v>
      </c>
      <c r="F74" s="162" t="s">
        <v>527</v>
      </c>
      <c r="G74" s="162" t="s">
        <v>217</v>
      </c>
      <c r="H74" s="163" t="str">
        <f t="shared" si="63"/>
        <v>L</v>
      </c>
      <c r="I74" s="163" t="s">
        <v>155</v>
      </c>
      <c r="J74" s="180" t="s">
        <v>534</v>
      </c>
      <c r="K74" s="163" t="s">
        <v>167</v>
      </c>
      <c r="L74" s="163" t="s">
        <v>147</v>
      </c>
      <c r="M74" s="163" t="str">
        <f t="shared" si="64"/>
        <v>PCV13 vs NoVax</v>
      </c>
      <c r="N74" s="159" t="s">
        <v>514</v>
      </c>
      <c r="O74" s="159">
        <v>3</v>
      </c>
      <c r="P74" s="162" t="s">
        <v>155</v>
      </c>
      <c r="Q74" s="162" t="s">
        <v>149</v>
      </c>
      <c r="R74" s="162" t="s">
        <v>150</v>
      </c>
      <c r="S74" s="162" t="s">
        <v>151</v>
      </c>
      <c r="T74" s="159">
        <v>2005</v>
      </c>
      <c r="U74" s="165">
        <v>3.5</v>
      </c>
      <c r="V74" s="165" t="e">
        <f>IF(ISNUMBER(U74),U74/VLOOKUP($S74,xRates!$A$1:$AA$267,data!$T74-xRates!$B$1+2,FALSE),U74)</f>
        <v>#REF!</v>
      </c>
      <c r="W74" s="162" t="s">
        <v>536</v>
      </c>
      <c r="Y74" s="165"/>
      <c r="AA74" s="163" t="s">
        <v>148</v>
      </c>
      <c r="AB74" s="162" t="s">
        <v>537</v>
      </c>
      <c r="AC74" s="162" t="s">
        <v>148</v>
      </c>
      <c r="AD74" s="163" t="s">
        <v>148</v>
      </c>
      <c r="AE74" s="162" t="s">
        <v>538</v>
      </c>
      <c r="AF74" s="163" t="s">
        <v>148</v>
      </c>
      <c r="AG74" s="163" t="s">
        <v>148</v>
      </c>
      <c r="AH74" s="163" t="s">
        <v>155</v>
      </c>
      <c r="AJ74" s="162" t="s">
        <v>539</v>
      </c>
      <c r="AK74" s="162" t="s">
        <v>543</v>
      </c>
      <c r="AL74" s="163" t="s">
        <v>190</v>
      </c>
      <c r="AM74" s="179">
        <v>480</v>
      </c>
      <c r="AN74" s="179">
        <f t="shared" si="76"/>
        <v>480</v>
      </c>
      <c r="AO74" s="179">
        <f t="shared" si="65"/>
        <v>619</v>
      </c>
      <c r="AP74" s="163" t="str">
        <f t="shared" si="77"/>
        <v>Cost-Effective</v>
      </c>
      <c r="AQ74" s="163" t="str">
        <f t="shared" si="66"/>
        <v>Cost-Effective</v>
      </c>
      <c r="AR74" s="167">
        <f t="shared" si="50"/>
        <v>0.7754442649434572</v>
      </c>
      <c r="AS74" s="167">
        <f t="shared" si="51"/>
        <v>0.69</v>
      </c>
      <c r="AT74" s="159" t="str">
        <f t="shared" si="67"/>
        <v>Not Cost-Effective</v>
      </c>
      <c r="AU74" s="167">
        <f t="shared" si="52"/>
        <v>0.52</v>
      </c>
      <c r="AV74" s="162" t="str">
        <f t="shared" si="68"/>
        <v>Not Cost-Effective</v>
      </c>
      <c r="AW74" s="167">
        <f t="shared" si="53"/>
        <v>0.38924930491195553</v>
      </c>
      <c r="AX74" s="159" t="str">
        <f t="shared" si="69"/>
        <v>Not Cost-Effective</v>
      </c>
      <c r="AY74" s="167">
        <f t="shared" si="54"/>
        <v>1.8535681186283598E-2</v>
      </c>
      <c r="AZ74" s="159" t="str">
        <f t="shared" si="70"/>
        <v>Not Cost-Effective</v>
      </c>
      <c r="BA74" s="167">
        <f t="shared" si="55"/>
        <v>0.27251348734264769</v>
      </c>
      <c r="BB74" s="159" t="str">
        <f t="shared" si="71"/>
        <v>Not Cost-Effective</v>
      </c>
      <c r="BC74" s="167">
        <f t="shared" si="56"/>
        <v>5.3949370590676442E-2</v>
      </c>
      <c r="BD74" s="159" t="str">
        <f t="shared" si="72"/>
        <v>Not Cost-Effective</v>
      </c>
      <c r="BE74" s="162" t="s">
        <v>161</v>
      </c>
      <c r="BF74" s="162" t="s">
        <v>382</v>
      </c>
      <c r="BG74" s="168">
        <f t="shared" si="57"/>
        <v>1</v>
      </c>
      <c r="BH74" s="168">
        <f t="shared" si="58"/>
        <v>1</v>
      </c>
      <c r="BI74" s="163">
        <f t="shared" si="59"/>
        <v>1</v>
      </c>
      <c r="BJ74" s="163">
        <f t="shared" si="60"/>
        <v>1</v>
      </c>
      <c r="BK74" s="163">
        <f t="shared" si="73"/>
        <v>1</v>
      </c>
      <c r="BL74" s="163">
        <f t="shared" si="74"/>
        <v>1</v>
      </c>
      <c r="BM74" s="163">
        <f t="shared" si="75"/>
        <v>6</v>
      </c>
      <c r="BN74" s="163" t="s">
        <v>155</v>
      </c>
      <c r="BO74" s="162" t="str">
        <f t="shared" si="48"/>
        <v/>
      </c>
      <c r="BP74" s="162" t="s">
        <v>531</v>
      </c>
      <c r="BQ74" s="162" t="s">
        <v>156</v>
      </c>
      <c r="BR74" s="162" t="s">
        <v>541</v>
      </c>
    </row>
    <row r="75" spans="1:70">
      <c r="A75" s="159">
        <f t="shared" si="61"/>
        <v>21</v>
      </c>
      <c r="B75" s="159">
        <f t="shared" si="62"/>
        <v>1</v>
      </c>
      <c r="C75" s="160" t="str">
        <f t="shared" si="49"/>
        <v>2101</v>
      </c>
      <c r="D75" s="159" t="s">
        <v>219</v>
      </c>
      <c r="E75" s="161">
        <v>2011</v>
      </c>
      <c r="F75" s="162" t="s">
        <v>544</v>
      </c>
      <c r="G75" s="162" t="s">
        <v>221</v>
      </c>
      <c r="H75" s="163" t="str">
        <f t="shared" si="63"/>
        <v>UM</v>
      </c>
      <c r="I75" s="163" t="s">
        <v>155</v>
      </c>
      <c r="J75" s="180" t="s">
        <v>533</v>
      </c>
      <c r="K75" s="163" t="s">
        <v>166</v>
      </c>
      <c r="L75" s="163" t="s">
        <v>147</v>
      </c>
      <c r="M75" s="163" t="str">
        <f t="shared" si="64"/>
        <v>PCV10 vs NoVax</v>
      </c>
      <c r="N75" s="159" t="s">
        <v>403</v>
      </c>
      <c r="O75" s="159">
        <v>4</v>
      </c>
      <c r="P75" s="162" t="s">
        <v>148</v>
      </c>
      <c r="Q75" s="162" t="s">
        <v>377</v>
      </c>
      <c r="R75" s="162" t="s">
        <v>150</v>
      </c>
      <c r="S75" s="162" t="s">
        <v>151</v>
      </c>
      <c r="T75" s="159">
        <v>2009</v>
      </c>
      <c r="U75" s="165">
        <v>20.75</v>
      </c>
      <c r="V75" s="165" t="e">
        <f>IF(ISNUMBER(U75),U75/VLOOKUP($S75,xRates!$A$1:$AA$267,data!$T75-xRates!$B$1+2,FALSE),U75)</f>
        <v>#REF!</v>
      </c>
      <c r="W75" s="162" t="s">
        <v>545</v>
      </c>
      <c r="Y75" s="165"/>
      <c r="AA75" s="163" t="s">
        <v>155</v>
      </c>
      <c r="AB75" s="162"/>
      <c r="AD75" s="163" t="s">
        <v>155</v>
      </c>
      <c r="AE75" s="162" t="str">
        <f t="shared" ref="AE75:AE83" si="78">IF(AD75="No", "", "")</f>
        <v/>
      </c>
      <c r="AF75" s="163" t="s">
        <v>148</v>
      </c>
      <c r="AG75" s="163" t="s">
        <v>148</v>
      </c>
      <c r="AH75" s="163" t="s">
        <v>148</v>
      </c>
      <c r="AJ75" s="162"/>
      <c r="AK75" s="162" t="s">
        <v>546</v>
      </c>
      <c r="AL75" s="163" t="s">
        <v>190</v>
      </c>
      <c r="AM75" s="179">
        <v>8973</v>
      </c>
      <c r="AN75" s="179">
        <f t="shared" si="76"/>
        <v>8973</v>
      </c>
      <c r="AO75" s="179">
        <f t="shared" si="65"/>
        <v>8184.4</v>
      </c>
      <c r="AP75" s="163" t="str">
        <f t="shared" si="77"/>
        <v>Not Cost-Effective</v>
      </c>
      <c r="AQ75" s="163" t="str">
        <f>IF(AN75="NA", ".", IF(AN75&lt;0,"Cost-Saving",IF(AN75&lt;=AO75*3,"Cost-Effective",IF(AN75&gt;AO75*3&amp;AN75&lt;&gt;"NA","Not Cost-Effective","Missing"))))</f>
        <v>Cost-Effective</v>
      </c>
      <c r="AR75" s="167">
        <f t="shared" si="50"/>
        <v>1.0963540393920141</v>
      </c>
      <c r="AS75" s="167">
        <f t="shared" si="51"/>
        <v>0.56000000000000005</v>
      </c>
      <c r="AT75" s="159" t="str">
        <f t="shared" si="67"/>
        <v>Not Cost-Effective</v>
      </c>
      <c r="AU75" s="167">
        <f t="shared" si="52"/>
        <v>0.37</v>
      </c>
      <c r="AV75" s="162" t="str">
        <f t="shared" si="68"/>
        <v>Not Cost-Effective</v>
      </c>
      <c r="AW75" s="167" t="str">
        <f t="shared" si="53"/>
        <v>.</v>
      </c>
      <c r="AX75" s="159" t="str">
        <f t="shared" si="69"/>
        <v>.</v>
      </c>
      <c r="AY75" s="167" t="str">
        <f t="shared" si="54"/>
        <v>.</v>
      </c>
      <c r="AZ75" s="159" t="str">
        <f t="shared" si="70"/>
        <v>.</v>
      </c>
      <c r="BA75" s="167">
        <f t="shared" si="55"/>
        <v>1.6478818109738349</v>
      </c>
      <c r="BB75" s="159" t="str">
        <f t="shared" si="71"/>
        <v>Cost-Effective</v>
      </c>
      <c r="BC75" s="167">
        <f t="shared" si="56"/>
        <v>0.68297921454881216</v>
      </c>
      <c r="BD75" s="159" t="str">
        <f t="shared" si="72"/>
        <v>Not Cost-Effective</v>
      </c>
      <c r="BE75" s="162" t="s">
        <v>161</v>
      </c>
      <c r="BF75" s="162" t="s">
        <v>382</v>
      </c>
      <c r="BG75" s="168">
        <f t="shared" si="57"/>
        <v>1</v>
      </c>
      <c r="BH75" s="168">
        <f t="shared" si="58"/>
        <v>1</v>
      </c>
      <c r="BI75" s="163">
        <f t="shared" si="59"/>
        <v>0</v>
      </c>
      <c r="BJ75" s="163">
        <f t="shared" si="60"/>
        <v>0</v>
      </c>
      <c r="BK75" s="163">
        <f t="shared" si="73"/>
        <v>1</v>
      </c>
      <c r="BL75" s="163">
        <f t="shared" si="74"/>
        <v>0</v>
      </c>
      <c r="BM75" s="163">
        <f t="shared" si="75"/>
        <v>3</v>
      </c>
      <c r="BN75" s="163" t="s">
        <v>155</v>
      </c>
      <c r="BO75" s="162" t="str">
        <f t="shared" si="48"/>
        <v/>
      </c>
      <c r="BP75" s="162" t="s">
        <v>170</v>
      </c>
      <c r="BQ75" s="162" t="s">
        <v>170</v>
      </c>
    </row>
    <row r="76" spans="1:70">
      <c r="A76" s="159">
        <f t="shared" si="61"/>
        <v>21</v>
      </c>
      <c r="B76" s="159">
        <f t="shared" si="62"/>
        <v>2</v>
      </c>
      <c r="C76" s="160" t="str">
        <f t="shared" si="49"/>
        <v>2102</v>
      </c>
      <c r="D76" s="159" t="s">
        <v>219</v>
      </c>
      <c r="E76" s="161">
        <v>2011</v>
      </c>
      <c r="F76" s="162" t="s">
        <v>544</v>
      </c>
      <c r="G76" s="162" t="s">
        <v>221</v>
      </c>
      <c r="H76" s="163" t="str">
        <f t="shared" si="63"/>
        <v>UM</v>
      </c>
      <c r="I76" s="163" t="s">
        <v>155</v>
      </c>
      <c r="J76" s="180" t="s">
        <v>533</v>
      </c>
      <c r="K76" s="163" t="s">
        <v>166</v>
      </c>
      <c r="L76" s="163" t="s">
        <v>147</v>
      </c>
      <c r="M76" s="163" t="str">
        <f t="shared" si="64"/>
        <v>PCV10 vs NoVax</v>
      </c>
      <c r="N76" s="159" t="s">
        <v>403</v>
      </c>
      <c r="O76" s="159">
        <v>4</v>
      </c>
      <c r="P76" s="162" t="s">
        <v>155</v>
      </c>
      <c r="Q76" s="162" t="s">
        <v>149</v>
      </c>
      <c r="R76" s="162" t="s">
        <v>150</v>
      </c>
      <c r="S76" s="162" t="s">
        <v>151</v>
      </c>
      <c r="T76" s="159">
        <v>2009</v>
      </c>
      <c r="U76" s="165">
        <v>20.75</v>
      </c>
      <c r="V76" s="165" t="e">
        <f>IF(ISNUMBER(U76),U76/VLOOKUP($S76,xRates!$A$1:$AA$267,data!$T76-xRates!$B$1+2,FALSE),U76)</f>
        <v>#REF!</v>
      </c>
      <c r="W76" s="162" t="s">
        <v>545</v>
      </c>
      <c r="Y76" s="165"/>
      <c r="AA76" s="163" t="s">
        <v>155</v>
      </c>
      <c r="AB76" s="162"/>
      <c r="AD76" s="163" t="s">
        <v>155</v>
      </c>
      <c r="AE76" s="162" t="str">
        <f t="shared" si="78"/>
        <v/>
      </c>
      <c r="AF76" s="163" t="s">
        <v>148</v>
      </c>
      <c r="AG76" s="163" t="s">
        <v>148</v>
      </c>
      <c r="AH76" s="163" t="s">
        <v>148</v>
      </c>
      <c r="AJ76" s="162"/>
      <c r="AK76" s="162" t="s">
        <v>547</v>
      </c>
      <c r="AL76" s="163" t="s">
        <v>190</v>
      </c>
      <c r="AM76" s="179">
        <v>8546</v>
      </c>
      <c r="AN76" s="179">
        <f t="shared" si="76"/>
        <v>8546</v>
      </c>
      <c r="AO76" s="179">
        <f t="shared" si="65"/>
        <v>8184.4</v>
      </c>
      <c r="AP76" s="163" t="str">
        <f t="shared" si="77"/>
        <v>Not Cost-Effective</v>
      </c>
      <c r="AQ76" s="163" t="str">
        <f t="shared" si="66"/>
        <v>Cost-Effective</v>
      </c>
      <c r="AR76" s="167">
        <f t="shared" si="50"/>
        <v>1.0441816138018669</v>
      </c>
      <c r="AS76" s="167">
        <f t="shared" si="51"/>
        <v>0.56000000000000005</v>
      </c>
      <c r="AT76" s="159" t="str">
        <f t="shared" si="67"/>
        <v>Not Cost-Effective</v>
      </c>
      <c r="AU76" s="167">
        <f t="shared" si="52"/>
        <v>0.37</v>
      </c>
      <c r="AV76" s="162" t="str">
        <f t="shared" si="68"/>
        <v>Not Cost-Effective</v>
      </c>
      <c r="AW76" s="167" t="str">
        <f t="shared" si="53"/>
        <v>.</v>
      </c>
      <c r="AX76" s="159" t="str">
        <f t="shared" si="69"/>
        <v>.</v>
      </c>
      <c r="AY76" s="167" t="str">
        <f t="shared" si="54"/>
        <v>.</v>
      </c>
      <c r="AZ76" s="159" t="str">
        <f t="shared" si="70"/>
        <v>.</v>
      </c>
      <c r="BA76" s="167">
        <f t="shared" si="55"/>
        <v>1.6478818109738349</v>
      </c>
      <c r="BB76" s="159" t="str">
        <f t="shared" si="71"/>
        <v>Cost-Effective</v>
      </c>
      <c r="BC76" s="167">
        <f t="shared" si="56"/>
        <v>0.68297921454881216</v>
      </c>
      <c r="BD76" s="159" t="str">
        <f t="shared" si="72"/>
        <v>Not Cost-Effective</v>
      </c>
      <c r="BE76" s="162" t="s">
        <v>161</v>
      </c>
      <c r="BF76" s="162" t="s">
        <v>382</v>
      </c>
      <c r="BG76" s="168">
        <f t="shared" si="57"/>
        <v>1</v>
      </c>
      <c r="BH76" s="168">
        <f t="shared" si="58"/>
        <v>1</v>
      </c>
      <c r="BI76" s="163">
        <f t="shared" si="59"/>
        <v>0</v>
      </c>
      <c r="BJ76" s="163">
        <f t="shared" si="60"/>
        <v>0</v>
      </c>
      <c r="BK76" s="163">
        <f t="shared" si="73"/>
        <v>1</v>
      </c>
      <c r="BL76" s="163">
        <f t="shared" si="74"/>
        <v>0</v>
      </c>
      <c r="BM76" s="163">
        <f t="shared" si="75"/>
        <v>3</v>
      </c>
      <c r="BN76" s="163" t="s">
        <v>155</v>
      </c>
      <c r="BO76" s="162" t="str">
        <f t="shared" si="48"/>
        <v/>
      </c>
      <c r="BP76" s="162" t="s">
        <v>170</v>
      </c>
      <c r="BQ76" s="162" t="s">
        <v>170</v>
      </c>
    </row>
    <row r="77" spans="1:70">
      <c r="A77" s="159">
        <f t="shared" si="61"/>
        <v>21</v>
      </c>
      <c r="B77" s="159">
        <f t="shared" si="62"/>
        <v>3</v>
      </c>
      <c r="C77" s="160" t="str">
        <f t="shared" si="49"/>
        <v>2103</v>
      </c>
      <c r="D77" s="159" t="s">
        <v>219</v>
      </c>
      <c r="E77" s="161">
        <v>2011</v>
      </c>
      <c r="F77" s="162" t="s">
        <v>544</v>
      </c>
      <c r="G77" s="162" t="s">
        <v>221</v>
      </c>
      <c r="H77" s="163" t="str">
        <f t="shared" si="63"/>
        <v>UM</v>
      </c>
      <c r="I77" s="163" t="s">
        <v>155</v>
      </c>
      <c r="J77" s="180" t="s">
        <v>534</v>
      </c>
      <c r="K77" s="163" t="s">
        <v>167</v>
      </c>
      <c r="L77" s="163" t="s">
        <v>147</v>
      </c>
      <c r="M77" s="163" t="str">
        <f t="shared" si="64"/>
        <v>PCV13 vs NoVax</v>
      </c>
      <c r="N77" s="159" t="s">
        <v>403</v>
      </c>
      <c r="O77" s="159">
        <v>4</v>
      </c>
      <c r="P77" s="162" t="s">
        <v>148</v>
      </c>
      <c r="Q77" s="162" t="s">
        <v>377</v>
      </c>
      <c r="R77" s="162" t="s">
        <v>150</v>
      </c>
      <c r="S77" s="162" t="s">
        <v>151</v>
      </c>
      <c r="T77" s="159">
        <v>2009</v>
      </c>
      <c r="U77" s="165">
        <v>20.75</v>
      </c>
      <c r="V77" s="165" t="e">
        <f>IF(ISNUMBER(U77),U77/VLOOKUP($S77,xRates!$A$1:$AA$267,data!$T77-xRates!$B$1+2,FALSE),U77)</f>
        <v>#REF!</v>
      </c>
      <c r="W77" s="162" t="s">
        <v>545</v>
      </c>
      <c r="Y77" s="165"/>
      <c r="AA77" s="163" t="s">
        <v>155</v>
      </c>
      <c r="AB77" s="162"/>
      <c r="AD77" s="163" t="s">
        <v>155</v>
      </c>
      <c r="AE77" s="162" t="str">
        <f t="shared" si="78"/>
        <v/>
      </c>
      <c r="AF77" s="163" t="s">
        <v>148</v>
      </c>
      <c r="AG77" s="163" t="s">
        <v>148</v>
      </c>
      <c r="AH77" s="163" t="s">
        <v>148</v>
      </c>
      <c r="AJ77" s="162"/>
      <c r="AK77" s="162" t="s">
        <v>548</v>
      </c>
      <c r="AL77" s="163" t="s">
        <v>190</v>
      </c>
      <c r="AM77" s="179">
        <v>10948</v>
      </c>
      <c r="AN77" s="179">
        <f t="shared" si="76"/>
        <v>10948</v>
      </c>
      <c r="AO77" s="179">
        <f t="shared" si="65"/>
        <v>8184.4</v>
      </c>
      <c r="AP77" s="163" t="str">
        <f t="shared" si="77"/>
        <v>Not Cost-Effective</v>
      </c>
      <c r="AQ77" s="163" t="str">
        <f t="shared" si="66"/>
        <v>Cost-Effective</v>
      </c>
      <c r="AR77" s="167">
        <f t="shared" si="50"/>
        <v>1.3376667807047555</v>
      </c>
      <c r="AS77" s="167">
        <f t="shared" si="51"/>
        <v>0.56000000000000005</v>
      </c>
      <c r="AT77" s="159" t="str">
        <f t="shared" si="67"/>
        <v>Not Cost-Effective</v>
      </c>
      <c r="AU77" s="167">
        <f t="shared" si="52"/>
        <v>0.37</v>
      </c>
      <c r="AV77" s="162" t="str">
        <f t="shared" si="68"/>
        <v>Not Cost-Effective</v>
      </c>
      <c r="AW77" s="167" t="str">
        <f t="shared" si="53"/>
        <v>.</v>
      </c>
      <c r="AX77" s="159" t="str">
        <f t="shared" si="69"/>
        <v>.</v>
      </c>
      <c r="AY77" s="167" t="str">
        <f t="shared" si="54"/>
        <v>.</v>
      </c>
      <c r="AZ77" s="159" t="str">
        <f t="shared" si="70"/>
        <v>.</v>
      </c>
      <c r="BA77" s="167">
        <f t="shared" si="55"/>
        <v>1.6478818109738349</v>
      </c>
      <c r="BB77" s="159" t="str">
        <f t="shared" si="71"/>
        <v>Cost-Effective</v>
      </c>
      <c r="BC77" s="167">
        <f t="shared" si="56"/>
        <v>0.68297921454881216</v>
      </c>
      <c r="BD77" s="159" t="str">
        <f t="shared" si="72"/>
        <v>Not Cost-Effective</v>
      </c>
      <c r="BE77" s="162" t="s">
        <v>161</v>
      </c>
      <c r="BF77" s="162" t="s">
        <v>382</v>
      </c>
      <c r="BG77" s="168">
        <f t="shared" si="57"/>
        <v>1</v>
      </c>
      <c r="BH77" s="168">
        <f t="shared" si="58"/>
        <v>1</v>
      </c>
      <c r="BI77" s="163">
        <f t="shared" si="59"/>
        <v>0</v>
      </c>
      <c r="BJ77" s="163">
        <f t="shared" si="60"/>
        <v>0</v>
      </c>
      <c r="BK77" s="163">
        <f t="shared" si="73"/>
        <v>1</v>
      </c>
      <c r="BL77" s="163">
        <f t="shared" si="74"/>
        <v>0</v>
      </c>
      <c r="BM77" s="163">
        <f t="shared" si="75"/>
        <v>3</v>
      </c>
      <c r="BN77" s="163" t="s">
        <v>155</v>
      </c>
      <c r="BO77" s="162" t="str">
        <f t="shared" si="48"/>
        <v/>
      </c>
      <c r="BP77" s="162" t="s">
        <v>170</v>
      </c>
      <c r="BQ77" s="162" t="s">
        <v>170</v>
      </c>
    </row>
    <row r="78" spans="1:70">
      <c r="A78" s="159">
        <f t="shared" si="61"/>
        <v>21</v>
      </c>
      <c r="B78" s="159">
        <f t="shared" si="62"/>
        <v>4</v>
      </c>
      <c r="C78" s="160" t="str">
        <f t="shared" si="49"/>
        <v>2104</v>
      </c>
      <c r="D78" s="159" t="s">
        <v>219</v>
      </c>
      <c r="E78" s="161">
        <v>2011</v>
      </c>
      <c r="F78" s="162" t="s">
        <v>544</v>
      </c>
      <c r="G78" s="162" t="s">
        <v>221</v>
      </c>
      <c r="H78" s="163" t="str">
        <f t="shared" si="63"/>
        <v>UM</v>
      </c>
      <c r="I78" s="163" t="s">
        <v>155</v>
      </c>
      <c r="J78" s="180" t="s">
        <v>534</v>
      </c>
      <c r="K78" s="163" t="s">
        <v>167</v>
      </c>
      <c r="L78" s="163" t="s">
        <v>147</v>
      </c>
      <c r="M78" s="163" t="str">
        <f t="shared" si="64"/>
        <v>PCV13 vs NoVax</v>
      </c>
      <c r="N78" s="159" t="s">
        <v>403</v>
      </c>
      <c r="O78" s="159">
        <v>4</v>
      </c>
      <c r="P78" s="162" t="s">
        <v>155</v>
      </c>
      <c r="Q78" s="162" t="s">
        <v>149</v>
      </c>
      <c r="R78" s="162" t="s">
        <v>150</v>
      </c>
      <c r="S78" s="162" t="s">
        <v>151</v>
      </c>
      <c r="T78" s="159">
        <v>2009</v>
      </c>
      <c r="U78" s="165">
        <v>20.75</v>
      </c>
      <c r="V78" s="165" t="e">
        <f>IF(ISNUMBER(U78),U78/VLOOKUP($S78,xRates!$A$1:$AA$267,data!$T78-xRates!$B$1+2,FALSE),U78)</f>
        <v>#REF!</v>
      </c>
      <c r="W78" s="162" t="s">
        <v>545</v>
      </c>
      <c r="Y78" s="165"/>
      <c r="AA78" s="163" t="s">
        <v>155</v>
      </c>
      <c r="AB78" s="162"/>
      <c r="AD78" s="163" t="s">
        <v>155</v>
      </c>
      <c r="AE78" s="162" t="str">
        <f t="shared" si="78"/>
        <v/>
      </c>
      <c r="AF78" s="163" t="s">
        <v>148</v>
      </c>
      <c r="AG78" s="163" t="s">
        <v>148</v>
      </c>
      <c r="AH78" s="163" t="s">
        <v>148</v>
      </c>
      <c r="AJ78" s="162"/>
      <c r="AK78" s="162" t="s">
        <v>549</v>
      </c>
      <c r="AL78" s="163" t="s">
        <v>190</v>
      </c>
      <c r="AM78" s="179">
        <v>10510</v>
      </c>
      <c r="AN78" s="179">
        <f t="shared" si="76"/>
        <v>10510</v>
      </c>
      <c r="AO78" s="179">
        <f t="shared" si="65"/>
        <v>8184.4</v>
      </c>
      <c r="AP78" s="163" t="str">
        <f t="shared" si="77"/>
        <v>Not Cost-Effective</v>
      </c>
      <c r="AQ78" s="163" t="str">
        <f t="shared" si="66"/>
        <v>Cost-Effective</v>
      </c>
      <c r="AR78" s="167">
        <f t="shared" si="50"/>
        <v>1.2841503347832461</v>
      </c>
      <c r="AS78" s="167">
        <f t="shared" si="51"/>
        <v>0.56000000000000005</v>
      </c>
      <c r="AT78" s="159" t="str">
        <f t="shared" si="67"/>
        <v>Not Cost-Effective</v>
      </c>
      <c r="AU78" s="167">
        <f t="shared" si="52"/>
        <v>0.37</v>
      </c>
      <c r="AV78" s="162" t="str">
        <f t="shared" si="68"/>
        <v>Not Cost-Effective</v>
      </c>
      <c r="AW78" s="167" t="str">
        <f t="shared" si="53"/>
        <v>.</v>
      </c>
      <c r="AX78" s="159" t="str">
        <f t="shared" si="69"/>
        <v>.</v>
      </c>
      <c r="AY78" s="167" t="str">
        <f t="shared" si="54"/>
        <v>.</v>
      </c>
      <c r="AZ78" s="159" t="str">
        <f t="shared" si="70"/>
        <v>.</v>
      </c>
      <c r="BA78" s="167">
        <f t="shared" si="55"/>
        <v>1.6478818109738349</v>
      </c>
      <c r="BB78" s="159" t="str">
        <f t="shared" si="71"/>
        <v>Cost-Effective</v>
      </c>
      <c r="BC78" s="167">
        <f t="shared" si="56"/>
        <v>0.68297921454881216</v>
      </c>
      <c r="BD78" s="159" t="str">
        <f t="shared" si="72"/>
        <v>Not Cost-Effective</v>
      </c>
      <c r="BE78" s="162" t="s">
        <v>161</v>
      </c>
      <c r="BF78" s="162" t="s">
        <v>382</v>
      </c>
      <c r="BG78" s="168">
        <f t="shared" si="57"/>
        <v>1</v>
      </c>
      <c r="BH78" s="168">
        <f t="shared" si="58"/>
        <v>1</v>
      </c>
      <c r="BI78" s="163">
        <f t="shared" si="59"/>
        <v>0</v>
      </c>
      <c r="BJ78" s="163">
        <f t="shared" si="60"/>
        <v>0</v>
      </c>
      <c r="BK78" s="163">
        <f t="shared" si="73"/>
        <v>1</v>
      </c>
      <c r="BL78" s="163">
        <f t="shared" si="74"/>
        <v>0</v>
      </c>
      <c r="BM78" s="163">
        <f t="shared" si="75"/>
        <v>3</v>
      </c>
      <c r="BN78" s="163" t="s">
        <v>155</v>
      </c>
      <c r="BO78" s="162" t="str">
        <f t="shared" si="48"/>
        <v/>
      </c>
      <c r="BP78" s="162" t="s">
        <v>170</v>
      </c>
      <c r="BQ78" s="162" t="s">
        <v>170</v>
      </c>
    </row>
    <row r="79" spans="1:70">
      <c r="A79" s="159">
        <f t="shared" si="61"/>
        <v>21</v>
      </c>
      <c r="B79" s="159">
        <f t="shared" si="62"/>
        <v>5</v>
      </c>
      <c r="C79" s="160" t="str">
        <f t="shared" si="49"/>
        <v>2105</v>
      </c>
      <c r="D79" s="159" t="s">
        <v>219</v>
      </c>
      <c r="E79" s="161">
        <v>2011</v>
      </c>
      <c r="F79" s="162" t="s">
        <v>544</v>
      </c>
      <c r="G79" s="162" t="s">
        <v>221</v>
      </c>
      <c r="H79" s="163" t="str">
        <f t="shared" si="63"/>
        <v>UM</v>
      </c>
      <c r="I79" s="163" t="s">
        <v>155</v>
      </c>
      <c r="J79" s="180" t="s">
        <v>550</v>
      </c>
      <c r="K79" s="163" t="s">
        <v>167</v>
      </c>
      <c r="L79" s="163" t="s">
        <v>166</v>
      </c>
      <c r="M79" s="163" t="str">
        <f t="shared" si="64"/>
        <v>PCV13 vs PCV10</v>
      </c>
      <c r="N79" s="159" t="s">
        <v>403</v>
      </c>
      <c r="O79" s="159">
        <v>4</v>
      </c>
      <c r="P79" s="162" t="s">
        <v>148</v>
      </c>
      <c r="Q79" s="162" t="s">
        <v>377</v>
      </c>
      <c r="R79" s="162" t="s">
        <v>150</v>
      </c>
      <c r="S79" s="162" t="s">
        <v>151</v>
      </c>
      <c r="T79" s="159">
        <v>2009</v>
      </c>
      <c r="U79" s="165">
        <v>20.75</v>
      </c>
      <c r="V79" s="165" t="e">
        <f>IF(ISNUMBER(U79),U79/VLOOKUP($S79,xRates!$A$1:$AA$267,data!$T79-xRates!$B$1+2,FALSE),U79)</f>
        <v>#REF!</v>
      </c>
      <c r="W79" s="162" t="s">
        <v>545</v>
      </c>
      <c r="X79" s="159">
        <v>20.75</v>
      </c>
      <c r="Y79" s="165">
        <v>20.75</v>
      </c>
      <c r="Z79" s="162" t="s">
        <v>551</v>
      </c>
      <c r="AA79" s="163" t="s">
        <v>155</v>
      </c>
      <c r="AB79" s="162"/>
      <c r="AD79" s="163" t="s">
        <v>155</v>
      </c>
      <c r="AE79" s="162" t="str">
        <f t="shared" si="78"/>
        <v/>
      </c>
      <c r="AF79" s="163" t="s">
        <v>148</v>
      </c>
      <c r="AG79" s="163" t="s">
        <v>148</v>
      </c>
      <c r="AH79" s="163" t="s">
        <v>148</v>
      </c>
      <c r="AJ79" s="162"/>
      <c r="AK79" s="162" t="s">
        <v>552</v>
      </c>
      <c r="AL79" s="163" t="s">
        <v>190</v>
      </c>
      <c r="AM79" s="179">
        <v>28147</v>
      </c>
      <c r="AN79" s="179">
        <f t="shared" si="76"/>
        <v>28147</v>
      </c>
      <c r="AO79" s="179">
        <f t="shared" si="65"/>
        <v>8184.4</v>
      </c>
      <c r="AP79" s="163" t="str">
        <f t="shared" si="77"/>
        <v>Not Cost-Effective</v>
      </c>
      <c r="AQ79" s="163" t="str">
        <f t="shared" si="66"/>
        <v>Not Cost-Effective</v>
      </c>
      <c r="AR79" s="167">
        <f t="shared" si="50"/>
        <v>3.4391036606226479</v>
      </c>
      <c r="AS79" s="167">
        <f t="shared" si="51"/>
        <v>0.56000000000000005</v>
      </c>
      <c r="AT79" s="159" t="str">
        <f t="shared" si="67"/>
        <v>Not Cost-Effective</v>
      </c>
      <c r="AU79" s="167">
        <f t="shared" si="52"/>
        <v>0.37</v>
      </c>
      <c r="AV79" s="162" t="str">
        <f t="shared" si="68"/>
        <v>Not Cost-Effective</v>
      </c>
      <c r="AW79" s="167" t="str">
        <f t="shared" si="53"/>
        <v>.</v>
      </c>
      <c r="AX79" s="159" t="str">
        <f t="shared" si="69"/>
        <v>.</v>
      </c>
      <c r="AY79" s="167" t="str">
        <f t="shared" si="54"/>
        <v>.</v>
      </c>
      <c r="AZ79" s="159" t="str">
        <f t="shared" si="70"/>
        <v>.</v>
      </c>
      <c r="BA79" s="167">
        <f t="shared" si="55"/>
        <v>1.6478818109738349</v>
      </c>
      <c r="BB79" s="159" t="str">
        <f t="shared" si="71"/>
        <v>Not Cost-Effective</v>
      </c>
      <c r="BC79" s="167">
        <f t="shared" si="56"/>
        <v>0.68297921454881216</v>
      </c>
      <c r="BD79" s="159" t="str">
        <f t="shared" si="72"/>
        <v>Not Cost-Effective</v>
      </c>
      <c r="BE79" s="162" t="s">
        <v>161</v>
      </c>
      <c r="BF79" s="162" t="s">
        <v>382</v>
      </c>
      <c r="BG79" s="168">
        <f t="shared" si="57"/>
        <v>1</v>
      </c>
      <c r="BH79" s="168">
        <f t="shared" si="58"/>
        <v>1</v>
      </c>
      <c r="BI79" s="163">
        <f t="shared" si="59"/>
        <v>0</v>
      </c>
      <c r="BJ79" s="163">
        <f t="shared" si="60"/>
        <v>0</v>
      </c>
      <c r="BK79" s="163">
        <f t="shared" si="73"/>
        <v>1</v>
      </c>
      <c r="BL79" s="163">
        <f t="shared" si="74"/>
        <v>1</v>
      </c>
      <c r="BM79" s="163">
        <f t="shared" si="75"/>
        <v>4</v>
      </c>
      <c r="BN79" s="163" t="s">
        <v>155</v>
      </c>
      <c r="BO79" s="162" t="str">
        <f t="shared" si="48"/>
        <v/>
      </c>
      <c r="BP79" s="162" t="s">
        <v>170</v>
      </c>
      <c r="BQ79" s="162" t="s">
        <v>170</v>
      </c>
    </row>
    <row r="80" spans="1:70">
      <c r="A80" s="159">
        <f t="shared" si="61"/>
        <v>21</v>
      </c>
      <c r="B80" s="159">
        <f t="shared" si="62"/>
        <v>6</v>
      </c>
      <c r="C80" s="160" t="str">
        <f t="shared" si="49"/>
        <v>2106</v>
      </c>
      <c r="D80" s="159" t="s">
        <v>219</v>
      </c>
      <c r="E80" s="161">
        <v>2011</v>
      </c>
      <c r="F80" s="162" t="s">
        <v>544</v>
      </c>
      <c r="G80" s="162" t="s">
        <v>221</v>
      </c>
      <c r="H80" s="163" t="str">
        <f t="shared" si="63"/>
        <v>UM</v>
      </c>
      <c r="I80" s="163" t="s">
        <v>155</v>
      </c>
      <c r="J80" s="180" t="s">
        <v>550</v>
      </c>
      <c r="K80" s="163" t="s">
        <v>167</v>
      </c>
      <c r="L80" s="163" t="s">
        <v>166</v>
      </c>
      <c r="M80" s="163" t="str">
        <f t="shared" si="64"/>
        <v>PCV13 vs PCV10</v>
      </c>
      <c r="N80" s="159" t="s">
        <v>403</v>
      </c>
      <c r="O80" s="159">
        <v>4</v>
      </c>
      <c r="P80" s="162" t="s">
        <v>155</v>
      </c>
      <c r="Q80" s="162" t="s">
        <v>149</v>
      </c>
      <c r="R80" s="162" t="s">
        <v>150</v>
      </c>
      <c r="S80" s="162" t="s">
        <v>151</v>
      </c>
      <c r="T80" s="159">
        <v>2009</v>
      </c>
      <c r="U80" s="165">
        <v>20.75</v>
      </c>
      <c r="V80" s="165" t="e">
        <f>IF(ISNUMBER(U80),U80/VLOOKUP($S80,xRates!$A$1:$AA$267,data!$T80-xRates!$B$1+2,FALSE),U80)</f>
        <v>#REF!</v>
      </c>
      <c r="W80" s="162" t="s">
        <v>545</v>
      </c>
      <c r="X80" s="159">
        <v>20.75</v>
      </c>
      <c r="Y80" s="165">
        <v>20.75</v>
      </c>
      <c r="Z80" s="162" t="s">
        <v>551</v>
      </c>
      <c r="AA80" s="163" t="s">
        <v>155</v>
      </c>
      <c r="AB80" s="162"/>
      <c r="AD80" s="163" t="s">
        <v>155</v>
      </c>
      <c r="AE80" s="162" t="str">
        <f t="shared" si="78"/>
        <v/>
      </c>
      <c r="AF80" s="163" t="s">
        <v>148</v>
      </c>
      <c r="AG80" s="163" t="s">
        <v>148</v>
      </c>
      <c r="AH80" s="163" t="s">
        <v>148</v>
      </c>
      <c r="AJ80" s="162"/>
      <c r="AK80" s="162" t="s">
        <v>553</v>
      </c>
      <c r="AL80" s="163" t="s">
        <v>190</v>
      </c>
      <c r="AM80" s="179">
        <v>27614</v>
      </c>
      <c r="AN80" s="179">
        <f t="shared" si="76"/>
        <v>27614</v>
      </c>
      <c r="AO80" s="179">
        <f t="shared" si="65"/>
        <v>8184.4</v>
      </c>
      <c r="AP80" s="163" t="str">
        <f t="shared" si="77"/>
        <v>Not Cost-Effective</v>
      </c>
      <c r="AQ80" s="163" t="str">
        <f t="shared" si="66"/>
        <v>Not Cost-Effective</v>
      </c>
      <c r="AR80" s="167">
        <f t="shared" si="50"/>
        <v>3.3739797663848297</v>
      </c>
      <c r="AS80" s="167">
        <f t="shared" si="51"/>
        <v>0.56000000000000005</v>
      </c>
      <c r="AT80" s="159" t="str">
        <f t="shared" si="67"/>
        <v>Not Cost-Effective</v>
      </c>
      <c r="AU80" s="167">
        <f t="shared" si="52"/>
        <v>0.37</v>
      </c>
      <c r="AV80" s="162" t="str">
        <f t="shared" si="68"/>
        <v>Not Cost-Effective</v>
      </c>
      <c r="AW80" s="167" t="str">
        <f t="shared" si="53"/>
        <v>.</v>
      </c>
      <c r="AX80" s="159" t="str">
        <f t="shared" si="69"/>
        <v>.</v>
      </c>
      <c r="AY80" s="167" t="str">
        <f t="shared" si="54"/>
        <v>.</v>
      </c>
      <c r="AZ80" s="159" t="str">
        <f t="shared" si="70"/>
        <v>.</v>
      </c>
      <c r="BA80" s="167">
        <f t="shared" si="55"/>
        <v>1.6478818109738349</v>
      </c>
      <c r="BB80" s="159" t="str">
        <f t="shared" si="71"/>
        <v>Not Cost-Effective</v>
      </c>
      <c r="BC80" s="167">
        <f t="shared" si="56"/>
        <v>0.68297921454881216</v>
      </c>
      <c r="BD80" s="159" t="str">
        <f t="shared" si="72"/>
        <v>Not Cost-Effective</v>
      </c>
      <c r="BE80" s="162" t="s">
        <v>161</v>
      </c>
      <c r="BF80" s="162" t="s">
        <v>382</v>
      </c>
      <c r="BG80" s="168">
        <f t="shared" si="57"/>
        <v>1</v>
      </c>
      <c r="BH80" s="168">
        <f t="shared" si="58"/>
        <v>1</v>
      </c>
      <c r="BI80" s="163">
        <f t="shared" si="59"/>
        <v>0</v>
      </c>
      <c r="BJ80" s="163">
        <f t="shared" si="60"/>
        <v>0</v>
      </c>
      <c r="BK80" s="163">
        <f t="shared" si="73"/>
        <v>1</v>
      </c>
      <c r="BL80" s="163">
        <f t="shared" si="74"/>
        <v>1</v>
      </c>
      <c r="BM80" s="163">
        <f t="shared" si="75"/>
        <v>4</v>
      </c>
      <c r="BN80" s="163" t="s">
        <v>155</v>
      </c>
      <c r="BO80" s="162" t="str">
        <f t="shared" si="48"/>
        <v/>
      </c>
      <c r="BP80" s="162" t="s">
        <v>170</v>
      </c>
      <c r="BQ80" s="162" t="s">
        <v>170</v>
      </c>
    </row>
    <row r="81" spans="1:69">
      <c r="A81" s="159">
        <f t="shared" si="61"/>
        <v>22</v>
      </c>
      <c r="B81" s="159">
        <f t="shared" si="62"/>
        <v>1</v>
      </c>
      <c r="C81" s="160" t="str">
        <f t="shared" si="49"/>
        <v>2201</v>
      </c>
      <c r="D81" s="159" t="s">
        <v>222</v>
      </c>
      <c r="E81" s="161">
        <v>2011</v>
      </c>
      <c r="F81" s="162" t="s">
        <v>554</v>
      </c>
      <c r="G81" s="162" t="s">
        <v>217</v>
      </c>
      <c r="H81" s="163" t="str">
        <f t="shared" si="63"/>
        <v>L</v>
      </c>
      <c r="I81" s="163" t="s">
        <v>155</v>
      </c>
      <c r="J81" s="180" t="s">
        <v>528</v>
      </c>
      <c r="K81" s="163" t="s">
        <v>218</v>
      </c>
      <c r="L81" s="163" t="s">
        <v>147</v>
      </c>
      <c r="M81" s="163" t="str">
        <f t="shared" si="64"/>
        <v>PCV9 vs NoVax</v>
      </c>
      <c r="N81" s="159" t="s">
        <v>514</v>
      </c>
      <c r="O81" s="159">
        <v>3</v>
      </c>
      <c r="P81" s="162" t="s">
        <v>148</v>
      </c>
      <c r="Q81" s="162" t="s">
        <v>149</v>
      </c>
      <c r="R81" s="162" t="s">
        <v>150</v>
      </c>
      <c r="S81" s="162" t="s">
        <v>151</v>
      </c>
      <c r="T81" s="159">
        <v>2005</v>
      </c>
      <c r="U81" s="165">
        <v>5</v>
      </c>
      <c r="V81" s="165" t="e">
        <f>IF(ISNUMBER(U81),U81/VLOOKUP($S81,xRates!$A$1:$AA$267,data!$T81-xRates!$B$1+2,FALSE),U81)</f>
        <v>#REF!</v>
      </c>
      <c r="W81" s="162" t="s">
        <v>555</v>
      </c>
      <c r="Y81" s="165"/>
      <c r="AA81" s="163" t="s">
        <v>155</v>
      </c>
      <c r="AB81" s="162"/>
      <c r="AD81" s="163" t="s">
        <v>155</v>
      </c>
      <c r="AE81" s="162" t="str">
        <f t="shared" si="78"/>
        <v/>
      </c>
      <c r="AF81" s="163" t="s">
        <v>148</v>
      </c>
      <c r="AG81" s="163" t="s">
        <v>148</v>
      </c>
      <c r="AH81" s="163" t="s">
        <v>155</v>
      </c>
      <c r="AJ81" s="162"/>
      <c r="AK81" s="162" t="s">
        <v>556</v>
      </c>
      <c r="AL81" s="163" t="s">
        <v>190</v>
      </c>
      <c r="AM81" s="179">
        <v>26</v>
      </c>
      <c r="AN81" s="179">
        <f t="shared" si="76"/>
        <v>26</v>
      </c>
      <c r="AO81" s="179">
        <f t="shared" si="65"/>
        <v>619</v>
      </c>
      <c r="AP81" s="163" t="str">
        <f t="shared" si="77"/>
        <v>Cost-Effective</v>
      </c>
      <c r="AQ81" s="163" t="str">
        <f t="shared" si="66"/>
        <v>Cost-Effective</v>
      </c>
      <c r="AR81" s="167">
        <f t="shared" si="50"/>
        <v>4.2003231017770599E-2</v>
      </c>
      <c r="AS81" s="167">
        <f t="shared" si="51"/>
        <v>0.69</v>
      </c>
      <c r="AT81" s="159" t="str">
        <f t="shared" si="67"/>
        <v>Cost-Effective</v>
      </c>
      <c r="AU81" s="167">
        <f t="shared" si="52"/>
        <v>0.52</v>
      </c>
      <c r="AV81" s="162" t="str">
        <f t="shared" si="68"/>
        <v>Cost-Effective</v>
      </c>
      <c r="AW81" s="167">
        <f t="shared" si="53"/>
        <v>0.38924930491195553</v>
      </c>
      <c r="AX81" s="159" t="str">
        <f t="shared" si="69"/>
        <v>Cost-Effective</v>
      </c>
      <c r="AY81" s="167">
        <f t="shared" si="54"/>
        <v>1.8535681186283598E-2</v>
      </c>
      <c r="AZ81" s="159" t="str">
        <f t="shared" si="70"/>
        <v>Not Cost-Effective</v>
      </c>
      <c r="BA81" s="167">
        <f t="shared" si="55"/>
        <v>0.27251348734264769</v>
      </c>
      <c r="BB81" s="159" t="str">
        <f t="shared" si="71"/>
        <v>Cost-Effective</v>
      </c>
      <c r="BC81" s="167">
        <f t="shared" si="56"/>
        <v>5.3949370590676442E-2</v>
      </c>
      <c r="BD81" s="159" t="str">
        <f t="shared" si="72"/>
        <v>Cost-Effective</v>
      </c>
      <c r="BE81" s="162" t="s">
        <v>176</v>
      </c>
      <c r="BF81" s="162" t="s">
        <v>382</v>
      </c>
      <c r="BG81" s="168">
        <f t="shared" si="57"/>
        <v>0</v>
      </c>
      <c r="BH81" s="168">
        <f t="shared" si="58"/>
        <v>0</v>
      </c>
      <c r="BI81" s="163">
        <f t="shared" si="59"/>
        <v>1</v>
      </c>
      <c r="BJ81" s="163">
        <f t="shared" si="60"/>
        <v>0</v>
      </c>
      <c r="BK81" s="163">
        <f t="shared" si="73"/>
        <v>0</v>
      </c>
      <c r="BL81" s="163">
        <f t="shared" si="74"/>
        <v>0</v>
      </c>
      <c r="BM81" s="163">
        <f t="shared" si="75"/>
        <v>1</v>
      </c>
      <c r="BN81" s="163" t="s">
        <v>148</v>
      </c>
      <c r="BO81" s="162" t="s">
        <v>557</v>
      </c>
      <c r="BP81" s="162" t="s">
        <v>170</v>
      </c>
      <c r="BQ81" s="162" t="s">
        <v>170</v>
      </c>
    </row>
    <row r="82" spans="1:69">
      <c r="A82" s="159">
        <f t="shared" si="61"/>
        <v>23</v>
      </c>
      <c r="B82" s="159">
        <f t="shared" si="62"/>
        <v>1</v>
      </c>
      <c r="C82" s="160" t="str">
        <f t="shared" si="49"/>
        <v>2301</v>
      </c>
      <c r="D82" s="159" t="s">
        <v>224</v>
      </c>
      <c r="E82" s="161">
        <v>2013</v>
      </c>
      <c r="F82" s="162" t="s">
        <v>558</v>
      </c>
      <c r="G82" s="162" t="s">
        <v>226</v>
      </c>
      <c r="H82" s="163" t="str">
        <f t="shared" si="63"/>
        <v>L</v>
      </c>
      <c r="I82" s="163" t="s">
        <v>155</v>
      </c>
      <c r="J82" s="180" t="s">
        <v>533</v>
      </c>
      <c r="K82" s="163" t="s">
        <v>166</v>
      </c>
      <c r="L82" s="163" t="s">
        <v>147</v>
      </c>
      <c r="M82" s="163" t="str">
        <f t="shared" si="64"/>
        <v>PCV10 vs NoVax</v>
      </c>
      <c r="N82" s="159" t="s">
        <v>559</v>
      </c>
      <c r="O82" s="159">
        <v>2</v>
      </c>
      <c r="P82" s="162" t="s">
        <v>148</v>
      </c>
      <c r="Q82" s="162" t="s">
        <v>149</v>
      </c>
      <c r="R82" s="162" t="s">
        <v>150</v>
      </c>
      <c r="S82" s="162" t="s">
        <v>151</v>
      </c>
      <c r="T82" s="159">
        <v>2010</v>
      </c>
      <c r="U82" s="165">
        <v>3.5</v>
      </c>
      <c r="V82" s="165" t="e">
        <f>IF(ISNUMBER(U82),U82/VLOOKUP($S82,xRates!$A$1:$AA$267,data!$T82-xRates!$B$1+2,FALSE),U82)</f>
        <v>#REF!</v>
      </c>
      <c r="W82" s="162" t="s">
        <v>529</v>
      </c>
      <c r="Y82" s="165"/>
      <c r="AA82" s="163" t="s">
        <v>155</v>
      </c>
      <c r="AB82" s="162"/>
      <c r="AD82" s="163" t="s">
        <v>155</v>
      </c>
      <c r="AE82" s="162" t="str">
        <f t="shared" si="78"/>
        <v/>
      </c>
      <c r="AF82" s="163" t="s">
        <v>148</v>
      </c>
      <c r="AG82" s="163" t="s">
        <v>148</v>
      </c>
      <c r="AH82" s="163" t="s">
        <v>155</v>
      </c>
      <c r="AJ82" s="162"/>
      <c r="AK82" s="162" t="s">
        <v>560</v>
      </c>
      <c r="AL82" s="163" t="s">
        <v>190</v>
      </c>
      <c r="AM82" s="179">
        <v>59</v>
      </c>
      <c r="AN82" s="179">
        <f t="shared" si="76"/>
        <v>59</v>
      </c>
      <c r="AO82" s="179">
        <f t="shared" si="65"/>
        <v>1093.5999999999999</v>
      </c>
      <c r="AP82" s="163" t="str">
        <f t="shared" si="77"/>
        <v>Cost-Effective</v>
      </c>
      <c r="AQ82" s="163" t="str">
        <f t="shared" si="66"/>
        <v>Cost-Effective</v>
      </c>
      <c r="AR82" s="167">
        <f t="shared" si="50"/>
        <v>5.3950256035113393E-2</v>
      </c>
      <c r="AS82" s="167">
        <f t="shared" si="51"/>
        <v>0.47</v>
      </c>
      <c r="AT82" s="159" t="str">
        <f t="shared" si="67"/>
        <v>Cost-Effective</v>
      </c>
      <c r="AU82" s="167">
        <f t="shared" si="52"/>
        <v>0.36</v>
      </c>
      <c r="AV82" s="162" t="str">
        <f t="shared" si="68"/>
        <v>Cost-Effective</v>
      </c>
      <c r="AW82" s="167">
        <f t="shared" si="53"/>
        <v>0.37696106914584543</v>
      </c>
      <c r="AX82" s="159" t="str">
        <f t="shared" si="69"/>
        <v>Cost-Effective</v>
      </c>
      <c r="AY82" s="167">
        <f t="shared" si="54"/>
        <v>2.3242300987797792E-2</v>
      </c>
      <c r="AZ82" s="159" t="str">
        <f t="shared" si="70"/>
        <v>Not Cost-Effective</v>
      </c>
      <c r="BA82" s="167">
        <f t="shared" si="55"/>
        <v>0.39388863509466526</v>
      </c>
      <c r="BB82" s="159" t="str">
        <f t="shared" si="71"/>
        <v>Cost-Effective</v>
      </c>
      <c r="BC82" s="167">
        <f t="shared" si="56"/>
        <v>0.1583675955535252</v>
      </c>
      <c r="BD82" s="159" t="str">
        <f t="shared" si="72"/>
        <v>Cost-Effective</v>
      </c>
      <c r="BE82" s="162" t="s">
        <v>176</v>
      </c>
      <c r="BF82" s="162" t="s">
        <v>382</v>
      </c>
      <c r="BG82" s="168">
        <f t="shared" si="57"/>
        <v>0</v>
      </c>
      <c r="BH82" s="168">
        <f t="shared" si="58"/>
        <v>0</v>
      </c>
      <c r="BI82" s="163">
        <f t="shared" si="59"/>
        <v>1</v>
      </c>
      <c r="BJ82" s="163">
        <f t="shared" si="60"/>
        <v>0</v>
      </c>
      <c r="BK82" s="163">
        <f t="shared" si="73"/>
        <v>0</v>
      </c>
      <c r="BL82" s="163">
        <f t="shared" si="74"/>
        <v>0</v>
      </c>
      <c r="BM82" s="163">
        <f t="shared" si="75"/>
        <v>1</v>
      </c>
      <c r="BN82" s="163" t="s">
        <v>155</v>
      </c>
      <c r="BO82" s="162" t="str">
        <f t="shared" ref="BO82:BO88" si="79">IF(BN82="No", "", "")</f>
        <v/>
      </c>
      <c r="BP82" s="162" t="s">
        <v>561</v>
      </c>
      <c r="BQ82" s="162" t="s">
        <v>156</v>
      </c>
    </row>
    <row r="83" spans="1:69">
      <c r="A83" s="159">
        <f t="shared" si="61"/>
        <v>23</v>
      </c>
      <c r="B83" s="159">
        <f t="shared" si="62"/>
        <v>2</v>
      </c>
      <c r="C83" s="160" t="str">
        <f t="shared" si="49"/>
        <v>2302</v>
      </c>
      <c r="D83" s="159" t="s">
        <v>224</v>
      </c>
      <c r="E83" s="161">
        <v>2013</v>
      </c>
      <c r="F83" s="162" t="s">
        <v>558</v>
      </c>
      <c r="G83" s="162" t="s">
        <v>226</v>
      </c>
      <c r="H83" s="163" t="str">
        <f t="shared" si="63"/>
        <v>L</v>
      </c>
      <c r="I83" s="163" t="s">
        <v>155</v>
      </c>
      <c r="J83" s="180" t="s">
        <v>534</v>
      </c>
      <c r="K83" s="163" t="s">
        <v>167</v>
      </c>
      <c r="L83" s="163" t="s">
        <v>147</v>
      </c>
      <c r="M83" s="163" t="str">
        <f t="shared" si="64"/>
        <v>PCV13 vs NoVax</v>
      </c>
      <c r="N83" s="159" t="s">
        <v>559</v>
      </c>
      <c r="O83" s="159">
        <v>2</v>
      </c>
      <c r="P83" s="162" t="s">
        <v>148</v>
      </c>
      <c r="Q83" s="162" t="s">
        <v>149</v>
      </c>
      <c r="R83" s="162" t="s">
        <v>150</v>
      </c>
      <c r="S83" s="162" t="s">
        <v>151</v>
      </c>
      <c r="T83" s="159">
        <v>2010</v>
      </c>
      <c r="U83" s="165">
        <v>3.5</v>
      </c>
      <c r="V83" s="165" t="e">
        <f>IF(ISNUMBER(U83),U83/VLOOKUP($S83,xRates!$A$1:$AA$267,data!$T83-xRates!$B$1+2,FALSE),U83)</f>
        <v>#REF!</v>
      </c>
      <c r="W83" s="162" t="s">
        <v>529</v>
      </c>
      <c r="Y83" s="165"/>
      <c r="AA83" s="163" t="s">
        <v>155</v>
      </c>
      <c r="AB83" s="162"/>
      <c r="AD83" s="163" t="s">
        <v>155</v>
      </c>
      <c r="AE83" s="162" t="str">
        <f t="shared" si="78"/>
        <v/>
      </c>
      <c r="AF83" s="163" t="s">
        <v>148</v>
      </c>
      <c r="AG83" s="163" t="s">
        <v>148</v>
      </c>
      <c r="AH83" s="163" t="s">
        <v>155</v>
      </c>
      <c r="AJ83" s="162"/>
      <c r="AK83" s="162" t="s">
        <v>562</v>
      </c>
      <c r="AL83" s="163" t="s">
        <v>190</v>
      </c>
      <c r="AM83" s="179">
        <v>47</v>
      </c>
      <c r="AN83" s="179">
        <f t="shared" si="76"/>
        <v>47</v>
      </c>
      <c r="AO83" s="179">
        <f t="shared" si="65"/>
        <v>1093.5999999999999</v>
      </c>
      <c r="AP83" s="163" t="str">
        <f t="shared" si="77"/>
        <v>Cost-Effective</v>
      </c>
      <c r="AQ83" s="163" t="str">
        <f t="shared" si="66"/>
        <v>Cost-Effective</v>
      </c>
      <c r="AR83" s="167">
        <f t="shared" si="50"/>
        <v>4.2977322604242869E-2</v>
      </c>
      <c r="AS83" s="167">
        <f t="shared" si="51"/>
        <v>0.47</v>
      </c>
      <c r="AT83" s="159" t="str">
        <f t="shared" si="67"/>
        <v>Cost-Effective</v>
      </c>
      <c r="AU83" s="167">
        <f t="shared" si="52"/>
        <v>0.36</v>
      </c>
      <c r="AV83" s="162" t="str">
        <f t="shared" si="68"/>
        <v>Cost-Effective</v>
      </c>
      <c r="AW83" s="167">
        <f t="shared" si="53"/>
        <v>0.37696106914584543</v>
      </c>
      <c r="AX83" s="159" t="str">
        <f t="shared" si="69"/>
        <v>Cost-Effective</v>
      </c>
      <c r="AY83" s="167">
        <f t="shared" si="54"/>
        <v>2.3242300987797792E-2</v>
      </c>
      <c r="AZ83" s="159" t="str">
        <f t="shared" si="70"/>
        <v>Not Cost-Effective</v>
      </c>
      <c r="BA83" s="167">
        <f t="shared" si="55"/>
        <v>0.39388863509466526</v>
      </c>
      <c r="BB83" s="159" t="str">
        <f t="shared" si="71"/>
        <v>Cost-Effective</v>
      </c>
      <c r="BC83" s="167">
        <f t="shared" si="56"/>
        <v>0.1583675955535252</v>
      </c>
      <c r="BD83" s="159" t="str">
        <f t="shared" si="72"/>
        <v>Cost-Effective</v>
      </c>
      <c r="BE83" s="162" t="s">
        <v>176</v>
      </c>
      <c r="BF83" s="162" t="s">
        <v>382</v>
      </c>
      <c r="BG83" s="168">
        <f t="shared" si="57"/>
        <v>0</v>
      </c>
      <c r="BH83" s="168">
        <f t="shared" si="58"/>
        <v>0</v>
      </c>
      <c r="BI83" s="163">
        <f t="shared" si="59"/>
        <v>1</v>
      </c>
      <c r="BJ83" s="163">
        <f t="shared" si="60"/>
        <v>0</v>
      </c>
      <c r="BK83" s="163">
        <f t="shared" si="73"/>
        <v>0</v>
      </c>
      <c r="BL83" s="163">
        <f t="shared" si="74"/>
        <v>0</v>
      </c>
      <c r="BM83" s="163">
        <f t="shared" si="75"/>
        <v>1</v>
      </c>
      <c r="BN83" s="163" t="s">
        <v>155</v>
      </c>
      <c r="BO83" s="162" t="str">
        <f t="shared" si="79"/>
        <v/>
      </c>
      <c r="BP83" s="162" t="s">
        <v>561</v>
      </c>
      <c r="BQ83" s="162" t="s">
        <v>156</v>
      </c>
    </row>
    <row r="84" spans="1:69">
      <c r="A84" s="159">
        <f t="shared" si="61"/>
        <v>23</v>
      </c>
      <c r="B84" s="159">
        <f t="shared" si="62"/>
        <v>3</v>
      </c>
      <c r="C84" s="160" t="str">
        <f t="shared" si="49"/>
        <v>2303</v>
      </c>
      <c r="D84" s="159" t="s">
        <v>224</v>
      </c>
      <c r="E84" s="161">
        <v>2013</v>
      </c>
      <c r="F84" s="162" t="s">
        <v>558</v>
      </c>
      <c r="G84" s="162" t="s">
        <v>226</v>
      </c>
      <c r="H84" s="163" t="str">
        <f t="shared" si="63"/>
        <v>L</v>
      </c>
      <c r="I84" s="163" t="s">
        <v>155</v>
      </c>
      <c r="J84" s="180" t="s">
        <v>533</v>
      </c>
      <c r="K84" s="163" t="s">
        <v>166</v>
      </c>
      <c r="L84" s="163" t="s">
        <v>147</v>
      </c>
      <c r="M84" s="163" t="str">
        <f t="shared" si="64"/>
        <v>PCV10 vs NoVax</v>
      </c>
      <c r="N84" s="159" t="s">
        <v>559</v>
      </c>
      <c r="O84" s="159">
        <v>2</v>
      </c>
      <c r="P84" s="162" t="s">
        <v>155</v>
      </c>
      <c r="Q84" s="162" t="s">
        <v>149</v>
      </c>
      <c r="R84" s="162" t="s">
        <v>150</v>
      </c>
      <c r="S84" s="162" t="s">
        <v>151</v>
      </c>
      <c r="T84" s="159">
        <v>2010</v>
      </c>
      <c r="U84" s="165">
        <v>3.5</v>
      </c>
      <c r="V84" s="165" t="e">
        <f>IF(ISNUMBER(U84),U84/VLOOKUP($S84,xRates!$A$1:$AA$267,data!$T84-xRates!$B$1+2,FALSE),U84)</f>
        <v>#REF!</v>
      </c>
      <c r="W84" s="162" t="s">
        <v>529</v>
      </c>
      <c r="Y84" s="165"/>
      <c r="AA84" s="163" t="s">
        <v>148</v>
      </c>
      <c r="AB84" s="162" t="s">
        <v>417</v>
      </c>
      <c r="AC84" s="162" t="s">
        <v>148</v>
      </c>
      <c r="AD84" s="163" t="s">
        <v>148</v>
      </c>
      <c r="AE84" s="162" t="s">
        <v>563</v>
      </c>
      <c r="AF84" s="163" t="s">
        <v>148</v>
      </c>
      <c r="AG84" s="163" t="s">
        <v>148</v>
      </c>
      <c r="AH84" s="163" t="s">
        <v>155</v>
      </c>
      <c r="AJ84" s="162"/>
      <c r="AK84" s="162" t="s">
        <v>564</v>
      </c>
      <c r="AL84" s="163" t="s">
        <v>190</v>
      </c>
      <c r="AM84" s="179">
        <v>32</v>
      </c>
      <c r="AN84" s="179">
        <f t="shared" si="76"/>
        <v>32</v>
      </c>
      <c r="AO84" s="179">
        <f t="shared" si="65"/>
        <v>1093.5999999999999</v>
      </c>
      <c r="AP84" s="163" t="str">
        <f t="shared" si="77"/>
        <v>Cost-Effective</v>
      </c>
      <c r="AQ84" s="163" t="str">
        <f t="shared" si="66"/>
        <v>Cost-Effective</v>
      </c>
      <c r="AR84" s="167">
        <f t="shared" si="50"/>
        <v>2.9261155815654721E-2</v>
      </c>
      <c r="AS84" s="167">
        <f t="shared" si="51"/>
        <v>0.47</v>
      </c>
      <c r="AT84" s="159" t="str">
        <f t="shared" si="67"/>
        <v>Cost-Effective</v>
      </c>
      <c r="AU84" s="167">
        <f t="shared" si="52"/>
        <v>0.36</v>
      </c>
      <c r="AV84" s="162" t="str">
        <f t="shared" si="68"/>
        <v>Cost-Effective</v>
      </c>
      <c r="AW84" s="167">
        <f t="shared" si="53"/>
        <v>0.37696106914584543</v>
      </c>
      <c r="AX84" s="159" t="str">
        <f t="shared" si="69"/>
        <v>Cost-Effective</v>
      </c>
      <c r="AY84" s="167">
        <f t="shared" si="54"/>
        <v>2.3242300987797792E-2</v>
      </c>
      <c r="AZ84" s="159" t="str">
        <f t="shared" si="70"/>
        <v>Not Cost-Effective</v>
      </c>
      <c r="BA84" s="167">
        <f t="shared" si="55"/>
        <v>0.39388863509466526</v>
      </c>
      <c r="BB84" s="159" t="str">
        <f t="shared" si="71"/>
        <v>Cost-Effective</v>
      </c>
      <c r="BC84" s="167">
        <f t="shared" si="56"/>
        <v>0.1583675955535252</v>
      </c>
      <c r="BD84" s="159" t="str">
        <f t="shared" si="72"/>
        <v>Cost-Effective</v>
      </c>
      <c r="BE84" s="162" t="s">
        <v>176</v>
      </c>
      <c r="BF84" s="162" t="s">
        <v>382</v>
      </c>
      <c r="BG84" s="168">
        <f t="shared" si="57"/>
        <v>0</v>
      </c>
      <c r="BH84" s="168">
        <f t="shared" si="58"/>
        <v>0</v>
      </c>
      <c r="BI84" s="163">
        <f t="shared" si="59"/>
        <v>1</v>
      </c>
      <c r="BJ84" s="163">
        <f t="shared" si="60"/>
        <v>0</v>
      </c>
      <c r="BK84" s="163">
        <f t="shared" si="73"/>
        <v>0</v>
      </c>
      <c r="BL84" s="163">
        <f t="shared" si="74"/>
        <v>0</v>
      </c>
      <c r="BM84" s="163">
        <f t="shared" si="75"/>
        <v>1</v>
      </c>
      <c r="BN84" s="163" t="s">
        <v>155</v>
      </c>
      <c r="BO84" s="162" t="str">
        <f t="shared" si="79"/>
        <v/>
      </c>
      <c r="BP84" s="162" t="s">
        <v>561</v>
      </c>
      <c r="BQ84" s="162" t="s">
        <v>156</v>
      </c>
    </row>
    <row r="85" spans="1:69">
      <c r="A85" s="159">
        <f t="shared" si="61"/>
        <v>23</v>
      </c>
      <c r="B85" s="159">
        <f t="shared" si="62"/>
        <v>4</v>
      </c>
      <c r="C85" s="160" t="str">
        <f t="shared" si="49"/>
        <v>2304</v>
      </c>
      <c r="D85" s="159" t="s">
        <v>224</v>
      </c>
      <c r="E85" s="161">
        <v>2013</v>
      </c>
      <c r="F85" s="162" t="s">
        <v>558</v>
      </c>
      <c r="G85" s="162" t="s">
        <v>226</v>
      </c>
      <c r="H85" s="163" t="str">
        <f t="shared" si="63"/>
        <v>L</v>
      </c>
      <c r="I85" s="163" t="s">
        <v>155</v>
      </c>
      <c r="J85" s="180" t="s">
        <v>534</v>
      </c>
      <c r="K85" s="163" t="s">
        <v>167</v>
      </c>
      <c r="L85" s="163" t="s">
        <v>147</v>
      </c>
      <c r="M85" s="163" t="str">
        <f t="shared" si="64"/>
        <v>PCV13 vs NoVax</v>
      </c>
      <c r="N85" s="159" t="s">
        <v>559</v>
      </c>
      <c r="O85" s="159">
        <v>2</v>
      </c>
      <c r="P85" s="162" t="s">
        <v>155</v>
      </c>
      <c r="Q85" s="162" t="s">
        <v>149</v>
      </c>
      <c r="R85" s="162" t="s">
        <v>150</v>
      </c>
      <c r="S85" s="162" t="s">
        <v>151</v>
      </c>
      <c r="T85" s="159">
        <v>2010</v>
      </c>
      <c r="U85" s="165">
        <v>3.5</v>
      </c>
      <c r="V85" s="165" t="e">
        <f>IF(ISNUMBER(U85),U85/VLOOKUP($S85,xRates!$A$1:$AA$267,data!$T85-xRates!$B$1+2,FALSE),U85)</f>
        <v>#REF!</v>
      </c>
      <c r="W85" s="162" t="s">
        <v>529</v>
      </c>
      <c r="Y85" s="165"/>
      <c r="AA85" s="163" t="s">
        <v>148</v>
      </c>
      <c r="AB85" s="162" t="s">
        <v>417</v>
      </c>
      <c r="AC85" s="162" t="s">
        <v>148</v>
      </c>
      <c r="AD85" s="163" t="s">
        <v>148</v>
      </c>
      <c r="AE85" s="162" t="s">
        <v>563</v>
      </c>
      <c r="AF85" s="163" t="s">
        <v>148</v>
      </c>
      <c r="AG85" s="163" t="s">
        <v>148</v>
      </c>
      <c r="AH85" s="163" t="s">
        <v>155</v>
      </c>
      <c r="AJ85" s="162"/>
      <c r="AK85" s="162" t="s">
        <v>565</v>
      </c>
      <c r="AL85" s="163" t="s">
        <v>190</v>
      </c>
      <c r="AM85" s="179">
        <v>25</v>
      </c>
      <c r="AN85" s="179">
        <f t="shared" si="76"/>
        <v>25</v>
      </c>
      <c r="AO85" s="179">
        <f t="shared" si="65"/>
        <v>1093.5999999999999</v>
      </c>
      <c r="AP85" s="163" t="str">
        <f t="shared" si="77"/>
        <v>Cost-Effective</v>
      </c>
      <c r="AQ85" s="163" t="str">
        <f t="shared" si="66"/>
        <v>Cost-Effective</v>
      </c>
      <c r="AR85" s="167">
        <f t="shared" si="50"/>
        <v>2.286027798098025E-2</v>
      </c>
      <c r="AS85" s="167">
        <f t="shared" si="51"/>
        <v>0.47</v>
      </c>
      <c r="AT85" s="159" t="str">
        <f t="shared" si="67"/>
        <v>Cost-Effective</v>
      </c>
      <c r="AU85" s="167">
        <f t="shared" si="52"/>
        <v>0.36</v>
      </c>
      <c r="AV85" s="162" t="str">
        <f t="shared" si="68"/>
        <v>Cost-Effective</v>
      </c>
      <c r="AW85" s="167">
        <f t="shared" si="53"/>
        <v>0.37696106914584543</v>
      </c>
      <c r="AX85" s="159" t="str">
        <f t="shared" si="69"/>
        <v>Cost-Effective</v>
      </c>
      <c r="AY85" s="167">
        <f t="shared" si="54"/>
        <v>2.3242300987797792E-2</v>
      </c>
      <c r="AZ85" s="159" t="str">
        <f t="shared" si="70"/>
        <v>Cost-Effective</v>
      </c>
      <c r="BA85" s="167">
        <f t="shared" si="55"/>
        <v>0.39388863509466526</v>
      </c>
      <c r="BB85" s="159" t="str">
        <f t="shared" si="71"/>
        <v>Cost-Effective</v>
      </c>
      <c r="BC85" s="167">
        <f t="shared" si="56"/>
        <v>0.1583675955535252</v>
      </c>
      <c r="BD85" s="159" t="str">
        <f t="shared" si="72"/>
        <v>Cost-Effective</v>
      </c>
      <c r="BE85" s="162" t="s">
        <v>176</v>
      </c>
      <c r="BF85" s="162" t="s">
        <v>382</v>
      </c>
      <c r="BG85" s="168">
        <f t="shared" si="57"/>
        <v>0</v>
      </c>
      <c r="BH85" s="168">
        <f t="shared" si="58"/>
        <v>0</v>
      </c>
      <c r="BI85" s="163">
        <f t="shared" si="59"/>
        <v>0</v>
      </c>
      <c r="BJ85" s="163">
        <f t="shared" si="60"/>
        <v>0</v>
      </c>
      <c r="BK85" s="163">
        <f t="shared" si="73"/>
        <v>0</v>
      </c>
      <c r="BL85" s="163">
        <f t="shared" si="74"/>
        <v>0</v>
      </c>
      <c r="BM85" s="163">
        <f t="shared" si="75"/>
        <v>0</v>
      </c>
      <c r="BN85" s="163" t="s">
        <v>155</v>
      </c>
      <c r="BO85" s="162" t="str">
        <f t="shared" si="79"/>
        <v/>
      </c>
      <c r="BP85" s="162" t="s">
        <v>561</v>
      </c>
      <c r="BQ85" s="162" t="s">
        <v>156</v>
      </c>
    </row>
    <row r="86" spans="1:69">
      <c r="A86" s="159">
        <f t="shared" si="61"/>
        <v>24</v>
      </c>
      <c r="B86" s="159">
        <f t="shared" si="62"/>
        <v>1</v>
      </c>
      <c r="C86" s="160" t="str">
        <f t="shared" si="49"/>
        <v>2401</v>
      </c>
      <c r="D86" s="159" t="s">
        <v>227</v>
      </c>
      <c r="E86" s="161">
        <v>2015</v>
      </c>
      <c r="F86" s="162" t="s">
        <v>566</v>
      </c>
      <c r="G86" s="162" t="s">
        <v>229</v>
      </c>
      <c r="H86" s="163" t="str">
        <f t="shared" si="63"/>
        <v>L</v>
      </c>
      <c r="I86" s="163" t="s">
        <v>155</v>
      </c>
      <c r="J86" s="180" t="s">
        <v>533</v>
      </c>
      <c r="K86" s="163" t="s">
        <v>166</v>
      </c>
      <c r="L86" s="163" t="s">
        <v>147</v>
      </c>
      <c r="M86" s="163" t="str">
        <f t="shared" si="64"/>
        <v>PCV10 vs NoVax</v>
      </c>
      <c r="N86" s="159" t="s">
        <v>567</v>
      </c>
      <c r="O86" s="159">
        <v>1</v>
      </c>
      <c r="P86" s="162" t="s">
        <v>148</v>
      </c>
      <c r="Q86" s="162" t="s">
        <v>377</v>
      </c>
      <c r="R86" s="162" t="s">
        <v>150</v>
      </c>
      <c r="S86" s="162" t="s">
        <v>151</v>
      </c>
      <c r="T86" s="159">
        <v>2011</v>
      </c>
      <c r="U86" s="165">
        <v>7</v>
      </c>
      <c r="V86" s="165" t="e">
        <f>IF(ISNUMBER(U86),U86/VLOOKUP($S86,xRates!$A$1:$AA$267,data!$T86-xRates!$B$1+2,FALSE),U86)</f>
        <v>#REF!</v>
      </c>
      <c r="W86" s="162" t="s">
        <v>507</v>
      </c>
      <c r="Y86" s="165"/>
      <c r="AA86" s="163" t="s">
        <v>155</v>
      </c>
      <c r="AB86" s="162"/>
      <c r="AC86" s="162" t="str">
        <f>IF(AA86="No","","")</f>
        <v/>
      </c>
      <c r="AD86" s="163" t="s">
        <v>155</v>
      </c>
      <c r="AE86" s="162" t="str">
        <f>IF(AD86="No", "", "")</f>
        <v/>
      </c>
      <c r="AF86" s="163" t="s">
        <v>148</v>
      </c>
      <c r="AG86" s="163" t="s">
        <v>155</v>
      </c>
      <c r="AH86" s="163" t="s">
        <v>155</v>
      </c>
      <c r="AJ86" s="162" t="s">
        <v>568</v>
      </c>
      <c r="AK86" s="162" t="s">
        <v>569</v>
      </c>
      <c r="AL86" s="163" t="s">
        <v>190</v>
      </c>
      <c r="AM86" s="179">
        <v>114.84</v>
      </c>
      <c r="AN86" s="179">
        <f t="shared" si="76"/>
        <v>114.84</v>
      </c>
      <c r="AO86" s="179">
        <f t="shared" si="65"/>
        <v>237.9</v>
      </c>
      <c r="AP86" s="163" t="str">
        <f t="shared" si="77"/>
        <v>Cost-Effective</v>
      </c>
      <c r="AQ86" s="163" t="str">
        <f t="shared" si="66"/>
        <v>Cost-Effective</v>
      </c>
      <c r="AR86" s="167">
        <f t="shared" si="50"/>
        <v>0.48272383354350568</v>
      </c>
      <c r="AS86" s="167" t="str">
        <f t="shared" si="51"/>
        <v>.</v>
      </c>
      <c r="AT86" s="159" t="str">
        <f t="shared" si="67"/>
        <v>.</v>
      </c>
      <c r="AU86" s="167" t="str">
        <f t="shared" si="52"/>
        <v>.</v>
      </c>
      <c r="AV86" s="162" t="str">
        <f t="shared" si="68"/>
        <v>.</v>
      </c>
      <c r="AW86" s="167" t="str">
        <f t="shared" si="53"/>
        <v>.</v>
      </c>
      <c r="AX86" s="159" t="str">
        <f t="shared" si="69"/>
        <v>.</v>
      </c>
      <c r="AY86" s="167" t="str">
        <f t="shared" si="54"/>
        <v>.</v>
      </c>
      <c r="AZ86" s="159" t="str">
        <f t="shared" si="70"/>
        <v>.</v>
      </c>
      <c r="BA86" s="167" t="str">
        <f t="shared" si="55"/>
        <v>.</v>
      </c>
      <c r="BB86" s="159" t="str">
        <f t="shared" si="71"/>
        <v>.</v>
      </c>
      <c r="BC86" s="167" t="str">
        <f t="shared" si="56"/>
        <v>.</v>
      </c>
      <c r="BD86" s="159" t="str">
        <f t="shared" si="72"/>
        <v>.</v>
      </c>
      <c r="BE86" s="162" t="s">
        <v>161</v>
      </c>
      <c r="BF86" s="162" t="s">
        <v>382</v>
      </c>
      <c r="BG86" s="168">
        <f t="shared" si="57"/>
        <v>0</v>
      </c>
      <c r="BH86" s="168">
        <f t="shared" si="58"/>
        <v>0</v>
      </c>
      <c r="BI86" s="163">
        <f t="shared" si="59"/>
        <v>0</v>
      </c>
      <c r="BJ86" s="163">
        <f t="shared" si="60"/>
        <v>0</v>
      </c>
      <c r="BK86" s="163">
        <f t="shared" si="73"/>
        <v>0</v>
      </c>
      <c r="BL86" s="163">
        <f t="shared" si="74"/>
        <v>0</v>
      </c>
      <c r="BM86" s="163">
        <f t="shared" si="75"/>
        <v>0</v>
      </c>
      <c r="BN86" s="163" t="s">
        <v>155</v>
      </c>
      <c r="BO86" s="162" t="str">
        <f t="shared" si="79"/>
        <v/>
      </c>
      <c r="BP86" s="162" t="s">
        <v>170</v>
      </c>
      <c r="BQ86" s="162" t="s">
        <v>170</v>
      </c>
    </row>
    <row r="87" spans="1:69">
      <c r="A87" s="159">
        <f t="shared" si="61"/>
        <v>24</v>
      </c>
      <c r="B87" s="159">
        <f t="shared" si="62"/>
        <v>2</v>
      </c>
      <c r="C87" s="160" t="str">
        <f t="shared" si="49"/>
        <v>2402</v>
      </c>
      <c r="D87" s="159" t="s">
        <v>227</v>
      </c>
      <c r="E87" s="161">
        <v>2015</v>
      </c>
      <c r="F87" s="162" t="s">
        <v>566</v>
      </c>
      <c r="G87" s="162" t="s">
        <v>229</v>
      </c>
      <c r="H87" s="163" t="str">
        <f t="shared" si="63"/>
        <v>L</v>
      </c>
      <c r="I87" s="163" t="s">
        <v>155</v>
      </c>
      <c r="J87" s="180" t="s">
        <v>533</v>
      </c>
      <c r="K87" s="163" t="s">
        <v>166</v>
      </c>
      <c r="L87" s="163" t="s">
        <v>147</v>
      </c>
      <c r="M87" s="163" t="str">
        <f t="shared" si="64"/>
        <v>PCV10 vs NoVax</v>
      </c>
      <c r="N87" s="159" t="s">
        <v>559</v>
      </c>
      <c r="O87" s="159">
        <v>2</v>
      </c>
      <c r="P87" s="162" t="s">
        <v>148</v>
      </c>
      <c r="Q87" s="162" t="s">
        <v>377</v>
      </c>
      <c r="R87" s="162" t="s">
        <v>150</v>
      </c>
      <c r="S87" s="162" t="s">
        <v>151</v>
      </c>
      <c r="T87" s="159">
        <v>2011</v>
      </c>
      <c r="U87" s="165">
        <v>7</v>
      </c>
      <c r="V87" s="165" t="e">
        <f>IF(ISNUMBER(U87),U87/VLOOKUP($S87,xRates!$A$1:$AA$267,data!$T87-xRates!$B$1+2,FALSE),U87)</f>
        <v>#REF!</v>
      </c>
      <c r="W87" s="162" t="s">
        <v>507</v>
      </c>
      <c r="Y87" s="165"/>
      <c r="AA87" s="163" t="s">
        <v>155</v>
      </c>
      <c r="AB87" s="162"/>
      <c r="AC87" s="162" t="str">
        <f>IF(AA87="No","","")</f>
        <v/>
      </c>
      <c r="AD87" s="163" t="s">
        <v>155</v>
      </c>
      <c r="AE87" s="162" t="str">
        <f>IF(AD87="No", "", "")</f>
        <v/>
      </c>
      <c r="AF87" s="163" t="s">
        <v>148</v>
      </c>
      <c r="AG87" s="163" t="s">
        <v>155</v>
      </c>
      <c r="AH87" s="163" t="s">
        <v>155</v>
      </c>
      <c r="AJ87" s="162" t="s">
        <v>568</v>
      </c>
      <c r="AK87" s="162" t="s">
        <v>570</v>
      </c>
      <c r="AL87" s="163" t="s">
        <v>190</v>
      </c>
      <c r="AM87" s="179">
        <v>161.51</v>
      </c>
      <c r="AN87" s="179">
        <f t="shared" si="76"/>
        <v>161.51</v>
      </c>
      <c r="AO87" s="179">
        <f t="shared" si="65"/>
        <v>237.9</v>
      </c>
      <c r="AP87" s="163" t="str">
        <f t="shared" si="77"/>
        <v>Cost-Effective</v>
      </c>
      <c r="AQ87" s="163" t="str">
        <f t="shared" si="66"/>
        <v>Cost-Effective</v>
      </c>
      <c r="AR87" s="167">
        <f t="shared" si="50"/>
        <v>0.67889869693148375</v>
      </c>
      <c r="AS87" s="167" t="str">
        <f t="shared" si="51"/>
        <v>.</v>
      </c>
      <c r="AT87" s="159" t="str">
        <f t="shared" si="67"/>
        <v>.</v>
      </c>
      <c r="AU87" s="167" t="str">
        <f t="shared" si="52"/>
        <v>.</v>
      </c>
      <c r="AV87" s="162" t="str">
        <f t="shared" si="68"/>
        <v>.</v>
      </c>
      <c r="AW87" s="167" t="str">
        <f t="shared" si="53"/>
        <v>.</v>
      </c>
      <c r="AX87" s="159" t="str">
        <f t="shared" si="69"/>
        <v>.</v>
      </c>
      <c r="AY87" s="167" t="str">
        <f t="shared" si="54"/>
        <v>.</v>
      </c>
      <c r="AZ87" s="159" t="str">
        <f t="shared" si="70"/>
        <v>.</v>
      </c>
      <c r="BA87" s="167" t="str">
        <f t="shared" si="55"/>
        <v>.</v>
      </c>
      <c r="BB87" s="159" t="str">
        <f t="shared" si="71"/>
        <v>.</v>
      </c>
      <c r="BC87" s="167" t="str">
        <f t="shared" si="56"/>
        <v>.</v>
      </c>
      <c r="BD87" s="159" t="str">
        <f t="shared" si="72"/>
        <v>.</v>
      </c>
      <c r="BE87" s="162" t="s">
        <v>161</v>
      </c>
      <c r="BF87" s="162" t="s">
        <v>382</v>
      </c>
      <c r="BG87" s="168">
        <f t="shared" si="57"/>
        <v>0</v>
      </c>
      <c r="BH87" s="168">
        <f t="shared" si="58"/>
        <v>0</v>
      </c>
      <c r="BI87" s="163">
        <f t="shared" si="59"/>
        <v>0</v>
      </c>
      <c r="BJ87" s="163">
        <f t="shared" si="60"/>
        <v>0</v>
      </c>
      <c r="BK87" s="163">
        <f t="shared" si="73"/>
        <v>0</v>
      </c>
      <c r="BL87" s="163">
        <f t="shared" si="74"/>
        <v>0</v>
      </c>
      <c r="BM87" s="163">
        <f t="shared" si="75"/>
        <v>0</v>
      </c>
      <c r="BN87" s="163" t="s">
        <v>155</v>
      </c>
      <c r="BO87" s="162" t="str">
        <f t="shared" si="79"/>
        <v/>
      </c>
      <c r="BP87" s="162" t="s">
        <v>170</v>
      </c>
      <c r="BQ87" s="162" t="s">
        <v>170</v>
      </c>
    </row>
    <row r="88" spans="1:69">
      <c r="A88" s="159">
        <f t="shared" si="61"/>
        <v>25</v>
      </c>
      <c r="B88" s="159">
        <f t="shared" si="62"/>
        <v>1</v>
      </c>
      <c r="C88" s="160" t="str">
        <f t="shared" si="49"/>
        <v>2501</v>
      </c>
      <c r="D88" s="159" t="s">
        <v>230</v>
      </c>
      <c r="E88" s="161">
        <v>2015</v>
      </c>
      <c r="F88" s="162" t="s">
        <v>571</v>
      </c>
      <c r="G88" s="162" t="s">
        <v>232</v>
      </c>
      <c r="H88" s="163" t="str">
        <f t="shared" si="63"/>
        <v>LM</v>
      </c>
      <c r="I88" s="163" t="s">
        <v>155</v>
      </c>
      <c r="J88" s="180" t="s">
        <v>534</v>
      </c>
      <c r="K88" s="163" t="s">
        <v>167</v>
      </c>
      <c r="L88" s="163" t="s">
        <v>147</v>
      </c>
      <c r="M88" s="163" t="str">
        <f t="shared" si="64"/>
        <v>PCV13 vs NoVax</v>
      </c>
      <c r="N88" s="159" t="s">
        <v>514</v>
      </c>
      <c r="O88" s="159">
        <v>3</v>
      </c>
      <c r="P88" s="162" t="s">
        <v>148</v>
      </c>
      <c r="Q88" s="162" t="s">
        <v>377</v>
      </c>
      <c r="R88" s="162" t="s">
        <v>150</v>
      </c>
      <c r="S88" s="162" t="s">
        <v>151</v>
      </c>
      <c r="T88" s="159">
        <v>2013</v>
      </c>
      <c r="U88" s="165">
        <v>14.24</v>
      </c>
      <c r="V88" s="165" t="e">
        <f>IF(ISNUMBER(U88),U88/VLOOKUP($S88,xRates!$A$1:$AA$267,data!$T88-xRates!$B$1+2,FALSE),U88)</f>
        <v>#REF!</v>
      </c>
      <c r="W88" s="162" t="s">
        <v>572</v>
      </c>
      <c r="Y88" s="165"/>
      <c r="AA88" s="163" t="s">
        <v>148</v>
      </c>
      <c r="AB88" s="162"/>
      <c r="AC88" s="162" t="s">
        <v>155</v>
      </c>
      <c r="AD88" s="163" t="s">
        <v>148</v>
      </c>
      <c r="AE88" s="162" t="s">
        <v>573</v>
      </c>
      <c r="AF88" s="163" t="s">
        <v>148</v>
      </c>
      <c r="AG88" s="163" t="s">
        <v>148</v>
      </c>
      <c r="AH88" s="163" t="s">
        <v>148</v>
      </c>
      <c r="AJ88" s="162" t="s">
        <v>574</v>
      </c>
      <c r="AK88" s="162" t="s">
        <v>575</v>
      </c>
      <c r="AL88" s="163" t="s">
        <v>190</v>
      </c>
      <c r="AM88" s="179">
        <v>3916</v>
      </c>
      <c r="AN88" s="179">
        <f t="shared" si="76"/>
        <v>3916</v>
      </c>
      <c r="AO88" s="179">
        <f t="shared" si="65"/>
        <v>3088.9</v>
      </c>
      <c r="AP88" s="163" t="str">
        <f t="shared" si="77"/>
        <v>Not Cost-Effective</v>
      </c>
      <c r="AQ88" s="163" t="str">
        <f t="shared" si="66"/>
        <v>Cost-Effective</v>
      </c>
      <c r="AR88" s="167">
        <f t="shared" si="50"/>
        <v>1.2677652238661012</v>
      </c>
      <c r="AS88" s="167">
        <f t="shared" si="51"/>
        <v>0.41</v>
      </c>
      <c r="AT88" s="159" t="str">
        <f t="shared" si="67"/>
        <v>Not Cost-Effective</v>
      </c>
      <c r="AU88" s="167">
        <f t="shared" si="52"/>
        <v>0.27</v>
      </c>
      <c r="AV88" s="162" t="str">
        <f t="shared" si="68"/>
        <v>Not Cost-Effective</v>
      </c>
      <c r="AW88" s="167">
        <f t="shared" si="53"/>
        <v>0.64521350642623587</v>
      </c>
      <c r="AX88" s="159" t="str">
        <f t="shared" si="69"/>
        <v>Not Cost-Effective</v>
      </c>
      <c r="AY88" s="167">
        <f t="shared" si="54"/>
        <v>0.16899219786979183</v>
      </c>
      <c r="AZ88" s="159" t="str">
        <f t="shared" si="70"/>
        <v>Not Cost-Effective</v>
      </c>
      <c r="BA88" s="167">
        <f t="shared" si="55"/>
        <v>0.49249328870181946</v>
      </c>
      <c r="BB88" s="159" t="str">
        <f t="shared" si="71"/>
        <v>Not Cost-Effective</v>
      </c>
      <c r="BC88" s="167">
        <f t="shared" si="56"/>
        <v>0.19819043515725979</v>
      </c>
      <c r="BD88" s="159" t="str">
        <f t="shared" si="72"/>
        <v>Not Cost-Effective</v>
      </c>
      <c r="BE88" s="162" t="s">
        <v>153</v>
      </c>
      <c r="BF88" s="162" t="s">
        <v>382</v>
      </c>
      <c r="BG88" s="168">
        <f t="shared" si="57"/>
        <v>1</v>
      </c>
      <c r="BH88" s="168">
        <f t="shared" si="58"/>
        <v>1</v>
      </c>
      <c r="BI88" s="163">
        <f t="shared" si="59"/>
        <v>1</v>
      </c>
      <c r="BJ88" s="163">
        <f t="shared" si="60"/>
        <v>1</v>
      </c>
      <c r="BK88" s="163">
        <f t="shared" si="73"/>
        <v>1</v>
      </c>
      <c r="BL88" s="163">
        <f t="shared" si="74"/>
        <v>1</v>
      </c>
      <c r="BM88" s="163">
        <f t="shared" si="75"/>
        <v>6</v>
      </c>
      <c r="BN88" s="163" t="s">
        <v>155</v>
      </c>
      <c r="BO88" s="162" t="str">
        <f t="shared" si="79"/>
        <v/>
      </c>
      <c r="BP88" s="162" t="s">
        <v>531</v>
      </c>
      <c r="BQ88" s="162" t="s">
        <v>156</v>
      </c>
    </row>
    <row r="89" spans="1:69">
      <c r="A89" s="159">
        <f t="shared" si="61"/>
        <v>26</v>
      </c>
      <c r="B89" s="159">
        <f t="shared" si="62"/>
        <v>1</v>
      </c>
      <c r="C89" s="160" t="str">
        <f t="shared" si="49"/>
        <v>2601</v>
      </c>
      <c r="D89" s="159" t="s">
        <v>56</v>
      </c>
      <c r="E89" s="161">
        <v>2015</v>
      </c>
      <c r="F89" s="162" t="s">
        <v>576</v>
      </c>
      <c r="G89" s="162" t="s">
        <v>234</v>
      </c>
      <c r="H89" s="163" t="str">
        <f t="shared" si="63"/>
        <v>UM</v>
      </c>
      <c r="I89" s="163" t="s">
        <v>155</v>
      </c>
      <c r="J89" s="180" t="s">
        <v>533</v>
      </c>
      <c r="K89" s="163" t="s">
        <v>166</v>
      </c>
      <c r="L89" s="163" t="s">
        <v>147</v>
      </c>
      <c r="M89" s="163" t="str">
        <f t="shared" si="64"/>
        <v>PCV10 vs NoVax</v>
      </c>
      <c r="N89" s="159" t="s">
        <v>403</v>
      </c>
      <c r="O89" s="159">
        <v>4</v>
      </c>
      <c r="P89" s="162" t="s">
        <v>148</v>
      </c>
      <c r="Q89" s="162" t="s">
        <v>377</v>
      </c>
      <c r="R89" s="162" t="s">
        <v>150</v>
      </c>
      <c r="S89" s="162" t="s">
        <v>151</v>
      </c>
      <c r="T89" s="159">
        <v>2012</v>
      </c>
      <c r="U89" s="165">
        <v>14.24</v>
      </c>
      <c r="V89" s="165" t="e">
        <f>IF(ISNUMBER(U89),U89/VLOOKUP($S89,xRates!$A$1:$AA$267,data!$T89-xRates!$B$1+2,FALSE),U89)</f>
        <v>#REF!</v>
      </c>
      <c r="W89" s="162" t="s">
        <v>515</v>
      </c>
      <c r="Y89" s="165"/>
      <c r="AA89" s="163" t="s">
        <v>155</v>
      </c>
      <c r="AB89" s="162"/>
      <c r="AC89" s="162" t="str">
        <f t="shared" ref="AC89:AC119" si="80">IF(AA89="No","","")</f>
        <v/>
      </c>
      <c r="AD89" s="163" t="s">
        <v>155</v>
      </c>
      <c r="AE89" s="162" t="str">
        <f t="shared" ref="AE89:AE119" si="81">IF(AD89="No", "", "")</f>
        <v/>
      </c>
      <c r="AF89" s="163" t="s">
        <v>148</v>
      </c>
      <c r="AG89" s="163" t="s">
        <v>148</v>
      </c>
      <c r="AH89" s="163" t="s">
        <v>148</v>
      </c>
      <c r="AJ89" s="162"/>
      <c r="AK89" s="162" t="s">
        <v>577</v>
      </c>
      <c r="AL89" s="163" t="s">
        <v>190</v>
      </c>
      <c r="AM89" s="179">
        <v>1605</v>
      </c>
      <c r="AN89" s="179">
        <v>1605</v>
      </c>
      <c r="AO89" s="179">
        <f t="shared" si="65"/>
        <v>6475.7</v>
      </c>
      <c r="AP89" s="163" t="str">
        <f t="shared" si="77"/>
        <v>Cost-Effective</v>
      </c>
      <c r="AQ89" s="163" t="str">
        <f t="shared" si="66"/>
        <v>Cost-Effective</v>
      </c>
      <c r="AR89" s="167">
        <f t="shared" si="50"/>
        <v>0.24784965331933229</v>
      </c>
      <c r="AS89" s="167">
        <f t="shared" si="51"/>
        <v>1.08</v>
      </c>
      <c r="AT89" s="159" t="str">
        <f t="shared" si="67"/>
        <v>Cost-Effective</v>
      </c>
      <c r="AU89" s="167">
        <f t="shared" si="52"/>
        <v>0.64</v>
      </c>
      <c r="AV89" s="162" t="str">
        <f t="shared" si="68"/>
        <v>Cost-Effective</v>
      </c>
      <c r="AW89" s="167">
        <f t="shared" si="53"/>
        <v>0.65445260705966679</v>
      </c>
      <c r="AX89" s="159" t="str">
        <f t="shared" si="69"/>
        <v>Cost-Effective</v>
      </c>
      <c r="AY89" s="167">
        <f t="shared" si="54"/>
        <v>0.16633817117601385</v>
      </c>
      <c r="AZ89" s="159" t="str">
        <f t="shared" si="70"/>
        <v>Not Cost-Effective</v>
      </c>
      <c r="BA89" s="167">
        <f t="shared" si="55"/>
        <v>0.89355279235247609</v>
      </c>
      <c r="BB89" s="159" t="str">
        <f t="shared" si="71"/>
        <v>Cost-Effective</v>
      </c>
      <c r="BC89" s="167">
        <f t="shared" si="56"/>
        <v>0.37030115719111623</v>
      </c>
      <c r="BD89" s="159" t="str">
        <f t="shared" si="72"/>
        <v>Cost-Effective</v>
      </c>
      <c r="BE89" s="162" t="s">
        <v>176</v>
      </c>
      <c r="BF89" s="162" t="s">
        <v>382</v>
      </c>
      <c r="BG89" s="168">
        <f t="shared" si="57"/>
        <v>0</v>
      </c>
      <c r="BH89" s="168">
        <f t="shared" si="58"/>
        <v>0</v>
      </c>
      <c r="BI89" s="163">
        <f t="shared" si="59"/>
        <v>1</v>
      </c>
      <c r="BJ89" s="163">
        <f t="shared" si="60"/>
        <v>0</v>
      </c>
      <c r="BK89" s="163">
        <f t="shared" si="73"/>
        <v>0</v>
      </c>
      <c r="BL89" s="163">
        <f t="shared" si="74"/>
        <v>0</v>
      </c>
      <c r="BM89" s="163">
        <f t="shared" si="75"/>
        <v>1</v>
      </c>
      <c r="BN89" s="163" t="s">
        <v>148</v>
      </c>
      <c r="BO89" s="162" t="s">
        <v>578</v>
      </c>
      <c r="BP89" s="162" t="s">
        <v>579</v>
      </c>
      <c r="BQ89" s="162" t="s">
        <v>156</v>
      </c>
    </row>
    <row r="90" spans="1:69">
      <c r="A90" s="159">
        <f t="shared" si="61"/>
        <v>26</v>
      </c>
      <c r="B90" s="159">
        <f t="shared" si="62"/>
        <v>2</v>
      </c>
      <c r="C90" s="160" t="str">
        <f t="shared" si="49"/>
        <v>2602</v>
      </c>
      <c r="D90" s="159" t="s">
        <v>56</v>
      </c>
      <c r="E90" s="161">
        <v>2015</v>
      </c>
      <c r="F90" s="162" t="s">
        <v>576</v>
      </c>
      <c r="G90" s="162" t="s">
        <v>234</v>
      </c>
      <c r="H90" s="163" t="str">
        <f t="shared" si="63"/>
        <v>UM</v>
      </c>
      <c r="I90" s="163" t="s">
        <v>155</v>
      </c>
      <c r="J90" s="180" t="s">
        <v>534</v>
      </c>
      <c r="K90" s="163" t="s">
        <v>167</v>
      </c>
      <c r="L90" s="163" t="s">
        <v>147</v>
      </c>
      <c r="M90" s="163" t="str">
        <f t="shared" si="64"/>
        <v>PCV13 vs NoVax</v>
      </c>
      <c r="N90" s="159" t="s">
        <v>403</v>
      </c>
      <c r="O90" s="159">
        <v>4</v>
      </c>
      <c r="P90" s="162" t="s">
        <v>148</v>
      </c>
      <c r="Q90" s="162" t="s">
        <v>377</v>
      </c>
      <c r="R90" s="162" t="s">
        <v>150</v>
      </c>
      <c r="S90" s="162" t="s">
        <v>151</v>
      </c>
      <c r="T90" s="159">
        <v>2012</v>
      </c>
      <c r="U90" s="165">
        <v>16.34</v>
      </c>
      <c r="V90" s="165" t="e">
        <f>IF(ISNUMBER(U90),U90/VLOOKUP($S90,xRates!$A$1:$AA$267,data!$T90-xRates!$B$1+2,FALSE),U90)</f>
        <v>#REF!</v>
      </c>
      <c r="W90" s="162" t="s">
        <v>515</v>
      </c>
      <c r="Y90" s="165"/>
      <c r="AA90" s="163" t="s">
        <v>155</v>
      </c>
      <c r="AB90" s="162"/>
      <c r="AC90" s="162" t="str">
        <f t="shared" si="80"/>
        <v/>
      </c>
      <c r="AD90" s="163" t="s">
        <v>155</v>
      </c>
      <c r="AE90" s="162" t="str">
        <f t="shared" si="81"/>
        <v/>
      </c>
      <c r="AF90" s="163" t="s">
        <v>148</v>
      </c>
      <c r="AG90" s="163" t="s">
        <v>148</v>
      </c>
      <c r="AH90" s="163" t="s">
        <v>148</v>
      </c>
      <c r="AJ90" s="162"/>
      <c r="AK90" s="162" t="s">
        <v>580</v>
      </c>
      <c r="AL90" s="163" t="s">
        <v>190</v>
      </c>
      <c r="AM90" s="179">
        <v>1304</v>
      </c>
      <c r="AN90" s="179">
        <v>1304</v>
      </c>
      <c r="AO90" s="179">
        <f t="shared" si="65"/>
        <v>6475.7</v>
      </c>
      <c r="AP90" s="163" t="str">
        <f t="shared" si="77"/>
        <v>Cost-Effective</v>
      </c>
      <c r="AQ90" s="163" t="str">
        <f t="shared" si="66"/>
        <v>Cost-Effective</v>
      </c>
      <c r="AR90" s="167">
        <f t="shared" si="50"/>
        <v>0.20136819185570673</v>
      </c>
      <c r="AS90" s="167">
        <f t="shared" si="51"/>
        <v>1.08</v>
      </c>
      <c r="AT90" s="159" t="str">
        <f t="shared" si="67"/>
        <v>Cost-Effective</v>
      </c>
      <c r="AU90" s="167">
        <f t="shared" si="52"/>
        <v>0.64</v>
      </c>
      <c r="AV90" s="162" t="str">
        <f t="shared" si="68"/>
        <v>Cost-Effective</v>
      </c>
      <c r="AW90" s="167">
        <f t="shared" si="53"/>
        <v>0.65445260705966679</v>
      </c>
      <c r="AX90" s="159" t="str">
        <f t="shared" si="69"/>
        <v>Cost-Effective</v>
      </c>
      <c r="AY90" s="167">
        <f t="shared" si="54"/>
        <v>0.16633817117601385</v>
      </c>
      <c r="AZ90" s="159" t="str">
        <f t="shared" si="70"/>
        <v>Not Cost-Effective</v>
      </c>
      <c r="BA90" s="167">
        <f t="shared" si="55"/>
        <v>0.89355279235247609</v>
      </c>
      <c r="BB90" s="159" t="str">
        <f t="shared" si="71"/>
        <v>Cost-Effective</v>
      </c>
      <c r="BC90" s="167">
        <f t="shared" si="56"/>
        <v>0.37030115719111623</v>
      </c>
      <c r="BD90" s="159" t="str">
        <f t="shared" si="72"/>
        <v>Cost-Effective</v>
      </c>
      <c r="BE90" s="162" t="s">
        <v>176</v>
      </c>
      <c r="BF90" s="162" t="s">
        <v>382</v>
      </c>
      <c r="BG90" s="168">
        <f t="shared" si="57"/>
        <v>0</v>
      </c>
      <c r="BH90" s="168">
        <f t="shared" si="58"/>
        <v>0</v>
      </c>
      <c r="BI90" s="163">
        <f t="shared" si="59"/>
        <v>1</v>
      </c>
      <c r="BJ90" s="163">
        <f t="shared" si="60"/>
        <v>0</v>
      </c>
      <c r="BK90" s="163">
        <f t="shared" si="73"/>
        <v>0</v>
      </c>
      <c r="BL90" s="163">
        <f t="shared" si="74"/>
        <v>0</v>
      </c>
      <c r="BM90" s="163">
        <f t="shared" si="75"/>
        <v>1</v>
      </c>
      <c r="BN90" s="163" t="s">
        <v>148</v>
      </c>
      <c r="BO90" s="162" t="s">
        <v>581</v>
      </c>
      <c r="BP90" s="162" t="s">
        <v>579</v>
      </c>
      <c r="BQ90" s="162" t="s">
        <v>156</v>
      </c>
    </row>
    <row r="91" spans="1:69">
      <c r="A91" s="159">
        <f t="shared" si="61"/>
        <v>26</v>
      </c>
      <c r="B91" s="159">
        <f t="shared" si="62"/>
        <v>3</v>
      </c>
      <c r="C91" s="160" t="str">
        <f t="shared" si="49"/>
        <v>2603</v>
      </c>
      <c r="D91" s="159" t="s">
        <v>56</v>
      </c>
      <c r="E91" s="161">
        <v>2015</v>
      </c>
      <c r="F91" s="162" t="s">
        <v>576</v>
      </c>
      <c r="G91" s="162" t="s">
        <v>234</v>
      </c>
      <c r="H91" s="163" t="str">
        <f t="shared" si="63"/>
        <v>UM</v>
      </c>
      <c r="I91" s="163" t="s">
        <v>155</v>
      </c>
      <c r="J91" s="180" t="s">
        <v>550</v>
      </c>
      <c r="K91" s="163" t="s">
        <v>167</v>
      </c>
      <c r="L91" s="163" t="s">
        <v>166</v>
      </c>
      <c r="M91" s="163" t="str">
        <f t="shared" si="64"/>
        <v>PCV13 vs PCV10</v>
      </c>
      <c r="N91" s="159" t="s">
        <v>403</v>
      </c>
      <c r="O91" s="159">
        <v>4</v>
      </c>
      <c r="P91" s="162" t="s">
        <v>148</v>
      </c>
      <c r="Q91" s="162" t="s">
        <v>377</v>
      </c>
      <c r="R91" s="162" t="s">
        <v>150</v>
      </c>
      <c r="S91" s="162" t="s">
        <v>151</v>
      </c>
      <c r="T91" s="159">
        <v>2012</v>
      </c>
      <c r="U91" s="165">
        <v>16.34</v>
      </c>
      <c r="V91" s="165" t="e">
        <f>IF(ISNUMBER(U91),U91/VLOOKUP($S91,xRates!$A$1:$AA$267,data!$T91-xRates!$B$1+2,FALSE),U91)</f>
        <v>#REF!</v>
      </c>
      <c r="W91" s="162" t="s">
        <v>515</v>
      </c>
      <c r="X91" s="159">
        <v>14.24</v>
      </c>
      <c r="Y91" s="165">
        <v>14.24</v>
      </c>
      <c r="Z91" s="162" t="s">
        <v>515</v>
      </c>
      <c r="AA91" s="163" t="s">
        <v>155</v>
      </c>
      <c r="AB91" s="162"/>
      <c r="AC91" s="162" t="str">
        <f t="shared" si="80"/>
        <v/>
      </c>
      <c r="AD91" s="163" t="s">
        <v>155</v>
      </c>
      <c r="AE91" s="162" t="str">
        <f t="shared" si="81"/>
        <v/>
      </c>
      <c r="AF91" s="163" t="s">
        <v>148</v>
      </c>
      <c r="AG91" s="163" t="s">
        <v>148</v>
      </c>
      <c r="AH91" s="163" t="s">
        <v>148</v>
      </c>
      <c r="AJ91" s="162"/>
      <c r="AK91" s="162" t="s">
        <v>582</v>
      </c>
      <c r="AL91" s="163" t="s">
        <v>190</v>
      </c>
      <c r="AM91" s="179">
        <v>519</v>
      </c>
      <c r="AN91" s="179">
        <v>519</v>
      </c>
      <c r="AO91" s="179">
        <f t="shared" si="65"/>
        <v>6475.7</v>
      </c>
      <c r="AP91" s="163" t="str">
        <f t="shared" si="77"/>
        <v>Cost-Effective</v>
      </c>
      <c r="AQ91" s="163" t="str">
        <f t="shared" si="66"/>
        <v>Cost-Effective</v>
      </c>
      <c r="AR91" s="167">
        <f t="shared" si="50"/>
        <v>8.0145775746251369E-2</v>
      </c>
      <c r="AS91" s="167">
        <f t="shared" si="51"/>
        <v>1.08</v>
      </c>
      <c r="AT91" s="159" t="str">
        <f t="shared" si="67"/>
        <v>Cost-Effective</v>
      </c>
      <c r="AU91" s="167">
        <f t="shared" si="52"/>
        <v>0.64</v>
      </c>
      <c r="AV91" s="162" t="str">
        <f t="shared" si="68"/>
        <v>Cost-Effective</v>
      </c>
      <c r="AW91" s="167">
        <f t="shared" si="53"/>
        <v>0.65445260705966679</v>
      </c>
      <c r="AX91" s="159" t="str">
        <f t="shared" si="69"/>
        <v>Cost-Effective</v>
      </c>
      <c r="AY91" s="167">
        <f t="shared" si="54"/>
        <v>0.16633817117601385</v>
      </c>
      <c r="AZ91" s="159" t="str">
        <f t="shared" si="70"/>
        <v>Cost-Effective</v>
      </c>
      <c r="BA91" s="167">
        <f t="shared" si="55"/>
        <v>0.89355279235247609</v>
      </c>
      <c r="BB91" s="159" t="str">
        <f t="shared" si="71"/>
        <v>Cost-Effective</v>
      </c>
      <c r="BC91" s="167">
        <f t="shared" si="56"/>
        <v>0.37030115719111623</v>
      </c>
      <c r="BD91" s="159" t="str">
        <f t="shared" si="72"/>
        <v>Cost-Effective</v>
      </c>
      <c r="BE91" s="162" t="s">
        <v>176</v>
      </c>
      <c r="BF91" s="162" t="s">
        <v>382</v>
      </c>
      <c r="BG91" s="168">
        <f t="shared" si="57"/>
        <v>0</v>
      </c>
      <c r="BH91" s="168">
        <f t="shared" si="58"/>
        <v>0</v>
      </c>
      <c r="BI91" s="163">
        <f t="shared" si="59"/>
        <v>0</v>
      </c>
      <c r="BJ91" s="163">
        <f t="shared" si="60"/>
        <v>0</v>
      </c>
      <c r="BK91" s="163">
        <f t="shared" si="73"/>
        <v>0</v>
      </c>
      <c r="BL91" s="163">
        <f t="shared" si="74"/>
        <v>0</v>
      </c>
      <c r="BM91" s="163">
        <f t="shared" si="75"/>
        <v>0</v>
      </c>
      <c r="BN91" s="163" t="s">
        <v>148</v>
      </c>
      <c r="BO91" s="162" t="s">
        <v>583</v>
      </c>
      <c r="BP91" s="162" t="s">
        <v>579</v>
      </c>
      <c r="BQ91" s="162" t="s">
        <v>156</v>
      </c>
    </row>
    <row r="92" spans="1:69">
      <c r="A92" s="159">
        <f t="shared" si="61"/>
        <v>27</v>
      </c>
      <c r="B92" s="159">
        <f t="shared" si="62"/>
        <v>1</v>
      </c>
      <c r="C92" s="160" t="str">
        <f t="shared" si="49"/>
        <v>2701</v>
      </c>
      <c r="D92" s="159" t="s">
        <v>227</v>
      </c>
      <c r="E92" s="161">
        <v>2017</v>
      </c>
      <c r="F92" s="162" t="s">
        <v>584</v>
      </c>
      <c r="G92" s="162" t="s">
        <v>236</v>
      </c>
      <c r="H92" s="163" t="str">
        <f t="shared" si="63"/>
        <v>LM</v>
      </c>
      <c r="I92" s="163" t="s">
        <v>155</v>
      </c>
      <c r="J92" s="180" t="s">
        <v>528</v>
      </c>
      <c r="K92" s="163" t="s">
        <v>218</v>
      </c>
      <c r="L92" s="163" t="s">
        <v>147</v>
      </c>
      <c r="M92" s="163" t="str">
        <f t="shared" si="64"/>
        <v>PCV9 vs NoVax</v>
      </c>
      <c r="N92" s="159" t="s">
        <v>567</v>
      </c>
      <c r="O92" s="159">
        <v>1</v>
      </c>
      <c r="P92" s="162" t="s">
        <v>148</v>
      </c>
      <c r="Q92" s="162" t="s">
        <v>377</v>
      </c>
      <c r="R92" s="162" t="s">
        <v>150</v>
      </c>
      <c r="S92" s="162" t="s">
        <v>151</v>
      </c>
      <c r="T92" s="159">
        <v>2013</v>
      </c>
      <c r="U92" s="165">
        <v>7.97</v>
      </c>
      <c r="V92" s="165" t="e">
        <f>IF(ISNUMBER(U92),U92/VLOOKUP($S92,xRates!$A$1:$AA$267,data!$T92-xRates!$B$1+2,FALSE),U92)</f>
        <v>#REF!</v>
      </c>
      <c r="W92" s="162" t="s">
        <v>585</v>
      </c>
      <c r="Y92" s="165"/>
      <c r="AA92" s="163" t="s">
        <v>155</v>
      </c>
      <c r="AB92" s="162"/>
      <c r="AC92" s="162" t="str">
        <f t="shared" si="80"/>
        <v/>
      </c>
      <c r="AD92" s="163" t="s">
        <v>155</v>
      </c>
      <c r="AE92" s="162" t="str">
        <f t="shared" si="81"/>
        <v/>
      </c>
      <c r="AF92" s="163" t="s">
        <v>148</v>
      </c>
      <c r="AG92" s="163" t="s">
        <v>155</v>
      </c>
      <c r="AH92" s="163" t="s">
        <v>155</v>
      </c>
      <c r="AJ92" s="162" t="s">
        <v>539</v>
      </c>
      <c r="AK92" s="162" t="s">
        <v>586</v>
      </c>
      <c r="AL92" s="163" t="s">
        <v>190</v>
      </c>
      <c r="AM92" s="179">
        <v>148</v>
      </c>
      <c r="AN92" s="179">
        <v>148</v>
      </c>
      <c r="AO92" s="179">
        <f t="shared" si="65"/>
        <v>1659.1</v>
      </c>
      <c r="AP92" s="163" t="str">
        <f t="shared" si="77"/>
        <v>Cost-Effective</v>
      </c>
      <c r="AQ92" s="163" t="str">
        <f t="shared" si="66"/>
        <v>Cost-Effective</v>
      </c>
      <c r="AR92" s="167">
        <f t="shared" si="50"/>
        <v>8.9204990657585442E-2</v>
      </c>
      <c r="AS92" s="167" t="str">
        <f t="shared" si="51"/>
        <v>.</v>
      </c>
      <c r="AT92" s="159" t="str">
        <f t="shared" si="67"/>
        <v>.</v>
      </c>
      <c r="AU92" s="167" t="str">
        <f t="shared" si="52"/>
        <v>.</v>
      </c>
      <c r="AV92" s="162" t="str">
        <f t="shared" si="68"/>
        <v>.</v>
      </c>
      <c r="AW92" s="167">
        <f t="shared" si="53"/>
        <v>0.37188837321439339</v>
      </c>
      <c r="AX92" s="159" t="str">
        <f t="shared" si="69"/>
        <v>Cost-Effective</v>
      </c>
      <c r="AY92" s="167">
        <f t="shared" si="54"/>
        <v>2.4109456934482552E-2</v>
      </c>
      <c r="AZ92" s="159" t="str">
        <f t="shared" si="70"/>
        <v>Not Cost-Effective</v>
      </c>
      <c r="BA92" s="167" t="str">
        <f t="shared" si="55"/>
        <v>.</v>
      </c>
      <c r="BB92" s="159" t="str">
        <f t="shared" si="71"/>
        <v>.</v>
      </c>
      <c r="BC92" s="167" t="str">
        <f t="shared" si="56"/>
        <v>.</v>
      </c>
      <c r="BD92" s="159" t="str">
        <f t="shared" si="72"/>
        <v>.</v>
      </c>
      <c r="BE92" s="162" t="s">
        <v>176</v>
      </c>
      <c r="BF92" s="162" t="s">
        <v>382</v>
      </c>
      <c r="BG92" s="168">
        <f t="shared" si="57"/>
        <v>0</v>
      </c>
      <c r="BH92" s="168">
        <f t="shared" si="58"/>
        <v>0</v>
      </c>
      <c r="BI92" s="163">
        <f t="shared" si="59"/>
        <v>1</v>
      </c>
      <c r="BJ92" s="163">
        <f t="shared" si="60"/>
        <v>0</v>
      </c>
      <c r="BK92" s="163">
        <f t="shared" si="73"/>
        <v>0</v>
      </c>
      <c r="BL92" s="163">
        <f t="shared" si="74"/>
        <v>0</v>
      </c>
      <c r="BM92" s="163">
        <f t="shared" si="75"/>
        <v>1</v>
      </c>
      <c r="BN92" s="163" t="s">
        <v>155</v>
      </c>
      <c r="BO92" s="162" t="str">
        <f t="shared" ref="BO92:BO98" si="82">IF(BN92="No", "", "")</f>
        <v/>
      </c>
      <c r="BP92" s="162" t="s">
        <v>170</v>
      </c>
      <c r="BQ92" s="162" t="s">
        <v>170</v>
      </c>
    </row>
    <row r="93" spans="1:69">
      <c r="A93" s="159">
        <f t="shared" si="61"/>
        <v>27</v>
      </c>
      <c r="B93" s="159">
        <f t="shared" si="62"/>
        <v>2</v>
      </c>
      <c r="C93" s="160" t="str">
        <f t="shared" si="49"/>
        <v>2702</v>
      </c>
      <c r="D93" s="159" t="s">
        <v>227</v>
      </c>
      <c r="E93" s="161">
        <v>2017</v>
      </c>
      <c r="F93" s="162" t="s">
        <v>584</v>
      </c>
      <c r="G93" s="162" t="s">
        <v>236</v>
      </c>
      <c r="H93" s="163" t="str">
        <f t="shared" si="63"/>
        <v>LM</v>
      </c>
      <c r="I93" s="163" t="s">
        <v>155</v>
      </c>
      <c r="J93" s="180" t="s">
        <v>528</v>
      </c>
      <c r="K93" s="163" t="s">
        <v>218</v>
      </c>
      <c r="L93" s="163" t="s">
        <v>147</v>
      </c>
      <c r="M93" s="163" t="str">
        <f t="shared" si="64"/>
        <v>PCV9 vs NoVax</v>
      </c>
      <c r="N93" s="159" t="s">
        <v>559</v>
      </c>
      <c r="O93" s="159">
        <v>2</v>
      </c>
      <c r="P93" s="162" t="s">
        <v>148</v>
      </c>
      <c r="Q93" s="162" t="s">
        <v>377</v>
      </c>
      <c r="R93" s="162" t="s">
        <v>150</v>
      </c>
      <c r="S93" s="162" t="s">
        <v>151</v>
      </c>
      <c r="T93" s="159">
        <v>2013</v>
      </c>
      <c r="U93" s="165">
        <v>7.97</v>
      </c>
      <c r="V93" s="165" t="e">
        <f>IF(ISNUMBER(U93),U93/VLOOKUP($S93,xRates!$A$1:$AA$267,data!$T93-xRates!$B$1+2,FALSE),U93)</f>
        <v>#REF!</v>
      </c>
      <c r="W93" s="162" t="s">
        <v>585</v>
      </c>
      <c r="Y93" s="165"/>
      <c r="AA93" s="163" t="s">
        <v>155</v>
      </c>
      <c r="AB93" s="162"/>
      <c r="AC93" s="162" t="str">
        <f t="shared" si="80"/>
        <v/>
      </c>
      <c r="AD93" s="163" t="s">
        <v>155</v>
      </c>
      <c r="AE93" s="162" t="str">
        <f t="shared" si="81"/>
        <v/>
      </c>
      <c r="AF93" s="163" t="s">
        <v>148</v>
      </c>
      <c r="AG93" s="163" t="s">
        <v>155</v>
      </c>
      <c r="AH93" s="163" t="s">
        <v>155</v>
      </c>
      <c r="AJ93" s="162" t="s">
        <v>539</v>
      </c>
      <c r="AK93" s="162" t="s">
        <v>587</v>
      </c>
      <c r="AL93" s="163" t="s">
        <v>190</v>
      </c>
      <c r="AM93" s="179">
        <v>210</v>
      </c>
      <c r="AN93" s="179">
        <v>210</v>
      </c>
      <c r="AO93" s="179">
        <f t="shared" si="65"/>
        <v>1659.1</v>
      </c>
      <c r="AP93" s="163" t="str">
        <f t="shared" si="77"/>
        <v>Cost-Effective</v>
      </c>
      <c r="AQ93" s="163" t="str">
        <f t="shared" si="66"/>
        <v>Cost-Effective</v>
      </c>
      <c r="AR93" s="167">
        <f t="shared" si="50"/>
        <v>0.1265746489060334</v>
      </c>
      <c r="AS93" s="167" t="str">
        <f t="shared" si="51"/>
        <v>.</v>
      </c>
      <c r="AT93" s="159" t="str">
        <f t="shared" si="67"/>
        <v>.</v>
      </c>
      <c r="AU93" s="167" t="str">
        <f t="shared" si="52"/>
        <v>.</v>
      </c>
      <c r="AV93" s="162" t="str">
        <f t="shared" si="68"/>
        <v>.</v>
      </c>
      <c r="AW93" s="167">
        <f t="shared" si="53"/>
        <v>0.37188837321439339</v>
      </c>
      <c r="AX93" s="159" t="str">
        <f t="shared" si="69"/>
        <v>Cost-Effective</v>
      </c>
      <c r="AY93" s="167">
        <f t="shared" si="54"/>
        <v>2.4109456934482552E-2</v>
      </c>
      <c r="AZ93" s="159" t="str">
        <f t="shared" si="70"/>
        <v>Not Cost-Effective</v>
      </c>
      <c r="BA93" s="167" t="str">
        <f t="shared" si="55"/>
        <v>.</v>
      </c>
      <c r="BB93" s="159" t="str">
        <f t="shared" si="71"/>
        <v>.</v>
      </c>
      <c r="BC93" s="167" t="str">
        <f t="shared" si="56"/>
        <v>.</v>
      </c>
      <c r="BD93" s="159" t="str">
        <f t="shared" si="72"/>
        <v>.</v>
      </c>
      <c r="BE93" s="162" t="s">
        <v>176</v>
      </c>
      <c r="BF93" s="162" t="s">
        <v>382</v>
      </c>
      <c r="BG93" s="168">
        <f t="shared" si="57"/>
        <v>0</v>
      </c>
      <c r="BH93" s="168">
        <f t="shared" si="58"/>
        <v>0</v>
      </c>
      <c r="BI93" s="163">
        <f t="shared" si="59"/>
        <v>1</v>
      </c>
      <c r="BJ93" s="163">
        <f t="shared" si="60"/>
        <v>0</v>
      </c>
      <c r="BK93" s="163">
        <f t="shared" si="73"/>
        <v>0</v>
      </c>
      <c r="BL93" s="163">
        <f t="shared" si="74"/>
        <v>0</v>
      </c>
      <c r="BM93" s="163">
        <f t="shared" si="75"/>
        <v>1</v>
      </c>
      <c r="BN93" s="163" t="s">
        <v>155</v>
      </c>
      <c r="BO93" s="162" t="str">
        <f t="shared" si="82"/>
        <v/>
      </c>
      <c r="BP93" s="162" t="s">
        <v>170</v>
      </c>
      <c r="BQ93" s="162" t="s">
        <v>170</v>
      </c>
    </row>
    <row r="94" spans="1:69">
      <c r="A94" s="159">
        <f t="shared" si="61"/>
        <v>28</v>
      </c>
      <c r="B94" s="159">
        <f t="shared" si="62"/>
        <v>1</v>
      </c>
      <c r="C94" s="160" t="str">
        <f t="shared" si="49"/>
        <v>2801</v>
      </c>
      <c r="D94" s="159" t="s">
        <v>237</v>
      </c>
      <c r="E94" s="161">
        <v>2018</v>
      </c>
      <c r="F94" s="162" t="s">
        <v>588</v>
      </c>
      <c r="G94" s="162" t="s">
        <v>211</v>
      </c>
      <c r="H94" s="163" t="str">
        <f t="shared" si="63"/>
        <v>UM</v>
      </c>
      <c r="I94" s="163" t="s">
        <v>155</v>
      </c>
      <c r="J94" s="180" t="s">
        <v>533</v>
      </c>
      <c r="K94" s="163" t="s">
        <v>166</v>
      </c>
      <c r="L94" s="163" t="s">
        <v>147</v>
      </c>
      <c r="M94" s="163" t="str">
        <f t="shared" si="64"/>
        <v>PCV10 vs NoVax</v>
      </c>
      <c r="N94" s="159" t="s">
        <v>403</v>
      </c>
      <c r="O94" s="159">
        <v>4</v>
      </c>
      <c r="P94" s="162" t="s">
        <v>148</v>
      </c>
      <c r="Q94" s="162" t="s">
        <v>377</v>
      </c>
      <c r="R94" s="162" t="s">
        <v>150</v>
      </c>
      <c r="S94" s="162" t="s">
        <v>151</v>
      </c>
      <c r="T94" s="159">
        <v>2014</v>
      </c>
      <c r="U94" s="165" t="s">
        <v>386</v>
      </c>
      <c r="V94" s="165" t="s">
        <v>386</v>
      </c>
      <c r="W94" s="162" t="s">
        <v>385</v>
      </c>
      <c r="Y94" s="165"/>
      <c r="AA94" s="163" t="s">
        <v>155</v>
      </c>
      <c r="AB94" s="162"/>
      <c r="AC94" s="162" t="str">
        <f t="shared" si="80"/>
        <v/>
      </c>
      <c r="AD94" s="163" t="s">
        <v>155</v>
      </c>
      <c r="AE94" s="162" t="str">
        <f t="shared" si="81"/>
        <v/>
      </c>
      <c r="AF94" s="163" t="s">
        <v>148</v>
      </c>
      <c r="AG94" s="163" t="s">
        <v>148</v>
      </c>
      <c r="AH94" s="163" t="s">
        <v>155</v>
      </c>
      <c r="AJ94" s="162"/>
      <c r="AK94" s="162" t="s">
        <v>589</v>
      </c>
      <c r="AL94" s="163" t="s">
        <v>190</v>
      </c>
      <c r="AM94" s="179">
        <v>27748</v>
      </c>
      <c r="AN94" s="179">
        <v>27748</v>
      </c>
      <c r="AO94" s="179">
        <f t="shared" si="65"/>
        <v>12071.4</v>
      </c>
      <c r="AP94" s="163" t="str">
        <f t="shared" si="77"/>
        <v>Not Cost-Effective</v>
      </c>
      <c r="AQ94" s="163" t="str">
        <f t="shared" si="66"/>
        <v>Cost-Effective</v>
      </c>
      <c r="AR94" s="167">
        <f t="shared" si="50"/>
        <v>2.2986563281806585</v>
      </c>
      <c r="AS94" s="167">
        <f t="shared" si="51"/>
        <v>1.0900000000000001</v>
      </c>
      <c r="AT94" s="159" t="str">
        <f t="shared" si="67"/>
        <v>Not Cost-Effective</v>
      </c>
      <c r="AU94" s="167">
        <f t="shared" si="52"/>
        <v>0.71</v>
      </c>
      <c r="AV94" s="162" t="str">
        <f t="shared" si="68"/>
        <v>Not Cost-Effective</v>
      </c>
      <c r="AW94" s="167">
        <f t="shared" si="53"/>
        <v>0.61540469547909216</v>
      </c>
      <c r="AX94" s="159" t="str">
        <f t="shared" si="69"/>
        <v>Not Cost-Effective</v>
      </c>
      <c r="AY94" s="167">
        <f t="shared" si="54"/>
        <v>0.19520989346254874</v>
      </c>
      <c r="AZ94" s="159" t="str">
        <f t="shared" si="70"/>
        <v>Not Cost-Effective</v>
      </c>
      <c r="BA94" s="167">
        <f t="shared" si="55"/>
        <v>1.6838320916192782</v>
      </c>
      <c r="BB94" s="159" t="str">
        <f t="shared" si="71"/>
        <v>Not Cost-Effective</v>
      </c>
      <c r="BC94" s="167">
        <f t="shared" si="56"/>
        <v>0.69788475235435776</v>
      </c>
      <c r="BD94" s="159" t="str">
        <f t="shared" si="72"/>
        <v>Not Cost-Effective</v>
      </c>
      <c r="BE94" s="162" t="s">
        <v>161</v>
      </c>
      <c r="BF94" s="162" t="s">
        <v>382</v>
      </c>
      <c r="BG94" s="168">
        <f t="shared" si="57"/>
        <v>1</v>
      </c>
      <c r="BH94" s="168">
        <f t="shared" si="58"/>
        <v>1</v>
      </c>
      <c r="BI94" s="163">
        <f t="shared" si="59"/>
        <v>1</v>
      </c>
      <c r="BJ94" s="163">
        <f t="shared" si="60"/>
        <v>1</v>
      </c>
      <c r="BK94" s="163">
        <f t="shared" si="73"/>
        <v>1</v>
      </c>
      <c r="BL94" s="163">
        <f t="shared" si="74"/>
        <v>1</v>
      </c>
      <c r="BM94" s="163">
        <f t="shared" si="75"/>
        <v>6</v>
      </c>
      <c r="BN94" s="163" t="s">
        <v>155</v>
      </c>
      <c r="BO94" s="162" t="str">
        <f t="shared" si="82"/>
        <v/>
      </c>
      <c r="BP94" s="162" t="s">
        <v>170</v>
      </c>
      <c r="BQ94" s="162" t="s">
        <v>170</v>
      </c>
    </row>
    <row r="95" spans="1:69">
      <c r="A95" s="159">
        <f t="shared" si="61"/>
        <v>29</v>
      </c>
      <c r="B95" s="159">
        <f t="shared" si="62"/>
        <v>1</v>
      </c>
      <c r="C95" s="160" t="str">
        <f t="shared" si="49"/>
        <v>2901</v>
      </c>
      <c r="D95" s="159" t="s">
        <v>239</v>
      </c>
      <c r="E95" s="161">
        <v>2018</v>
      </c>
      <c r="F95" s="162" t="s">
        <v>590</v>
      </c>
      <c r="G95" s="162" t="s">
        <v>241</v>
      </c>
      <c r="H95" s="163" t="str">
        <f t="shared" si="63"/>
        <v>UM</v>
      </c>
      <c r="I95" s="163" t="s">
        <v>155</v>
      </c>
      <c r="J95" s="180" t="s">
        <v>533</v>
      </c>
      <c r="K95" s="163" t="s">
        <v>166</v>
      </c>
      <c r="L95" s="163" t="s">
        <v>147</v>
      </c>
      <c r="M95" s="163" t="str">
        <f t="shared" si="64"/>
        <v>PCV10 vs NoVax</v>
      </c>
      <c r="N95" s="159" t="s">
        <v>368</v>
      </c>
      <c r="O95" s="159">
        <v>3</v>
      </c>
      <c r="P95" s="162" t="s">
        <v>148</v>
      </c>
      <c r="Q95" s="162" t="s">
        <v>377</v>
      </c>
      <c r="R95" s="162" t="s">
        <v>242</v>
      </c>
      <c r="S95" s="162" t="s">
        <v>243</v>
      </c>
      <c r="T95" s="159">
        <v>2008</v>
      </c>
      <c r="U95" s="165">
        <v>20.04</v>
      </c>
      <c r="V95" s="165">
        <f>(U95*1057.875)/1967.711</f>
        <v>10.773845854396301</v>
      </c>
      <c r="W95" s="162" t="s">
        <v>385</v>
      </c>
      <c r="Y95" s="165"/>
      <c r="AA95" s="163" t="s">
        <v>155</v>
      </c>
      <c r="AB95" s="162"/>
      <c r="AC95" s="162" t="str">
        <f t="shared" si="80"/>
        <v/>
      </c>
      <c r="AD95" s="163" t="s">
        <v>155</v>
      </c>
      <c r="AE95" s="162" t="str">
        <f t="shared" si="81"/>
        <v/>
      </c>
      <c r="AF95" s="163" t="s">
        <v>148</v>
      </c>
      <c r="AG95" s="163" t="s">
        <v>148</v>
      </c>
      <c r="AH95" s="163" t="s">
        <v>148</v>
      </c>
      <c r="AJ95" s="162"/>
      <c r="AK95" s="162" t="s">
        <v>591</v>
      </c>
      <c r="AL95" s="163" t="s">
        <v>190</v>
      </c>
      <c r="AM95" s="179">
        <v>1417</v>
      </c>
      <c r="AN95" s="179">
        <f>(AM95*1057.875)/1967.711</f>
        <v>761.80337203989814</v>
      </c>
      <c r="AO95" s="179">
        <f t="shared" si="65"/>
        <v>5534.7</v>
      </c>
      <c r="AP95" s="163" t="str">
        <f t="shared" si="77"/>
        <v>Cost-Effective</v>
      </c>
      <c r="AQ95" s="163" t="str">
        <f t="shared" si="66"/>
        <v>Cost-Effective</v>
      </c>
      <c r="AR95" s="167">
        <f t="shared" si="50"/>
        <v>0.1376413124541345</v>
      </c>
      <c r="AS95" s="167">
        <f t="shared" si="51"/>
        <v>1.89</v>
      </c>
      <c r="AT95" s="159" t="str">
        <f t="shared" si="67"/>
        <v>Cost-Effective</v>
      </c>
      <c r="AU95" s="167">
        <f t="shared" si="52"/>
        <v>1.17</v>
      </c>
      <c r="AV95" s="162" t="str">
        <f t="shared" si="68"/>
        <v>Cost-Effective</v>
      </c>
      <c r="AW95" s="167">
        <f t="shared" si="53"/>
        <v>0.6677477128612227</v>
      </c>
      <c r="AX95" s="159" t="str">
        <f t="shared" si="69"/>
        <v>Cost-Effective</v>
      </c>
      <c r="AY95" s="167">
        <f t="shared" si="54"/>
        <v>0.16578730819497556</v>
      </c>
      <c r="AZ95" s="159" t="str">
        <f t="shared" si="70"/>
        <v>Cost-Effective</v>
      </c>
      <c r="BA95" s="167">
        <f t="shared" si="55"/>
        <v>1.3213703099510603</v>
      </c>
      <c r="BB95" s="159" t="str">
        <f t="shared" si="71"/>
        <v>Cost-Effective</v>
      </c>
      <c r="BC95" s="167">
        <f t="shared" si="56"/>
        <v>0.54765788860405495</v>
      </c>
      <c r="BD95" s="159" t="str">
        <f t="shared" si="72"/>
        <v>Cost-Effective</v>
      </c>
      <c r="BE95" s="162" t="s">
        <v>176</v>
      </c>
      <c r="BF95" s="162" t="s">
        <v>382</v>
      </c>
      <c r="BG95" s="168">
        <f t="shared" si="57"/>
        <v>0</v>
      </c>
      <c r="BH95" s="168">
        <f t="shared" si="58"/>
        <v>0</v>
      </c>
      <c r="BI95" s="163">
        <f t="shared" si="59"/>
        <v>0</v>
      </c>
      <c r="BJ95" s="163">
        <f t="shared" si="60"/>
        <v>0</v>
      </c>
      <c r="BK95" s="163">
        <f t="shared" si="73"/>
        <v>0</v>
      </c>
      <c r="BL95" s="163">
        <f t="shared" si="74"/>
        <v>0</v>
      </c>
      <c r="BM95" s="163">
        <f t="shared" si="75"/>
        <v>0</v>
      </c>
      <c r="BN95" s="163" t="s">
        <v>155</v>
      </c>
      <c r="BO95" s="162" t="str">
        <f t="shared" si="82"/>
        <v/>
      </c>
      <c r="BP95" s="162" t="s">
        <v>170</v>
      </c>
      <c r="BQ95" s="162" t="s">
        <v>170</v>
      </c>
    </row>
    <row r="96" spans="1:69">
      <c r="A96" s="159">
        <f t="shared" si="61"/>
        <v>29</v>
      </c>
      <c r="B96" s="159">
        <f t="shared" si="62"/>
        <v>2</v>
      </c>
      <c r="C96" s="160" t="str">
        <f t="shared" si="49"/>
        <v>2902</v>
      </c>
      <c r="D96" s="159" t="s">
        <v>239</v>
      </c>
      <c r="E96" s="161">
        <v>2018</v>
      </c>
      <c r="F96" s="162" t="s">
        <v>590</v>
      </c>
      <c r="G96" s="162" t="s">
        <v>241</v>
      </c>
      <c r="H96" s="163" t="str">
        <f t="shared" si="63"/>
        <v>UM</v>
      </c>
      <c r="I96" s="163" t="s">
        <v>155</v>
      </c>
      <c r="J96" s="180" t="s">
        <v>533</v>
      </c>
      <c r="K96" s="163" t="s">
        <v>166</v>
      </c>
      <c r="L96" s="163" t="s">
        <v>147</v>
      </c>
      <c r="M96" s="163" t="str">
        <f t="shared" si="64"/>
        <v>PCV10 vs NoVax</v>
      </c>
      <c r="N96" s="159" t="s">
        <v>368</v>
      </c>
      <c r="O96" s="159">
        <v>3</v>
      </c>
      <c r="P96" s="162" t="s">
        <v>148</v>
      </c>
      <c r="Q96" s="162" t="s">
        <v>149</v>
      </c>
      <c r="R96" s="162" t="s">
        <v>242</v>
      </c>
      <c r="S96" s="162" t="s">
        <v>243</v>
      </c>
      <c r="T96" s="159">
        <v>2008</v>
      </c>
      <c r="U96" s="165">
        <v>20.04</v>
      </c>
      <c r="V96" s="165">
        <f>(U96*1057.875)/1967.711</f>
        <v>10.773845854396301</v>
      </c>
      <c r="W96" s="162" t="s">
        <v>385</v>
      </c>
      <c r="Y96" s="165"/>
      <c r="AA96" s="163" t="s">
        <v>155</v>
      </c>
      <c r="AB96" s="162"/>
      <c r="AC96" s="162" t="str">
        <f t="shared" si="80"/>
        <v/>
      </c>
      <c r="AD96" s="163" t="s">
        <v>155</v>
      </c>
      <c r="AE96" s="162" t="str">
        <f t="shared" si="81"/>
        <v/>
      </c>
      <c r="AF96" s="163" t="s">
        <v>148</v>
      </c>
      <c r="AG96" s="163" t="s">
        <v>148</v>
      </c>
      <c r="AH96" s="163" t="s">
        <v>148</v>
      </c>
      <c r="AJ96" s="162"/>
      <c r="AK96" s="162" t="s">
        <v>592</v>
      </c>
      <c r="AL96" s="163" t="s">
        <v>190</v>
      </c>
      <c r="AM96" s="179">
        <v>1301</v>
      </c>
      <c r="AN96" s="179">
        <f>(AM96*1057.875)/1967.711</f>
        <v>699.4397932419954</v>
      </c>
      <c r="AO96" s="179">
        <f t="shared" si="65"/>
        <v>5534.7</v>
      </c>
      <c r="AP96" s="163" t="str">
        <f t="shared" si="77"/>
        <v>Cost-Effective</v>
      </c>
      <c r="AQ96" s="163" t="str">
        <f t="shared" si="66"/>
        <v>Cost-Effective</v>
      </c>
      <c r="AR96" s="167">
        <f t="shared" si="50"/>
        <v>0.12637356916219405</v>
      </c>
      <c r="AS96" s="167">
        <f t="shared" si="51"/>
        <v>1.89</v>
      </c>
      <c r="AT96" s="159" t="str">
        <f t="shared" si="67"/>
        <v>Cost-Effective</v>
      </c>
      <c r="AU96" s="167">
        <f t="shared" si="52"/>
        <v>1.17</v>
      </c>
      <c r="AV96" s="162" t="str">
        <f t="shared" si="68"/>
        <v>Cost-Effective</v>
      </c>
      <c r="AW96" s="167">
        <f t="shared" si="53"/>
        <v>0.6677477128612227</v>
      </c>
      <c r="AX96" s="159" t="str">
        <f t="shared" si="69"/>
        <v>Cost-Effective</v>
      </c>
      <c r="AY96" s="167">
        <f t="shared" si="54"/>
        <v>0.16578730819497556</v>
      </c>
      <c r="AZ96" s="159" t="str">
        <f t="shared" si="70"/>
        <v>Cost-Effective</v>
      </c>
      <c r="BA96" s="167">
        <f t="shared" si="55"/>
        <v>1.3213703099510603</v>
      </c>
      <c r="BB96" s="159" t="str">
        <f t="shared" si="71"/>
        <v>Cost-Effective</v>
      </c>
      <c r="BC96" s="167">
        <f t="shared" si="56"/>
        <v>0.54765788860405495</v>
      </c>
      <c r="BD96" s="159" t="str">
        <f t="shared" si="72"/>
        <v>Cost-Effective</v>
      </c>
      <c r="BE96" s="162" t="s">
        <v>176</v>
      </c>
      <c r="BF96" s="162" t="s">
        <v>382</v>
      </c>
      <c r="BG96" s="168">
        <f t="shared" si="57"/>
        <v>0</v>
      </c>
      <c r="BH96" s="168">
        <f t="shared" si="58"/>
        <v>0</v>
      </c>
      <c r="BI96" s="163">
        <f t="shared" si="59"/>
        <v>0</v>
      </c>
      <c r="BJ96" s="163">
        <f t="shared" si="60"/>
        <v>0</v>
      </c>
      <c r="BK96" s="163">
        <f t="shared" si="73"/>
        <v>0</v>
      </c>
      <c r="BL96" s="163">
        <f t="shared" si="74"/>
        <v>0</v>
      </c>
      <c r="BM96" s="163">
        <f t="shared" si="75"/>
        <v>0</v>
      </c>
      <c r="BN96" s="163" t="s">
        <v>155</v>
      </c>
      <c r="BO96" s="162" t="str">
        <f t="shared" si="82"/>
        <v/>
      </c>
      <c r="BP96" s="162" t="s">
        <v>170</v>
      </c>
      <c r="BQ96" s="162" t="s">
        <v>170</v>
      </c>
    </row>
    <row r="97" spans="1:70">
      <c r="A97" s="159">
        <f t="shared" si="61"/>
        <v>30</v>
      </c>
      <c r="B97" s="159">
        <f t="shared" si="62"/>
        <v>1</v>
      </c>
      <c r="C97" s="160" t="str">
        <f t="shared" si="49"/>
        <v>3001</v>
      </c>
      <c r="D97" s="159" t="s">
        <v>244</v>
      </c>
      <c r="E97" s="161">
        <v>2019</v>
      </c>
      <c r="F97" s="162" t="s">
        <v>593</v>
      </c>
      <c r="G97" s="162" t="s">
        <v>246</v>
      </c>
      <c r="H97" s="163" t="str">
        <f t="shared" si="63"/>
        <v>L</v>
      </c>
      <c r="I97" s="163" t="s">
        <v>155</v>
      </c>
      <c r="J97" s="180" t="s">
        <v>594</v>
      </c>
      <c r="K97" s="163" t="s">
        <v>166</v>
      </c>
      <c r="L97" s="163" t="s">
        <v>147</v>
      </c>
      <c r="M97" s="163" t="str">
        <f t="shared" si="64"/>
        <v>PCV10 vs NoVax</v>
      </c>
      <c r="N97" s="159" t="s">
        <v>514</v>
      </c>
      <c r="O97" s="159">
        <v>3</v>
      </c>
      <c r="P97" s="162" t="s">
        <v>148</v>
      </c>
      <c r="Q97" s="162" t="s">
        <v>149</v>
      </c>
      <c r="R97" s="162" t="s">
        <v>150</v>
      </c>
      <c r="S97" s="162" t="s">
        <v>151</v>
      </c>
      <c r="T97" s="159">
        <v>2013</v>
      </c>
      <c r="U97" s="165">
        <v>6.5</v>
      </c>
      <c r="V97" s="165" t="e">
        <f>IF(ISNUMBER(U97),U97/VLOOKUP($S97,xRates!$A$1:$AA$267,data!$T97-xRates!$B$1+2,FALSE),U97)</f>
        <v>#REF!</v>
      </c>
      <c r="W97" s="162" t="s">
        <v>507</v>
      </c>
      <c r="Y97" s="165"/>
      <c r="AA97" s="163" t="s">
        <v>155</v>
      </c>
      <c r="AB97" s="162"/>
      <c r="AC97" s="162" t="str">
        <f t="shared" si="80"/>
        <v/>
      </c>
      <c r="AD97" s="163" t="s">
        <v>155</v>
      </c>
      <c r="AE97" s="162" t="str">
        <f t="shared" si="81"/>
        <v/>
      </c>
      <c r="AF97" s="163" t="s">
        <v>148</v>
      </c>
      <c r="AG97" s="163" t="s">
        <v>148</v>
      </c>
      <c r="AH97" s="163" t="s">
        <v>148</v>
      </c>
      <c r="AJ97" s="162"/>
      <c r="AK97" s="162" t="s">
        <v>595</v>
      </c>
      <c r="AL97" s="163" t="s">
        <v>190</v>
      </c>
      <c r="AM97" s="179">
        <v>268</v>
      </c>
      <c r="AN97" s="179">
        <f>AM97</f>
        <v>268</v>
      </c>
      <c r="AO97" s="179">
        <f t="shared" si="65"/>
        <v>490.8</v>
      </c>
      <c r="AP97" s="163" t="str">
        <f t="shared" si="77"/>
        <v>Cost-Effective</v>
      </c>
      <c r="AQ97" s="163" t="str">
        <f t="shared" si="66"/>
        <v>Cost-Effective</v>
      </c>
      <c r="AR97" s="167">
        <f t="shared" si="50"/>
        <v>0.54604726976365114</v>
      </c>
      <c r="AS97" s="167">
        <f t="shared" si="51"/>
        <v>0.36</v>
      </c>
      <c r="AT97" s="159" t="str">
        <f t="shared" si="67"/>
        <v>Not Cost-Effective</v>
      </c>
      <c r="AU97" s="167">
        <f t="shared" si="52"/>
        <v>0.27</v>
      </c>
      <c r="AV97" s="162" t="str">
        <f t="shared" si="68"/>
        <v>Not Cost-Effective</v>
      </c>
      <c r="AW97" s="167">
        <f t="shared" si="53"/>
        <v>0.51955990220048898</v>
      </c>
      <c r="AX97" s="159" t="str">
        <f t="shared" si="69"/>
        <v>Not Cost-Effective</v>
      </c>
      <c r="AY97" s="167">
        <f t="shared" si="54"/>
        <v>2.0374898125509373E-2</v>
      </c>
      <c r="AZ97" s="159" t="str">
        <f t="shared" si="70"/>
        <v>Not Cost-Effective</v>
      </c>
      <c r="BA97" s="167">
        <f t="shared" si="55"/>
        <v>0.23084245597334604</v>
      </c>
      <c r="BB97" s="159" t="str">
        <f t="shared" si="71"/>
        <v>Not Cost-Effective</v>
      </c>
      <c r="BC97" s="167">
        <f t="shared" si="56"/>
        <v>4.6406473108043793E-2</v>
      </c>
      <c r="BD97" s="159" t="str">
        <f t="shared" si="72"/>
        <v>Not Cost-Effective</v>
      </c>
      <c r="BE97" s="162" t="s">
        <v>161</v>
      </c>
      <c r="BF97" s="162" t="s">
        <v>382</v>
      </c>
      <c r="BG97" s="168">
        <f t="shared" si="57"/>
        <v>1</v>
      </c>
      <c r="BH97" s="168">
        <f t="shared" si="58"/>
        <v>1</v>
      </c>
      <c r="BI97" s="163">
        <f t="shared" si="59"/>
        <v>1</v>
      </c>
      <c r="BJ97" s="163">
        <f t="shared" si="60"/>
        <v>1</v>
      </c>
      <c r="BK97" s="163">
        <f t="shared" si="73"/>
        <v>1</v>
      </c>
      <c r="BL97" s="163">
        <f t="shared" si="74"/>
        <v>1</v>
      </c>
      <c r="BM97" s="163">
        <f t="shared" si="75"/>
        <v>6</v>
      </c>
      <c r="BN97" s="163" t="s">
        <v>155</v>
      </c>
      <c r="BO97" s="162" t="str">
        <f t="shared" si="82"/>
        <v/>
      </c>
      <c r="BP97" s="162" t="s">
        <v>596</v>
      </c>
      <c r="BQ97" s="162" t="s">
        <v>156</v>
      </c>
      <c r="BR97" s="162" t="s">
        <v>597</v>
      </c>
    </row>
    <row r="98" spans="1:70">
      <c r="A98" s="159">
        <f t="shared" si="61"/>
        <v>30</v>
      </c>
      <c r="B98" s="159">
        <f t="shared" si="62"/>
        <v>2</v>
      </c>
      <c r="C98" s="160" t="str">
        <f t="shared" si="49"/>
        <v>3002</v>
      </c>
      <c r="D98" s="159" t="s">
        <v>244</v>
      </c>
      <c r="E98" s="161">
        <v>2019</v>
      </c>
      <c r="F98" s="162" t="s">
        <v>593</v>
      </c>
      <c r="G98" s="162" t="s">
        <v>246</v>
      </c>
      <c r="H98" s="163" t="str">
        <f t="shared" si="63"/>
        <v>L</v>
      </c>
      <c r="I98" s="163" t="s">
        <v>155</v>
      </c>
      <c r="J98" s="180" t="s">
        <v>598</v>
      </c>
      <c r="K98" s="163" t="s">
        <v>166</v>
      </c>
      <c r="L98" s="163" t="s">
        <v>147</v>
      </c>
      <c r="M98" s="163" t="str">
        <f t="shared" si="64"/>
        <v>PCV10 vs NoVax</v>
      </c>
      <c r="N98" s="159" t="s">
        <v>514</v>
      </c>
      <c r="O98" s="159">
        <v>3</v>
      </c>
      <c r="P98" s="162" t="s">
        <v>148</v>
      </c>
      <c r="Q98" s="162" t="s">
        <v>149</v>
      </c>
      <c r="R98" s="162" t="s">
        <v>150</v>
      </c>
      <c r="S98" s="162" t="s">
        <v>151</v>
      </c>
      <c r="T98" s="159">
        <v>2013</v>
      </c>
      <c r="U98" s="165">
        <v>6.5</v>
      </c>
      <c r="V98" s="165" t="e">
        <f>IF(ISNUMBER(U98),U98/VLOOKUP($S98,xRates!$A$1:$AA$267,data!$T98-xRates!$B$1+2,FALSE),U98)</f>
        <v>#REF!</v>
      </c>
      <c r="W98" s="162" t="s">
        <v>507</v>
      </c>
      <c r="Y98" s="165"/>
      <c r="AA98" s="163" t="s">
        <v>155</v>
      </c>
      <c r="AB98" s="162"/>
      <c r="AC98" s="162" t="str">
        <f t="shared" si="80"/>
        <v/>
      </c>
      <c r="AD98" s="163" t="s">
        <v>155</v>
      </c>
      <c r="AE98" s="162" t="str">
        <f t="shared" si="81"/>
        <v/>
      </c>
      <c r="AF98" s="163" t="s">
        <v>148</v>
      </c>
      <c r="AG98" s="163" t="s">
        <v>148</v>
      </c>
      <c r="AH98" s="163" t="s">
        <v>148</v>
      </c>
      <c r="AJ98" s="162"/>
      <c r="AK98" s="162" t="s">
        <v>599</v>
      </c>
      <c r="AL98" s="163" t="s">
        <v>190</v>
      </c>
      <c r="AM98" s="179">
        <v>292.7</v>
      </c>
      <c r="AN98" s="179">
        <v>281.39999999999998</v>
      </c>
      <c r="AO98" s="179">
        <f t="shared" si="65"/>
        <v>490.8</v>
      </c>
      <c r="AP98" s="163" t="str">
        <f t="shared" si="77"/>
        <v>Cost-Effective</v>
      </c>
      <c r="AQ98" s="163" t="str">
        <f t="shared" si="66"/>
        <v>Cost-Effective</v>
      </c>
      <c r="AR98" s="167">
        <f t="shared" si="50"/>
        <v>0.57334963325183363</v>
      </c>
      <c r="AS98" s="167">
        <f t="shared" ref="AS98:AS129" si="83">IFERROR(VLOOKUP(G98,ochalek,11,FALSE),".")</f>
        <v>0.36</v>
      </c>
      <c r="AT98" s="159" t="str">
        <f t="shared" si="67"/>
        <v>Not Cost-Effective</v>
      </c>
      <c r="AU98" s="167">
        <f t="shared" ref="AU98:AU129" si="84">IFERROR(VLOOKUP(G98,ochalek,10,FALSE),".")</f>
        <v>0.27</v>
      </c>
      <c r="AV98" s="162" t="str">
        <f t="shared" si="68"/>
        <v>Not Cost-Effective</v>
      </c>
      <c r="AW98" s="167">
        <f t="shared" ref="AW98:AW129" si="85">IFERROR(VLOOKUP(G98,woods,6,FALSE),".")</f>
        <v>0.51955990220048898</v>
      </c>
      <c r="AX98" s="159" t="str">
        <f t="shared" si="69"/>
        <v>Not Cost-Effective</v>
      </c>
      <c r="AY98" s="167">
        <f t="shared" ref="AY98:AY129" si="86">IFERROR(VLOOKUP(G98,woods,5,FALSE),".")</f>
        <v>2.0374898125509373E-2</v>
      </c>
      <c r="AZ98" s="159" t="str">
        <f t="shared" si="70"/>
        <v>Not Cost-Effective</v>
      </c>
      <c r="BA98" s="167">
        <f t="shared" ref="BA98:BA129" si="87">IFERROR(VLOOKUP(G98,riviere,8,FALSE),".")</f>
        <v>0.23084245597334604</v>
      </c>
      <c r="BB98" s="159" t="str">
        <f t="shared" si="71"/>
        <v>Not Cost-Effective</v>
      </c>
      <c r="BC98" s="167">
        <f t="shared" ref="BC98:BC129" si="88">IFERROR(VLOOKUP(G98,riviere,7,FALSE),".")</f>
        <v>4.6406473108043793E-2</v>
      </c>
      <c r="BD98" s="159" t="str">
        <f t="shared" si="72"/>
        <v>Not Cost-Effective</v>
      </c>
      <c r="BE98" s="162" t="s">
        <v>161</v>
      </c>
      <c r="BF98" s="162" t="s">
        <v>382</v>
      </c>
      <c r="BG98" s="168">
        <f t="shared" ref="BG98:BG129" si="89">IF(BF98="Cost-Effective",IF(AV98="Not Cost-Effective",1,0),".")</f>
        <v>1</v>
      </c>
      <c r="BH98" s="168">
        <f t="shared" ref="BH98:BH129" si="90">IF(BF98="Cost-Effective",IF(AT98="Not Cost-Effective",1,0),".")</f>
        <v>1</v>
      </c>
      <c r="BI98" s="163">
        <f t="shared" ref="BI98:BI129" si="91">IF(BF98="Cost-Effective",IF(AZ98="Not Cost-Effective",1,0),".")</f>
        <v>1</v>
      </c>
      <c r="BJ98" s="163">
        <f t="shared" ref="BJ98:BJ129" si="92">IF(BF98="Cost-Effective",IF(AX98="Not Cost-Effective",1,0),".")</f>
        <v>1</v>
      </c>
      <c r="BK98" s="163">
        <f t="shared" si="73"/>
        <v>1</v>
      </c>
      <c r="BL98" s="163">
        <f t="shared" si="74"/>
        <v>1</v>
      </c>
      <c r="BM98" s="163">
        <f t="shared" si="75"/>
        <v>6</v>
      </c>
      <c r="BN98" s="163" t="s">
        <v>155</v>
      </c>
      <c r="BO98" s="162" t="str">
        <f t="shared" si="82"/>
        <v/>
      </c>
      <c r="BP98" s="162" t="s">
        <v>596</v>
      </c>
      <c r="BQ98" s="162" t="s">
        <v>156</v>
      </c>
      <c r="BR98" s="162" t="s">
        <v>600</v>
      </c>
    </row>
    <row r="99" spans="1:70">
      <c r="A99" s="159">
        <f t="shared" si="61"/>
        <v>31</v>
      </c>
      <c r="B99" s="159">
        <f t="shared" si="62"/>
        <v>1</v>
      </c>
      <c r="C99" s="160" t="str">
        <f t="shared" si="49"/>
        <v>3101</v>
      </c>
      <c r="D99" s="159" t="s">
        <v>247</v>
      </c>
      <c r="E99" s="161">
        <v>2019</v>
      </c>
      <c r="F99" s="162" t="s">
        <v>601</v>
      </c>
      <c r="G99" s="162" t="s">
        <v>226</v>
      </c>
      <c r="H99" s="163" t="str">
        <f t="shared" ref="H99:H131" si="93">VLOOKUP(G99,income,T99-1985,FALSE)</f>
        <v>LM</v>
      </c>
      <c r="I99" s="163" t="s">
        <v>155</v>
      </c>
      <c r="J99" s="180" t="s">
        <v>533</v>
      </c>
      <c r="K99" s="163" t="s">
        <v>166</v>
      </c>
      <c r="L99" s="163" t="s">
        <v>147</v>
      </c>
      <c r="M99" s="163" t="str">
        <f t="shared" si="64"/>
        <v>PCV10 vs NoVax</v>
      </c>
      <c r="N99" s="159" t="s">
        <v>602</v>
      </c>
      <c r="O99" s="159">
        <v>4</v>
      </c>
      <c r="P99" s="162" t="s">
        <v>148</v>
      </c>
      <c r="Q99" s="162" t="s">
        <v>149</v>
      </c>
      <c r="R99" s="162" t="s">
        <v>150</v>
      </c>
      <c r="S99" s="162" t="s">
        <v>151</v>
      </c>
      <c r="T99" s="159">
        <v>2016</v>
      </c>
      <c r="U99" s="165">
        <v>3.05</v>
      </c>
      <c r="V99" s="165" t="e">
        <f>IF(ISNUMBER(U99),U99/VLOOKUP($S99,xRates!$A$1:$AA$267,data!$T99-xRates!$B$1+2,FALSE),U99)</f>
        <v>#REF!</v>
      </c>
      <c r="W99" s="162" t="s">
        <v>507</v>
      </c>
      <c r="Y99" s="165"/>
      <c r="AA99" s="163" t="s">
        <v>155</v>
      </c>
      <c r="AB99" s="162"/>
      <c r="AC99" s="162" t="str">
        <f t="shared" si="80"/>
        <v/>
      </c>
      <c r="AD99" s="163" t="s">
        <v>155</v>
      </c>
      <c r="AE99" s="162" t="str">
        <f t="shared" si="81"/>
        <v/>
      </c>
      <c r="AF99" s="163" t="s">
        <v>148</v>
      </c>
      <c r="AG99" s="163" t="s">
        <v>148</v>
      </c>
      <c r="AH99" s="163" t="s">
        <v>155</v>
      </c>
      <c r="AJ99" s="162"/>
      <c r="AK99" s="162" t="s">
        <v>603</v>
      </c>
      <c r="AL99" s="163" t="s">
        <v>190</v>
      </c>
      <c r="AM99" s="179">
        <v>153</v>
      </c>
      <c r="AN99" s="179">
        <v>153</v>
      </c>
      <c r="AO99" s="179">
        <f t="shared" ref="AO99:AO131" si="94">VLOOKUP(G99,gdppc,T99-1958,FALSE)</f>
        <v>1562.1</v>
      </c>
      <c r="AP99" s="163" t="str">
        <f t="shared" si="77"/>
        <v>Cost-Effective</v>
      </c>
      <c r="AQ99" s="163" t="str">
        <f t="shared" si="66"/>
        <v>Cost-Effective</v>
      </c>
      <c r="AR99" s="167">
        <f t="shared" si="50"/>
        <v>9.7945073938928373E-2</v>
      </c>
      <c r="AS99" s="167">
        <f t="shared" si="83"/>
        <v>0.47</v>
      </c>
      <c r="AT99" s="159" t="str">
        <f t="shared" si="67"/>
        <v>Cost-Effective</v>
      </c>
      <c r="AU99" s="167">
        <f t="shared" si="84"/>
        <v>0.36</v>
      </c>
      <c r="AV99" s="162" t="str">
        <f t="shared" si="68"/>
        <v>Cost-Effective</v>
      </c>
      <c r="AW99" s="167">
        <f t="shared" si="85"/>
        <v>0.37696106914584543</v>
      </c>
      <c r="AX99" s="159" t="str">
        <f t="shared" si="69"/>
        <v>Cost-Effective</v>
      </c>
      <c r="AY99" s="167">
        <f t="shared" si="86"/>
        <v>2.3242300987797792E-2</v>
      </c>
      <c r="AZ99" s="159" t="str">
        <f t="shared" si="70"/>
        <v>Not Cost-Effective</v>
      </c>
      <c r="BA99" s="167">
        <f t="shared" si="87"/>
        <v>0.39388863509466526</v>
      </c>
      <c r="BB99" s="159" t="str">
        <f t="shared" si="71"/>
        <v>Cost-Effective</v>
      </c>
      <c r="BC99" s="167">
        <f t="shared" si="88"/>
        <v>0.1583675955535252</v>
      </c>
      <c r="BD99" s="159" t="str">
        <f t="shared" si="72"/>
        <v>Cost-Effective</v>
      </c>
      <c r="BE99" s="162" t="s">
        <v>176</v>
      </c>
      <c r="BF99" s="162" t="s">
        <v>382</v>
      </c>
      <c r="BG99" s="168">
        <f t="shared" si="89"/>
        <v>0</v>
      </c>
      <c r="BH99" s="168">
        <f t="shared" si="90"/>
        <v>0</v>
      </c>
      <c r="BI99" s="163">
        <f t="shared" si="91"/>
        <v>1</v>
      </c>
      <c r="BJ99" s="163">
        <f t="shared" si="92"/>
        <v>0</v>
      </c>
      <c r="BK99" s="163">
        <f t="shared" si="73"/>
        <v>0</v>
      </c>
      <c r="BL99" s="163">
        <f t="shared" si="74"/>
        <v>0</v>
      </c>
      <c r="BM99" s="163">
        <f t="shared" si="75"/>
        <v>1</v>
      </c>
      <c r="BN99" s="163" t="s">
        <v>148</v>
      </c>
      <c r="BO99" s="162" t="s">
        <v>604</v>
      </c>
      <c r="BP99" s="162" t="s">
        <v>605</v>
      </c>
      <c r="BQ99" s="162" t="s">
        <v>249</v>
      </c>
      <c r="BR99" s="162" t="s">
        <v>606</v>
      </c>
    </row>
    <row r="100" spans="1:70">
      <c r="A100" s="159">
        <f t="shared" si="61"/>
        <v>32</v>
      </c>
      <c r="B100" s="159">
        <f t="shared" si="62"/>
        <v>1</v>
      </c>
      <c r="C100" s="160" t="str">
        <f t="shared" si="49"/>
        <v>3201</v>
      </c>
      <c r="D100" s="159" t="s">
        <v>250</v>
      </c>
      <c r="E100" s="161">
        <v>2019</v>
      </c>
      <c r="F100" s="162" t="s">
        <v>607</v>
      </c>
      <c r="G100" s="162" t="s">
        <v>252</v>
      </c>
      <c r="H100" s="163" t="str">
        <f t="shared" si="93"/>
        <v>UM</v>
      </c>
      <c r="I100" s="163" t="s">
        <v>155</v>
      </c>
      <c r="J100" s="180" t="s">
        <v>534</v>
      </c>
      <c r="K100" s="163" t="s">
        <v>167</v>
      </c>
      <c r="L100" s="163" t="s">
        <v>147</v>
      </c>
      <c r="M100" s="163" t="str">
        <f t="shared" si="64"/>
        <v>PCV13 vs NoVax</v>
      </c>
      <c r="N100" s="159" t="s">
        <v>514</v>
      </c>
      <c r="O100" s="159">
        <v>3</v>
      </c>
      <c r="P100" s="162" t="s">
        <v>148</v>
      </c>
      <c r="Q100" s="162" t="s">
        <v>377</v>
      </c>
      <c r="R100" s="162" t="s">
        <v>150</v>
      </c>
      <c r="S100" s="162" t="s">
        <v>151</v>
      </c>
      <c r="T100" s="159">
        <v>2014</v>
      </c>
      <c r="U100" s="165">
        <v>20</v>
      </c>
      <c r="V100" s="165" t="e">
        <f>IF(ISNUMBER(U100),U100/VLOOKUP($S100,xRates!$A$1:$AA$267,data!$T100-xRates!$B$1+2,FALSE),U100)</f>
        <v>#REF!</v>
      </c>
      <c r="W100" s="162" t="s">
        <v>383</v>
      </c>
      <c r="Y100" s="165"/>
      <c r="AA100" s="163" t="s">
        <v>155</v>
      </c>
      <c r="AB100" s="162"/>
      <c r="AC100" s="162" t="str">
        <f t="shared" si="80"/>
        <v/>
      </c>
      <c r="AD100" s="163" t="s">
        <v>155</v>
      </c>
      <c r="AE100" s="162" t="str">
        <f t="shared" si="81"/>
        <v/>
      </c>
      <c r="AF100" s="163" t="s">
        <v>148</v>
      </c>
      <c r="AG100" s="163" t="s">
        <v>148</v>
      </c>
      <c r="AH100" s="163" t="s">
        <v>148</v>
      </c>
      <c r="AJ100" s="162"/>
      <c r="AK100" s="162" t="s">
        <v>608</v>
      </c>
      <c r="AL100" s="163" t="s">
        <v>190</v>
      </c>
      <c r="AM100" s="179">
        <v>1890</v>
      </c>
      <c r="AN100" s="179">
        <v>1890</v>
      </c>
      <c r="AO100" s="179">
        <f t="shared" si="94"/>
        <v>5757.5</v>
      </c>
      <c r="AP100" s="163" t="str">
        <f t="shared" si="77"/>
        <v>Cost-Effective</v>
      </c>
      <c r="AQ100" s="163" t="str">
        <f t="shared" si="66"/>
        <v>Cost-Effective</v>
      </c>
      <c r="AR100" s="167">
        <f t="shared" si="50"/>
        <v>0.32826747720364741</v>
      </c>
      <c r="AS100" s="167" t="str">
        <f t="shared" si="83"/>
        <v>.</v>
      </c>
      <c r="AT100" s="159" t="str">
        <f t="shared" si="67"/>
        <v>.</v>
      </c>
      <c r="AU100" s="167" t="str">
        <f t="shared" si="84"/>
        <v>.</v>
      </c>
      <c r="AV100" s="162" t="str">
        <f t="shared" si="68"/>
        <v>.</v>
      </c>
      <c r="AW100" s="167">
        <f t="shared" si="85"/>
        <v>0.50488002929609754</v>
      </c>
      <c r="AX100" s="159" t="str">
        <f t="shared" si="69"/>
        <v>Cost-Effective</v>
      </c>
      <c r="AY100" s="167">
        <f t="shared" si="86"/>
        <v>0.16781568933399144</v>
      </c>
      <c r="AZ100" s="159" t="str">
        <f t="shared" si="70"/>
        <v>Not Cost-Effective</v>
      </c>
      <c r="BA100" s="167">
        <f t="shared" si="87"/>
        <v>2.52532958984375</v>
      </c>
      <c r="BB100" s="159" t="str">
        <f t="shared" si="71"/>
        <v>Cost-Effective</v>
      </c>
      <c r="BC100" s="167">
        <f t="shared" si="88"/>
        <v>1.04644775390625</v>
      </c>
      <c r="BD100" s="159" t="str">
        <f t="shared" si="72"/>
        <v>Cost-Effective</v>
      </c>
      <c r="BE100" s="162" t="s">
        <v>176</v>
      </c>
      <c r="BF100" s="162" t="s">
        <v>382</v>
      </c>
      <c r="BG100" s="168">
        <f t="shared" si="89"/>
        <v>0</v>
      </c>
      <c r="BH100" s="168">
        <f t="shared" si="90"/>
        <v>0</v>
      </c>
      <c r="BI100" s="163">
        <f t="shared" si="91"/>
        <v>1</v>
      </c>
      <c r="BJ100" s="163">
        <f t="shared" si="92"/>
        <v>0</v>
      </c>
      <c r="BK100" s="163">
        <f t="shared" si="73"/>
        <v>0</v>
      </c>
      <c r="BL100" s="163">
        <f t="shared" si="74"/>
        <v>0</v>
      </c>
      <c r="BM100" s="163">
        <f t="shared" si="75"/>
        <v>1</v>
      </c>
      <c r="BN100" s="163" t="s">
        <v>155</v>
      </c>
      <c r="BO100" s="162" t="str">
        <f t="shared" ref="BO100:BO113" si="95">IF(BN100="No", "", "")</f>
        <v/>
      </c>
      <c r="BP100" s="162" t="s">
        <v>531</v>
      </c>
      <c r="BQ100" s="162" t="s">
        <v>156</v>
      </c>
      <c r="BR100" s="162" t="s">
        <v>609</v>
      </c>
    </row>
    <row r="101" spans="1:70">
      <c r="A101" s="159">
        <f t="shared" si="61"/>
        <v>32</v>
      </c>
      <c r="B101" s="159">
        <f t="shared" si="62"/>
        <v>2</v>
      </c>
      <c r="C101" s="160" t="str">
        <f t="shared" si="49"/>
        <v>3202</v>
      </c>
      <c r="D101" s="159" t="s">
        <v>250</v>
      </c>
      <c r="E101" s="161">
        <v>2019</v>
      </c>
      <c r="F101" s="162" t="s">
        <v>607</v>
      </c>
      <c r="G101" s="162" t="s">
        <v>252</v>
      </c>
      <c r="H101" s="163" t="str">
        <f t="shared" si="93"/>
        <v>UM</v>
      </c>
      <c r="I101" s="163" t="s">
        <v>155</v>
      </c>
      <c r="J101" s="180" t="s">
        <v>534</v>
      </c>
      <c r="K101" s="163" t="s">
        <v>167</v>
      </c>
      <c r="L101" s="163" t="s">
        <v>147</v>
      </c>
      <c r="M101" s="163" t="str">
        <f t="shared" si="64"/>
        <v>PCV13 vs NoVax</v>
      </c>
      <c r="N101" s="159" t="s">
        <v>514</v>
      </c>
      <c r="O101" s="159">
        <v>3</v>
      </c>
      <c r="P101" s="162" t="s">
        <v>148</v>
      </c>
      <c r="Q101" s="162" t="s">
        <v>149</v>
      </c>
      <c r="R101" s="162" t="s">
        <v>150</v>
      </c>
      <c r="S101" s="162" t="s">
        <v>151</v>
      </c>
      <c r="T101" s="159">
        <v>2014</v>
      </c>
      <c r="U101" s="165">
        <v>20</v>
      </c>
      <c r="V101" s="165" t="e">
        <f>IF(ISNUMBER(U101),U101/VLOOKUP($S101,xRates!$A$1:$AA$267,data!$T101-xRates!$B$1+2,FALSE),U101)</f>
        <v>#REF!</v>
      </c>
      <c r="W101" s="162" t="s">
        <v>383</v>
      </c>
      <c r="Y101" s="165"/>
      <c r="AA101" s="163" t="s">
        <v>155</v>
      </c>
      <c r="AB101" s="162"/>
      <c r="AC101" s="162" t="str">
        <f t="shared" si="80"/>
        <v/>
      </c>
      <c r="AD101" s="163" t="s">
        <v>155</v>
      </c>
      <c r="AE101" s="162" t="str">
        <f t="shared" si="81"/>
        <v/>
      </c>
      <c r="AF101" s="163" t="s">
        <v>148</v>
      </c>
      <c r="AG101" s="163" t="s">
        <v>148</v>
      </c>
      <c r="AH101" s="163" t="s">
        <v>148</v>
      </c>
      <c r="AJ101" s="162"/>
      <c r="AK101" s="162" t="s">
        <v>610</v>
      </c>
      <c r="AL101" s="163" t="s">
        <v>190</v>
      </c>
      <c r="AM101" s="179">
        <v>1538</v>
      </c>
      <c r="AN101" s="179">
        <v>1538</v>
      </c>
      <c r="AO101" s="179">
        <f t="shared" si="94"/>
        <v>5757.5</v>
      </c>
      <c r="AP101" s="163" t="str">
        <f t="shared" si="77"/>
        <v>Cost-Effective</v>
      </c>
      <c r="AQ101" s="163" t="str">
        <f t="shared" si="66"/>
        <v>Cost-Effective</v>
      </c>
      <c r="AR101" s="167">
        <f t="shared" si="50"/>
        <v>0.26712983065566653</v>
      </c>
      <c r="AS101" s="167" t="str">
        <f t="shared" si="83"/>
        <v>.</v>
      </c>
      <c r="AT101" s="159" t="str">
        <f t="shared" si="67"/>
        <v>.</v>
      </c>
      <c r="AU101" s="167" t="str">
        <f t="shared" si="84"/>
        <v>.</v>
      </c>
      <c r="AV101" s="162" t="str">
        <f t="shared" si="68"/>
        <v>.</v>
      </c>
      <c r="AW101" s="167">
        <f t="shared" si="85"/>
        <v>0.50488002929609754</v>
      </c>
      <c r="AX101" s="159" t="str">
        <f t="shared" si="69"/>
        <v>Cost-Effective</v>
      </c>
      <c r="AY101" s="167">
        <f t="shared" si="86"/>
        <v>0.16781568933399144</v>
      </c>
      <c r="AZ101" s="159" t="str">
        <f t="shared" si="70"/>
        <v>Not Cost-Effective</v>
      </c>
      <c r="BA101" s="167">
        <f t="shared" si="87"/>
        <v>2.52532958984375</v>
      </c>
      <c r="BB101" s="159" t="str">
        <f t="shared" si="71"/>
        <v>Cost-Effective</v>
      </c>
      <c r="BC101" s="167">
        <f t="shared" si="88"/>
        <v>1.04644775390625</v>
      </c>
      <c r="BD101" s="159" t="str">
        <f t="shared" si="72"/>
        <v>Cost-Effective</v>
      </c>
      <c r="BE101" s="162" t="s">
        <v>176</v>
      </c>
      <c r="BF101" s="162" t="s">
        <v>382</v>
      </c>
      <c r="BG101" s="168">
        <f t="shared" si="89"/>
        <v>0</v>
      </c>
      <c r="BH101" s="168">
        <f t="shared" si="90"/>
        <v>0</v>
      </c>
      <c r="BI101" s="163">
        <f t="shared" si="91"/>
        <v>1</v>
      </c>
      <c r="BJ101" s="163">
        <f t="shared" si="92"/>
        <v>0</v>
      </c>
      <c r="BK101" s="163">
        <f t="shared" si="73"/>
        <v>0</v>
      </c>
      <c r="BL101" s="163">
        <f t="shared" si="74"/>
        <v>0</v>
      </c>
      <c r="BM101" s="163">
        <f t="shared" si="75"/>
        <v>1</v>
      </c>
      <c r="BN101" s="163" t="s">
        <v>155</v>
      </c>
      <c r="BO101" s="162" t="str">
        <f t="shared" si="95"/>
        <v/>
      </c>
      <c r="BP101" s="162" t="s">
        <v>531</v>
      </c>
      <c r="BQ101" s="162" t="s">
        <v>156</v>
      </c>
      <c r="BR101" s="162" t="s">
        <v>609</v>
      </c>
    </row>
    <row r="102" spans="1:70">
      <c r="A102" s="159">
        <f t="shared" si="61"/>
        <v>33</v>
      </c>
      <c r="B102" s="159">
        <f t="shared" si="62"/>
        <v>1</v>
      </c>
      <c r="C102" s="160" t="str">
        <f t="shared" si="49"/>
        <v>3301</v>
      </c>
      <c r="D102" s="159" t="s">
        <v>253</v>
      </c>
      <c r="E102" s="161">
        <v>2020</v>
      </c>
      <c r="F102" s="162" t="s">
        <v>611</v>
      </c>
      <c r="G102" s="162" t="s">
        <v>255</v>
      </c>
      <c r="H102" s="163" t="str">
        <f t="shared" si="93"/>
        <v>UM</v>
      </c>
      <c r="I102" s="163" t="s">
        <v>155</v>
      </c>
      <c r="J102" s="180" t="s">
        <v>367</v>
      </c>
      <c r="K102" s="163" t="s">
        <v>146</v>
      </c>
      <c r="L102" s="163" t="s">
        <v>147</v>
      </c>
      <c r="M102" s="163" t="str">
        <f t="shared" si="64"/>
        <v>PCV7 vs NoVax</v>
      </c>
      <c r="N102" s="159" t="s">
        <v>514</v>
      </c>
      <c r="O102" s="159">
        <v>3</v>
      </c>
      <c r="P102" s="162" t="s">
        <v>148</v>
      </c>
      <c r="Q102" s="162" t="s">
        <v>377</v>
      </c>
      <c r="R102" s="162" t="s">
        <v>256</v>
      </c>
      <c r="S102" s="162" t="s">
        <v>255</v>
      </c>
      <c r="T102" s="159">
        <v>2016</v>
      </c>
      <c r="U102" s="165">
        <v>7</v>
      </c>
      <c r="V102" s="165">
        <f>U102/24</f>
        <v>0.29166666666666669</v>
      </c>
      <c r="W102" s="162" t="s">
        <v>612</v>
      </c>
      <c r="Y102" s="165"/>
      <c r="AA102" s="163" t="s">
        <v>155</v>
      </c>
      <c r="AB102" s="162"/>
      <c r="AC102" s="162" t="str">
        <f t="shared" si="80"/>
        <v/>
      </c>
      <c r="AD102" s="163" t="s">
        <v>155</v>
      </c>
      <c r="AE102" s="162" t="str">
        <f t="shared" si="81"/>
        <v/>
      </c>
      <c r="AF102" s="163" t="s">
        <v>148</v>
      </c>
      <c r="AG102" s="163" t="s">
        <v>148</v>
      </c>
      <c r="AH102" s="163" t="s">
        <v>148</v>
      </c>
      <c r="AJ102" s="162" t="s">
        <v>380</v>
      </c>
      <c r="AK102" s="162" t="s">
        <v>613</v>
      </c>
      <c r="AL102" s="163" t="s">
        <v>190</v>
      </c>
      <c r="AM102" s="179">
        <v>374</v>
      </c>
      <c r="AN102" s="179">
        <f>AM102/24</f>
        <v>15.583333333333334</v>
      </c>
      <c r="AO102" s="179">
        <f t="shared" si="94"/>
        <v>8055.9</v>
      </c>
      <c r="AP102" s="163" t="str">
        <f t="shared" si="77"/>
        <v>Cost-Effective</v>
      </c>
      <c r="AQ102" s="163" t="str">
        <f t="shared" si="66"/>
        <v>Cost-Effective</v>
      </c>
      <c r="AR102" s="167">
        <f t="shared" si="50"/>
        <v>1.9344000463428462E-3</v>
      </c>
      <c r="AS102" s="167" t="str">
        <f t="shared" si="83"/>
        <v>.</v>
      </c>
      <c r="AT102" s="159" t="str">
        <f t="shared" si="67"/>
        <v>.</v>
      </c>
      <c r="AU102" s="167" t="str">
        <f t="shared" si="84"/>
        <v>.</v>
      </c>
      <c r="AV102" s="162" t="str">
        <f t="shared" si="68"/>
        <v>.</v>
      </c>
      <c r="AW102" s="167" t="str">
        <f t="shared" si="85"/>
        <v>.</v>
      </c>
      <c r="AX102" s="159" t="str">
        <f t="shared" si="69"/>
        <v>.</v>
      </c>
      <c r="AY102" s="167" t="str">
        <f t="shared" si="86"/>
        <v>.</v>
      </c>
      <c r="AZ102" s="159" t="str">
        <f t="shared" si="70"/>
        <v>.</v>
      </c>
      <c r="BA102" s="167">
        <f t="shared" si="87"/>
        <v>2.0486027529159463</v>
      </c>
      <c r="BB102" s="159" t="str">
        <f t="shared" si="71"/>
        <v>Cost-Effective</v>
      </c>
      <c r="BC102" s="167">
        <f t="shared" si="88"/>
        <v>0.84907105499266911</v>
      </c>
      <c r="BD102" s="159" t="str">
        <f t="shared" si="72"/>
        <v>Cost-Effective</v>
      </c>
      <c r="BE102" s="162" t="s">
        <v>176</v>
      </c>
      <c r="BF102" s="162" t="s">
        <v>382</v>
      </c>
      <c r="BG102" s="168">
        <f t="shared" si="89"/>
        <v>0</v>
      </c>
      <c r="BH102" s="168">
        <f t="shared" si="90"/>
        <v>0</v>
      </c>
      <c r="BI102" s="163">
        <f t="shared" si="91"/>
        <v>0</v>
      </c>
      <c r="BJ102" s="163">
        <f t="shared" si="92"/>
        <v>0</v>
      </c>
      <c r="BK102" s="163">
        <f t="shared" si="73"/>
        <v>0</v>
      </c>
      <c r="BL102" s="163">
        <f t="shared" si="74"/>
        <v>0</v>
      </c>
      <c r="BM102" s="163">
        <f t="shared" si="75"/>
        <v>0</v>
      </c>
      <c r="BN102" s="163" t="s">
        <v>155</v>
      </c>
      <c r="BO102" s="162" t="str">
        <f t="shared" si="95"/>
        <v/>
      </c>
      <c r="BP102" s="162" t="s">
        <v>614</v>
      </c>
      <c r="BQ102" s="162" t="s">
        <v>249</v>
      </c>
    </row>
    <row r="103" spans="1:70">
      <c r="A103" s="159">
        <f t="shared" si="61"/>
        <v>34</v>
      </c>
      <c r="B103" s="159">
        <f t="shared" si="62"/>
        <v>1</v>
      </c>
      <c r="C103" s="160" t="str">
        <f t="shared" si="49"/>
        <v>3401</v>
      </c>
      <c r="D103" s="159" t="s">
        <v>257</v>
      </c>
      <c r="E103" s="161">
        <v>2012</v>
      </c>
      <c r="F103" s="162" t="s">
        <v>615</v>
      </c>
      <c r="G103" s="162" t="s">
        <v>616</v>
      </c>
      <c r="H103" s="163" t="e">
        <f t="shared" si="93"/>
        <v>#N/A</v>
      </c>
      <c r="I103" s="163" t="s">
        <v>155</v>
      </c>
      <c r="J103" s="180" t="s">
        <v>617</v>
      </c>
      <c r="K103" s="163" t="s">
        <v>167</v>
      </c>
      <c r="L103" s="163" t="s">
        <v>146</v>
      </c>
      <c r="M103" s="163" t="str">
        <f t="shared" si="64"/>
        <v>PCV13 vs PCV7</v>
      </c>
      <c r="N103" s="159" t="s">
        <v>403</v>
      </c>
      <c r="O103" s="159">
        <v>4</v>
      </c>
      <c r="P103" s="162" t="s">
        <v>148</v>
      </c>
      <c r="Q103" s="162" t="s">
        <v>377</v>
      </c>
      <c r="R103" s="162" t="s">
        <v>150</v>
      </c>
      <c r="S103" s="162" t="s">
        <v>151</v>
      </c>
      <c r="T103" s="159">
        <v>2011</v>
      </c>
      <c r="U103" s="165">
        <v>55</v>
      </c>
      <c r="V103" s="165" t="e">
        <f>IF(ISNUMBER(U103),U103/VLOOKUP($S103,xRates!$A$1:$AA$267,data!$T103-xRates!$B$1+2,FALSE),U103)</f>
        <v>#REF!</v>
      </c>
      <c r="W103" s="162" t="s">
        <v>618</v>
      </c>
      <c r="X103" s="159">
        <v>55</v>
      </c>
      <c r="Y103" s="165">
        <v>55</v>
      </c>
      <c r="Z103" s="162" t="s">
        <v>618</v>
      </c>
      <c r="AA103" s="163" t="s">
        <v>155</v>
      </c>
      <c r="AB103" s="162"/>
      <c r="AC103" s="162" t="str">
        <f t="shared" si="80"/>
        <v/>
      </c>
      <c r="AD103" s="163" t="s">
        <v>155</v>
      </c>
      <c r="AE103" s="162" t="str">
        <f t="shared" si="81"/>
        <v/>
      </c>
      <c r="AF103" s="163" t="s">
        <v>148</v>
      </c>
      <c r="AG103" s="163" t="s">
        <v>148</v>
      </c>
      <c r="AH103" s="163" t="s">
        <v>148</v>
      </c>
      <c r="AJ103" s="162" t="s">
        <v>619</v>
      </c>
      <c r="AK103" s="162" t="s">
        <v>620</v>
      </c>
      <c r="AL103" s="163" t="s">
        <v>152</v>
      </c>
      <c r="AM103" s="179">
        <f>-3483803/2223</f>
        <v>-1567.1628430049482</v>
      </c>
      <c r="AN103" s="179">
        <v>-2223</v>
      </c>
      <c r="AO103" s="179" t="e">
        <f t="shared" si="94"/>
        <v>#N/A</v>
      </c>
      <c r="AP103" s="163" t="str">
        <f t="shared" si="77"/>
        <v>Cost-Saving</v>
      </c>
      <c r="AQ103" s="163" t="str">
        <f t="shared" si="66"/>
        <v>Cost-Saving</v>
      </c>
      <c r="AR103" s="167" t="str">
        <f t="shared" si="50"/>
        <v>.</v>
      </c>
      <c r="AS103" s="167" t="str">
        <f t="shared" si="83"/>
        <v>.</v>
      </c>
      <c r="AT103" s="159" t="str">
        <f t="shared" si="67"/>
        <v>.</v>
      </c>
      <c r="AU103" s="167" t="str">
        <f t="shared" si="84"/>
        <v>.</v>
      </c>
      <c r="AV103" s="162" t="str">
        <f t="shared" si="68"/>
        <v>.</v>
      </c>
      <c r="AW103" s="167" t="str">
        <f t="shared" si="85"/>
        <v>.</v>
      </c>
      <c r="AX103" s="159" t="str">
        <f t="shared" si="69"/>
        <v>.</v>
      </c>
      <c r="AY103" s="167" t="str">
        <f t="shared" si="86"/>
        <v>.</v>
      </c>
      <c r="AZ103" s="159" t="str">
        <f t="shared" si="70"/>
        <v>.</v>
      </c>
      <c r="BA103" s="167" t="str">
        <f t="shared" si="87"/>
        <v>.</v>
      </c>
      <c r="BB103" s="159" t="str">
        <f t="shared" si="71"/>
        <v>.</v>
      </c>
      <c r="BC103" s="167" t="str">
        <f t="shared" si="88"/>
        <v>.</v>
      </c>
      <c r="BD103" s="159" t="str">
        <f t="shared" si="72"/>
        <v>.</v>
      </c>
      <c r="BE103" s="162" t="s">
        <v>386</v>
      </c>
      <c r="BF103" s="162" t="s">
        <v>439</v>
      </c>
      <c r="BG103" s="168" t="str">
        <f t="shared" si="89"/>
        <v>.</v>
      </c>
      <c r="BH103" s="168" t="str">
        <f t="shared" si="90"/>
        <v>.</v>
      </c>
      <c r="BI103" s="163" t="str">
        <f t="shared" si="91"/>
        <v>.</v>
      </c>
      <c r="BJ103" s="163" t="str">
        <f t="shared" si="92"/>
        <v>.</v>
      </c>
      <c r="BK103" s="163" t="str">
        <f t="shared" si="73"/>
        <v>.</v>
      </c>
      <c r="BL103" s="163" t="str">
        <f t="shared" si="74"/>
        <v>.</v>
      </c>
      <c r="BM103" s="163">
        <f t="shared" si="75"/>
        <v>0</v>
      </c>
      <c r="BN103" s="163" t="s">
        <v>155</v>
      </c>
      <c r="BO103" s="162" t="str">
        <f t="shared" si="95"/>
        <v/>
      </c>
      <c r="BP103" s="162" t="s">
        <v>422</v>
      </c>
      <c r="BQ103" s="162" t="s">
        <v>163</v>
      </c>
    </row>
    <row r="104" spans="1:70" s="173" customFormat="1">
      <c r="A104" s="159">
        <f t="shared" si="61"/>
        <v>34</v>
      </c>
      <c r="B104" s="159">
        <f t="shared" si="62"/>
        <v>2</v>
      </c>
      <c r="C104" s="160" t="str">
        <f t="shared" si="49"/>
        <v>3402</v>
      </c>
      <c r="D104" s="171" t="s">
        <v>257</v>
      </c>
      <c r="E104" s="172">
        <v>2012</v>
      </c>
      <c r="F104" s="173" t="s">
        <v>615</v>
      </c>
      <c r="G104" s="173" t="s">
        <v>616</v>
      </c>
      <c r="H104" s="174" t="e">
        <f t="shared" si="93"/>
        <v>#N/A</v>
      </c>
      <c r="I104" s="174" t="s">
        <v>155</v>
      </c>
      <c r="J104" s="173" t="s">
        <v>621</v>
      </c>
      <c r="K104" s="174" t="s">
        <v>167</v>
      </c>
      <c r="L104" s="174" t="s">
        <v>166</v>
      </c>
      <c r="M104" s="163" t="str">
        <f t="shared" si="64"/>
        <v>PCV13 vs PCV10</v>
      </c>
      <c r="N104" s="171" t="s">
        <v>403</v>
      </c>
      <c r="O104" s="171">
        <v>4</v>
      </c>
      <c r="P104" s="173" t="s">
        <v>148</v>
      </c>
      <c r="Q104" s="175" t="s">
        <v>377</v>
      </c>
      <c r="R104" s="173" t="s">
        <v>150</v>
      </c>
      <c r="S104" s="173" t="s">
        <v>151</v>
      </c>
      <c r="T104" s="172">
        <v>2011</v>
      </c>
      <c r="U104" s="176">
        <v>55</v>
      </c>
      <c r="V104" s="176" t="e">
        <f>IF(ISNUMBER(U104),U104/VLOOKUP($S104,xRates!$A$1:$AA$267,data!$T104-xRates!$B$1+2,FALSE),U104)</f>
        <v>#REF!</v>
      </c>
      <c r="W104" s="173" t="s">
        <v>618</v>
      </c>
      <c r="X104" s="171">
        <v>55</v>
      </c>
      <c r="Y104" s="176">
        <v>55</v>
      </c>
      <c r="Z104" s="173" t="s">
        <v>618</v>
      </c>
      <c r="AA104" s="174" t="s">
        <v>155</v>
      </c>
      <c r="AC104" s="173" t="str">
        <f t="shared" si="80"/>
        <v/>
      </c>
      <c r="AD104" s="174" t="s">
        <v>155</v>
      </c>
      <c r="AE104" s="173" t="str">
        <f t="shared" si="81"/>
        <v/>
      </c>
      <c r="AF104" s="174" t="s">
        <v>148</v>
      </c>
      <c r="AG104" s="174" t="s">
        <v>148</v>
      </c>
      <c r="AH104" s="174" t="s">
        <v>148</v>
      </c>
      <c r="AI104" s="174"/>
      <c r="AJ104" s="173" t="s">
        <v>619</v>
      </c>
      <c r="AK104" s="173" t="s">
        <v>622</v>
      </c>
      <c r="AL104" s="163" t="s">
        <v>152</v>
      </c>
      <c r="AM104" s="177">
        <v>999999</v>
      </c>
      <c r="AN104" s="177">
        <v>999999</v>
      </c>
      <c r="AO104" s="177" t="e">
        <f t="shared" si="94"/>
        <v>#N/A</v>
      </c>
      <c r="AP104" s="174" t="e">
        <f t="shared" si="77"/>
        <v>#N/A</v>
      </c>
      <c r="AQ104" s="174" t="e">
        <f t="shared" si="66"/>
        <v>#N/A</v>
      </c>
      <c r="AR104" s="167" t="str">
        <f t="shared" si="50"/>
        <v>.</v>
      </c>
      <c r="AS104" s="167" t="str">
        <f t="shared" si="83"/>
        <v>.</v>
      </c>
      <c r="AT104" s="159" t="str">
        <f t="shared" si="67"/>
        <v>.</v>
      </c>
      <c r="AU104" s="167" t="str">
        <f t="shared" si="84"/>
        <v>.</v>
      </c>
      <c r="AV104" s="162" t="str">
        <f t="shared" si="68"/>
        <v>.</v>
      </c>
      <c r="AW104" s="167" t="str">
        <f t="shared" si="85"/>
        <v>.</v>
      </c>
      <c r="AX104" s="159" t="str">
        <f t="shared" si="69"/>
        <v>.</v>
      </c>
      <c r="AY104" s="167" t="str">
        <f t="shared" si="86"/>
        <v>.</v>
      </c>
      <c r="AZ104" s="159" t="str">
        <f t="shared" si="70"/>
        <v>.</v>
      </c>
      <c r="BA104" s="167" t="str">
        <f t="shared" si="87"/>
        <v>.</v>
      </c>
      <c r="BB104" s="159" t="str">
        <f t="shared" si="71"/>
        <v>.</v>
      </c>
      <c r="BC104" s="167" t="str">
        <f t="shared" si="88"/>
        <v>.</v>
      </c>
      <c r="BD104" s="159" t="str">
        <f t="shared" si="72"/>
        <v>.</v>
      </c>
      <c r="BE104" s="173" t="s">
        <v>386</v>
      </c>
      <c r="BF104" s="173" t="s">
        <v>371</v>
      </c>
      <c r="BG104" s="178" t="str">
        <f t="shared" si="89"/>
        <v>.</v>
      </c>
      <c r="BH104" s="178" t="str">
        <f t="shared" si="90"/>
        <v>.</v>
      </c>
      <c r="BI104" s="174" t="str">
        <f t="shared" si="91"/>
        <v>.</v>
      </c>
      <c r="BJ104" s="174" t="str">
        <f t="shared" si="92"/>
        <v>.</v>
      </c>
      <c r="BK104" s="163" t="str">
        <f t="shared" si="73"/>
        <v>.</v>
      </c>
      <c r="BL104" s="163" t="str">
        <f t="shared" si="74"/>
        <v>.</v>
      </c>
      <c r="BM104" s="163">
        <f t="shared" si="75"/>
        <v>0</v>
      </c>
      <c r="BN104" s="174" t="s">
        <v>155</v>
      </c>
      <c r="BO104" s="173" t="str">
        <f t="shared" si="95"/>
        <v/>
      </c>
      <c r="BP104" s="173" t="s">
        <v>422</v>
      </c>
      <c r="BQ104" s="162" t="s">
        <v>163</v>
      </c>
    </row>
    <row r="105" spans="1:70">
      <c r="A105" s="159">
        <f t="shared" si="61"/>
        <v>34</v>
      </c>
      <c r="B105" s="159">
        <f t="shared" si="62"/>
        <v>3</v>
      </c>
      <c r="C105" s="160" t="str">
        <f t="shared" si="49"/>
        <v>3403</v>
      </c>
      <c r="D105" s="159" t="s">
        <v>257</v>
      </c>
      <c r="E105" s="161">
        <v>2012</v>
      </c>
      <c r="F105" s="162" t="s">
        <v>615</v>
      </c>
      <c r="G105" s="162" t="s">
        <v>616</v>
      </c>
      <c r="H105" s="163" t="e">
        <f t="shared" si="93"/>
        <v>#N/A</v>
      </c>
      <c r="I105" s="163" t="s">
        <v>155</v>
      </c>
      <c r="J105" s="180" t="s">
        <v>623</v>
      </c>
      <c r="K105" s="163" t="s">
        <v>166</v>
      </c>
      <c r="L105" s="163" t="s">
        <v>146</v>
      </c>
      <c r="M105" s="163" t="str">
        <f t="shared" si="64"/>
        <v>PCV10 vs PCV7</v>
      </c>
      <c r="N105" s="159" t="s">
        <v>403</v>
      </c>
      <c r="O105" s="159">
        <v>4</v>
      </c>
      <c r="P105" s="162" t="s">
        <v>148</v>
      </c>
      <c r="Q105" s="162" t="s">
        <v>377</v>
      </c>
      <c r="R105" s="162" t="s">
        <v>150</v>
      </c>
      <c r="S105" s="162" t="s">
        <v>151</v>
      </c>
      <c r="T105" s="159">
        <v>2000</v>
      </c>
      <c r="U105" s="165">
        <v>55</v>
      </c>
      <c r="V105" s="165" t="e">
        <f>IF(ISNUMBER(U105),U105/VLOOKUP($S105,xRates!$A$1:$AA$267,data!$T105-xRates!$B$1+2,FALSE),U105)</f>
        <v>#REF!</v>
      </c>
      <c r="W105" s="162" t="s">
        <v>618</v>
      </c>
      <c r="X105" s="159">
        <v>55</v>
      </c>
      <c r="Y105" s="165">
        <v>55</v>
      </c>
      <c r="Z105" s="162" t="s">
        <v>618</v>
      </c>
      <c r="AA105" s="163" t="s">
        <v>155</v>
      </c>
      <c r="AB105" s="162"/>
      <c r="AC105" s="162" t="str">
        <f t="shared" si="80"/>
        <v/>
      </c>
      <c r="AD105" s="163" t="s">
        <v>155</v>
      </c>
      <c r="AE105" s="162" t="str">
        <f t="shared" si="81"/>
        <v/>
      </c>
      <c r="AF105" s="163" t="s">
        <v>148</v>
      </c>
      <c r="AG105" s="163" t="s">
        <v>148</v>
      </c>
      <c r="AH105" s="163" t="s">
        <v>148</v>
      </c>
      <c r="AJ105" s="162" t="s">
        <v>619</v>
      </c>
      <c r="AK105" s="162" t="s">
        <v>624</v>
      </c>
      <c r="AL105" s="163" t="s">
        <v>152</v>
      </c>
      <c r="AM105" s="179">
        <f>-11718813/3156</f>
        <v>-3713.1853612167301</v>
      </c>
      <c r="AN105" s="179">
        <v>-3156</v>
      </c>
      <c r="AO105" s="179" t="e">
        <f t="shared" si="94"/>
        <v>#N/A</v>
      </c>
      <c r="AP105" s="163" t="str">
        <f t="shared" si="77"/>
        <v>Cost-Saving</v>
      </c>
      <c r="AQ105" s="163" t="str">
        <f t="shared" si="66"/>
        <v>Cost-Saving</v>
      </c>
      <c r="AR105" s="167" t="str">
        <f t="shared" si="50"/>
        <v>.</v>
      </c>
      <c r="AS105" s="167" t="str">
        <f t="shared" si="83"/>
        <v>.</v>
      </c>
      <c r="AT105" s="159" t="str">
        <f t="shared" si="67"/>
        <v>.</v>
      </c>
      <c r="AU105" s="167" t="str">
        <f t="shared" si="84"/>
        <v>.</v>
      </c>
      <c r="AV105" s="162" t="str">
        <f t="shared" si="68"/>
        <v>.</v>
      </c>
      <c r="AW105" s="167" t="str">
        <f t="shared" si="85"/>
        <v>.</v>
      </c>
      <c r="AX105" s="159" t="str">
        <f t="shared" si="69"/>
        <v>.</v>
      </c>
      <c r="AY105" s="167" t="str">
        <f t="shared" si="86"/>
        <v>.</v>
      </c>
      <c r="AZ105" s="159" t="str">
        <f t="shared" si="70"/>
        <v>.</v>
      </c>
      <c r="BA105" s="167" t="str">
        <f t="shared" si="87"/>
        <v>.</v>
      </c>
      <c r="BB105" s="159" t="str">
        <f t="shared" si="71"/>
        <v>.</v>
      </c>
      <c r="BC105" s="167" t="str">
        <f t="shared" si="88"/>
        <v>.</v>
      </c>
      <c r="BD105" s="159" t="str">
        <f t="shared" si="72"/>
        <v>.</v>
      </c>
      <c r="BE105" s="162" t="s">
        <v>386</v>
      </c>
      <c r="BF105" s="162" t="s">
        <v>439</v>
      </c>
      <c r="BG105" s="168" t="str">
        <f t="shared" si="89"/>
        <v>.</v>
      </c>
      <c r="BH105" s="168" t="str">
        <f t="shared" si="90"/>
        <v>.</v>
      </c>
      <c r="BI105" s="163" t="str">
        <f t="shared" si="91"/>
        <v>.</v>
      </c>
      <c r="BJ105" s="163" t="str">
        <f t="shared" si="92"/>
        <v>.</v>
      </c>
      <c r="BK105" s="163" t="str">
        <f t="shared" si="73"/>
        <v>.</v>
      </c>
      <c r="BL105" s="163" t="str">
        <f t="shared" si="74"/>
        <v>.</v>
      </c>
      <c r="BM105" s="163">
        <f t="shared" si="75"/>
        <v>0</v>
      </c>
      <c r="BN105" s="163" t="s">
        <v>155</v>
      </c>
      <c r="BO105" s="162" t="str">
        <f t="shared" si="95"/>
        <v/>
      </c>
      <c r="BP105" s="162" t="s">
        <v>422</v>
      </c>
      <c r="BQ105" s="162" t="s">
        <v>163</v>
      </c>
    </row>
    <row r="106" spans="1:70">
      <c r="A106" s="159">
        <f t="shared" si="61"/>
        <v>35</v>
      </c>
      <c r="B106" s="159">
        <f t="shared" si="62"/>
        <v>1</v>
      </c>
      <c r="C106" s="160" t="str">
        <f t="shared" si="49"/>
        <v>3501</v>
      </c>
      <c r="D106" s="159" t="s">
        <v>261</v>
      </c>
      <c r="E106" s="161">
        <v>2012</v>
      </c>
      <c r="F106" s="162" t="s">
        <v>625</v>
      </c>
      <c r="G106" s="162" t="s">
        <v>241</v>
      </c>
      <c r="H106" s="163" t="str">
        <f t="shared" si="93"/>
        <v>UM</v>
      </c>
      <c r="I106" s="163" t="s">
        <v>155</v>
      </c>
      <c r="J106" s="180" t="s">
        <v>367</v>
      </c>
      <c r="K106" s="163" t="s">
        <v>146</v>
      </c>
      <c r="L106" s="163" t="s">
        <v>147</v>
      </c>
      <c r="M106" s="163" t="str">
        <f t="shared" si="64"/>
        <v>PCV7 vs NoVax</v>
      </c>
      <c r="N106" s="159" t="s">
        <v>368</v>
      </c>
      <c r="O106" s="159">
        <v>3</v>
      </c>
      <c r="P106" s="162" t="s">
        <v>148</v>
      </c>
      <c r="Q106" s="162" t="s">
        <v>149</v>
      </c>
      <c r="R106" s="162" t="s">
        <v>150</v>
      </c>
      <c r="S106" s="162" t="s">
        <v>151</v>
      </c>
      <c r="T106" s="159">
        <v>2009</v>
      </c>
      <c r="U106" s="165">
        <v>14</v>
      </c>
      <c r="V106" s="165" t="e">
        <f>IF(ISNUMBER(U106),U106/VLOOKUP($S106,xRates!$A$1:$AA$267,data!$T106-xRates!$B$1+2,FALSE),U106)</f>
        <v>#REF!</v>
      </c>
      <c r="W106" s="162" t="s">
        <v>626</v>
      </c>
      <c r="Y106" s="165"/>
      <c r="AA106" s="163" t="s">
        <v>155</v>
      </c>
      <c r="AB106" s="162"/>
      <c r="AC106" s="162" t="str">
        <f t="shared" si="80"/>
        <v/>
      </c>
      <c r="AD106" s="163" t="s">
        <v>155</v>
      </c>
      <c r="AE106" s="162" t="str">
        <f t="shared" si="81"/>
        <v/>
      </c>
      <c r="AF106" s="163" t="s">
        <v>148</v>
      </c>
      <c r="AG106" s="163" t="s">
        <v>148</v>
      </c>
      <c r="AH106" s="163" t="s">
        <v>148</v>
      </c>
      <c r="AJ106" s="162" t="s">
        <v>627</v>
      </c>
      <c r="AK106" s="162" t="s">
        <v>628</v>
      </c>
      <c r="AL106" s="163" t="s">
        <v>263</v>
      </c>
      <c r="AM106" s="179">
        <v>999999</v>
      </c>
      <c r="AN106" s="179">
        <f>AM106</f>
        <v>999999</v>
      </c>
      <c r="AO106" s="179">
        <f t="shared" si="94"/>
        <v>5246</v>
      </c>
      <c r="AP106" s="163" t="str">
        <f t="shared" si="77"/>
        <v>Not Cost-Effective</v>
      </c>
      <c r="AQ106" s="163" t="str">
        <f t="shared" si="66"/>
        <v>Not Cost-Effective</v>
      </c>
      <c r="AR106" s="167">
        <f t="shared" si="50"/>
        <v>190.6212352268395</v>
      </c>
      <c r="AS106" s="167">
        <f t="shared" si="83"/>
        <v>1.89</v>
      </c>
      <c r="AT106" s="159" t="str">
        <f t="shared" si="67"/>
        <v>Not Cost-Effective</v>
      </c>
      <c r="AU106" s="167">
        <f t="shared" si="84"/>
        <v>1.17</v>
      </c>
      <c r="AV106" s="162" t="str">
        <f t="shared" si="68"/>
        <v>Not Cost-Effective</v>
      </c>
      <c r="AW106" s="167">
        <f t="shared" si="85"/>
        <v>0.6677477128612227</v>
      </c>
      <c r="AX106" s="159" t="str">
        <f t="shared" si="69"/>
        <v>Not Cost-Effective</v>
      </c>
      <c r="AY106" s="167">
        <f t="shared" si="86"/>
        <v>0.16578730819497556</v>
      </c>
      <c r="AZ106" s="159" t="str">
        <f t="shared" si="70"/>
        <v>Not Cost-Effective</v>
      </c>
      <c r="BA106" s="167">
        <f t="shared" si="87"/>
        <v>1.3213703099510603</v>
      </c>
      <c r="BB106" s="159" t="str">
        <f t="shared" si="71"/>
        <v>Not Cost-Effective</v>
      </c>
      <c r="BC106" s="167">
        <f t="shared" si="88"/>
        <v>0.54765788860405495</v>
      </c>
      <c r="BD106" s="159" t="str">
        <f t="shared" si="72"/>
        <v>Not Cost-Effective</v>
      </c>
      <c r="BE106" s="162" t="s">
        <v>176</v>
      </c>
      <c r="BF106" s="162" t="s">
        <v>371</v>
      </c>
      <c r="BG106" s="168" t="str">
        <f t="shared" si="89"/>
        <v>.</v>
      </c>
      <c r="BH106" s="168" t="str">
        <f t="shared" si="90"/>
        <v>.</v>
      </c>
      <c r="BI106" s="163" t="str">
        <f t="shared" si="91"/>
        <v>.</v>
      </c>
      <c r="BJ106" s="163" t="str">
        <f t="shared" si="92"/>
        <v>.</v>
      </c>
      <c r="BK106" s="163" t="str">
        <f t="shared" si="73"/>
        <v>.</v>
      </c>
      <c r="BL106" s="163" t="str">
        <f t="shared" si="74"/>
        <v>.</v>
      </c>
      <c r="BM106" s="163">
        <f t="shared" si="75"/>
        <v>0</v>
      </c>
      <c r="BN106" s="163" t="s">
        <v>155</v>
      </c>
      <c r="BO106" s="162" t="str">
        <f t="shared" si="95"/>
        <v/>
      </c>
      <c r="BP106" s="162" t="s">
        <v>629</v>
      </c>
      <c r="BQ106" s="162" t="s">
        <v>177</v>
      </c>
    </row>
    <row r="107" spans="1:70">
      <c r="A107" s="159">
        <f t="shared" si="61"/>
        <v>35</v>
      </c>
      <c r="B107" s="159">
        <f t="shared" si="62"/>
        <v>2</v>
      </c>
      <c r="C107" s="160" t="str">
        <f t="shared" si="49"/>
        <v>3502</v>
      </c>
      <c r="D107" s="159" t="s">
        <v>261</v>
      </c>
      <c r="E107" s="161">
        <v>2012</v>
      </c>
      <c r="F107" s="162" t="s">
        <v>625</v>
      </c>
      <c r="G107" s="162" t="s">
        <v>241</v>
      </c>
      <c r="H107" s="163" t="str">
        <f t="shared" si="93"/>
        <v>UM</v>
      </c>
      <c r="I107" s="163" t="s">
        <v>155</v>
      </c>
      <c r="J107" s="180" t="s">
        <v>533</v>
      </c>
      <c r="K107" s="163" t="s">
        <v>166</v>
      </c>
      <c r="L107" s="163" t="s">
        <v>147</v>
      </c>
      <c r="M107" s="163" t="str">
        <f t="shared" si="64"/>
        <v>PCV10 vs NoVax</v>
      </c>
      <c r="N107" s="159" t="s">
        <v>368</v>
      </c>
      <c r="O107" s="159">
        <v>3</v>
      </c>
      <c r="P107" s="162" t="s">
        <v>148</v>
      </c>
      <c r="Q107" s="162" t="s">
        <v>149</v>
      </c>
      <c r="R107" s="162" t="s">
        <v>150</v>
      </c>
      <c r="S107" s="162" t="s">
        <v>151</v>
      </c>
      <c r="T107" s="159">
        <v>2009</v>
      </c>
      <c r="U107" s="165">
        <v>14.85</v>
      </c>
      <c r="V107" s="165" t="e">
        <f>IF(ISNUMBER(U107),U107/VLOOKUP($S107,xRates!$A$1:$AA$267,data!$T107-xRates!$B$1+2,FALSE),U107)</f>
        <v>#REF!</v>
      </c>
      <c r="W107" s="162" t="s">
        <v>630</v>
      </c>
      <c r="Y107" s="165"/>
      <c r="AA107" s="163" t="s">
        <v>155</v>
      </c>
      <c r="AB107" s="162"/>
      <c r="AC107" s="162" t="str">
        <f t="shared" si="80"/>
        <v/>
      </c>
      <c r="AD107" s="163" t="s">
        <v>155</v>
      </c>
      <c r="AE107" s="162" t="str">
        <f t="shared" si="81"/>
        <v/>
      </c>
      <c r="AF107" s="163" t="s">
        <v>148</v>
      </c>
      <c r="AG107" s="163" t="s">
        <v>148</v>
      </c>
      <c r="AH107" s="163" t="s">
        <v>148</v>
      </c>
      <c r="AJ107" s="162" t="s">
        <v>627</v>
      </c>
      <c r="AK107" s="162" t="s">
        <v>631</v>
      </c>
      <c r="AL107" s="163" t="s">
        <v>263</v>
      </c>
      <c r="AM107" s="179">
        <f>19441588/10581</f>
        <v>1837.4055382289009</v>
      </c>
      <c r="AN107" s="179">
        <f>AM107</f>
        <v>1837.4055382289009</v>
      </c>
      <c r="AO107" s="179">
        <f t="shared" si="94"/>
        <v>5246</v>
      </c>
      <c r="AP107" s="163" t="str">
        <f t="shared" si="77"/>
        <v>Cost-Effective</v>
      </c>
      <c r="AQ107" s="163" t="str">
        <f t="shared" si="66"/>
        <v>Cost-Effective</v>
      </c>
      <c r="AR107" s="167">
        <f t="shared" si="50"/>
        <v>0.3502488635586925</v>
      </c>
      <c r="AS107" s="167">
        <f t="shared" si="83"/>
        <v>1.89</v>
      </c>
      <c r="AT107" s="159" t="str">
        <f t="shared" si="67"/>
        <v>Cost-Effective</v>
      </c>
      <c r="AU107" s="167">
        <f t="shared" si="84"/>
        <v>1.17</v>
      </c>
      <c r="AV107" s="162" t="str">
        <f t="shared" si="68"/>
        <v>Cost-Effective</v>
      </c>
      <c r="AW107" s="167">
        <f t="shared" si="85"/>
        <v>0.6677477128612227</v>
      </c>
      <c r="AX107" s="159" t="str">
        <f t="shared" si="69"/>
        <v>Cost-Effective</v>
      </c>
      <c r="AY107" s="167">
        <f t="shared" si="86"/>
        <v>0.16578730819497556</v>
      </c>
      <c r="AZ107" s="159" t="str">
        <f t="shared" si="70"/>
        <v>Not Cost-Effective</v>
      </c>
      <c r="BA107" s="167">
        <f t="shared" si="87"/>
        <v>1.3213703099510603</v>
      </c>
      <c r="BB107" s="159" t="str">
        <f t="shared" si="71"/>
        <v>Cost-Effective</v>
      </c>
      <c r="BC107" s="167">
        <f t="shared" si="88"/>
        <v>0.54765788860405495</v>
      </c>
      <c r="BD107" s="159" t="str">
        <f t="shared" si="72"/>
        <v>Cost-Effective</v>
      </c>
      <c r="BE107" s="162" t="s">
        <v>176</v>
      </c>
      <c r="BF107" s="162" t="s">
        <v>382</v>
      </c>
      <c r="BG107" s="168">
        <f t="shared" si="89"/>
        <v>0</v>
      </c>
      <c r="BH107" s="168">
        <f t="shared" si="90"/>
        <v>0</v>
      </c>
      <c r="BI107" s="163">
        <f t="shared" si="91"/>
        <v>1</v>
      </c>
      <c r="BJ107" s="163">
        <f t="shared" si="92"/>
        <v>0</v>
      </c>
      <c r="BK107" s="163">
        <f t="shared" si="73"/>
        <v>0</v>
      </c>
      <c r="BL107" s="163">
        <f t="shared" si="74"/>
        <v>0</v>
      </c>
      <c r="BM107" s="163">
        <f t="shared" si="75"/>
        <v>1</v>
      </c>
      <c r="BN107" s="163" t="s">
        <v>155</v>
      </c>
      <c r="BO107" s="162" t="str">
        <f t="shared" si="95"/>
        <v/>
      </c>
      <c r="BP107" s="162" t="s">
        <v>629</v>
      </c>
      <c r="BQ107" s="162" t="s">
        <v>177</v>
      </c>
    </row>
    <row r="108" spans="1:70">
      <c r="A108" s="159">
        <f t="shared" si="61"/>
        <v>35</v>
      </c>
      <c r="B108" s="159">
        <f t="shared" si="62"/>
        <v>3</v>
      </c>
      <c r="C108" s="160" t="str">
        <f t="shared" si="49"/>
        <v>3503</v>
      </c>
      <c r="D108" s="159" t="s">
        <v>261</v>
      </c>
      <c r="E108" s="161">
        <v>2012</v>
      </c>
      <c r="F108" s="162" t="s">
        <v>625</v>
      </c>
      <c r="G108" s="162" t="s">
        <v>241</v>
      </c>
      <c r="H108" s="163" t="str">
        <f t="shared" si="93"/>
        <v>UM</v>
      </c>
      <c r="I108" s="163" t="s">
        <v>155</v>
      </c>
      <c r="J108" s="180" t="s">
        <v>550</v>
      </c>
      <c r="K108" s="163" t="s">
        <v>167</v>
      </c>
      <c r="L108" s="163" t="s">
        <v>166</v>
      </c>
      <c r="M108" s="163" t="str">
        <f t="shared" si="64"/>
        <v>PCV13 vs PCV10</v>
      </c>
      <c r="N108" s="159" t="s">
        <v>368</v>
      </c>
      <c r="O108" s="159">
        <v>3</v>
      </c>
      <c r="P108" s="162" t="s">
        <v>148</v>
      </c>
      <c r="Q108" s="162" t="s">
        <v>149</v>
      </c>
      <c r="R108" s="162" t="s">
        <v>150</v>
      </c>
      <c r="S108" s="162" t="s">
        <v>151</v>
      </c>
      <c r="T108" s="159">
        <v>2009</v>
      </c>
      <c r="U108" s="165">
        <v>16.3</v>
      </c>
      <c r="V108" s="165" t="e">
        <f>IF(ISNUMBER(U108),U108/VLOOKUP($S108,xRates!$A$1:$AA$267,data!$T108-xRates!$B$1+2,FALSE),U108)</f>
        <v>#REF!</v>
      </c>
      <c r="W108" s="162" t="s">
        <v>630</v>
      </c>
      <c r="X108" s="159">
        <v>14.85</v>
      </c>
      <c r="Y108" s="165">
        <v>14.85</v>
      </c>
      <c r="Z108" s="162" t="s">
        <v>630</v>
      </c>
      <c r="AA108" s="163" t="s">
        <v>155</v>
      </c>
      <c r="AB108" s="162"/>
      <c r="AC108" s="162" t="str">
        <f t="shared" si="80"/>
        <v/>
      </c>
      <c r="AD108" s="163" t="s">
        <v>155</v>
      </c>
      <c r="AE108" s="162" t="str">
        <f t="shared" si="81"/>
        <v/>
      </c>
      <c r="AF108" s="163" t="s">
        <v>148</v>
      </c>
      <c r="AG108" s="163" t="s">
        <v>148</v>
      </c>
      <c r="AH108" s="163" t="s">
        <v>148</v>
      </c>
      <c r="AJ108" s="162" t="s">
        <v>627</v>
      </c>
      <c r="AK108" s="162" t="s">
        <v>632</v>
      </c>
      <c r="AL108" s="163" t="s">
        <v>263</v>
      </c>
      <c r="AM108" s="179">
        <v>9516</v>
      </c>
      <c r="AN108" s="179">
        <v>9516</v>
      </c>
      <c r="AO108" s="179">
        <f t="shared" si="94"/>
        <v>5246</v>
      </c>
      <c r="AP108" s="163" t="str">
        <f t="shared" si="77"/>
        <v>Not Cost-Effective</v>
      </c>
      <c r="AQ108" s="163" t="str">
        <f t="shared" si="66"/>
        <v>Cost-Effective</v>
      </c>
      <c r="AR108" s="167">
        <f t="shared" si="50"/>
        <v>1.8139534883720929</v>
      </c>
      <c r="AS108" s="167">
        <f t="shared" si="83"/>
        <v>1.89</v>
      </c>
      <c r="AT108" s="159" t="str">
        <f t="shared" si="67"/>
        <v>Cost-Effective</v>
      </c>
      <c r="AU108" s="167">
        <f t="shared" si="84"/>
        <v>1.17</v>
      </c>
      <c r="AV108" s="162" t="str">
        <f t="shared" si="68"/>
        <v>Not Cost-Effective</v>
      </c>
      <c r="AW108" s="167">
        <f t="shared" si="85"/>
        <v>0.6677477128612227</v>
      </c>
      <c r="AX108" s="159" t="str">
        <f t="shared" si="69"/>
        <v>Not Cost-Effective</v>
      </c>
      <c r="AY108" s="167">
        <f t="shared" si="86"/>
        <v>0.16578730819497556</v>
      </c>
      <c r="AZ108" s="159" t="str">
        <f t="shared" si="70"/>
        <v>Not Cost-Effective</v>
      </c>
      <c r="BA108" s="167">
        <f t="shared" si="87"/>
        <v>1.3213703099510603</v>
      </c>
      <c r="BB108" s="159" t="str">
        <f t="shared" si="71"/>
        <v>Not Cost-Effective</v>
      </c>
      <c r="BC108" s="167">
        <f t="shared" si="88"/>
        <v>0.54765788860405495</v>
      </c>
      <c r="BD108" s="159" t="str">
        <f t="shared" si="72"/>
        <v>Not Cost-Effective</v>
      </c>
      <c r="BE108" s="162" t="s">
        <v>176</v>
      </c>
      <c r="BF108" s="162" t="s">
        <v>382</v>
      </c>
      <c r="BG108" s="168">
        <f t="shared" si="89"/>
        <v>1</v>
      </c>
      <c r="BH108" s="168">
        <f t="shared" si="90"/>
        <v>0</v>
      </c>
      <c r="BI108" s="163">
        <f t="shared" si="91"/>
        <v>1</v>
      </c>
      <c r="BJ108" s="163">
        <f t="shared" si="92"/>
        <v>1</v>
      </c>
      <c r="BK108" s="163">
        <f t="shared" si="73"/>
        <v>1</v>
      </c>
      <c r="BL108" s="163">
        <f t="shared" si="74"/>
        <v>1</v>
      </c>
      <c r="BM108" s="163">
        <f t="shared" si="75"/>
        <v>5</v>
      </c>
      <c r="BN108" s="163" t="s">
        <v>155</v>
      </c>
      <c r="BO108" s="162" t="str">
        <f t="shared" si="95"/>
        <v/>
      </c>
      <c r="BP108" s="162" t="s">
        <v>629</v>
      </c>
      <c r="BQ108" s="162" t="s">
        <v>177</v>
      </c>
    </row>
    <row r="109" spans="1:70">
      <c r="A109" s="159">
        <f t="shared" si="61"/>
        <v>36</v>
      </c>
      <c r="B109" s="159">
        <f t="shared" si="62"/>
        <v>1</v>
      </c>
      <c r="C109" s="160" t="str">
        <f t="shared" si="49"/>
        <v>3601</v>
      </c>
      <c r="D109" s="159" t="s">
        <v>27</v>
      </c>
      <c r="E109" s="161">
        <v>2013</v>
      </c>
      <c r="F109" s="162" t="s">
        <v>633</v>
      </c>
      <c r="G109" s="162" t="s">
        <v>234</v>
      </c>
      <c r="H109" s="163" t="str">
        <f t="shared" si="93"/>
        <v>UM</v>
      </c>
      <c r="I109" s="163" t="s">
        <v>155</v>
      </c>
      <c r="J109" s="180" t="s">
        <v>367</v>
      </c>
      <c r="K109" s="163" t="s">
        <v>146</v>
      </c>
      <c r="L109" s="163" t="s">
        <v>147</v>
      </c>
      <c r="M109" s="163" t="str">
        <f t="shared" si="64"/>
        <v>PCV7 vs NoVax</v>
      </c>
      <c r="N109" s="159" t="s">
        <v>514</v>
      </c>
      <c r="O109" s="159">
        <v>3</v>
      </c>
      <c r="P109" s="162" t="s">
        <v>148</v>
      </c>
      <c r="Q109" s="162" t="s">
        <v>377</v>
      </c>
      <c r="R109" s="162" t="s">
        <v>150</v>
      </c>
      <c r="S109" s="162" t="s">
        <v>151</v>
      </c>
      <c r="T109" s="159">
        <v>2009</v>
      </c>
      <c r="U109" s="165">
        <v>20</v>
      </c>
      <c r="V109" s="165" t="e">
        <f>IF(ISNUMBER(U109),U109/VLOOKUP($S109,xRates!$A$1:$AA$267,data!$T109-xRates!$B$1+2,FALSE),U109)</f>
        <v>#REF!</v>
      </c>
      <c r="W109" s="162" t="s">
        <v>515</v>
      </c>
      <c r="Y109" s="165"/>
      <c r="AA109" s="163" t="s">
        <v>155</v>
      </c>
      <c r="AB109" s="162"/>
      <c r="AC109" s="162" t="str">
        <f t="shared" si="80"/>
        <v/>
      </c>
      <c r="AD109" s="163" t="s">
        <v>155</v>
      </c>
      <c r="AE109" s="162" t="str">
        <f t="shared" si="81"/>
        <v/>
      </c>
      <c r="AF109" s="163" t="s">
        <v>148</v>
      </c>
      <c r="AG109" s="163" t="s">
        <v>148</v>
      </c>
      <c r="AH109" s="163" t="s">
        <v>148</v>
      </c>
      <c r="AJ109" s="162"/>
      <c r="AK109" s="162" t="s">
        <v>634</v>
      </c>
      <c r="AL109" s="163" t="s">
        <v>152</v>
      </c>
      <c r="AM109" s="179">
        <v>6014</v>
      </c>
      <c r="AN109" s="179">
        <v>6014</v>
      </c>
      <c r="AO109" s="179">
        <f t="shared" si="94"/>
        <v>4165</v>
      </c>
      <c r="AP109" s="163" t="str">
        <f t="shared" si="77"/>
        <v>Not Cost-Effective</v>
      </c>
      <c r="AQ109" s="163" t="str">
        <f t="shared" si="66"/>
        <v>Cost-Effective</v>
      </c>
      <c r="AR109" s="167">
        <f t="shared" si="50"/>
        <v>1.4439375750300121</v>
      </c>
      <c r="AS109" s="167">
        <f t="shared" si="83"/>
        <v>1.08</v>
      </c>
      <c r="AT109" s="159" t="str">
        <f t="shared" si="67"/>
        <v>Not Cost-Effective</v>
      </c>
      <c r="AU109" s="167">
        <f t="shared" si="84"/>
        <v>0.64</v>
      </c>
      <c r="AV109" s="162" t="str">
        <f t="shared" si="68"/>
        <v>Not Cost-Effective</v>
      </c>
      <c r="AW109" s="167">
        <f t="shared" si="85"/>
        <v>0.65445260705966679</v>
      </c>
      <c r="AX109" s="159" t="str">
        <f t="shared" si="69"/>
        <v>Not Cost-Effective</v>
      </c>
      <c r="AY109" s="167">
        <f t="shared" si="86"/>
        <v>0.16633817117601385</v>
      </c>
      <c r="AZ109" s="159" t="str">
        <f t="shared" si="70"/>
        <v>Not Cost-Effective</v>
      </c>
      <c r="BA109" s="167">
        <f t="shared" si="87"/>
        <v>0.89355279235247609</v>
      </c>
      <c r="BB109" s="159" t="str">
        <f t="shared" si="71"/>
        <v>Not Cost-Effective</v>
      </c>
      <c r="BC109" s="167">
        <f t="shared" si="88"/>
        <v>0.37030115719111623</v>
      </c>
      <c r="BD109" s="159" t="str">
        <f t="shared" si="72"/>
        <v>Not Cost-Effective</v>
      </c>
      <c r="BE109" s="162" t="s">
        <v>161</v>
      </c>
      <c r="BF109" s="162" t="s">
        <v>382</v>
      </c>
      <c r="BG109" s="168">
        <f t="shared" si="89"/>
        <v>1</v>
      </c>
      <c r="BH109" s="168">
        <f t="shared" si="90"/>
        <v>1</v>
      </c>
      <c r="BI109" s="163">
        <f t="shared" si="91"/>
        <v>1</v>
      </c>
      <c r="BJ109" s="163">
        <f t="shared" si="92"/>
        <v>1</v>
      </c>
      <c r="BK109" s="163">
        <f t="shared" si="73"/>
        <v>1</v>
      </c>
      <c r="BL109" s="163">
        <f t="shared" si="74"/>
        <v>1</v>
      </c>
      <c r="BM109" s="163">
        <f t="shared" si="75"/>
        <v>6</v>
      </c>
      <c r="BN109" s="163" t="s">
        <v>155</v>
      </c>
      <c r="BO109" s="162" t="str">
        <f t="shared" si="95"/>
        <v/>
      </c>
      <c r="BP109" s="162" t="s">
        <v>422</v>
      </c>
      <c r="BQ109" s="162" t="s">
        <v>163</v>
      </c>
    </row>
    <row r="110" spans="1:70">
      <c r="A110" s="159">
        <f t="shared" si="61"/>
        <v>36</v>
      </c>
      <c r="B110" s="159">
        <f t="shared" si="62"/>
        <v>2</v>
      </c>
      <c r="C110" s="160" t="str">
        <f t="shared" si="49"/>
        <v>3602</v>
      </c>
      <c r="D110" s="159" t="s">
        <v>27</v>
      </c>
      <c r="E110" s="161">
        <v>2013</v>
      </c>
      <c r="F110" s="162" t="s">
        <v>633</v>
      </c>
      <c r="G110" s="162" t="s">
        <v>234</v>
      </c>
      <c r="H110" s="163" t="str">
        <f t="shared" si="93"/>
        <v>UM</v>
      </c>
      <c r="I110" s="163" t="s">
        <v>155</v>
      </c>
      <c r="J110" s="180" t="s">
        <v>534</v>
      </c>
      <c r="K110" s="163" t="s">
        <v>167</v>
      </c>
      <c r="L110" s="163" t="s">
        <v>147</v>
      </c>
      <c r="M110" s="163" t="str">
        <f t="shared" si="64"/>
        <v>PCV13 vs NoVax</v>
      </c>
      <c r="N110" s="159" t="s">
        <v>514</v>
      </c>
      <c r="O110" s="159">
        <v>3</v>
      </c>
      <c r="P110" s="162" t="s">
        <v>148</v>
      </c>
      <c r="Q110" s="162" t="s">
        <v>377</v>
      </c>
      <c r="R110" s="162" t="s">
        <v>150</v>
      </c>
      <c r="S110" s="162" t="s">
        <v>151</v>
      </c>
      <c r="T110" s="159">
        <v>2009</v>
      </c>
      <c r="U110" s="165">
        <v>16.34</v>
      </c>
      <c r="V110" s="165" t="e">
        <f>IF(ISNUMBER(U110),U110/VLOOKUP($S110,xRates!$A$1:$AA$267,data!$T110-xRates!$B$1+2,FALSE),U110)</f>
        <v>#REF!</v>
      </c>
      <c r="W110" s="162" t="s">
        <v>515</v>
      </c>
      <c r="Y110" s="165"/>
      <c r="AA110" s="163" t="s">
        <v>155</v>
      </c>
      <c r="AB110" s="162"/>
      <c r="AC110" s="162" t="str">
        <f t="shared" si="80"/>
        <v/>
      </c>
      <c r="AD110" s="163" t="s">
        <v>155</v>
      </c>
      <c r="AE110" s="162" t="str">
        <f t="shared" si="81"/>
        <v/>
      </c>
      <c r="AF110" s="163" t="s">
        <v>148</v>
      </c>
      <c r="AG110" s="163" t="s">
        <v>148</v>
      </c>
      <c r="AH110" s="163" t="s">
        <v>148</v>
      </c>
      <c r="AJ110" s="162"/>
      <c r="AK110" s="162" t="s">
        <v>635</v>
      </c>
      <c r="AL110" s="163" t="s">
        <v>152</v>
      </c>
      <c r="AM110" s="179">
        <v>5327</v>
      </c>
      <c r="AN110" s="179">
        <v>5327</v>
      </c>
      <c r="AO110" s="179">
        <f t="shared" si="94"/>
        <v>4165</v>
      </c>
      <c r="AP110" s="163" t="str">
        <f t="shared" si="77"/>
        <v>Not Cost-Effective</v>
      </c>
      <c r="AQ110" s="163" t="str">
        <f t="shared" si="66"/>
        <v>Cost-Effective</v>
      </c>
      <c r="AR110" s="167">
        <f t="shared" si="50"/>
        <v>1.2789915966386554</v>
      </c>
      <c r="AS110" s="167">
        <f t="shared" si="83"/>
        <v>1.08</v>
      </c>
      <c r="AT110" s="159" t="str">
        <f t="shared" si="67"/>
        <v>Not Cost-Effective</v>
      </c>
      <c r="AU110" s="167">
        <f t="shared" si="84"/>
        <v>0.64</v>
      </c>
      <c r="AV110" s="162" t="str">
        <f t="shared" si="68"/>
        <v>Not Cost-Effective</v>
      </c>
      <c r="AW110" s="167">
        <f t="shared" si="85"/>
        <v>0.65445260705966679</v>
      </c>
      <c r="AX110" s="159" t="str">
        <f t="shared" si="69"/>
        <v>Not Cost-Effective</v>
      </c>
      <c r="AY110" s="167">
        <f t="shared" si="86"/>
        <v>0.16633817117601385</v>
      </c>
      <c r="AZ110" s="159" t="str">
        <f t="shared" si="70"/>
        <v>Not Cost-Effective</v>
      </c>
      <c r="BA110" s="167">
        <f t="shared" si="87"/>
        <v>0.89355279235247609</v>
      </c>
      <c r="BB110" s="159" t="str">
        <f t="shared" si="71"/>
        <v>Not Cost-Effective</v>
      </c>
      <c r="BC110" s="167">
        <f t="shared" si="88"/>
        <v>0.37030115719111623</v>
      </c>
      <c r="BD110" s="159" t="str">
        <f t="shared" si="72"/>
        <v>Not Cost-Effective</v>
      </c>
      <c r="BE110" s="162" t="s">
        <v>161</v>
      </c>
      <c r="BF110" s="162" t="s">
        <v>382</v>
      </c>
      <c r="BG110" s="168">
        <f t="shared" si="89"/>
        <v>1</v>
      </c>
      <c r="BH110" s="168">
        <f t="shared" si="90"/>
        <v>1</v>
      </c>
      <c r="BI110" s="163">
        <f t="shared" si="91"/>
        <v>1</v>
      </c>
      <c r="BJ110" s="163">
        <f t="shared" si="92"/>
        <v>1</v>
      </c>
      <c r="BK110" s="163">
        <f t="shared" si="73"/>
        <v>1</v>
      </c>
      <c r="BL110" s="163">
        <f t="shared" si="74"/>
        <v>1</v>
      </c>
      <c r="BM110" s="163">
        <f t="shared" si="75"/>
        <v>6</v>
      </c>
      <c r="BN110" s="163" t="s">
        <v>155</v>
      </c>
      <c r="BO110" s="162" t="str">
        <f t="shared" si="95"/>
        <v/>
      </c>
      <c r="BP110" s="162" t="s">
        <v>422</v>
      </c>
      <c r="BQ110" s="162" t="s">
        <v>163</v>
      </c>
    </row>
    <row r="111" spans="1:70">
      <c r="A111" s="159">
        <f t="shared" si="61"/>
        <v>36</v>
      </c>
      <c r="B111" s="159">
        <f t="shared" si="62"/>
        <v>3</v>
      </c>
      <c r="C111" s="160" t="str">
        <f t="shared" si="49"/>
        <v>3603</v>
      </c>
      <c r="D111" s="159" t="s">
        <v>27</v>
      </c>
      <c r="E111" s="161">
        <v>2013</v>
      </c>
      <c r="F111" s="162" t="s">
        <v>633</v>
      </c>
      <c r="G111" s="162" t="s">
        <v>234</v>
      </c>
      <c r="H111" s="163" t="str">
        <f t="shared" si="93"/>
        <v>UM</v>
      </c>
      <c r="I111" s="163" t="s">
        <v>155</v>
      </c>
      <c r="J111" s="180" t="s">
        <v>533</v>
      </c>
      <c r="K111" s="163" t="s">
        <v>166</v>
      </c>
      <c r="L111" s="163" t="s">
        <v>147</v>
      </c>
      <c r="M111" s="163" t="str">
        <f t="shared" si="64"/>
        <v>PCV10 vs NoVax</v>
      </c>
      <c r="N111" s="159" t="s">
        <v>514</v>
      </c>
      <c r="O111" s="159">
        <v>3</v>
      </c>
      <c r="P111" s="162" t="s">
        <v>148</v>
      </c>
      <c r="Q111" s="162" t="s">
        <v>377</v>
      </c>
      <c r="R111" s="162" t="s">
        <v>150</v>
      </c>
      <c r="S111" s="162" t="s">
        <v>151</v>
      </c>
      <c r="T111" s="159">
        <v>2009</v>
      </c>
      <c r="U111" s="165">
        <v>14.24</v>
      </c>
      <c r="V111" s="165" t="e">
        <f>IF(ISNUMBER(U111),U111/VLOOKUP($S111,xRates!$A$1:$AA$267,data!$T111-xRates!$B$1+2,FALSE),U111)</f>
        <v>#REF!</v>
      </c>
      <c r="W111" s="162" t="s">
        <v>515</v>
      </c>
      <c r="Y111" s="165"/>
      <c r="AA111" s="163" t="s">
        <v>155</v>
      </c>
      <c r="AB111" s="162"/>
      <c r="AC111" s="162" t="str">
        <f t="shared" si="80"/>
        <v/>
      </c>
      <c r="AD111" s="163" t="s">
        <v>155</v>
      </c>
      <c r="AE111" s="162" t="str">
        <f t="shared" si="81"/>
        <v/>
      </c>
      <c r="AF111" s="163" t="s">
        <v>148</v>
      </c>
      <c r="AG111" s="163" t="s">
        <v>148</v>
      </c>
      <c r="AH111" s="163" t="s">
        <v>148</v>
      </c>
      <c r="AJ111" s="162"/>
      <c r="AK111" s="162" t="s">
        <v>636</v>
      </c>
      <c r="AL111" s="163" t="s">
        <v>152</v>
      </c>
      <c r="AM111" s="179">
        <v>4500</v>
      </c>
      <c r="AN111" s="179">
        <v>4500</v>
      </c>
      <c r="AO111" s="179">
        <f t="shared" si="94"/>
        <v>4165</v>
      </c>
      <c r="AP111" s="163" t="str">
        <f t="shared" si="77"/>
        <v>Not Cost-Effective</v>
      </c>
      <c r="AQ111" s="163" t="str">
        <f t="shared" si="66"/>
        <v>Cost-Effective</v>
      </c>
      <c r="AR111" s="167">
        <f t="shared" si="50"/>
        <v>1.0804321728691477</v>
      </c>
      <c r="AS111" s="167">
        <f t="shared" si="83"/>
        <v>1.08</v>
      </c>
      <c r="AT111" s="159" t="str">
        <f t="shared" si="67"/>
        <v>Not Cost-Effective</v>
      </c>
      <c r="AU111" s="167">
        <f t="shared" si="84"/>
        <v>0.64</v>
      </c>
      <c r="AV111" s="162" t="str">
        <f t="shared" si="68"/>
        <v>Not Cost-Effective</v>
      </c>
      <c r="AW111" s="167">
        <f t="shared" si="85"/>
        <v>0.65445260705966679</v>
      </c>
      <c r="AX111" s="159" t="str">
        <f t="shared" si="69"/>
        <v>Not Cost-Effective</v>
      </c>
      <c r="AY111" s="167">
        <f t="shared" si="86"/>
        <v>0.16633817117601385</v>
      </c>
      <c r="AZ111" s="159" t="str">
        <f t="shared" si="70"/>
        <v>Not Cost-Effective</v>
      </c>
      <c r="BA111" s="167">
        <f t="shared" si="87"/>
        <v>0.89355279235247609</v>
      </c>
      <c r="BB111" s="159" t="str">
        <f t="shared" si="71"/>
        <v>Not Cost-Effective</v>
      </c>
      <c r="BC111" s="167">
        <f t="shared" si="88"/>
        <v>0.37030115719111623</v>
      </c>
      <c r="BD111" s="159" t="str">
        <f t="shared" si="72"/>
        <v>Not Cost-Effective</v>
      </c>
      <c r="BE111" s="162" t="s">
        <v>161</v>
      </c>
      <c r="BF111" s="162" t="s">
        <v>382</v>
      </c>
      <c r="BG111" s="168">
        <f t="shared" si="89"/>
        <v>1</v>
      </c>
      <c r="BH111" s="168">
        <f t="shared" si="90"/>
        <v>1</v>
      </c>
      <c r="BI111" s="163">
        <f t="shared" si="91"/>
        <v>1</v>
      </c>
      <c r="BJ111" s="163">
        <f t="shared" si="92"/>
        <v>1</v>
      </c>
      <c r="BK111" s="163">
        <f t="shared" si="73"/>
        <v>1</v>
      </c>
      <c r="BL111" s="163">
        <f t="shared" si="74"/>
        <v>1</v>
      </c>
      <c r="BM111" s="163">
        <f t="shared" si="75"/>
        <v>6</v>
      </c>
      <c r="BN111" s="163" t="s">
        <v>155</v>
      </c>
      <c r="BO111" s="162" t="str">
        <f t="shared" si="95"/>
        <v/>
      </c>
      <c r="BP111" s="162" t="s">
        <v>422</v>
      </c>
      <c r="BQ111" s="162" t="s">
        <v>163</v>
      </c>
    </row>
    <row r="112" spans="1:70">
      <c r="A112" s="159">
        <f t="shared" si="61"/>
        <v>36</v>
      </c>
      <c r="B112" s="159">
        <f t="shared" si="62"/>
        <v>4</v>
      </c>
      <c r="C112" s="160" t="str">
        <f t="shared" si="49"/>
        <v>3604</v>
      </c>
      <c r="D112" s="159" t="s">
        <v>27</v>
      </c>
      <c r="E112" s="161">
        <v>2013</v>
      </c>
      <c r="F112" s="162" t="s">
        <v>633</v>
      </c>
      <c r="G112" s="162" t="s">
        <v>234</v>
      </c>
      <c r="H112" s="163" t="str">
        <f t="shared" si="93"/>
        <v>UM</v>
      </c>
      <c r="I112" s="163" t="s">
        <v>155</v>
      </c>
      <c r="J112" s="180" t="s">
        <v>623</v>
      </c>
      <c r="K112" s="163" t="s">
        <v>166</v>
      </c>
      <c r="L112" s="163" t="s">
        <v>146</v>
      </c>
      <c r="M112" s="163" t="str">
        <f t="shared" si="64"/>
        <v>PCV10 vs PCV7</v>
      </c>
      <c r="N112" s="159" t="s">
        <v>514</v>
      </c>
      <c r="O112" s="159">
        <v>3</v>
      </c>
      <c r="P112" s="162" t="s">
        <v>148</v>
      </c>
      <c r="Q112" s="162" t="s">
        <v>377</v>
      </c>
      <c r="R112" s="162" t="s">
        <v>150</v>
      </c>
      <c r="S112" s="162" t="s">
        <v>151</v>
      </c>
      <c r="T112" s="159">
        <v>2009</v>
      </c>
      <c r="U112" s="165">
        <v>14.24</v>
      </c>
      <c r="V112" s="165" t="e">
        <f>IF(ISNUMBER(U112),U112/VLOOKUP($S112,xRates!$A$1:$AA$267,data!$T112-xRates!$B$1+2,FALSE),U112)</f>
        <v>#REF!</v>
      </c>
      <c r="W112" s="162" t="s">
        <v>515</v>
      </c>
      <c r="X112" s="159">
        <v>20</v>
      </c>
      <c r="Y112" s="165">
        <v>20</v>
      </c>
      <c r="Z112" s="162" t="s">
        <v>515</v>
      </c>
      <c r="AA112" s="163" t="s">
        <v>155</v>
      </c>
      <c r="AB112" s="162"/>
      <c r="AC112" s="162" t="str">
        <f t="shared" si="80"/>
        <v/>
      </c>
      <c r="AD112" s="163" t="s">
        <v>155</v>
      </c>
      <c r="AE112" s="162" t="str">
        <f t="shared" si="81"/>
        <v/>
      </c>
      <c r="AF112" s="163" t="s">
        <v>148</v>
      </c>
      <c r="AG112" s="163" t="s">
        <v>148</v>
      </c>
      <c r="AH112" s="163" t="s">
        <v>148</v>
      </c>
      <c r="AJ112" s="162"/>
      <c r="AK112" s="162" t="s">
        <v>637</v>
      </c>
      <c r="AL112" s="163" t="s">
        <v>152</v>
      </c>
      <c r="AM112" s="179">
        <v>-2727</v>
      </c>
      <c r="AN112" s="179">
        <v>-2727</v>
      </c>
      <c r="AO112" s="179">
        <f t="shared" si="94"/>
        <v>4165</v>
      </c>
      <c r="AP112" s="163" t="str">
        <f t="shared" si="77"/>
        <v>Cost-Saving</v>
      </c>
      <c r="AQ112" s="163" t="str">
        <f t="shared" si="66"/>
        <v>Cost-Saving</v>
      </c>
      <c r="AR112" s="167">
        <f t="shared" si="50"/>
        <v>-0.65474189675870353</v>
      </c>
      <c r="AS112" s="167">
        <f t="shared" si="83"/>
        <v>1.08</v>
      </c>
      <c r="AT112" s="159" t="str">
        <f t="shared" si="67"/>
        <v>Cost-Saving</v>
      </c>
      <c r="AU112" s="167">
        <f t="shared" si="84"/>
        <v>0.64</v>
      </c>
      <c r="AV112" s="162" t="str">
        <f t="shared" si="68"/>
        <v>Cost-Saving</v>
      </c>
      <c r="AW112" s="167">
        <f t="shared" si="85"/>
        <v>0.65445260705966679</v>
      </c>
      <c r="AX112" s="159" t="str">
        <f t="shared" si="69"/>
        <v>Cost-Saving</v>
      </c>
      <c r="AY112" s="167">
        <f t="shared" si="86"/>
        <v>0.16633817117601385</v>
      </c>
      <c r="AZ112" s="159" t="str">
        <f t="shared" si="70"/>
        <v>Cost-Saving</v>
      </c>
      <c r="BA112" s="167">
        <f t="shared" si="87"/>
        <v>0.89355279235247609</v>
      </c>
      <c r="BB112" s="159" t="str">
        <f t="shared" si="71"/>
        <v>Cost-Saving</v>
      </c>
      <c r="BC112" s="167">
        <f t="shared" si="88"/>
        <v>0.37030115719111623</v>
      </c>
      <c r="BD112" s="159" t="str">
        <f t="shared" si="72"/>
        <v>Cost-Saving</v>
      </c>
      <c r="BE112" s="162" t="s">
        <v>161</v>
      </c>
      <c r="BF112" s="162" t="s">
        <v>439</v>
      </c>
      <c r="BG112" s="168" t="str">
        <f t="shared" si="89"/>
        <v>.</v>
      </c>
      <c r="BH112" s="168" t="str">
        <f t="shared" si="90"/>
        <v>.</v>
      </c>
      <c r="BI112" s="163" t="str">
        <f t="shared" si="91"/>
        <v>.</v>
      </c>
      <c r="BJ112" s="163" t="str">
        <f t="shared" si="92"/>
        <v>.</v>
      </c>
      <c r="BK112" s="163" t="str">
        <f t="shared" si="73"/>
        <v>.</v>
      </c>
      <c r="BL112" s="163" t="str">
        <f t="shared" si="74"/>
        <v>.</v>
      </c>
      <c r="BM112" s="163">
        <f t="shared" si="75"/>
        <v>0</v>
      </c>
      <c r="BN112" s="163" t="s">
        <v>155</v>
      </c>
      <c r="BO112" s="162" t="str">
        <f t="shared" si="95"/>
        <v/>
      </c>
      <c r="BP112" s="162" t="s">
        <v>422</v>
      </c>
      <c r="BQ112" s="162" t="s">
        <v>163</v>
      </c>
    </row>
    <row r="113" spans="1:69">
      <c r="A113" s="159">
        <f t="shared" si="61"/>
        <v>36</v>
      </c>
      <c r="B113" s="159">
        <f t="shared" si="62"/>
        <v>5</v>
      </c>
      <c r="C113" s="160" t="str">
        <f t="shared" si="49"/>
        <v>3605</v>
      </c>
      <c r="D113" s="159" t="s">
        <v>27</v>
      </c>
      <c r="E113" s="161">
        <v>2013</v>
      </c>
      <c r="F113" s="162" t="s">
        <v>633</v>
      </c>
      <c r="G113" s="162" t="s">
        <v>234</v>
      </c>
      <c r="H113" s="163" t="str">
        <f t="shared" si="93"/>
        <v>UM</v>
      </c>
      <c r="I113" s="163" t="s">
        <v>155</v>
      </c>
      <c r="J113" s="180" t="s">
        <v>638</v>
      </c>
      <c r="K113" s="163" t="s">
        <v>167</v>
      </c>
      <c r="L113" s="163" t="s">
        <v>146</v>
      </c>
      <c r="M113" s="163" t="str">
        <f t="shared" si="64"/>
        <v>PCV13 vs PCV7</v>
      </c>
      <c r="N113" s="159" t="s">
        <v>514</v>
      </c>
      <c r="O113" s="159">
        <v>3</v>
      </c>
      <c r="P113" s="162" t="s">
        <v>148</v>
      </c>
      <c r="Q113" s="162" t="s">
        <v>377</v>
      </c>
      <c r="R113" s="162" t="s">
        <v>150</v>
      </c>
      <c r="S113" s="162" t="s">
        <v>151</v>
      </c>
      <c r="T113" s="159">
        <v>2009</v>
      </c>
      <c r="U113" s="165">
        <v>16.34</v>
      </c>
      <c r="V113" s="165" t="e">
        <f>IF(ISNUMBER(U113),U113/VLOOKUP($S113,xRates!$A$1:$AA$267,data!$T113-xRates!$B$1+2,FALSE),U113)</f>
        <v>#REF!</v>
      </c>
      <c r="W113" s="162" t="s">
        <v>515</v>
      </c>
      <c r="X113" s="159">
        <v>20</v>
      </c>
      <c r="Y113" s="165">
        <v>20</v>
      </c>
      <c r="Z113" s="162" t="s">
        <v>515</v>
      </c>
      <c r="AA113" s="163" t="s">
        <v>155</v>
      </c>
      <c r="AB113" s="162"/>
      <c r="AC113" s="162" t="str">
        <f t="shared" si="80"/>
        <v/>
      </c>
      <c r="AD113" s="163" t="s">
        <v>155</v>
      </c>
      <c r="AE113" s="162" t="str">
        <f t="shared" si="81"/>
        <v/>
      </c>
      <c r="AF113" s="163" t="s">
        <v>148</v>
      </c>
      <c r="AG113" s="163" t="s">
        <v>148</v>
      </c>
      <c r="AH113" s="163" t="s">
        <v>148</v>
      </c>
      <c r="AJ113" s="162"/>
      <c r="AK113" s="162" t="s">
        <v>639</v>
      </c>
      <c r="AL113" s="163" t="s">
        <v>152</v>
      </c>
      <c r="AM113" s="179">
        <v>999999</v>
      </c>
      <c r="AN113" s="179">
        <f>AM113</f>
        <v>999999</v>
      </c>
      <c r="AO113" s="179">
        <f t="shared" si="94"/>
        <v>4165</v>
      </c>
      <c r="AP113" s="163" t="str">
        <f t="shared" si="77"/>
        <v>Not Cost-Effective</v>
      </c>
      <c r="AQ113" s="163" t="str">
        <f t="shared" si="66"/>
        <v>Not Cost-Effective</v>
      </c>
      <c r="AR113" s="167">
        <f t="shared" si="50"/>
        <v>240.09579831932774</v>
      </c>
      <c r="AS113" s="167">
        <f t="shared" si="83"/>
        <v>1.08</v>
      </c>
      <c r="AT113" s="159" t="str">
        <f t="shared" si="67"/>
        <v>Not Cost-Effective</v>
      </c>
      <c r="AU113" s="167">
        <f t="shared" si="84"/>
        <v>0.64</v>
      </c>
      <c r="AV113" s="162" t="str">
        <f t="shared" si="68"/>
        <v>Not Cost-Effective</v>
      </c>
      <c r="AW113" s="167">
        <f t="shared" si="85"/>
        <v>0.65445260705966679</v>
      </c>
      <c r="AX113" s="159" t="str">
        <f t="shared" si="69"/>
        <v>Not Cost-Effective</v>
      </c>
      <c r="AY113" s="167">
        <f t="shared" si="86"/>
        <v>0.16633817117601385</v>
      </c>
      <c r="AZ113" s="159" t="str">
        <f t="shared" si="70"/>
        <v>Not Cost-Effective</v>
      </c>
      <c r="BA113" s="167">
        <f t="shared" si="87"/>
        <v>0.89355279235247609</v>
      </c>
      <c r="BB113" s="159" t="str">
        <f t="shared" si="71"/>
        <v>Not Cost-Effective</v>
      </c>
      <c r="BC113" s="167">
        <f t="shared" si="88"/>
        <v>0.37030115719111623</v>
      </c>
      <c r="BD113" s="159" t="str">
        <f t="shared" si="72"/>
        <v>Not Cost-Effective</v>
      </c>
      <c r="BE113" s="162" t="s">
        <v>161</v>
      </c>
      <c r="BF113" s="162" t="s">
        <v>371</v>
      </c>
      <c r="BG113" s="168" t="str">
        <f t="shared" si="89"/>
        <v>.</v>
      </c>
      <c r="BH113" s="168" t="str">
        <f t="shared" si="90"/>
        <v>.</v>
      </c>
      <c r="BI113" s="163" t="str">
        <f t="shared" si="91"/>
        <v>.</v>
      </c>
      <c r="BJ113" s="163" t="str">
        <f t="shared" si="92"/>
        <v>.</v>
      </c>
      <c r="BK113" s="163" t="str">
        <f t="shared" si="73"/>
        <v>.</v>
      </c>
      <c r="BL113" s="163" t="str">
        <f t="shared" si="74"/>
        <v>.</v>
      </c>
      <c r="BM113" s="163">
        <f t="shared" si="75"/>
        <v>0</v>
      </c>
      <c r="BN113" s="163" t="s">
        <v>155</v>
      </c>
      <c r="BO113" s="162" t="str">
        <f t="shared" si="95"/>
        <v/>
      </c>
      <c r="BP113" s="162" t="s">
        <v>422</v>
      </c>
      <c r="BQ113" s="162" t="s">
        <v>163</v>
      </c>
    </row>
    <row r="114" spans="1:69">
      <c r="A114" s="159">
        <f t="shared" si="61"/>
        <v>37</v>
      </c>
      <c r="B114" s="159">
        <f t="shared" si="62"/>
        <v>1</v>
      </c>
      <c r="C114" s="160" t="str">
        <f t="shared" si="49"/>
        <v>3701</v>
      </c>
      <c r="D114" s="159" t="s">
        <v>265</v>
      </c>
      <c r="E114" s="161">
        <v>2015</v>
      </c>
      <c r="F114" s="162" t="s">
        <v>640</v>
      </c>
      <c r="G114" s="162" t="s">
        <v>267</v>
      </c>
      <c r="H114" s="163" t="str">
        <f t="shared" si="93"/>
        <v>LM</v>
      </c>
      <c r="I114" s="163" t="s">
        <v>155</v>
      </c>
      <c r="J114" s="180" t="s">
        <v>533</v>
      </c>
      <c r="K114" s="163" t="s">
        <v>166</v>
      </c>
      <c r="L114" s="163" t="s">
        <v>147</v>
      </c>
      <c r="M114" s="163" t="str">
        <f t="shared" si="64"/>
        <v>PCV10 vs NoVax</v>
      </c>
      <c r="N114" s="159" t="s">
        <v>368</v>
      </c>
      <c r="O114" s="159">
        <v>3</v>
      </c>
      <c r="P114" s="162" t="s">
        <v>148</v>
      </c>
      <c r="Q114" s="162" t="s">
        <v>377</v>
      </c>
      <c r="R114" s="162" t="s">
        <v>150</v>
      </c>
      <c r="S114" s="162" t="s">
        <v>151</v>
      </c>
      <c r="T114" s="159">
        <v>2009</v>
      </c>
      <c r="U114" s="165">
        <v>14.85</v>
      </c>
      <c r="V114" s="165" t="e">
        <f>IF(ISNUMBER(U114),U114/VLOOKUP($S114,xRates!$A$1:$AA$267,data!$T114-xRates!$B$1+2,FALSE),U114)</f>
        <v>#REF!</v>
      </c>
      <c r="W114" s="162" t="s">
        <v>515</v>
      </c>
      <c r="Y114" s="165"/>
      <c r="AA114" s="163" t="s">
        <v>155</v>
      </c>
      <c r="AB114" s="162"/>
      <c r="AC114" s="162" t="str">
        <f t="shared" si="80"/>
        <v/>
      </c>
      <c r="AD114" s="163" t="s">
        <v>155</v>
      </c>
      <c r="AE114" s="162" t="str">
        <f t="shared" si="81"/>
        <v/>
      </c>
      <c r="AF114" s="163" t="s">
        <v>148</v>
      </c>
      <c r="AG114" s="163" t="s">
        <v>148</v>
      </c>
      <c r="AH114" s="163" t="s">
        <v>148</v>
      </c>
      <c r="AJ114" s="162" t="s">
        <v>641</v>
      </c>
      <c r="AK114" s="162" t="s">
        <v>642</v>
      </c>
      <c r="AL114" s="163" t="s">
        <v>190</v>
      </c>
      <c r="AM114" s="179">
        <v>3851</v>
      </c>
      <c r="AN114" s="179">
        <v>3851</v>
      </c>
      <c r="AO114" s="179">
        <f t="shared" si="94"/>
        <v>3920.2</v>
      </c>
      <c r="AP114" s="163" t="str">
        <f t="shared" si="77"/>
        <v>Cost-Effective</v>
      </c>
      <c r="AQ114" s="163" t="str">
        <f t="shared" si="66"/>
        <v>Cost-Effective</v>
      </c>
      <c r="AR114" s="167">
        <f t="shared" si="50"/>
        <v>0.98234783939594927</v>
      </c>
      <c r="AS114" s="167">
        <f t="shared" si="83"/>
        <v>1.42</v>
      </c>
      <c r="AT114" s="159" t="str">
        <f t="shared" si="67"/>
        <v>Cost-Effective</v>
      </c>
      <c r="AU114" s="167">
        <f t="shared" si="84"/>
        <v>0.83</v>
      </c>
      <c r="AV114" s="162" t="str">
        <f t="shared" si="68"/>
        <v>Not Cost-Effective</v>
      </c>
      <c r="AW114" s="167">
        <f t="shared" si="85"/>
        <v>0.33989517688899978</v>
      </c>
      <c r="AX114" s="159" t="str">
        <f t="shared" si="69"/>
        <v>Not Cost-Effective</v>
      </c>
      <c r="AY114" s="167">
        <f t="shared" si="86"/>
        <v>7.549759780370624E-2</v>
      </c>
      <c r="AZ114" s="159" t="str">
        <f t="shared" si="70"/>
        <v>Not Cost-Effective</v>
      </c>
      <c r="BA114" s="167">
        <f t="shared" si="87"/>
        <v>1.1109197975136884</v>
      </c>
      <c r="BB114" s="159" t="str">
        <f t="shared" si="71"/>
        <v>Cost-Effective</v>
      </c>
      <c r="BC114" s="167">
        <f t="shared" si="88"/>
        <v>0.46041530355728499</v>
      </c>
      <c r="BD114" s="159" t="str">
        <f t="shared" si="72"/>
        <v>Not Cost-Effective</v>
      </c>
      <c r="BE114" s="162" t="s">
        <v>161</v>
      </c>
      <c r="BF114" s="162" t="s">
        <v>382</v>
      </c>
      <c r="BG114" s="168">
        <f t="shared" si="89"/>
        <v>1</v>
      </c>
      <c r="BH114" s="168">
        <f t="shared" si="90"/>
        <v>0</v>
      </c>
      <c r="BI114" s="163">
        <f t="shared" si="91"/>
        <v>1</v>
      </c>
      <c r="BJ114" s="163">
        <f t="shared" si="92"/>
        <v>1</v>
      </c>
      <c r="BK114" s="163">
        <f t="shared" si="73"/>
        <v>1</v>
      </c>
      <c r="BL114" s="163">
        <f t="shared" si="74"/>
        <v>0</v>
      </c>
      <c r="BM114" s="163">
        <f t="shared" si="75"/>
        <v>4</v>
      </c>
      <c r="BN114" s="163" t="s">
        <v>148</v>
      </c>
      <c r="BO114" s="162" t="s">
        <v>643</v>
      </c>
      <c r="BP114" s="162" t="s">
        <v>170</v>
      </c>
      <c r="BQ114" s="162" t="s">
        <v>156</v>
      </c>
    </row>
    <row r="115" spans="1:69">
      <c r="A115" s="159">
        <f t="shared" si="61"/>
        <v>37</v>
      </c>
      <c r="B115" s="159">
        <f t="shared" si="62"/>
        <v>2</v>
      </c>
      <c r="C115" s="160" t="str">
        <f t="shared" si="49"/>
        <v>3702</v>
      </c>
      <c r="D115" s="159" t="s">
        <v>265</v>
      </c>
      <c r="E115" s="161">
        <v>2015</v>
      </c>
      <c r="F115" s="162" t="s">
        <v>640</v>
      </c>
      <c r="G115" s="162" t="s">
        <v>267</v>
      </c>
      <c r="H115" s="163" t="str">
        <f t="shared" si="93"/>
        <v>LM</v>
      </c>
      <c r="I115" s="163" t="s">
        <v>155</v>
      </c>
      <c r="J115" s="180" t="s">
        <v>533</v>
      </c>
      <c r="K115" s="163" t="s">
        <v>166</v>
      </c>
      <c r="L115" s="163" t="s">
        <v>147</v>
      </c>
      <c r="M115" s="163" t="str">
        <f t="shared" si="64"/>
        <v>PCV10 vs NoVax</v>
      </c>
      <c r="N115" s="159" t="s">
        <v>368</v>
      </c>
      <c r="O115" s="159">
        <v>3</v>
      </c>
      <c r="P115" s="162" t="s">
        <v>155</v>
      </c>
      <c r="Q115" s="162" t="s">
        <v>149</v>
      </c>
      <c r="R115" s="162" t="s">
        <v>150</v>
      </c>
      <c r="S115" s="162" t="s">
        <v>151</v>
      </c>
      <c r="T115" s="159">
        <v>2009</v>
      </c>
      <c r="U115" s="165">
        <v>14.85</v>
      </c>
      <c r="V115" s="165" t="e">
        <f>IF(ISNUMBER(U115),U115/VLOOKUP($S115,xRates!$A$1:$AA$267,data!$T115-xRates!$B$1+2,FALSE),U115)</f>
        <v>#REF!</v>
      </c>
      <c r="W115" s="162" t="s">
        <v>515</v>
      </c>
      <c r="Y115" s="165"/>
      <c r="AA115" s="163" t="s">
        <v>155</v>
      </c>
      <c r="AB115" s="162"/>
      <c r="AC115" s="162" t="str">
        <f t="shared" si="80"/>
        <v/>
      </c>
      <c r="AD115" s="163" t="s">
        <v>155</v>
      </c>
      <c r="AE115" s="162" t="str">
        <f t="shared" si="81"/>
        <v/>
      </c>
      <c r="AF115" s="163" t="s">
        <v>148</v>
      </c>
      <c r="AG115" s="163" t="s">
        <v>148</v>
      </c>
      <c r="AH115" s="163" t="s">
        <v>148</v>
      </c>
      <c r="AJ115" s="162" t="s">
        <v>641</v>
      </c>
      <c r="AK115" s="162" t="s">
        <v>644</v>
      </c>
      <c r="AL115" s="163" t="s">
        <v>190</v>
      </c>
      <c r="AM115" s="179">
        <v>1920</v>
      </c>
      <c r="AN115" s="179">
        <v>1920</v>
      </c>
      <c r="AO115" s="179">
        <f t="shared" si="94"/>
        <v>3920.2</v>
      </c>
      <c r="AP115" s="163" t="str">
        <f t="shared" si="77"/>
        <v>Cost-Effective</v>
      </c>
      <c r="AQ115" s="163" t="str">
        <f t="shared" si="66"/>
        <v>Cost-Effective</v>
      </c>
      <c r="AR115" s="167">
        <f t="shared" si="50"/>
        <v>0.48977093005458905</v>
      </c>
      <c r="AS115" s="167">
        <f t="shared" si="83"/>
        <v>1.42</v>
      </c>
      <c r="AT115" s="159" t="str">
        <f t="shared" si="67"/>
        <v>Cost-Effective</v>
      </c>
      <c r="AU115" s="167">
        <f t="shared" si="84"/>
        <v>0.83</v>
      </c>
      <c r="AV115" s="162" t="str">
        <f t="shared" si="68"/>
        <v>Cost-Effective</v>
      </c>
      <c r="AW115" s="167">
        <f t="shared" si="85"/>
        <v>0.33989517688899978</v>
      </c>
      <c r="AX115" s="159" t="str">
        <f t="shared" si="69"/>
        <v>Not Cost-Effective</v>
      </c>
      <c r="AY115" s="167">
        <f t="shared" si="86"/>
        <v>7.549759780370624E-2</v>
      </c>
      <c r="AZ115" s="159" t="str">
        <f t="shared" si="70"/>
        <v>Not Cost-Effective</v>
      </c>
      <c r="BA115" s="167">
        <f t="shared" si="87"/>
        <v>1.1109197975136884</v>
      </c>
      <c r="BB115" s="159" t="str">
        <f t="shared" si="71"/>
        <v>Cost-Effective</v>
      </c>
      <c r="BC115" s="167">
        <f t="shared" si="88"/>
        <v>0.46041530355728499</v>
      </c>
      <c r="BD115" s="159" t="str">
        <f t="shared" si="72"/>
        <v>Not Cost-Effective</v>
      </c>
      <c r="BE115" s="162" t="s">
        <v>161</v>
      </c>
      <c r="BF115" s="162" t="s">
        <v>382</v>
      </c>
      <c r="BG115" s="168">
        <f t="shared" si="89"/>
        <v>0</v>
      </c>
      <c r="BH115" s="168">
        <f t="shared" si="90"/>
        <v>0</v>
      </c>
      <c r="BI115" s="163">
        <f t="shared" si="91"/>
        <v>1</v>
      </c>
      <c r="BJ115" s="163">
        <f t="shared" si="92"/>
        <v>1</v>
      </c>
      <c r="BK115" s="163">
        <f t="shared" si="73"/>
        <v>1</v>
      </c>
      <c r="BL115" s="163">
        <f t="shared" si="74"/>
        <v>0</v>
      </c>
      <c r="BM115" s="163">
        <f t="shared" si="75"/>
        <v>3</v>
      </c>
      <c r="BN115" s="163" t="s">
        <v>148</v>
      </c>
      <c r="BO115" s="162" t="s">
        <v>643</v>
      </c>
      <c r="BP115" s="162" t="s">
        <v>170</v>
      </c>
      <c r="BQ115" s="162" t="s">
        <v>156</v>
      </c>
    </row>
    <row r="116" spans="1:69">
      <c r="A116" s="159">
        <f t="shared" si="61"/>
        <v>37</v>
      </c>
      <c r="B116" s="159">
        <f t="shared" si="62"/>
        <v>3</v>
      </c>
      <c r="C116" s="160" t="str">
        <f t="shared" si="49"/>
        <v>3703</v>
      </c>
      <c r="D116" s="159" t="s">
        <v>265</v>
      </c>
      <c r="E116" s="161">
        <v>2015</v>
      </c>
      <c r="F116" s="162" t="s">
        <v>640</v>
      </c>
      <c r="G116" s="162" t="s">
        <v>267</v>
      </c>
      <c r="H116" s="163" t="str">
        <f t="shared" si="93"/>
        <v>LM</v>
      </c>
      <c r="I116" s="163" t="s">
        <v>155</v>
      </c>
      <c r="J116" s="180" t="s">
        <v>534</v>
      </c>
      <c r="K116" s="163" t="s">
        <v>167</v>
      </c>
      <c r="L116" s="163" t="s">
        <v>147</v>
      </c>
      <c r="M116" s="163" t="str">
        <f t="shared" si="64"/>
        <v>PCV13 vs NoVax</v>
      </c>
      <c r="N116" s="159" t="s">
        <v>368</v>
      </c>
      <c r="O116" s="159">
        <v>3</v>
      </c>
      <c r="P116" s="162" t="s">
        <v>148</v>
      </c>
      <c r="Q116" s="162" t="s">
        <v>377</v>
      </c>
      <c r="R116" s="162" t="s">
        <v>150</v>
      </c>
      <c r="S116" s="162" t="s">
        <v>151</v>
      </c>
      <c r="T116" s="159">
        <v>2009</v>
      </c>
      <c r="U116" s="165">
        <v>20</v>
      </c>
      <c r="V116" s="165" t="e">
        <f>IF(ISNUMBER(U116),U116/VLOOKUP($S116,xRates!$A$1:$AA$267,data!$T116-xRates!$B$1+2,FALSE),U116)</f>
        <v>#REF!</v>
      </c>
      <c r="W116" s="162" t="s">
        <v>515</v>
      </c>
      <c r="Y116" s="165"/>
      <c r="AA116" s="163" t="s">
        <v>155</v>
      </c>
      <c r="AB116" s="162"/>
      <c r="AC116" s="162" t="str">
        <f t="shared" si="80"/>
        <v/>
      </c>
      <c r="AD116" s="163" t="s">
        <v>155</v>
      </c>
      <c r="AE116" s="162" t="str">
        <f t="shared" si="81"/>
        <v/>
      </c>
      <c r="AF116" s="163" t="s">
        <v>148</v>
      </c>
      <c r="AG116" s="163" t="s">
        <v>148</v>
      </c>
      <c r="AH116" s="163" t="s">
        <v>148</v>
      </c>
      <c r="AJ116" s="162" t="s">
        <v>641</v>
      </c>
      <c r="AK116" s="162" t="s">
        <v>645</v>
      </c>
      <c r="AL116" s="163" t="s">
        <v>190</v>
      </c>
      <c r="AM116" s="179">
        <v>4901</v>
      </c>
      <c r="AN116" s="179">
        <v>4901</v>
      </c>
      <c r="AO116" s="179">
        <f t="shared" si="94"/>
        <v>3920.2</v>
      </c>
      <c r="AP116" s="163" t="str">
        <f t="shared" si="77"/>
        <v>Not Cost-Effective</v>
      </c>
      <c r="AQ116" s="163" t="str">
        <f t="shared" si="66"/>
        <v>Cost-Effective</v>
      </c>
      <c r="AR116" s="167">
        <f t="shared" si="50"/>
        <v>1.2501913167695526</v>
      </c>
      <c r="AS116" s="167">
        <f t="shared" si="83"/>
        <v>1.42</v>
      </c>
      <c r="AT116" s="159" t="str">
        <f t="shared" si="67"/>
        <v>Cost-Effective</v>
      </c>
      <c r="AU116" s="167">
        <f t="shared" si="84"/>
        <v>0.83</v>
      </c>
      <c r="AV116" s="162" t="str">
        <f t="shared" si="68"/>
        <v>Not Cost-Effective</v>
      </c>
      <c r="AW116" s="167">
        <f t="shared" si="85"/>
        <v>0.33989517688899978</v>
      </c>
      <c r="AX116" s="159" t="str">
        <f t="shared" si="69"/>
        <v>Not Cost-Effective</v>
      </c>
      <c r="AY116" s="167">
        <f t="shared" si="86"/>
        <v>7.549759780370624E-2</v>
      </c>
      <c r="AZ116" s="159" t="str">
        <f t="shared" si="70"/>
        <v>Not Cost-Effective</v>
      </c>
      <c r="BA116" s="167">
        <f t="shared" si="87"/>
        <v>1.1109197975136884</v>
      </c>
      <c r="BB116" s="159" t="str">
        <f t="shared" si="71"/>
        <v>Not Cost-Effective</v>
      </c>
      <c r="BC116" s="167">
        <f t="shared" si="88"/>
        <v>0.46041530355728499</v>
      </c>
      <c r="BD116" s="159" t="str">
        <f t="shared" si="72"/>
        <v>Not Cost-Effective</v>
      </c>
      <c r="BE116" s="162" t="s">
        <v>161</v>
      </c>
      <c r="BF116" s="162" t="s">
        <v>382</v>
      </c>
      <c r="BG116" s="168">
        <f t="shared" si="89"/>
        <v>1</v>
      </c>
      <c r="BH116" s="168">
        <f t="shared" si="90"/>
        <v>0</v>
      </c>
      <c r="BI116" s="163">
        <f t="shared" si="91"/>
        <v>1</v>
      </c>
      <c r="BJ116" s="163">
        <f t="shared" si="92"/>
        <v>1</v>
      </c>
      <c r="BK116" s="163">
        <f t="shared" si="73"/>
        <v>1</v>
      </c>
      <c r="BL116" s="163">
        <f t="shared" si="74"/>
        <v>1</v>
      </c>
      <c r="BM116" s="163">
        <f t="shared" si="75"/>
        <v>5</v>
      </c>
      <c r="BN116" s="163" t="s">
        <v>148</v>
      </c>
      <c r="BO116" s="162" t="s">
        <v>646</v>
      </c>
      <c r="BP116" s="162" t="s">
        <v>170</v>
      </c>
      <c r="BQ116" s="162" t="s">
        <v>156</v>
      </c>
    </row>
    <row r="117" spans="1:69">
      <c r="A117" s="159">
        <f t="shared" si="61"/>
        <v>37</v>
      </c>
      <c r="B117" s="159">
        <f t="shared" si="62"/>
        <v>4</v>
      </c>
      <c r="C117" s="160" t="str">
        <f t="shared" si="49"/>
        <v>3704</v>
      </c>
      <c r="D117" s="159" t="s">
        <v>265</v>
      </c>
      <c r="E117" s="161">
        <v>2015</v>
      </c>
      <c r="F117" s="162" t="s">
        <v>640</v>
      </c>
      <c r="G117" s="162" t="s">
        <v>267</v>
      </c>
      <c r="H117" s="163" t="str">
        <f t="shared" si="93"/>
        <v>LM</v>
      </c>
      <c r="I117" s="163" t="s">
        <v>155</v>
      </c>
      <c r="J117" s="180" t="s">
        <v>534</v>
      </c>
      <c r="K117" s="163" t="s">
        <v>167</v>
      </c>
      <c r="L117" s="163" t="s">
        <v>147</v>
      </c>
      <c r="M117" s="163" t="str">
        <f t="shared" si="64"/>
        <v>PCV13 vs NoVax</v>
      </c>
      <c r="N117" s="159" t="s">
        <v>368</v>
      </c>
      <c r="O117" s="159">
        <v>3</v>
      </c>
      <c r="P117" s="162" t="s">
        <v>155</v>
      </c>
      <c r="Q117" s="162" t="s">
        <v>149</v>
      </c>
      <c r="R117" s="162" t="s">
        <v>150</v>
      </c>
      <c r="S117" s="162" t="s">
        <v>151</v>
      </c>
      <c r="T117" s="159">
        <v>2009</v>
      </c>
      <c r="U117" s="165">
        <v>20</v>
      </c>
      <c r="V117" s="165" t="e">
        <f>IF(ISNUMBER(U117),U117/VLOOKUP($S117,xRates!$A$1:$AA$267,data!$T117-xRates!$B$1+2,FALSE),U117)</f>
        <v>#REF!</v>
      </c>
      <c r="W117" s="162" t="s">
        <v>515</v>
      </c>
      <c r="Y117" s="165"/>
      <c r="AA117" s="163" t="s">
        <v>155</v>
      </c>
      <c r="AB117" s="162"/>
      <c r="AC117" s="162" t="str">
        <f t="shared" si="80"/>
        <v/>
      </c>
      <c r="AD117" s="163" t="s">
        <v>155</v>
      </c>
      <c r="AE117" s="162" t="str">
        <f t="shared" si="81"/>
        <v/>
      </c>
      <c r="AF117" s="163" t="s">
        <v>148</v>
      </c>
      <c r="AG117" s="163" t="s">
        <v>148</v>
      </c>
      <c r="AH117" s="163" t="s">
        <v>148</v>
      </c>
      <c r="AJ117" s="162" t="s">
        <v>641</v>
      </c>
      <c r="AK117" s="162" t="s">
        <v>647</v>
      </c>
      <c r="AL117" s="163" t="s">
        <v>190</v>
      </c>
      <c r="AM117" s="179">
        <v>3657</v>
      </c>
      <c r="AN117" s="179">
        <v>3657</v>
      </c>
      <c r="AO117" s="179">
        <f t="shared" si="94"/>
        <v>3920.2</v>
      </c>
      <c r="AP117" s="163" t="str">
        <f t="shared" si="77"/>
        <v>Cost-Effective</v>
      </c>
      <c r="AQ117" s="163" t="str">
        <f t="shared" si="66"/>
        <v>Cost-Effective</v>
      </c>
      <c r="AR117" s="167">
        <f t="shared" si="50"/>
        <v>0.93286056833835018</v>
      </c>
      <c r="AS117" s="167">
        <f t="shared" si="83"/>
        <v>1.42</v>
      </c>
      <c r="AT117" s="159" t="str">
        <f t="shared" si="67"/>
        <v>Cost-Effective</v>
      </c>
      <c r="AU117" s="167">
        <f t="shared" si="84"/>
        <v>0.83</v>
      </c>
      <c r="AV117" s="162" t="str">
        <f t="shared" si="68"/>
        <v>Not Cost-Effective</v>
      </c>
      <c r="AW117" s="167">
        <f t="shared" si="85"/>
        <v>0.33989517688899978</v>
      </c>
      <c r="AX117" s="159" t="str">
        <f t="shared" si="69"/>
        <v>Not Cost-Effective</v>
      </c>
      <c r="AY117" s="167">
        <f t="shared" si="86"/>
        <v>7.549759780370624E-2</v>
      </c>
      <c r="AZ117" s="159" t="str">
        <f t="shared" si="70"/>
        <v>Not Cost-Effective</v>
      </c>
      <c r="BA117" s="167">
        <f t="shared" si="87"/>
        <v>1.1109197975136884</v>
      </c>
      <c r="BB117" s="159" t="str">
        <f t="shared" si="71"/>
        <v>Cost-Effective</v>
      </c>
      <c r="BC117" s="167">
        <f t="shared" si="88"/>
        <v>0.46041530355728499</v>
      </c>
      <c r="BD117" s="159" t="str">
        <f t="shared" si="72"/>
        <v>Not Cost-Effective</v>
      </c>
      <c r="BE117" s="162" t="s">
        <v>161</v>
      </c>
      <c r="BF117" s="162" t="s">
        <v>382</v>
      </c>
      <c r="BG117" s="168">
        <f t="shared" si="89"/>
        <v>1</v>
      </c>
      <c r="BH117" s="168">
        <f t="shared" si="90"/>
        <v>0</v>
      </c>
      <c r="BI117" s="163">
        <f t="shared" si="91"/>
        <v>1</v>
      </c>
      <c r="BJ117" s="163">
        <f t="shared" si="92"/>
        <v>1</v>
      </c>
      <c r="BK117" s="163">
        <f t="shared" si="73"/>
        <v>1</v>
      </c>
      <c r="BL117" s="163">
        <f t="shared" si="74"/>
        <v>0</v>
      </c>
      <c r="BM117" s="163">
        <f t="shared" si="75"/>
        <v>4</v>
      </c>
      <c r="BN117" s="163" t="s">
        <v>148</v>
      </c>
      <c r="BO117" s="162" t="s">
        <v>646</v>
      </c>
      <c r="BP117" s="162" t="s">
        <v>170</v>
      </c>
      <c r="BQ117" s="162" t="s">
        <v>156</v>
      </c>
    </row>
    <row r="118" spans="1:69">
      <c r="A118" s="159">
        <f t="shared" si="61"/>
        <v>37</v>
      </c>
      <c r="B118" s="159">
        <f t="shared" si="62"/>
        <v>5</v>
      </c>
      <c r="C118" s="160" t="str">
        <f t="shared" si="49"/>
        <v>3705</v>
      </c>
      <c r="D118" s="159" t="s">
        <v>265</v>
      </c>
      <c r="E118" s="161">
        <v>2015</v>
      </c>
      <c r="F118" s="162" t="s">
        <v>640</v>
      </c>
      <c r="G118" s="162" t="s">
        <v>267</v>
      </c>
      <c r="H118" s="163" t="str">
        <f t="shared" si="93"/>
        <v>LM</v>
      </c>
      <c r="I118" s="163" t="s">
        <v>155</v>
      </c>
      <c r="J118" s="180" t="s">
        <v>550</v>
      </c>
      <c r="K118" s="163" t="s">
        <v>167</v>
      </c>
      <c r="L118" s="163" t="s">
        <v>166</v>
      </c>
      <c r="M118" s="163" t="str">
        <f t="shared" si="64"/>
        <v>PCV13 vs PCV10</v>
      </c>
      <c r="N118" s="159" t="s">
        <v>368</v>
      </c>
      <c r="O118" s="159">
        <v>3</v>
      </c>
      <c r="P118" s="162" t="s">
        <v>148</v>
      </c>
      <c r="Q118" s="162" t="s">
        <v>377</v>
      </c>
      <c r="R118" s="162" t="s">
        <v>150</v>
      </c>
      <c r="S118" s="162" t="s">
        <v>151</v>
      </c>
      <c r="T118" s="159">
        <v>2009</v>
      </c>
      <c r="U118" s="165">
        <v>20</v>
      </c>
      <c r="V118" s="165" t="e">
        <f>IF(ISNUMBER(U118),U118/VLOOKUP($S118,xRates!$A$1:$AA$267,data!$T118-xRates!$B$1+2,FALSE),U118)</f>
        <v>#REF!</v>
      </c>
      <c r="W118" s="162" t="s">
        <v>515</v>
      </c>
      <c r="X118" s="159">
        <v>14.85</v>
      </c>
      <c r="Y118" s="165">
        <v>14.85</v>
      </c>
      <c r="Z118" s="162" t="s">
        <v>515</v>
      </c>
      <c r="AA118" s="163" t="s">
        <v>155</v>
      </c>
      <c r="AB118" s="162"/>
      <c r="AC118" s="162" t="str">
        <f t="shared" si="80"/>
        <v/>
      </c>
      <c r="AD118" s="163" t="s">
        <v>155</v>
      </c>
      <c r="AE118" s="162" t="str">
        <f t="shared" si="81"/>
        <v/>
      </c>
      <c r="AF118" s="163" t="s">
        <v>148</v>
      </c>
      <c r="AG118" s="163" t="s">
        <v>148</v>
      </c>
      <c r="AH118" s="163" t="s">
        <v>148</v>
      </c>
      <c r="AJ118" s="162" t="s">
        <v>641</v>
      </c>
      <c r="AK118" s="162" t="s">
        <v>648</v>
      </c>
      <c r="AL118" s="163" t="s">
        <v>190</v>
      </c>
      <c r="AM118" s="179">
        <v>12181</v>
      </c>
      <c r="AN118" s="179">
        <v>12181</v>
      </c>
      <c r="AO118" s="179">
        <f t="shared" si="94"/>
        <v>3920.2</v>
      </c>
      <c r="AP118" s="163" t="str">
        <f t="shared" si="77"/>
        <v>Not Cost-Effective</v>
      </c>
      <c r="AQ118" s="163" t="str">
        <f t="shared" si="66"/>
        <v>Not Cost-Effective</v>
      </c>
      <c r="AR118" s="167">
        <f t="shared" si="50"/>
        <v>3.1072394265598695</v>
      </c>
      <c r="AS118" s="167">
        <f t="shared" si="83"/>
        <v>1.42</v>
      </c>
      <c r="AT118" s="159" t="str">
        <f t="shared" si="67"/>
        <v>Not Cost-Effective</v>
      </c>
      <c r="AU118" s="167">
        <f t="shared" si="84"/>
        <v>0.83</v>
      </c>
      <c r="AV118" s="162" t="str">
        <f t="shared" si="68"/>
        <v>Not Cost-Effective</v>
      </c>
      <c r="AW118" s="167">
        <f t="shared" si="85"/>
        <v>0.33989517688899978</v>
      </c>
      <c r="AX118" s="159" t="str">
        <f t="shared" si="69"/>
        <v>Not Cost-Effective</v>
      </c>
      <c r="AY118" s="167">
        <f t="shared" si="86"/>
        <v>7.549759780370624E-2</v>
      </c>
      <c r="AZ118" s="159" t="str">
        <f t="shared" si="70"/>
        <v>Not Cost-Effective</v>
      </c>
      <c r="BA118" s="167">
        <f t="shared" si="87"/>
        <v>1.1109197975136884</v>
      </c>
      <c r="BB118" s="159" t="str">
        <f t="shared" si="71"/>
        <v>Not Cost-Effective</v>
      </c>
      <c r="BC118" s="167">
        <f t="shared" si="88"/>
        <v>0.46041530355728499</v>
      </c>
      <c r="BD118" s="159" t="str">
        <f t="shared" si="72"/>
        <v>Not Cost-Effective</v>
      </c>
      <c r="BE118" s="162" t="s">
        <v>161</v>
      </c>
      <c r="BF118" s="162" t="s">
        <v>371</v>
      </c>
      <c r="BG118" s="168" t="str">
        <f t="shared" si="89"/>
        <v>.</v>
      </c>
      <c r="BH118" s="168" t="str">
        <f t="shared" si="90"/>
        <v>.</v>
      </c>
      <c r="BI118" s="163" t="str">
        <f t="shared" si="91"/>
        <v>.</v>
      </c>
      <c r="BJ118" s="163" t="str">
        <f t="shared" si="92"/>
        <v>.</v>
      </c>
      <c r="BK118" s="163" t="str">
        <f t="shared" si="73"/>
        <v>.</v>
      </c>
      <c r="BL118" s="163" t="str">
        <f t="shared" si="74"/>
        <v>.</v>
      </c>
      <c r="BM118" s="163">
        <f t="shared" si="75"/>
        <v>0</v>
      </c>
      <c r="BN118" s="163" t="s">
        <v>148</v>
      </c>
      <c r="BP118" s="162" t="s">
        <v>170</v>
      </c>
      <c r="BQ118" s="162" t="s">
        <v>156</v>
      </c>
    </row>
    <row r="119" spans="1:69">
      <c r="A119" s="159">
        <f t="shared" si="61"/>
        <v>37</v>
      </c>
      <c r="B119" s="159">
        <f t="shared" si="62"/>
        <v>6</v>
      </c>
      <c r="C119" s="160" t="str">
        <f t="shared" si="49"/>
        <v>3706</v>
      </c>
      <c r="D119" s="159" t="s">
        <v>265</v>
      </c>
      <c r="E119" s="161">
        <v>2015</v>
      </c>
      <c r="F119" s="162" t="s">
        <v>640</v>
      </c>
      <c r="G119" s="162" t="s">
        <v>267</v>
      </c>
      <c r="H119" s="163" t="str">
        <f t="shared" si="93"/>
        <v>LM</v>
      </c>
      <c r="I119" s="163" t="s">
        <v>155</v>
      </c>
      <c r="J119" s="180" t="s">
        <v>550</v>
      </c>
      <c r="K119" s="163" t="s">
        <v>167</v>
      </c>
      <c r="L119" s="163" t="s">
        <v>166</v>
      </c>
      <c r="M119" s="163" t="str">
        <f t="shared" si="64"/>
        <v>PCV13 vs PCV10</v>
      </c>
      <c r="N119" s="159" t="s">
        <v>368</v>
      </c>
      <c r="O119" s="159">
        <v>3</v>
      </c>
      <c r="P119" s="162" t="s">
        <v>155</v>
      </c>
      <c r="Q119" s="162" t="s">
        <v>149</v>
      </c>
      <c r="R119" s="162" t="s">
        <v>150</v>
      </c>
      <c r="S119" s="162" t="s">
        <v>151</v>
      </c>
      <c r="T119" s="159">
        <v>2009</v>
      </c>
      <c r="U119" s="165">
        <v>20</v>
      </c>
      <c r="V119" s="165" t="e">
        <f>IF(ISNUMBER(U119),U119/VLOOKUP($S119,xRates!$A$1:$AA$267,data!$T119-xRates!$B$1+2,FALSE),U119)</f>
        <v>#REF!</v>
      </c>
      <c r="W119" s="162" t="s">
        <v>515</v>
      </c>
      <c r="X119" s="159">
        <v>14.85</v>
      </c>
      <c r="Y119" s="165">
        <v>14.85</v>
      </c>
      <c r="Z119" s="162" t="s">
        <v>515</v>
      </c>
      <c r="AA119" s="163" t="s">
        <v>155</v>
      </c>
      <c r="AB119" s="162"/>
      <c r="AC119" s="162" t="str">
        <f t="shared" si="80"/>
        <v/>
      </c>
      <c r="AD119" s="163" t="s">
        <v>155</v>
      </c>
      <c r="AE119" s="162" t="str">
        <f t="shared" si="81"/>
        <v/>
      </c>
      <c r="AF119" s="163" t="s">
        <v>148</v>
      </c>
      <c r="AG119" s="163" t="s">
        <v>148</v>
      </c>
      <c r="AH119" s="163" t="s">
        <v>148</v>
      </c>
      <c r="AJ119" s="162" t="s">
        <v>641</v>
      </c>
      <c r="AK119" s="162" t="s">
        <v>649</v>
      </c>
      <c r="AL119" s="163" t="s">
        <v>190</v>
      </c>
      <c r="AM119" s="179">
        <v>3851</v>
      </c>
      <c r="AN119" s="179">
        <v>3851</v>
      </c>
      <c r="AO119" s="179">
        <f t="shared" si="94"/>
        <v>3920.2</v>
      </c>
      <c r="AP119" s="163" t="str">
        <f t="shared" si="77"/>
        <v>Cost-Effective</v>
      </c>
      <c r="AQ119" s="163" t="str">
        <f t="shared" si="66"/>
        <v>Cost-Effective</v>
      </c>
      <c r="AR119" s="167">
        <f t="shared" si="50"/>
        <v>0.98234783939594927</v>
      </c>
      <c r="AS119" s="167">
        <f t="shared" si="83"/>
        <v>1.42</v>
      </c>
      <c r="AT119" s="159" t="str">
        <f t="shared" si="67"/>
        <v>Cost-Effective</v>
      </c>
      <c r="AU119" s="167">
        <f t="shared" si="84"/>
        <v>0.83</v>
      </c>
      <c r="AV119" s="162" t="str">
        <f t="shared" si="68"/>
        <v>Not Cost-Effective</v>
      </c>
      <c r="AW119" s="167">
        <f t="shared" si="85"/>
        <v>0.33989517688899978</v>
      </c>
      <c r="AX119" s="159" t="str">
        <f t="shared" si="69"/>
        <v>Not Cost-Effective</v>
      </c>
      <c r="AY119" s="167">
        <f t="shared" si="86"/>
        <v>7.549759780370624E-2</v>
      </c>
      <c r="AZ119" s="159" t="str">
        <f t="shared" si="70"/>
        <v>Not Cost-Effective</v>
      </c>
      <c r="BA119" s="167">
        <f t="shared" si="87"/>
        <v>1.1109197975136884</v>
      </c>
      <c r="BB119" s="159" t="str">
        <f t="shared" si="71"/>
        <v>Cost-Effective</v>
      </c>
      <c r="BC119" s="167">
        <f t="shared" si="88"/>
        <v>0.46041530355728499</v>
      </c>
      <c r="BD119" s="159" t="str">
        <f t="shared" si="72"/>
        <v>Not Cost-Effective</v>
      </c>
      <c r="BE119" s="162" t="s">
        <v>161</v>
      </c>
      <c r="BF119" s="162" t="s">
        <v>382</v>
      </c>
      <c r="BG119" s="168">
        <f t="shared" si="89"/>
        <v>1</v>
      </c>
      <c r="BH119" s="168">
        <f t="shared" si="90"/>
        <v>0</v>
      </c>
      <c r="BI119" s="163">
        <f t="shared" si="91"/>
        <v>1</v>
      </c>
      <c r="BJ119" s="163">
        <f t="shared" si="92"/>
        <v>1</v>
      </c>
      <c r="BK119" s="163">
        <f t="shared" si="73"/>
        <v>1</v>
      </c>
      <c r="BL119" s="163">
        <f t="shared" si="74"/>
        <v>0</v>
      </c>
      <c r="BM119" s="163">
        <f t="shared" si="75"/>
        <v>4</v>
      </c>
      <c r="BN119" s="163" t="s">
        <v>148</v>
      </c>
      <c r="BP119" s="162" t="s">
        <v>170</v>
      </c>
      <c r="BQ119" s="162" t="s">
        <v>156</v>
      </c>
    </row>
    <row r="120" spans="1:69">
      <c r="A120" s="159">
        <f t="shared" si="61"/>
        <v>38</v>
      </c>
      <c r="B120" s="159">
        <f t="shared" si="62"/>
        <v>1</v>
      </c>
      <c r="C120" s="160" t="str">
        <f t="shared" si="49"/>
        <v>3801</v>
      </c>
      <c r="D120" s="159" t="s">
        <v>268</v>
      </c>
      <c r="E120" s="161">
        <v>2015</v>
      </c>
      <c r="F120" s="162" t="s">
        <v>650</v>
      </c>
      <c r="G120" s="162" t="s">
        <v>270</v>
      </c>
      <c r="H120" s="163" t="str">
        <f t="shared" si="93"/>
        <v>LM</v>
      </c>
      <c r="I120" s="163" t="s">
        <v>155</v>
      </c>
      <c r="J120" s="180" t="s">
        <v>533</v>
      </c>
      <c r="K120" s="163" t="s">
        <v>166</v>
      </c>
      <c r="L120" s="163" t="s">
        <v>147</v>
      </c>
      <c r="M120" s="163" t="str">
        <f t="shared" si="64"/>
        <v>PCV10 vs NoVax</v>
      </c>
      <c r="N120" s="159" t="s">
        <v>514</v>
      </c>
      <c r="O120" s="159">
        <v>3</v>
      </c>
      <c r="P120" s="162" t="s">
        <v>148</v>
      </c>
      <c r="Q120" s="162" t="s">
        <v>377</v>
      </c>
      <c r="R120" s="162" t="s">
        <v>150</v>
      </c>
      <c r="S120" s="162" t="s">
        <v>151</v>
      </c>
      <c r="T120" s="159">
        <v>2012</v>
      </c>
      <c r="U120" s="165">
        <v>3.5</v>
      </c>
      <c r="V120" s="165" t="e">
        <f>IF(ISNUMBER(U120),U120/VLOOKUP($S120,xRates!$A$1:$AA$267,data!$T120-xRates!$B$1+2,FALSE),U120)</f>
        <v>#REF!</v>
      </c>
      <c r="W120" s="162" t="s">
        <v>651</v>
      </c>
      <c r="Y120" s="165"/>
      <c r="AA120" s="163" t="s">
        <v>148</v>
      </c>
      <c r="AB120" s="162"/>
      <c r="AC120" s="162" t="s">
        <v>155</v>
      </c>
      <c r="AD120" s="163" t="s">
        <v>148</v>
      </c>
      <c r="AE120" s="162" t="s">
        <v>652</v>
      </c>
      <c r="AF120" s="163" t="s">
        <v>148</v>
      </c>
      <c r="AG120" s="163" t="s">
        <v>148</v>
      </c>
      <c r="AH120" s="163" t="s">
        <v>148</v>
      </c>
      <c r="AJ120" s="162" t="s">
        <v>653</v>
      </c>
      <c r="AK120" s="162" t="s">
        <v>654</v>
      </c>
      <c r="AL120" s="163" t="s">
        <v>190</v>
      </c>
      <c r="AM120" s="179">
        <v>1599</v>
      </c>
      <c r="AN120" s="179">
        <v>1599</v>
      </c>
      <c r="AO120" s="179">
        <f t="shared" si="94"/>
        <v>4530.7</v>
      </c>
      <c r="AP120" s="163" t="str">
        <f t="shared" si="77"/>
        <v>Cost-Effective</v>
      </c>
      <c r="AQ120" s="163" t="str">
        <f t="shared" si="66"/>
        <v>Cost-Effective</v>
      </c>
      <c r="AR120" s="167">
        <f t="shared" si="50"/>
        <v>0.3529255964861942</v>
      </c>
      <c r="AS120" s="167">
        <f t="shared" si="83"/>
        <v>0.27</v>
      </c>
      <c r="AT120" s="159" t="str">
        <f t="shared" si="67"/>
        <v>Not Cost-Effective</v>
      </c>
      <c r="AU120" s="167">
        <f t="shared" si="84"/>
        <v>0.2</v>
      </c>
      <c r="AV120" s="162" t="str">
        <f t="shared" si="68"/>
        <v>Not Cost-Effective</v>
      </c>
      <c r="AW120" s="167">
        <f t="shared" si="85"/>
        <v>0.39261460101867574</v>
      </c>
      <c r="AX120" s="159" t="str">
        <f t="shared" si="69"/>
        <v>Cost-Effective</v>
      </c>
      <c r="AY120" s="167">
        <f t="shared" si="86"/>
        <v>7.7674023769100167E-2</v>
      </c>
      <c r="AZ120" s="159" t="str">
        <f t="shared" si="70"/>
        <v>Not Cost-Effective</v>
      </c>
      <c r="BA120" s="167">
        <f t="shared" si="87"/>
        <v>1.0241916773880582</v>
      </c>
      <c r="BB120" s="159" t="str">
        <f t="shared" si="71"/>
        <v>Cost-Effective</v>
      </c>
      <c r="BC120" s="167">
        <f t="shared" si="88"/>
        <v>0.42435618923080165</v>
      </c>
      <c r="BD120" s="159" t="str">
        <f t="shared" si="72"/>
        <v>Cost-Effective</v>
      </c>
      <c r="BE120" s="162" t="s">
        <v>153</v>
      </c>
      <c r="BF120" s="162" t="s">
        <v>382</v>
      </c>
      <c r="BG120" s="168">
        <f t="shared" si="89"/>
        <v>1</v>
      </c>
      <c r="BH120" s="168">
        <f t="shared" si="90"/>
        <v>1</v>
      </c>
      <c r="BI120" s="163">
        <f t="shared" si="91"/>
        <v>1</v>
      </c>
      <c r="BJ120" s="163">
        <f t="shared" si="92"/>
        <v>0</v>
      </c>
      <c r="BK120" s="163">
        <f t="shared" si="73"/>
        <v>0</v>
      </c>
      <c r="BL120" s="163">
        <f t="shared" si="74"/>
        <v>0</v>
      </c>
      <c r="BM120" s="163">
        <f t="shared" si="75"/>
        <v>3</v>
      </c>
      <c r="BN120" s="163" t="s">
        <v>155</v>
      </c>
      <c r="BO120" s="162" t="str">
        <f t="shared" ref="BO120:BO150" si="96">IF(BN120="No", "", "")</f>
        <v/>
      </c>
      <c r="BP120" s="162" t="s">
        <v>655</v>
      </c>
      <c r="BQ120" s="162" t="s">
        <v>156</v>
      </c>
    </row>
    <row r="121" spans="1:69">
      <c r="A121" s="159">
        <f t="shared" si="61"/>
        <v>38</v>
      </c>
      <c r="B121" s="159">
        <f t="shared" si="62"/>
        <v>2</v>
      </c>
      <c r="C121" s="160" t="str">
        <f t="shared" si="49"/>
        <v>3802</v>
      </c>
      <c r="D121" s="159" t="s">
        <v>268</v>
      </c>
      <c r="E121" s="161">
        <v>2015</v>
      </c>
      <c r="F121" s="162" t="s">
        <v>650</v>
      </c>
      <c r="G121" s="162" t="s">
        <v>270</v>
      </c>
      <c r="H121" s="163" t="str">
        <f t="shared" si="93"/>
        <v>LM</v>
      </c>
      <c r="I121" s="163" t="s">
        <v>155</v>
      </c>
      <c r="J121" s="180" t="s">
        <v>533</v>
      </c>
      <c r="K121" s="163" t="s">
        <v>166</v>
      </c>
      <c r="L121" s="163" t="s">
        <v>147</v>
      </c>
      <c r="M121" s="163" t="str">
        <f t="shared" si="64"/>
        <v>PCV10 vs NoVax</v>
      </c>
      <c r="N121" s="159" t="s">
        <v>514</v>
      </c>
      <c r="O121" s="159">
        <v>3</v>
      </c>
      <c r="P121" s="162" t="s">
        <v>148</v>
      </c>
      <c r="Q121" s="162" t="s">
        <v>377</v>
      </c>
      <c r="R121" s="162" t="s">
        <v>150</v>
      </c>
      <c r="S121" s="162" t="s">
        <v>151</v>
      </c>
      <c r="T121" s="159">
        <v>2012</v>
      </c>
      <c r="U121" s="165">
        <v>3.5</v>
      </c>
      <c r="V121" s="165" t="e">
        <f>IF(ISNUMBER(U121),U121/VLOOKUP($S121,xRates!$A$1:$AA$267,data!$T121-xRates!$B$1+2,FALSE),U121)</f>
        <v>#REF!</v>
      </c>
      <c r="W121" s="162" t="s">
        <v>651</v>
      </c>
      <c r="Y121" s="165"/>
      <c r="AA121" s="163" t="s">
        <v>155</v>
      </c>
      <c r="AB121" s="162" t="s">
        <v>656</v>
      </c>
      <c r="AC121" s="162" t="s">
        <v>155</v>
      </c>
      <c r="AD121" s="163" t="s">
        <v>148</v>
      </c>
      <c r="AE121" s="162" t="s">
        <v>652</v>
      </c>
      <c r="AF121" s="163" t="s">
        <v>148</v>
      </c>
      <c r="AG121" s="163" t="s">
        <v>148</v>
      </c>
      <c r="AH121" s="163" t="s">
        <v>148</v>
      </c>
      <c r="AJ121" s="162" t="s">
        <v>653</v>
      </c>
      <c r="AK121" s="162" t="s">
        <v>657</v>
      </c>
      <c r="AL121" s="163" t="s">
        <v>152</v>
      </c>
      <c r="AM121" s="166">
        <v>2200</v>
      </c>
      <c r="AN121" s="166">
        <v>2200</v>
      </c>
      <c r="AO121" s="166">
        <f t="shared" ref="AO121" si="97">VLOOKUP(G121,gdppc,T121-1958,FALSE)</f>
        <v>4530.7</v>
      </c>
      <c r="AP121" s="163" t="str">
        <f t="shared" si="77"/>
        <v>Cost-Effective</v>
      </c>
      <c r="AQ121" s="163" t="str">
        <f t="shared" si="66"/>
        <v>Cost-Effective</v>
      </c>
      <c r="AR121" s="167">
        <f t="shared" si="50"/>
        <v>0.48557618028119276</v>
      </c>
      <c r="AS121" s="167">
        <f t="shared" si="83"/>
        <v>0.27</v>
      </c>
      <c r="AT121" s="159" t="str">
        <f t="shared" si="67"/>
        <v>Not Cost-Effective</v>
      </c>
      <c r="AU121" s="167">
        <f t="shared" si="84"/>
        <v>0.2</v>
      </c>
      <c r="AV121" s="162" t="str">
        <f t="shared" si="68"/>
        <v>Not Cost-Effective</v>
      </c>
      <c r="AW121" s="167">
        <f t="shared" si="85"/>
        <v>0.39261460101867574</v>
      </c>
      <c r="AX121" s="159" t="str">
        <f t="shared" si="69"/>
        <v>Not Cost-Effective</v>
      </c>
      <c r="AY121" s="167">
        <f t="shared" si="86"/>
        <v>7.7674023769100167E-2</v>
      </c>
      <c r="AZ121" s="159" t="str">
        <f t="shared" si="70"/>
        <v>Not Cost-Effective</v>
      </c>
      <c r="BA121" s="167">
        <f t="shared" si="87"/>
        <v>1.0241916773880582</v>
      </c>
      <c r="BB121" s="159" t="str">
        <f t="shared" si="71"/>
        <v>Cost-Effective</v>
      </c>
      <c r="BC121" s="167">
        <f t="shared" si="88"/>
        <v>0.42435618923080165</v>
      </c>
      <c r="BD121" s="159" t="str">
        <f t="shared" si="72"/>
        <v>Not Cost-Effective</v>
      </c>
      <c r="BE121" s="162" t="s">
        <v>153</v>
      </c>
      <c r="BF121" s="162" t="s">
        <v>382</v>
      </c>
      <c r="BG121" s="168">
        <f t="shared" si="89"/>
        <v>1</v>
      </c>
      <c r="BH121" s="168">
        <f t="shared" si="90"/>
        <v>1</v>
      </c>
      <c r="BI121" s="163">
        <f t="shared" si="91"/>
        <v>1</v>
      </c>
      <c r="BJ121" s="163">
        <f t="shared" si="92"/>
        <v>1</v>
      </c>
      <c r="BK121" s="163">
        <f t="shared" si="73"/>
        <v>1</v>
      </c>
      <c r="BL121" s="163">
        <f t="shared" si="74"/>
        <v>0</v>
      </c>
      <c r="BM121" s="163">
        <f t="shared" si="75"/>
        <v>5</v>
      </c>
      <c r="BN121" s="163" t="s">
        <v>155</v>
      </c>
      <c r="BO121" s="162" t="str">
        <f t="shared" si="96"/>
        <v/>
      </c>
      <c r="BP121" s="162" t="s">
        <v>531</v>
      </c>
      <c r="BQ121" s="162" t="s">
        <v>156</v>
      </c>
    </row>
    <row r="122" spans="1:69">
      <c r="A122" s="159">
        <f t="shared" si="61"/>
        <v>39</v>
      </c>
      <c r="B122" s="159">
        <f t="shared" si="62"/>
        <v>1</v>
      </c>
      <c r="C122" s="160" t="str">
        <f t="shared" si="49"/>
        <v>3901</v>
      </c>
      <c r="D122" s="159" t="s">
        <v>271</v>
      </c>
      <c r="E122" s="161">
        <v>2015</v>
      </c>
      <c r="F122" s="162" t="s">
        <v>658</v>
      </c>
      <c r="G122" s="162" t="s">
        <v>241</v>
      </c>
      <c r="H122" s="163" t="str">
        <f t="shared" si="93"/>
        <v>UM</v>
      </c>
      <c r="I122" s="163" t="s">
        <v>155</v>
      </c>
      <c r="J122" s="180" t="s">
        <v>534</v>
      </c>
      <c r="K122" s="163" t="s">
        <v>167</v>
      </c>
      <c r="L122" s="163" t="s">
        <v>147</v>
      </c>
      <c r="M122" s="163" t="str">
        <f t="shared" si="64"/>
        <v>PCV13 vs NoVax</v>
      </c>
      <c r="N122" s="159" t="s">
        <v>403</v>
      </c>
      <c r="O122" s="159">
        <v>4</v>
      </c>
      <c r="P122" s="162" t="s">
        <v>148</v>
      </c>
      <c r="Q122" s="162" t="s">
        <v>377</v>
      </c>
      <c r="R122" s="162" t="s">
        <v>150</v>
      </c>
      <c r="S122" s="162" t="s">
        <v>151</v>
      </c>
      <c r="T122" s="159">
        <v>2013</v>
      </c>
      <c r="U122" s="165">
        <v>15.68</v>
      </c>
      <c r="V122" s="165" t="e">
        <f>IF(ISNUMBER(U122),U122/VLOOKUP($S122,xRates!$A$1:$AA$267,data!$T122-xRates!$B$1+2,FALSE),U122)</f>
        <v>#REF!</v>
      </c>
      <c r="W122" s="162" t="s">
        <v>515</v>
      </c>
      <c r="Y122" s="165"/>
      <c r="AA122" s="163" t="s">
        <v>155</v>
      </c>
      <c r="AB122" s="162"/>
      <c r="AC122" s="162" t="str">
        <f t="shared" ref="AC122:AC132" si="98">IF(AA122="No","","")</f>
        <v/>
      </c>
      <c r="AD122" s="163" t="s">
        <v>155</v>
      </c>
      <c r="AE122" s="162" t="str">
        <f t="shared" ref="AE122:AE133" si="99">IF(AD122="No", "", "")</f>
        <v/>
      </c>
      <c r="AF122" s="163" t="s">
        <v>148</v>
      </c>
      <c r="AG122" s="163" t="s">
        <v>148</v>
      </c>
      <c r="AH122" s="163" t="s">
        <v>148</v>
      </c>
      <c r="AJ122" s="169"/>
      <c r="AK122" s="162" t="s">
        <v>659</v>
      </c>
      <c r="AL122" s="163" t="s">
        <v>263</v>
      </c>
      <c r="AM122" s="179">
        <v>489.26</v>
      </c>
      <c r="AN122" s="179">
        <v>489.26</v>
      </c>
      <c r="AO122" s="179">
        <f t="shared" si="94"/>
        <v>8263.6</v>
      </c>
      <c r="AP122" s="163" t="str">
        <f t="shared" si="77"/>
        <v>Cost-Effective</v>
      </c>
      <c r="AQ122" s="163" t="str">
        <f t="shared" si="66"/>
        <v>Cost-Effective</v>
      </c>
      <c r="AR122" s="167">
        <f t="shared" si="50"/>
        <v>5.9206641173338494E-2</v>
      </c>
      <c r="AS122" s="167">
        <f t="shared" si="83"/>
        <v>1.89</v>
      </c>
      <c r="AT122" s="159" t="str">
        <f t="shared" si="67"/>
        <v>Cost-Effective</v>
      </c>
      <c r="AU122" s="167">
        <f t="shared" si="84"/>
        <v>1.17</v>
      </c>
      <c r="AV122" s="162" t="str">
        <f t="shared" si="68"/>
        <v>Cost-Effective</v>
      </c>
      <c r="AW122" s="167">
        <f t="shared" si="85"/>
        <v>0.6677477128612227</v>
      </c>
      <c r="AX122" s="159" t="str">
        <f t="shared" si="69"/>
        <v>Cost-Effective</v>
      </c>
      <c r="AY122" s="167">
        <f t="shared" si="86"/>
        <v>0.16578730819497556</v>
      </c>
      <c r="AZ122" s="159" t="str">
        <f t="shared" si="70"/>
        <v>Cost-Effective</v>
      </c>
      <c r="BA122" s="167">
        <f t="shared" si="87"/>
        <v>1.3213703099510603</v>
      </c>
      <c r="BB122" s="159" t="str">
        <f t="shared" si="71"/>
        <v>Cost-Effective</v>
      </c>
      <c r="BC122" s="167">
        <f t="shared" si="88"/>
        <v>0.54765788860405495</v>
      </c>
      <c r="BD122" s="159" t="str">
        <f t="shared" si="72"/>
        <v>Cost-Effective</v>
      </c>
      <c r="BE122" s="162" t="s">
        <v>153</v>
      </c>
      <c r="BF122" s="162" t="s">
        <v>382</v>
      </c>
      <c r="BG122" s="168">
        <f t="shared" si="89"/>
        <v>0</v>
      </c>
      <c r="BH122" s="168">
        <f t="shared" si="90"/>
        <v>0</v>
      </c>
      <c r="BI122" s="163">
        <f t="shared" si="91"/>
        <v>0</v>
      </c>
      <c r="BJ122" s="163">
        <f t="shared" si="92"/>
        <v>0</v>
      </c>
      <c r="BK122" s="163">
        <f t="shared" si="73"/>
        <v>0</v>
      </c>
      <c r="BL122" s="163">
        <f t="shared" si="74"/>
        <v>0</v>
      </c>
      <c r="BM122" s="163">
        <f t="shared" si="75"/>
        <v>0</v>
      </c>
      <c r="BN122" s="163" t="s">
        <v>155</v>
      </c>
      <c r="BO122" s="162" t="str">
        <f t="shared" si="96"/>
        <v/>
      </c>
      <c r="BP122" s="162" t="s">
        <v>383</v>
      </c>
      <c r="BQ122" s="162" t="s">
        <v>163</v>
      </c>
    </row>
    <row r="123" spans="1:69">
      <c r="A123" s="159">
        <f t="shared" si="61"/>
        <v>39</v>
      </c>
      <c r="B123" s="159">
        <f t="shared" si="62"/>
        <v>2</v>
      </c>
      <c r="C123" s="160" t="str">
        <f t="shared" si="49"/>
        <v>3902</v>
      </c>
      <c r="D123" s="159" t="s">
        <v>271</v>
      </c>
      <c r="E123" s="161">
        <v>2015</v>
      </c>
      <c r="F123" s="162" t="s">
        <v>658</v>
      </c>
      <c r="G123" s="162" t="s">
        <v>241</v>
      </c>
      <c r="H123" s="163" t="str">
        <f t="shared" si="93"/>
        <v>UM</v>
      </c>
      <c r="I123" s="163" t="s">
        <v>155</v>
      </c>
      <c r="J123" s="180" t="s">
        <v>533</v>
      </c>
      <c r="K123" s="163" t="s">
        <v>166</v>
      </c>
      <c r="L123" s="163" t="s">
        <v>147</v>
      </c>
      <c r="M123" s="163" t="str">
        <f t="shared" si="64"/>
        <v>PCV10 vs NoVax</v>
      </c>
      <c r="N123" s="159" t="s">
        <v>403</v>
      </c>
      <c r="O123" s="159">
        <v>4</v>
      </c>
      <c r="P123" s="162" t="s">
        <v>148</v>
      </c>
      <c r="Q123" s="162" t="s">
        <v>377</v>
      </c>
      <c r="R123" s="162" t="s">
        <v>150</v>
      </c>
      <c r="S123" s="162" t="s">
        <v>151</v>
      </c>
      <c r="T123" s="159">
        <v>2013</v>
      </c>
      <c r="U123" s="165">
        <v>14.12</v>
      </c>
      <c r="V123" s="165" t="e">
        <f>IF(ISNUMBER(U123),U123/VLOOKUP($S123,xRates!$A$1:$AA$267,data!$T123-xRates!$B$1+2,FALSE),U123)</f>
        <v>#REF!</v>
      </c>
      <c r="W123" s="162" t="s">
        <v>515</v>
      </c>
      <c r="Y123" s="165"/>
      <c r="AA123" s="163" t="s">
        <v>155</v>
      </c>
      <c r="AB123" s="162"/>
      <c r="AC123" s="162" t="str">
        <f t="shared" si="98"/>
        <v/>
      </c>
      <c r="AD123" s="163" t="s">
        <v>155</v>
      </c>
      <c r="AE123" s="162" t="str">
        <f t="shared" si="99"/>
        <v/>
      </c>
      <c r="AF123" s="163" t="s">
        <v>148</v>
      </c>
      <c r="AG123" s="163" t="s">
        <v>148</v>
      </c>
      <c r="AH123" s="163" t="s">
        <v>148</v>
      </c>
      <c r="AJ123" s="169"/>
      <c r="AK123" s="162" t="s">
        <v>660</v>
      </c>
      <c r="AL123" s="163" t="s">
        <v>263</v>
      </c>
      <c r="AM123" s="179">
        <v>813.41</v>
      </c>
      <c r="AN123" s="179">
        <v>813.41</v>
      </c>
      <c r="AO123" s="179">
        <f t="shared" si="94"/>
        <v>8263.6</v>
      </c>
      <c r="AP123" s="163" t="str">
        <f t="shared" si="77"/>
        <v>Cost-Effective</v>
      </c>
      <c r="AQ123" s="163" t="str">
        <f t="shared" si="66"/>
        <v>Cost-Effective</v>
      </c>
      <c r="AR123" s="167">
        <f t="shared" si="50"/>
        <v>9.8432886393339455E-2</v>
      </c>
      <c r="AS123" s="167">
        <f t="shared" si="83"/>
        <v>1.89</v>
      </c>
      <c r="AT123" s="159" t="str">
        <f t="shared" si="67"/>
        <v>Cost-Effective</v>
      </c>
      <c r="AU123" s="167">
        <f t="shared" si="84"/>
        <v>1.17</v>
      </c>
      <c r="AV123" s="162" t="str">
        <f t="shared" si="68"/>
        <v>Cost-Effective</v>
      </c>
      <c r="AW123" s="167">
        <f t="shared" si="85"/>
        <v>0.6677477128612227</v>
      </c>
      <c r="AX123" s="159" t="str">
        <f t="shared" si="69"/>
        <v>Cost-Effective</v>
      </c>
      <c r="AY123" s="167">
        <f t="shared" si="86"/>
        <v>0.16578730819497556</v>
      </c>
      <c r="AZ123" s="159" t="str">
        <f t="shared" si="70"/>
        <v>Cost-Effective</v>
      </c>
      <c r="BA123" s="167">
        <f t="shared" si="87"/>
        <v>1.3213703099510603</v>
      </c>
      <c r="BB123" s="159" t="str">
        <f t="shared" si="71"/>
        <v>Cost-Effective</v>
      </c>
      <c r="BC123" s="167">
        <f t="shared" si="88"/>
        <v>0.54765788860405495</v>
      </c>
      <c r="BD123" s="159" t="str">
        <f t="shared" si="72"/>
        <v>Cost-Effective</v>
      </c>
      <c r="BE123" s="162" t="s">
        <v>153</v>
      </c>
      <c r="BF123" s="162" t="s">
        <v>382</v>
      </c>
      <c r="BG123" s="168">
        <f t="shared" si="89"/>
        <v>0</v>
      </c>
      <c r="BH123" s="168">
        <f t="shared" si="90"/>
        <v>0</v>
      </c>
      <c r="BI123" s="163">
        <f t="shared" si="91"/>
        <v>0</v>
      </c>
      <c r="BJ123" s="163">
        <f t="shared" si="92"/>
        <v>0</v>
      </c>
      <c r="BK123" s="163">
        <f t="shared" si="73"/>
        <v>0</v>
      </c>
      <c r="BL123" s="163">
        <f t="shared" si="74"/>
        <v>0</v>
      </c>
      <c r="BM123" s="163">
        <f t="shared" si="75"/>
        <v>0</v>
      </c>
      <c r="BN123" s="163" t="s">
        <v>155</v>
      </c>
      <c r="BO123" s="162" t="str">
        <f t="shared" si="96"/>
        <v/>
      </c>
      <c r="BP123" s="162" t="s">
        <v>383</v>
      </c>
      <c r="BQ123" s="162" t="s">
        <v>163</v>
      </c>
    </row>
    <row r="124" spans="1:69" s="173" customFormat="1">
      <c r="A124" s="159">
        <f t="shared" si="61"/>
        <v>39</v>
      </c>
      <c r="B124" s="159">
        <f t="shared" si="62"/>
        <v>3</v>
      </c>
      <c r="C124" s="160" t="str">
        <f t="shared" si="49"/>
        <v>3903</v>
      </c>
      <c r="D124" s="171" t="s">
        <v>271</v>
      </c>
      <c r="E124" s="172">
        <v>2015</v>
      </c>
      <c r="F124" s="173" t="s">
        <v>658</v>
      </c>
      <c r="G124" s="173" t="s">
        <v>241</v>
      </c>
      <c r="H124" s="174" t="str">
        <f t="shared" si="93"/>
        <v>UM</v>
      </c>
      <c r="I124" s="174" t="s">
        <v>155</v>
      </c>
      <c r="J124" s="173" t="s">
        <v>621</v>
      </c>
      <c r="K124" s="174" t="s">
        <v>167</v>
      </c>
      <c r="L124" s="174" t="s">
        <v>166</v>
      </c>
      <c r="M124" s="163" t="str">
        <f t="shared" si="64"/>
        <v>PCV13 vs PCV10</v>
      </c>
      <c r="N124" s="171" t="s">
        <v>403</v>
      </c>
      <c r="O124" s="171">
        <v>4</v>
      </c>
      <c r="P124" s="173" t="s">
        <v>148</v>
      </c>
      <c r="Q124" s="175" t="s">
        <v>377</v>
      </c>
      <c r="R124" s="173" t="s">
        <v>150</v>
      </c>
      <c r="S124" s="173" t="s">
        <v>151</v>
      </c>
      <c r="T124" s="172">
        <v>2013</v>
      </c>
      <c r="U124" s="176">
        <v>15.68</v>
      </c>
      <c r="V124" s="176" t="e">
        <f>IF(ISNUMBER(U124),U124/VLOOKUP($S124,xRates!$A$1:$AA$267,data!$T124-xRates!$B$1+2,FALSE),U124)</f>
        <v>#REF!</v>
      </c>
      <c r="W124" s="173" t="s">
        <v>515</v>
      </c>
      <c r="X124" s="171">
        <v>14.12</v>
      </c>
      <c r="Y124" s="176">
        <v>14.12</v>
      </c>
      <c r="Z124" s="173" t="s">
        <v>515</v>
      </c>
      <c r="AA124" s="174" t="s">
        <v>155</v>
      </c>
      <c r="AC124" s="173" t="str">
        <f t="shared" si="98"/>
        <v/>
      </c>
      <c r="AD124" s="174" t="s">
        <v>155</v>
      </c>
      <c r="AE124" s="173" t="str">
        <f t="shared" si="99"/>
        <v/>
      </c>
      <c r="AF124" s="174" t="s">
        <v>148</v>
      </c>
      <c r="AG124" s="174" t="s">
        <v>148</v>
      </c>
      <c r="AH124" s="174" t="s">
        <v>148</v>
      </c>
      <c r="AI124" s="174"/>
      <c r="AJ124" s="169"/>
      <c r="AK124" s="173" t="s">
        <v>661</v>
      </c>
      <c r="AL124" s="163" t="s">
        <v>263</v>
      </c>
      <c r="AM124" s="177">
        <v>-417.53</v>
      </c>
      <c r="AN124" s="177">
        <f>AM124</f>
        <v>-417.53</v>
      </c>
      <c r="AO124" s="177">
        <f t="shared" si="94"/>
        <v>8263.6</v>
      </c>
      <c r="AP124" s="174" t="str">
        <f t="shared" si="77"/>
        <v>Cost-Saving</v>
      </c>
      <c r="AQ124" s="174" t="str">
        <f t="shared" si="66"/>
        <v>Cost-Saving</v>
      </c>
      <c r="AR124" s="167">
        <f t="shared" si="50"/>
        <v>-5.052640495667747E-2</v>
      </c>
      <c r="AS124" s="167">
        <f t="shared" si="83"/>
        <v>1.89</v>
      </c>
      <c r="AT124" s="159" t="str">
        <f t="shared" si="67"/>
        <v>Cost-Saving</v>
      </c>
      <c r="AU124" s="167">
        <f t="shared" si="84"/>
        <v>1.17</v>
      </c>
      <c r="AV124" s="162" t="str">
        <f t="shared" si="68"/>
        <v>Cost-Saving</v>
      </c>
      <c r="AW124" s="167">
        <f t="shared" si="85"/>
        <v>0.6677477128612227</v>
      </c>
      <c r="AX124" s="159" t="str">
        <f t="shared" si="69"/>
        <v>Cost-Saving</v>
      </c>
      <c r="AY124" s="167">
        <f t="shared" si="86"/>
        <v>0.16578730819497556</v>
      </c>
      <c r="AZ124" s="159" t="str">
        <f t="shared" si="70"/>
        <v>Cost-Saving</v>
      </c>
      <c r="BA124" s="167">
        <f t="shared" si="87"/>
        <v>1.3213703099510603</v>
      </c>
      <c r="BB124" s="159" t="str">
        <f t="shared" si="71"/>
        <v>Cost-Saving</v>
      </c>
      <c r="BC124" s="167">
        <f t="shared" si="88"/>
        <v>0.54765788860405495</v>
      </c>
      <c r="BD124" s="159" t="str">
        <f t="shared" si="72"/>
        <v>Cost-Saving</v>
      </c>
      <c r="BE124" s="173" t="s">
        <v>176</v>
      </c>
      <c r="BF124" s="181" t="s">
        <v>439</v>
      </c>
      <c r="BG124" s="178" t="str">
        <f t="shared" si="89"/>
        <v>.</v>
      </c>
      <c r="BH124" s="178" t="str">
        <f t="shared" si="90"/>
        <v>.</v>
      </c>
      <c r="BI124" s="174" t="str">
        <f t="shared" si="91"/>
        <v>.</v>
      </c>
      <c r="BJ124" s="174" t="str">
        <f t="shared" si="92"/>
        <v>.</v>
      </c>
      <c r="BK124" s="163" t="str">
        <f t="shared" si="73"/>
        <v>.</v>
      </c>
      <c r="BL124" s="163" t="str">
        <f t="shared" si="74"/>
        <v>.</v>
      </c>
      <c r="BM124" s="163">
        <f t="shared" si="75"/>
        <v>0</v>
      </c>
      <c r="BN124" s="174" t="s">
        <v>155</v>
      </c>
      <c r="BO124" s="173" t="str">
        <f t="shared" si="96"/>
        <v/>
      </c>
      <c r="BP124" s="173" t="s">
        <v>383</v>
      </c>
      <c r="BQ124" s="162" t="s">
        <v>163</v>
      </c>
    </row>
    <row r="125" spans="1:69">
      <c r="A125" s="159">
        <f t="shared" si="61"/>
        <v>40</v>
      </c>
      <c r="B125" s="159">
        <f t="shared" si="62"/>
        <v>1</v>
      </c>
      <c r="C125" s="160" t="str">
        <f t="shared" si="49"/>
        <v>4001</v>
      </c>
      <c r="D125" s="159" t="s">
        <v>273</v>
      </c>
      <c r="E125" s="161">
        <v>2010</v>
      </c>
      <c r="F125" s="162" t="s">
        <v>662</v>
      </c>
      <c r="G125" s="162" t="s">
        <v>211</v>
      </c>
      <c r="H125" s="163" t="str">
        <f t="shared" si="93"/>
        <v>LM</v>
      </c>
      <c r="I125" s="163" t="s">
        <v>155</v>
      </c>
      <c r="J125" s="180" t="s">
        <v>533</v>
      </c>
      <c r="K125" s="163" t="s">
        <v>166</v>
      </c>
      <c r="L125" s="163" t="s">
        <v>147</v>
      </c>
      <c r="M125" s="163" t="str">
        <f t="shared" si="64"/>
        <v>PCV10 vs NoVax</v>
      </c>
      <c r="N125" s="159" t="s">
        <v>514</v>
      </c>
      <c r="O125" s="159">
        <v>3</v>
      </c>
      <c r="P125" s="162" t="s">
        <v>148</v>
      </c>
      <c r="Q125" s="162" t="s">
        <v>149</v>
      </c>
      <c r="R125" s="162" t="s">
        <v>215</v>
      </c>
      <c r="S125" s="162" t="s">
        <v>211</v>
      </c>
      <c r="T125" s="159">
        <v>2004</v>
      </c>
      <c r="U125" s="165">
        <v>31</v>
      </c>
      <c r="V125" s="165" t="e">
        <f>IF(ISNUMBER(U125),U125/VLOOKUP($S125,xRates!$A$1:$AA$267,data!$T125-xRates!$B$1+2,FALSE),U125)</f>
        <v>#REF!</v>
      </c>
      <c r="W125" s="162" t="s">
        <v>663</v>
      </c>
      <c r="Y125" s="165"/>
      <c r="AA125" s="163" t="s">
        <v>155</v>
      </c>
      <c r="AB125" s="162"/>
      <c r="AC125" s="162" t="str">
        <f t="shared" si="98"/>
        <v/>
      </c>
      <c r="AD125" s="163" t="s">
        <v>155</v>
      </c>
      <c r="AE125" s="162" t="str">
        <f t="shared" si="99"/>
        <v/>
      </c>
      <c r="AF125" s="163" t="s">
        <v>148</v>
      </c>
      <c r="AG125" s="163" t="s">
        <v>148</v>
      </c>
      <c r="AH125" s="163" t="s">
        <v>148</v>
      </c>
      <c r="AJ125" s="162"/>
      <c r="AK125" s="162" t="s">
        <v>664</v>
      </c>
      <c r="AL125" s="163" t="s">
        <v>190</v>
      </c>
      <c r="AM125" s="179">
        <v>22066</v>
      </c>
      <c r="AN125" s="179">
        <f>AM125/xRates!$J$28</f>
        <v>13213.173652694612</v>
      </c>
      <c r="AO125" s="179">
        <f t="shared" si="94"/>
        <v>3623.2</v>
      </c>
      <c r="AP125" s="163" t="str">
        <f t="shared" si="77"/>
        <v>Not Cost-Effective</v>
      </c>
      <c r="AQ125" s="163" t="str">
        <f t="shared" si="66"/>
        <v>Not Cost-Effective</v>
      </c>
      <c r="AR125" s="167">
        <f t="shared" si="50"/>
        <v>3.6468242583060864</v>
      </c>
      <c r="AS125" s="167">
        <f t="shared" si="83"/>
        <v>1.0900000000000001</v>
      </c>
      <c r="AT125" s="159" t="str">
        <f t="shared" si="67"/>
        <v>Not Cost-Effective</v>
      </c>
      <c r="AU125" s="167">
        <f t="shared" si="84"/>
        <v>0.71</v>
      </c>
      <c r="AV125" s="162" t="str">
        <f t="shared" si="68"/>
        <v>Not Cost-Effective</v>
      </c>
      <c r="AW125" s="167">
        <f t="shared" si="85"/>
        <v>0.61540469547909216</v>
      </c>
      <c r="AX125" s="159" t="str">
        <f t="shared" si="69"/>
        <v>Not Cost-Effective</v>
      </c>
      <c r="AY125" s="167">
        <f t="shared" si="86"/>
        <v>0.19520989346254874</v>
      </c>
      <c r="AZ125" s="159" t="str">
        <f t="shared" si="70"/>
        <v>Not Cost-Effective</v>
      </c>
      <c r="BA125" s="167">
        <f t="shared" si="87"/>
        <v>1.6838320916192782</v>
      </c>
      <c r="BB125" s="159" t="str">
        <f t="shared" si="71"/>
        <v>Not Cost-Effective</v>
      </c>
      <c r="BC125" s="167">
        <f t="shared" si="88"/>
        <v>0.69788475235435776</v>
      </c>
      <c r="BD125" s="159" t="str">
        <f t="shared" si="72"/>
        <v>Not Cost-Effective</v>
      </c>
      <c r="BE125" s="162" t="s">
        <v>161</v>
      </c>
      <c r="BF125" s="162" t="s">
        <v>382</v>
      </c>
      <c r="BG125" s="168">
        <f t="shared" si="89"/>
        <v>1</v>
      </c>
      <c r="BH125" s="168">
        <f t="shared" si="90"/>
        <v>1</v>
      </c>
      <c r="BI125" s="163">
        <f t="shared" si="91"/>
        <v>1</v>
      </c>
      <c r="BJ125" s="163">
        <f t="shared" si="92"/>
        <v>1</v>
      </c>
      <c r="BK125" s="163">
        <f t="shared" si="73"/>
        <v>1</v>
      </c>
      <c r="BL125" s="163">
        <f t="shared" si="74"/>
        <v>1</v>
      </c>
      <c r="BM125" s="163">
        <f t="shared" si="75"/>
        <v>6</v>
      </c>
      <c r="BN125" s="163" t="s">
        <v>155</v>
      </c>
      <c r="BO125" s="162" t="str">
        <f t="shared" si="96"/>
        <v/>
      </c>
      <c r="BP125" s="162" t="s">
        <v>665</v>
      </c>
      <c r="BQ125" s="162" t="s">
        <v>177</v>
      </c>
    </row>
    <row r="126" spans="1:69">
      <c r="A126" s="159">
        <f t="shared" si="61"/>
        <v>40</v>
      </c>
      <c r="B126" s="159">
        <f t="shared" si="62"/>
        <v>2</v>
      </c>
      <c r="C126" s="160" t="str">
        <f t="shared" si="49"/>
        <v>4002</v>
      </c>
      <c r="D126" s="159" t="s">
        <v>273</v>
      </c>
      <c r="E126" s="161">
        <v>2010</v>
      </c>
      <c r="F126" s="162" t="s">
        <v>662</v>
      </c>
      <c r="G126" s="162" t="s">
        <v>211</v>
      </c>
      <c r="H126" s="163" t="str">
        <f t="shared" si="93"/>
        <v>LM</v>
      </c>
      <c r="I126" s="163" t="s">
        <v>155</v>
      </c>
      <c r="J126" s="180" t="s">
        <v>533</v>
      </c>
      <c r="K126" s="163" t="s">
        <v>166</v>
      </c>
      <c r="L126" s="163" t="s">
        <v>147</v>
      </c>
      <c r="M126" s="163" t="str">
        <f t="shared" si="64"/>
        <v>PCV10 vs NoVax</v>
      </c>
      <c r="N126" s="159" t="s">
        <v>514</v>
      </c>
      <c r="O126" s="159">
        <v>3</v>
      </c>
      <c r="P126" s="162" t="s">
        <v>155</v>
      </c>
      <c r="Q126" s="162" t="s">
        <v>377</v>
      </c>
      <c r="R126" s="162" t="s">
        <v>215</v>
      </c>
      <c r="S126" s="162" t="s">
        <v>211</v>
      </c>
      <c r="T126" s="159">
        <v>2004</v>
      </c>
      <c r="U126" s="165">
        <v>31</v>
      </c>
      <c r="V126" s="165" t="e">
        <f>IF(ISNUMBER(U126),U126/VLOOKUP($S126,xRates!$A$1:$AA$267,data!$T126-xRates!$B$1+2,FALSE),U126)</f>
        <v>#REF!</v>
      </c>
      <c r="W126" s="162" t="s">
        <v>663</v>
      </c>
      <c r="Y126" s="165"/>
      <c r="AA126" s="163" t="s">
        <v>155</v>
      </c>
      <c r="AB126" s="162"/>
      <c r="AC126" s="162" t="str">
        <f t="shared" si="98"/>
        <v/>
      </c>
      <c r="AD126" s="163" t="s">
        <v>155</v>
      </c>
      <c r="AE126" s="162" t="str">
        <f t="shared" si="99"/>
        <v/>
      </c>
      <c r="AF126" s="163" t="s">
        <v>148</v>
      </c>
      <c r="AG126" s="163" t="s">
        <v>148</v>
      </c>
      <c r="AH126" s="163" t="s">
        <v>148</v>
      </c>
      <c r="AJ126" s="162"/>
      <c r="AK126" s="162" t="s">
        <v>666</v>
      </c>
      <c r="AL126" s="163" t="s">
        <v>190</v>
      </c>
      <c r="AM126" s="179">
        <v>24930</v>
      </c>
      <c r="AN126" s="179">
        <f>AM126/xRates!$J$28</f>
        <v>14928.143712574851</v>
      </c>
      <c r="AO126" s="179">
        <f t="shared" si="94"/>
        <v>3623.2</v>
      </c>
      <c r="AP126" s="163" t="str">
        <f t="shared" si="77"/>
        <v>Not Cost-Effective</v>
      </c>
      <c r="AQ126" s="163" t="str">
        <f t="shared" si="66"/>
        <v>Not Cost-Effective</v>
      </c>
      <c r="AR126" s="167">
        <f t="shared" si="50"/>
        <v>4.1201544801763221</v>
      </c>
      <c r="AS126" s="167">
        <f t="shared" si="83"/>
        <v>1.0900000000000001</v>
      </c>
      <c r="AT126" s="159" t="str">
        <f t="shared" si="67"/>
        <v>Not Cost-Effective</v>
      </c>
      <c r="AU126" s="167">
        <f t="shared" si="84"/>
        <v>0.71</v>
      </c>
      <c r="AV126" s="162" t="str">
        <f t="shared" si="68"/>
        <v>Not Cost-Effective</v>
      </c>
      <c r="AW126" s="167">
        <f t="shared" si="85"/>
        <v>0.61540469547909216</v>
      </c>
      <c r="AX126" s="159" t="str">
        <f t="shared" si="69"/>
        <v>Not Cost-Effective</v>
      </c>
      <c r="AY126" s="167">
        <f t="shared" si="86"/>
        <v>0.19520989346254874</v>
      </c>
      <c r="AZ126" s="159" t="str">
        <f t="shared" si="70"/>
        <v>Not Cost-Effective</v>
      </c>
      <c r="BA126" s="167">
        <f t="shared" si="87"/>
        <v>1.6838320916192782</v>
      </c>
      <c r="BB126" s="159" t="str">
        <f t="shared" si="71"/>
        <v>Not Cost-Effective</v>
      </c>
      <c r="BC126" s="167">
        <f t="shared" si="88"/>
        <v>0.69788475235435776</v>
      </c>
      <c r="BD126" s="159" t="str">
        <f t="shared" si="72"/>
        <v>Not Cost-Effective</v>
      </c>
      <c r="BE126" s="162" t="s">
        <v>161</v>
      </c>
      <c r="BF126" s="162" t="s">
        <v>382</v>
      </c>
      <c r="BG126" s="168">
        <f t="shared" si="89"/>
        <v>1</v>
      </c>
      <c r="BH126" s="168">
        <f t="shared" si="90"/>
        <v>1</v>
      </c>
      <c r="BI126" s="163">
        <f t="shared" si="91"/>
        <v>1</v>
      </c>
      <c r="BJ126" s="163">
        <f t="shared" si="92"/>
        <v>1</v>
      </c>
      <c r="BK126" s="163">
        <f t="shared" si="73"/>
        <v>1</v>
      </c>
      <c r="BL126" s="163">
        <f t="shared" si="74"/>
        <v>1</v>
      </c>
      <c r="BM126" s="163">
        <f t="shared" si="75"/>
        <v>6</v>
      </c>
      <c r="BN126" s="163" t="s">
        <v>155</v>
      </c>
      <c r="BO126" s="162" t="str">
        <f t="shared" si="96"/>
        <v/>
      </c>
      <c r="BP126" s="162" t="s">
        <v>665</v>
      </c>
      <c r="BQ126" s="162" t="s">
        <v>177</v>
      </c>
    </row>
    <row r="127" spans="1:69">
      <c r="A127" s="159">
        <f t="shared" si="61"/>
        <v>41</v>
      </c>
      <c r="B127" s="159">
        <f t="shared" si="62"/>
        <v>1</v>
      </c>
      <c r="C127" s="160" t="str">
        <f t="shared" si="49"/>
        <v>4101</v>
      </c>
      <c r="D127" s="159" t="s">
        <v>275</v>
      </c>
      <c r="E127" s="161">
        <v>2013</v>
      </c>
      <c r="F127" s="162" t="s">
        <v>667</v>
      </c>
      <c r="G127" s="162" t="s">
        <v>616</v>
      </c>
      <c r="H127" s="163" t="e">
        <f t="shared" si="93"/>
        <v>#N/A</v>
      </c>
      <c r="I127" s="163" t="s">
        <v>155</v>
      </c>
      <c r="J127" s="180" t="s">
        <v>668</v>
      </c>
      <c r="K127" s="163" t="s">
        <v>146</v>
      </c>
      <c r="L127" s="163" t="s">
        <v>147</v>
      </c>
      <c r="M127" s="163" t="str">
        <f t="shared" si="64"/>
        <v>PCV7 vs NoVax</v>
      </c>
      <c r="N127" s="159" t="s">
        <v>376</v>
      </c>
      <c r="O127" s="159">
        <v>4</v>
      </c>
      <c r="P127" s="162" t="s">
        <v>148</v>
      </c>
      <c r="Q127" s="162" t="s">
        <v>377</v>
      </c>
      <c r="R127" s="162" t="s">
        <v>150</v>
      </c>
      <c r="S127" s="162" t="s">
        <v>151</v>
      </c>
      <c r="T127" s="159">
        <v>2011</v>
      </c>
      <c r="U127" s="165">
        <v>30</v>
      </c>
      <c r="V127" s="165" t="e">
        <f>IF(ISNUMBER(U127),U127/VLOOKUP($S127,xRates!$A$1:$AA$267,data!$T127-xRates!$B$1+2,FALSE),U127)</f>
        <v>#REF!</v>
      </c>
      <c r="W127" s="162" t="s">
        <v>385</v>
      </c>
      <c r="Y127" s="165"/>
      <c r="AA127" s="163" t="s">
        <v>155</v>
      </c>
      <c r="AB127" s="162"/>
      <c r="AC127" s="162" t="str">
        <f t="shared" si="98"/>
        <v/>
      </c>
      <c r="AD127" s="163" t="s">
        <v>155</v>
      </c>
      <c r="AE127" s="162" t="str">
        <f t="shared" si="99"/>
        <v/>
      </c>
      <c r="AF127" s="163" t="s">
        <v>148</v>
      </c>
      <c r="AG127" s="163" t="s">
        <v>148</v>
      </c>
      <c r="AH127" s="163" t="s">
        <v>148</v>
      </c>
      <c r="AJ127" s="162"/>
      <c r="AK127" s="162" t="s">
        <v>669</v>
      </c>
      <c r="AL127" s="163" t="s">
        <v>263</v>
      </c>
      <c r="AM127" s="179">
        <v>7109</v>
      </c>
      <c r="AN127" s="179">
        <v>7109</v>
      </c>
      <c r="AO127" s="179" t="e">
        <f t="shared" si="94"/>
        <v>#N/A</v>
      </c>
      <c r="AP127" s="163" t="e">
        <f t="shared" si="77"/>
        <v>#N/A</v>
      </c>
      <c r="AQ127" s="163" t="e">
        <f t="shared" si="66"/>
        <v>#N/A</v>
      </c>
      <c r="AR127" s="167" t="str">
        <f t="shared" si="50"/>
        <v>.</v>
      </c>
      <c r="AS127" s="167" t="str">
        <f t="shared" si="83"/>
        <v>.</v>
      </c>
      <c r="AT127" s="159" t="str">
        <f t="shared" si="67"/>
        <v>.</v>
      </c>
      <c r="AU127" s="167" t="str">
        <f t="shared" si="84"/>
        <v>.</v>
      </c>
      <c r="AV127" s="162" t="str">
        <f t="shared" si="68"/>
        <v>.</v>
      </c>
      <c r="AW127" s="167" t="str">
        <f t="shared" si="85"/>
        <v>.</v>
      </c>
      <c r="AX127" s="159" t="str">
        <f t="shared" si="69"/>
        <v>.</v>
      </c>
      <c r="AY127" s="167" t="str">
        <f t="shared" si="86"/>
        <v>.</v>
      </c>
      <c r="AZ127" s="159" t="str">
        <f t="shared" si="70"/>
        <v>.</v>
      </c>
      <c r="BA127" s="167" t="str">
        <f t="shared" si="87"/>
        <v>.</v>
      </c>
      <c r="BB127" s="159" t="str">
        <f t="shared" si="71"/>
        <v>.</v>
      </c>
      <c r="BC127" s="167" t="str">
        <f t="shared" si="88"/>
        <v>.</v>
      </c>
      <c r="BD127" s="159" t="str">
        <f t="shared" si="72"/>
        <v>.</v>
      </c>
      <c r="BE127" s="162" t="s">
        <v>176</v>
      </c>
      <c r="BF127" s="162" t="s">
        <v>382</v>
      </c>
      <c r="BG127" s="168">
        <f t="shared" si="89"/>
        <v>0</v>
      </c>
      <c r="BH127" s="168">
        <f t="shared" si="90"/>
        <v>0</v>
      </c>
      <c r="BI127" s="163">
        <f t="shared" si="91"/>
        <v>0</v>
      </c>
      <c r="BJ127" s="163">
        <f t="shared" si="92"/>
        <v>0</v>
      </c>
      <c r="BK127" s="163">
        <f t="shared" si="73"/>
        <v>0</v>
      </c>
      <c r="BL127" s="163">
        <f t="shared" si="74"/>
        <v>0</v>
      </c>
      <c r="BM127" s="163">
        <f t="shared" si="75"/>
        <v>0</v>
      </c>
      <c r="BN127" s="163" t="s">
        <v>155</v>
      </c>
      <c r="BO127" s="162" t="str">
        <f t="shared" si="96"/>
        <v/>
      </c>
      <c r="BP127" s="162" t="s">
        <v>170</v>
      </c>
      <c r="BQ127" s="162" t="s">
        <v>156</v>
      </c>
    </row>
    <row r="128" spans="1:69">
      <c r="A128" s="159">
        <f t="shared" si="61"/>
        <v>41</v>
      </c>
      <c r="B128" s="159">
        <f t="shared" si="62"/>
        <v>2</v>
      </c>
      <c r="C128" s="160" t="str">
        <f t="shared" si="49"/>
        <v>4102</v>
      </c>
      <c r="D128" s="159" t="s">
        <v>275</v>
      </c>
      <c r="E128" s="161">
        <v>2013</v>
      </c>
      <c r="F128" s="162" t="s">
        <v>667</v>
      </c>
      <c r="G128" s="162" t="s">
        <v>616</v>
      </c>
      <c r="H128" s="163" t="e">
        <f t="shared" si="93"/>
        <v>#N/A</v>
      </c>
      <c r="I128" s="163" t="s">
        <v>155</v>
      </c>
      <c r="J128" s="180" t="s">
        <v>670</v>
      </c>
      <c r="K128" s="163" t="s">
        <v>166</v>
      </c>
      <c r="L128" s="163" t="s">
        <v>147</v>
      </c>
      <c r="M128" s="163" t="str">
        <f t="shared" si="64"/>
        <v>PCV10 vs NoVax</v>
      </c>
      <c r="N128" s="159" t="s">
        <v>376</v>
      </c>
      <c r="O128" s="159">
        <v>4</v>
      </c>
      <c r="P128" s="162" t="s">
        <v>148</v>
      </c>
      <c r="Q128" s="162" t="s">
        <v>377</v>
      </c>
      <c r="R128" s="162" t="s">
        <v>150</v>
      </c>
      <c r="S128" s="162" t="s">
        <v>151</v>
      </c>
      <c r="T128" s="159">
        <v>2011</v>
      </c>
      <c r="U128" s="165">
        <v>30</v>
      </c>
      <c r="V128" s="165" t="e">
        <f>IF(ISNUMBER(U128),U128/VLOOKUP($S128,xRates!$A$1:$AA$267,data!$T128-xRates!$B$1+2,FALSE),U128)</f>
        <v>#REF!</v>
      </c>
      <c r="W128" s="162" t="s">
        <v>385</v>
      </c>
      <c r="Y128" s="165"/>
      <c r="AA128" s="163" t="s">
        <v>155</v>
      </c>
      <c r="AB128" s="162"/>
      <c r="AC128" s="162" t="str">
        <f t="shared" si="98"/>
        <v/>
      </c>
      <c r="AD128" s="163" t="s">
        <v>155</v>
      </c>
      <c r="AE128" s="162" t="str">
        <f t="shared" si="99"/>
        <v/>
      </c>
      <c r="AF128" s="163" t="s">
        <v>148</v>
      </c>
      <c r="AG128" s="163" t="s">
        <v>148</v>
      </c>
      <c r="AH128" s="163" t="s">
        <v>148</v>
      </c>
      <c r="AJ128" s="162"/>
      <c r="AK128" s="162" t="s">
        <v>671</v>
      </c>
      <c r="AL128" s="163" t="s">
        <v>263</v>
      </c>
      <c r="AM128" s="179">
        <v>6784</v>
      </c>
      <c r="AN128" s="179">
        <v>6784</v>
      </c>
      <c r="AO128" s="179" t="e">
        <f t="shared" si="94"/>
        <v>#N/A</v>
      </c>
      <c r="AP128" s="163" t="e">
        <f t="shared" si="77"/>
        <v>#N/A</v>
      </c>
      <c r="AQ128" s="163" t="e">
        <f t="shared" si="66"/>
        <v>#N/A</v>
      </c>
      <c r="AR128" s="167" t="str">
        <f t="shared" si="50"/>
        <v>.</v>
      </c>
      <c r="AS128" s="167" t="str">
        <f t="shared" si="83"/>
        <v>.</v>
      </c>
      <c r="AT128" s="159" t="str">
        <f t="shared" si="67"/>
        <v>.</v>
      </c>
      <c r="AU128" s="167" t="str">
        <f t="shared" si="84"/>
        <v>.</v>
      </c>
      <c r="AV128" s="162" t="str">
        <f t="shared" si="68"/>
        <v>.</v>
      </c>
      <c r="AW128" s="167" t="str">
        <f t="shared" si="85"/>
        <v>.</v>
      </c>
      <c r="AX128" s="159" t="str">
        <f t="shared" si="69"/>
        <v>.</v>
      </c>
      <c r="AY128" s="167" t="str">
        <f t="shared" si="86"/>
        <v>.</v>
      </c>
      <c r="AZ128" s="159" t="str">
        <f t="shared" si="70"/>
        <v>.</v>
      </c>
      <c r="BA128" s="167" t="str">
        <f t="shared" si="87"/>
        <v>.</v>
      </c>
      <c r="BB128" s="159" t="str">
        <f t="shared" si="71"/>
        <v>.</v>
      </c>
      <c r="BC128" s="167" t="str">
        <f t="shared" si="88"/>
        <v>.</v>
      </c>
      <c r="BD128" s="159" t="str">
        <f t="shared" si="72"/>
        <v>.</v>
      </c>
      <c r="BE128" s="162" t="s">
        <v>176</v>
      </c>
      <c r="BF128" s="162" t="s">
        <v>382</v>
      </c>
      <c r="BG128" s="168">
        <f t="shared" si="89"/>
        <v>0</v>
      </c>
      <c r="BH128" s="168">
        <f t="shared" si="90"/>
        <v>0</v>
      </c>
      <c r="BI128" s="163">
        <f t="shared" si="91"/>
        <v>0</v>
      </c>
      <c r="BJ128" s="163">
        <f t="shared" si="92"/>
        <v>0</v>
      </c>
      <c r="BK128" s="163">
        <f t="shared" si="73"/>
        <v>0</v>
      </c>
      <c r="BL128" s="163">
        <f t="shared" si="74"/>
        <v>0</v>
      </c>
      <c r="BM128" s="163">
        <f t="shared" si="75"/>
        <v>0</v>
      </c>
      <c r="BN128" s="163" t="s">
        <v>155</v>
      </c>
      <c r="BO128" s="162" t="str">
        <f t="shared" si="96"/>
        <v/>
      </c>
      <c r="BP128" s="162" t="s">
        <v>170</v>
      </c>
      <c r="BQ128" s="162" t="s">
        <v>156</v>
      </c>
    </row>
    <row r="129" spans="1:69">
      <c r="A129" s="159">
        <f t="shared" si="61"/>
        <v>41</v>
      </c>
      <c r="B129" s="159">
        <f t="shared" si="62"/>
        <v>3</v>
      </c>
      <c r="C129" s="160" t="str">
        <f t="shared" si="49"/>
        <v>4103</v>
      </c>
      <c r="D129" s="159" t="s">
        <v>275</v>
      </c>
      <c r="E129" s="161">
        <v>2013</v>
      </c>
      <c r="F129" s="162" t="s">
        <v>667</v>
      </c>
      <c r="G129" s="162" t="s">
        <v>616</v>
      </c>
      <c r="H129" s="163" t="e">
        <f t="shared" si="93"/>
        <v>#N/A</v>
      </c>
      <c r="I129" s="163" t="s">
        <v>155</v>
      </c>
      <c r="J129" s="180" t="s">
        <v>672</v>
      </c>
      <c r="K129" s="163" t="s">
        <v>167</v>
      </c>
      <c r="L129" s="163" t="s">
        <v>147</v>
      </c>
      <c r="M129" s="163" t="str">
        <f t="shared" si="64"/>
        <v>PCV13 vs NoVax</v>
      </c>
      <c r="N129" s="159" t="s">
        <v>376</v>
      </c>
      <c r="O129" s="159">
        <v>4</v>
      </c>
      <c r="P129" s="162" t="s">
        <v>148</v>
      </c>
      <c r="Q129" s="162" t="s">
        <v>377</v>
      </c>
      <c r="R129" s="162" t="s">
        <v>150</v>
      </c>
      <c r="S129" s="162" t="s">
        <v>151</v>
      </c>
      <c r="T129" s="159">
        <v>2011</v>
      </c>
      <c r="U129" s="165">
        <v>30</v>
      </c>
      <c r="V129" s="165" t="e">
        <f>IF(ISNUMBER(U129),U129/VLOOKUP($S129,xRates!$A$1:$AA$267,data!$T129-xRates!$B$1+2,FALSE),U129)</f>
        <v>#REF!</v>
      </c>
      <c r="W129" s="162" t="s">
        <v>385</v>
      </c>
      <c r="Y129" s="165"/>
      <c r="AA129" s="163" t="s">
        <v>155</v>
      </c>
      <c r="AB129" s="162"/>
      <c r="AC129" s="162" t="str">
        <f t="shared" si="98"/>
        <v/>
      </c>
      <c r="AD129" s="163" t="s">
        <v>155</v>
      </c>
      <c r="AE129" s="162" t="str">
        <f t="shared" si="99"/>
        <v/>
      </c>
      <c r="AF129" s="163" t="s">
        <v>148</v>
      </c>
      <c r="AG129" s="163" t="s">
        <v>148</v>
      </c>
      <c r="AH129" s="163" t="s">
        <v>148</v>
      </c>
      <c r="AJ129" s="162"/>
      <c r="AK129" s="162" t="s">
        <v>673</v>
      </c>
      <c r="AL129" s="163" t="s">
        <v>263</v>
      </c>
      <c r="AM129" s="179">
        <v>6696</v>
      </c>
      <c r="AN129" s="179">
        <v>6696</v>
      </c>
      <c r="AO129" s="179" t="e">
        <f t="shared" si="94"/>
        <v>#N/A</v>
      </c>
      <c r="AP129" s="163" t="e">
        <f t="shared" si="77"/>
        <v>#N/A</v>
      </c>
      <c r="AQ129" s="163" t="e">
        <f t="shared" si="66"/>
        <v>#N/A</v>
      </c>
      <c r="AR129" s="167" t="str">
        <f t="shared" ref="AR129:AR192" si="100">IFERROR(AN129/AO129,".")</f>
        <v>.</v>
      </c>
      <c r="AS129" s="167" t="str">
        <f t="shared" si="83"/>
        <v>.</v>
      </c>
      <c r="AT129" s="159" t="str">
        <f t="shared" si="67"/>
        <v>.</v>
      </c>
      <c r="AU129" s="167" t="str">
        <f t="shared" si="84"/>
        <v>.</v>
      </c>
      <c r="AV129" s="162" t="str">
        <f t="shared" si="68"/>
        <v>.</v>
      </c>
      <c r="AW129" s="167" t="str">
        <f t="shared" si="85"/>
        <v>.</v>
      </c>
      <c r="AX129" s="159" t="str">
        <f t="shared" si="69"/>
        <v>.</v>
      </c>
      <c r="AY129" s="167" t="str">
        <f t="shared" si="86"/>
        <v>.</v>
      </c>
      <c r="AZ129" s="159" t="str">
        <f t="shared" si="70"/>
        <v>.</v>
      </c>
      <c r="BA129" s="167" t="str">
        <f t="shared" si="87"/>
        <v>.</v>
      </c>
      <c r="BB129" s="159" t="str">
        <f t="shared" si="71"/>
        <v>.</v>
      </c>
      <c r="BC129" s="167" t="str">
        <f t="shared" si="88"/>
        <v>.</v>
      </c>
      <c r="BD129" s="159" t="str">
        <f t="shared" si="72"/>
        <v>.</v>
      </c>
      <c r="BE129" s="162" t="s">
        <v>176</v>
      </c>
      <c r="BF129" s="162" t="s">
        <v>382</v>
      </c>
      <c r="BG129" s="168">
        <f t="shared" si="89"/>
        <v>0</v>
      </c>
      <c r="BH129" s="168">
        <f t="shared" si="90"/>
        <v>0</v>
      </c>
      <c r="BI129" s="163">
        <f t="shared" si="91"/>
        <v>0</v>
      </c>
      <c r="BJ129" s="163">
        <f t="shared" si="92"/>
        <v>0</v>
      </c>
      <c r="BK129" s="163">
        <f t="shared" si="73"/>
        <v>0</v>
      </c>
      <c r="BL129" s="163">
        <f t="shared" si="74"/>
        <v>0</v>
      </c>
      <c r="BM129" s="163">
        <f t="shared" si="75"/>
        <v>0</v>
      </c>
      <c r="BN129" s="163" t="s">
        <v>155</v>
      </c>
      <c r="BO129" s="162" t="str">
        <f t="shared" si="96"/>
        <v/>
      </c>
      <c r="BP129" s="162" t="s">
        <v>170</v>
      </c>
      <c r="BQ129" s="162" t="s">
        <v>156</v>
      </c>
    </row>
    <row r="130" spans="1:69">
      <c r="A130" s="159">
        <f t="shared" si="61"/>
        <v>42</v>
      </c>
      <c r="B130" s="159">
        <f t="shared" si="62"/>
        <v>1</v>
      </c>
      <c r="C130" s="160" t="str">
        <f t="shared" ref="C130:C193" si="101">_xlfn.CONCAT(TEXT(A130,"00"),TEXT(B130,"00"))</f>
        <v>4201</v>
      </c>
      <c r="D130" s="159" t="s">
        <v>277</v>
      </c>
      <c r="E130" s="159">
        <v>2010</v>
      </c>
      <c r="F130" s="162" t="s">
        <v>674</v>
      </c>
      <c r="G130" s="162" t="s">
        <v>241</v>
      </c>
      <c r="H130" s="163" t="str">
        <f t="shared" si="93"/>
        <v>LM</v>
      </c>
      <c r="I130" s="163" t="s">
        <v>155</v>
      </c>
      <c r="J130" s="180" t="s">
        <v>367</v>
      </c>
      <c r="K130" s="163" t="s">
        <v>146</v>
      </c>
      <c r="L130" s="163" t="s">
        <v>147</v>
      </c>
      <c r="M130" s="163" t="str">
        <f t="shared" si="64"/>
        <v>PCV7 vs NoVax</v>
      </c>
      <c r="N130" s="159" t="s">
        <v>514</v>
      </c>
      <c r="O130" s="159">
        <v>3</v>
      </c>
      <c r="P130" s="162" t="s">
        <v>148</v>
      </c>
      <c r="Q130" s="162" t="s">
        <v>377</v>
      </c>
      <c r="R130" s="162" t="s">
        <v>150</v>
      </c>
      <c r="S130" s="162" t="s">
        <v>151</v>
      </c>
      <c r="T130" s="159">
        <v>2006</v>
      </c>
      <c r="U130" s="165">
        <v>35</v>
      </c>
      <c r="V130" s="165" t="e">
        <f>IF(ISNUMBER(U130),U130/VLOOKUP($S130,xRates!$A$1:$AA$267,data!$T130-xRates!$B$1+2,FALSE),U130)</f>
        <v>#REF!</v>
      </c>
      <c r="W130" s="162" t="s">
        <v>385</v>
      </c>
      <c r="Y130" s="165"/>
      <c r="AA130" s="163" t="s">
        <v>155</v>
      </c>
      <c r="AB130" s="162"/>
      <c r="AC130" s="162" t="str">
        <f t="shared" si="98"/>
        <v/>
      </c>
      <c r="AD130" s="163" t="s">
        <v>155</v>
      </c>
      <c r="AE130" s="162" t="str">
        <f t="shared" si="99"/>
        <v/>
      </c>
      <c r="AF130" s="163" t="s">
        <v>148</v>
      </c>
      <c r="AG130" s="163" t="s">
        <v>148</v>
      </c>
      <c r="AH130" s="163" t="s">
        <v>148</v>
      </c>
      <c r="AJ130" s="162" t="s">
        <v>627</v>
      </c>
      <c r="AK130" s="162" t="s">
        <v>675</v>
      </c>
      <c r="AL130" s="163" t="s">
        <v>263</v>
      </c>
      <c r="AM130" s="179">
        <v>752</v>
      </c>
      <c r="AN130" s="179">
        <v>752</v>
      </c>
      <c r="AO130" s="179">
        <f t="shared" si="94"/>
        <v>3782.6</v>
      </c>
      <c r="AP130" s="163" t="str">
        <f t="shared" si="77"/>
        <v>Cost-Effective</v>
      </c>
      <c r="AQ130" s="163" t="str">
        <f t="shared" ref="AQ130:AQ195" si="102">IF(AN130="NA", ".", IF(AN130&lt;0,"Cost-Saving",IF(AN130&lt;=AO130*3,"Cost-Effective",IF(AN130&gt;AO130*3&amp;AN130&lt;&gt;"NA","Not Cost-Effective","Missing"))))</f>
        <v>Cost-Effective</v>
      </c>
      <c r="AR130" s="167">
        <f t="shared" si="100"/>
        <v>0.19880505472426374</v>
      </c>
      <c r="AS130" s="167">
        <f t="shared" ref="AS130:AS161" si="103">IFERROR(VLOOKUP(G130,ochalek,11,FALSE),".")</f>
        <v>1.89</v>
      </c>
      <c r="AT130" s="159" t="str">
        <f t="shared" si="67"/>
        <v>Cost-Effective</v>
      </c>
      <c r="AU130" s="167">
        <f t="shared" ref="AU130:AU161" si="104">IFERROR(VLOOKUP(G130,ochalek,10,FALSE),".")</f>
        <v>1.17</v>
      </c>
      <c r="AV130" s="162" t="str">
        <f t="shared" si="68"/>
        <v>Cost-Effective</v>
      </c>
      <c r="AW130" s="167">
        <f t="shared" ref="AW130:AW161" si="105">IFERROR(VLOOKUP(G130,woods,6,FALSE),".")</f>
        <v>0.6677477128612227</v>
      </c>
      <c r="AX130" s="159" t="str">
        <f t="shared" si="69"/>
        <v>Cost-Effective</v>
      </c>
      <c r="AY130" s="167">
        <f t="shared" ref="AY130:AY161" si="106">IFERROR(VLOOKUP(G130,woods,5,FALSE),".")</f>
        <v>0.16578730819497556</v>
      </c>
      <c r="AZ130" s="159" t="str">
        <f t="shared" si="70"/>
        <v>Not Cost-Effective</v>
      </c>
      <c r="BA130" s="167">
        <f t="shared" ref="BA130:BA161" si="107">IFERROR(VLOOKUP(G130,riviere,8,FALSE),".")</f>
        <v>1.3213703099510603</v>
      </c>
      <c r="BB130" s="159" t="str">
        <f t="shared" si="71"/>
        <v>Cost-Effective</v>
      </c>
      <c r="BC130" s="167">
        <f t="shared" ref="BC130:BC161" si="108">IFERROR(VLOOKUP(G130,riviere,7,FALSE),".")</f>
        <v>0.54765788860405495</v>
      </c>
      <c r="BD130" s="159" t="str">
        <f t="shared" si="72"/>
        <v>Cost-Effective</v>
      </c>
      <c r="BE130" s="162" t="s">
        <v>176</v>
      </c>
      <c r="BF130" s="162" t="s">
        <v>382</v>
      </c>
      <c r="BG130" s="168">
        <f t="shared" ref="BG130:BG161" si="109">IF(BF130="Cost-Effective",IF(AV130="Not Cost-Effective",1,0),".")</f>
        <v>0</v>
      </c>
      <c r="BH130" s="168">
        <f t="shared" ref="BH130:BH161" si="110">IF(BF130="Cost-Effective",IF(AT130="Not Cost-Effective",1,0),".")</f>
        <v>0</v>
      </c>
      <c r="BI130" s="163">
        <f t="shared" ref="BI130:BI161" si="111">IF(BF130="Cost-Effective",IF(AZ130="Not Cost-Effective",1,0),".")</f>
        <v>1</v>
      </c>
      <c r="BJ130" s="163">
        <f t="shared" ref="BJ130:BJ161" si="112">IF(BF130="Cost-Effective",IF(AX130="Not Cost-Effective",1,0),".")</f>
        <v>0</v>
      </c>
      <c r="BK130" s="163">
        <f t="shared" si="73"/>
        <v>0</v>
      </c>
      <c r="BL130" s="163">
        <f t="shared" si="74"/>
        <v>0</v>
      </c>
      <c r="BM130" s="163">
        <f t="shared" si="75"/>
        <v>1</v>
      </c>
      <c r="BN130" s="163" t="s">
        <v>155</v>
      </c>
      <c r="BO130" s="162" t="str">
        <f t="shared" si="96"/>
        <v/>
      </c>
      <c r="BP130" s="162" t="s">
        <v>170</v>
      </c>
      <c r="BQ130" s="162" t="s">
        <v>156</v>
      </c>
    </row>
    <row r="131" spans="1:69">
      <c r="A131" s="159">
        <f t="shared" ref="A131:A194" si="113">IF(F131=F130,A130,A130+1)</f>
        <v>43</v>
      </c>
      <c r="B131" s="159">
        <f t="shared" ref="B131:B194" si="114">IF(F131=F130,B130+1,1)</f>
        <v>1</v>
      </c>
      <c r="C131" s="160" t="str">
        <f t="shared" si="101"/>
        <v>4301</v>
      </c>
      <c r="D131" s="159" t="s">
        <v>279</v>
      </c>
      <c r="E131" s="159">
        <v>2013</v>
      </c>
      <c r="F131" s="162" t="s">
        <v>676</v>
      </c>
      <c r="G131" s="182" t="s">
        <v>221</v>
      </c>
      <c r="H131" s="163" t="str">
        <f t="shared" si="93"/>
        <v>UM</v>
      </c>
      <c r="I131" s="163" t="s">
        <v>155</v>
      </c>
      <c r="J131" s="180" t="s">
        <v>533</v>
      </c>
      <c r="K131" s="163" t="s">
        <v>166</v>
      </c>
      <c r="L131" s="163" t="s">
        <v>147</v>
      </c>
      <c r="M131" s="163" t="str">
        <f t="shared" ref="M131:M194" si="115">_xlfn.CONCAT(K131, " vs ", L131)</f>
        <v>PCV10 vs NoVax</v>
      </c>
      <c r="N131" s="159" t="s">
        <v>403</v>
      </c>
      <c r="O131" s="159">
        <v>4</v>
      </c>
      <c r="P131" s="162" t="s">
        <v>148</v>
      </c>
      <c r="Q131" s="162" t="s">
        <v>377</v>
      </c>
      <c r="R131" s="162" t="s">
        <v>150</v>
      </c>
      <c r="S131" s="162" t="s">
        <v>151</v>
      </c>
      <c r="T131" s="159">
        <v>2009</v>
      </c>
      <c r="U131" s="165">
        <v>20</v>
      </c>
      <c r="V131" s="165" t="e">
        <f>IF(ISNUMBER(U131),U131/VLOOKUP($S131,xRates!$A$1:$AA$267,data!$T131-xRates!$B$1+2,FALSE),U131)</f>
        <v>#REF!</v>
      </c>
      <c r="W131" s="162" t="s">
        <v>677</v>
      </c>
      <c r="Y131" s="165"/>
      <c r="AA131" s="163" t="s">
        <v>155</v>
      </c>
      <c r="AB131" s="162"/>
      <c r="AC131" s="162" t="str">
        <f t="shared" si="98"/>
        <v/>
      </c>
      <c r="AD131" s="163" t="s">
        <v>155</v>
      </c>
      <c r="AE131" s="162" t="str">
        <f t="shared" si="99"/>
        <v/>
      </c>
      <c r="AF131" s="163" t="s">
        <v>148</v>
      </c>
      <c r="AG131" s="163" t="s">
        <v>148</v>
      </c>
      <c r="AH131" s="163" t="s">
        <v>148</v>
      </c>
      <c r="AJ131" s="162"/>
      <c r="AK131" s="162" t="s">
        <v>678</v>
      </c>
      <c r="AL131" s="163" t="s">
        <v>152</v>
      </c>
      <c r="AM131" s="179">
        <v>3347.53</v>
      </c>
      <c r="AN131" s="179">
        <v>3347.53</v>
      </c>
      <c r="AO131" s="179">
        <f t="shared" si="94"/>
        <v>8184.4</v>
      </c>
      <c r="AP131" s="163" t="str">
        <f t="shared" si="77"/>
        <v>Cost-Effective</v>
      </c>
      <c r="AQ131" s="163" t="str">
        <f t="shared" si="102"/>
        <v>Cost-Effective</v>
      </c>
      <c r="AR131" s="167">
        <f t="shared" si="100"/>
        <v>0.40901348907678026</v>
      </c>
      <c r="AS131" s="167">
        <f t="shared" si="103"/>
        <v>0.56000000000000005</v>
      </c>
      <c r="AT131" s="159" t="str">
        <f t="shared" ref="AT131:AT194" si="116">IF(AR131&lt;0,"Cost-Saving", IF(AS131=".", ".", IF(AR131&lt;AS131, "Cost-Effective", "Not Cost-Effective")))</f>
        <v>Cost-Effective</v>
      </c>
      <c r="AU131" s="167">
        <f t="shared" si="104"/>
        <v>0.37</v>
      </c>
      <c r="AV131" s="162" t="str">
        <f t="shared" ref="AV131:AV194" si="117">IF(AR131&lt;0,"Cost-Saving", IF(AU131=".", ".", IF(AR131&lt;AU131, "Cost-Effective", "Not Cost-Effective")))</f>
        <v>Not Cost-Effective</v>
      </c>
      <c r="AW131" s="167" t="str">
        <f t="shared" si="105"/>
        <v>.</v>
      </c>
      <c r="AX131" s="159" t="str">
        <f t="shared" ref="AX131:AX194" si="118">IF(AR131&lt;0,"Cost-Saving", IF(AW131=".", ".", IF(AR131&lt;AW131, "Cost-Effective", "Not Cost-Effective")))</f>
        <v>.</v>
      </c>
      <c r="AY131" s="167" t="str">
        <f t="shared" si="106"/>
        <v>.</v>
      </c>
      <c r="AZ131" s="159" t="str">
        <f t="shared" ref="AZ131:AZ194" si="119">IF(AR131&lt;0,"Cost-Saving", IF(AY131=".", ".", IF(AR131&lt;AY131, "Cost-Effective", "Not Cost-Effective")))</f>
        <v>.</v>
      </c>
      <c r="BA131" s="167">
        <f t="shared" si="107"/>
        <v>1.6478818109738349</v>
      </c>
      <c r="BB131" s="159" t="str">
        <f t="shared" ref="BB131:BB192" si="120">IF(AR131&lt;0,"Cost-Saving", IF(BA131=".", ".", IF(AR131&lt;BA131, "Cost-Effective", "Not Cost-Effective")))</f>
        <v>Cost-Effective</v>
      </c>
      <c r="BC131" s="167">
        <f t="shared" si="108"/>
        <v>0.68297921454881216</v>
      </c>
      <c r="BD131" s="159" t="str">
        <f t="shared" ref="BD131:BD192" si="121">IF(AR131&lt;0,"Cost-Saving", IF(BC131=".", ".", IF(AR131&lt;BC131, "Cost-Effective", "Not Cost-Effective")))</f>
        <v>Cost-Effective</v>
      </c>
      <c r="BE131" s="162" t="s">
        <v>161</v>
      </c>
      <c r="BF131" s="162" t="s">
        <v>382</v>
      </c>
      <c r="BG131" s="168">
        <f t="shared" si="109"/>
        <v>1</v>
      </c>
      <c r="BH131" s="168">
        <f t="shared" si="110"/>
        <v>0</v>
      </c>
      <c r="BI131" s="163">
        <f t="shared" si="111"/>
        <v>0</v>
      </c>
      <c r="BJ131" s="163">
        <f t="shared" si="112"/>
        <v>0</v>
      </c>
      <c r="BK131" s="163">
        <f t="shared" ref="BK131:BK192" si="122">IF(BF131="Cost-Effective",IF(BD131="Not Cost-Effective",1,0),".")</f>
        <v>0</v>
      </c>
      <c r="BL131" s="163">
        <f t="shared" ref="BL131:BL192" si="123">IF(BF131="Cost-Effective",IF(BB131="Not Cost-Effective",1,0),".")</f>
        <v>0</v>
      </c>
      <c r="BM131" s="163">
        <f t="shared" ref="BM131:BM192" si="124">SUM(BG131:BL131)</f>
        <v>1</v>
      </c>
      <c r="BN131" s="163" t="s">
        <v>155</v>
      </c>
      <c r="BO131" s="162" t="str">
        <f t="shared" si="96"/>
        <v/>
      </c>
      <c r="BP131" s="162" t="s">
        <v>422</v>
      </c>
      <c r="BQ131" s="162" t="s">
        <v>163</v>
      </c>
    </row>
    <row r="132" spans="1:69">
      <c r="A132" s="159">
        <f t="shared" si="113"/>
        <v>43</v>
      </c>
      <c r="B132" s="159">
        <f t="shared" si="114"/>
        <v>2</v>
      </c>
      <c r="C132" s="160" t="str">
        <f t="shared" si="101"/>
        <v>4302</v>
      </c>
      <c r="D132" s="159" t="s">
        <v>279</v>
      </c>
      <c r="E132" s="159">
        <v>2013</v>
      </c>
      <c r="F132" s="162" t="s">
        <v>676</v>
      </c>
      <c r="G132" s="182" t="s">
        <v>221</v>
      </c>
      <c r="H132" s="163" t="str">
        <f t="shared" ref="H132:H162" si="125">VLOOKUP(G132,income,T132-1985,FALSE)</f>
        <v>UM</v>
      </c>
      <c r="I132" s="163" t="s">
        <v>155</v>
      </c>
      <c r="J132" s="180" t="s">
        <v>533</v>
      </c>
      <c r="K132" s="163" t="s">
        <v>166</v>
      </c>
      <c r="L132" s="163" t="s">
        <v>147</v>
      </c>
      <c r="M132" s="163" t="str">
        <f t="shared" si="115"/>
        <v>PCV10 vs NoVax</v>
      </c>
      <c r="N132" s="159" t="s">
        <v>403</v>
      </c>
      <c r="O132" s="159">
        <v>4</v>
      </c>
      <c r="P132" s="162" t="s">
        <v>155</v>
      </c>
      <c r="Q132" s="162" t="s">
        <v>149</v>
      </c>
      <c r="R132" s="162" t="s">
        <v>150</v>
      </c>
      <c r="S132" s="162" t="s">
        <v>151</v>
      </c>
      <c r="T132" s="159">
        <v>2009</v>
      </c>
      <c r="U132" s="165">
        <v>20</v>
      </c>
      <c r="V132" s="165" t="e">
        <f>IF(ISNUMBER(U132),U132/VLOOKUP($S132,xRates!$A$1:$AA$267,data!$T132-xRates!$B$1+2,FALSE),U132)</f>
        <v>#REF!</v>
      </c>
      <c r="W132" s="162" t="s">
        <v>677</v>
      </c>
      <c r="Y132" s="165"/>
      <c r="AA132" s="163" t="s">
        <v>155</v>
      </c>
      <c r="AB132" s="162"/>
      <c r="AC132" s="162" t="str">
        <f t="shared" si="98"/>
        <v/>
      </c>
      <c r="AD132" s="163" t="s">
        <v>155</v>
      </c>
      <c r="AE132" s="162" t="str">
        <f t="shared" si="99"/>
        <v/>
      </c>
      <c r="AF132" s="163" t="s">
        <v>148</v>
      </c>
      <c r="AG132" s="163" t="s">
        <v>148</v>
      </c>
      <c r="AH132" s="163" t="s">
        <v>148</v>
      </c>
      <c r="AJ132" s="162"/>
      <c r="AK132" s="162" t="s">
        <v>679</v>
      </c>
      <c r="AL132" s="163" t="s">
        <v>152</v>
      </c>
      <c r="AM132" s="179">
        <v>1509.59</v>
      </c>
      <c r="AN132" s="179">
        <v>1509.59</v>
      </c>
      <c r="AO132" s="179">
        <f t="shared" ref="AO132:AO162" si="126">VLOOKUP(G132,gdppc,T132-1958,FALSE)</f>
        <v>8184.4</v>
      </c>
      <c r="AP132" s="163" t="str">
        <f t="shared" si="77"/>
        <v>Cost-Effective</v>
      </c>
      <c r="AQ132" s="163" t="str">
        <f t="shared" si="102"/>
        <v>Cost-Effective</v>
      </c>
      <c r="AR132" s="167">
        <f t="shared" si="100"/>
        <v>0.18444724109281072</v>
      </c>
      <c r="AS132" s="167">
        <f t="shared" si="103"/>
        <v>0.56000000000000005</v>
      </c>
      <c r="AT132" s="159" t="str">
        <f t="shared" si="116"/>
        <v>Cost-Effective</v>
      </c>
      <c r="AU132" s="167">
        <f t="shared" si="104"/>
        <v>0.37</v>
      </c>
      <c r="AV132" s="162" t="str">
        <f t="shared" si="117"/>
        <v>Cost-Effective</v>
      </c>
      <c r="AW132" s="167" t="str">
        <f t="shared" si="105"/>
        <v>.</v>
      </c>
      <c r="AX132" s="159" t="str">
        <f t="shared" si="118"/>
        <v>.</v>
      </c>
      <c r="AY132" s="167" t="str">
        <f t="shared" si="106"/>
        <v>.</v>
      </c>
      <c r="AZ132" s="159" t="str">
        <f t="shared" si="119"/>
        <v>.</v>
      </c>
      <c r="BA132" s="167">
        <f t="shared" si="107"/>
        <v>1.6478818109738349</v>
      </c>
      <c r="BB132" s="159" t="str">
        <f t="shared" si="120"/>
        <v>Cost-Effective</v>
      </c>
      <c r="BC132" s="167">
        <f t="shared" si="108"/>
        <v>0.68297921454881216</v>
      </c>
      <c r="BD132" s="159" t="str">
        <f t="shared" si="121"/>
        <v>Cost-Effective</v>
      </c>
      <c r="BE132" s="162" t="s">
        <v>161</v>
      </c>
      <c r="BF132" s="162" t="s">
        <v>382</v>
      </c>
      <c r="BG132" s="168">
        <f t="shared" si="109"/>
        <v>0</v>
      </c>
      <c r="BH132" s="168">
        <f t="shared" si="110"/>
        <v>0</v>
      </c>
      <c r="BI132" s="163">
        <f t="shared" si="111"/>
        <v>0</v>
      </c>
      <c r="BJ132" s="163">
        <f t="shared" si="112"/>
        <v>0</v>
      </c>
      <c r="BK132" s="163">
        <f t="shared" si="122"/>
        <v>0</v>
      </c>
      <c r="BL132" s="163">
        <f t="shared" si="123"/>
        <v>0</v>
      </c>
      <c r="BM132" s="163">
        <f t="shared" si="124"/>
        <v>0</v>
      </c>
      <c r="BN132" s="163" t="s">
        <v>155</v>
      </c>
      <c r="BO132" s="162" t="str">
        <f t="shared" si="96"/>
        <v/>
      </c>
      <c r="BP132" s="162" t="s">
        <v>422</v>
      </c>
      <c r="BQ132" s="162" t="s">
        <v>163</v>
      </c>
    </row>
    <row r="133" spans="1:69">
      <c r="A133" s="159">
        <f t="shared" si="113"/>
        <v>43</v>
      </c>
      <c r="B133" s="159">
        <f t="shared" si="114"/>
        <v>3</v>
      </c>
      <c r="C133" s="160" t="str">
        <f t="shared" si="101"/>
        <v>4303</v>
      </c>
      <c r="D133" s="159" t="s">
        <v>279</v>
      </c>
      <c r="E133" s="159">
        <v>2013</v>
      </c>
      <c r="F133" s="162" t="s">
        <v>676</v>
      </c>
      <c r="G133" s="182" t="s">
        <v>221</v>
      </c>
      <c r="H133" s="163" t="str">
        <f t="shared" si="125"/>
        <v>UM</v>
      </c>
      <c r="I133" s="163" t="s">
        <v>155</v>
      </c>
      <c r="J133" s="180" t="s">
        <v>533</v>
      </c>
      <c r="K133" s="163" t="s">
        <v>166</v>
      </c>
      <c r="L133" s="163" t="s">
        <v>147</v>
      </c>
      <c r="M133" s="163" t="str">
        <f t="shared" si="115"/>
        <v>PCV10 vs NoVax</v>
      </c>
      <c r="N133" s="159" t="s">
        <v>403</v>
      </c>
      <c r="O133" s="159">
        <v>4</v>
      </c>
      <c r="P133" s="162" t="s">
        <v>155</v>
      </c>
      <c r="Q133" s="162" t="s">
        <v>377</v>
      </c>
      <c r="R133" s="162" t="s">
        <v>150</v>
      </c>
      <c r="S133" s="162" t="s">
        <v>151</v>
      </c>
      <c r="T133" s="159">
        <v>2009</v>
      </c>
      <c r="U133" s="165">
        <v>20</v>
      </c>
      <c r="V133" s="165" t="e">
        <f>IF(ISNUMBER(U133),U133/VLOOKUP($S133,xRates!$A$1:$AA$267,data!$T133-xRates!$B$1+2,FALSE),U133)</f>
        <v>#REF!</v>
      </c>
      <c r="W133" s="162" t="s">
        <v>677</v>
      </c>
      <c r="Y133" s="165"/>
      <c r="AA133" s="163" t="s">
        <v>148</v>
      </c>
      <c r="AB133" s="162" t="s">
        <v>417</v>
      </c>
      <c r="AC133" s="162" t="s">
        <v>148</v>
      </c>
      <c r="AD133" s="163" t="s">
        <v>155</v>
      </c>
      <c r="AE133" s="162" t="str">
        <f t="shared" si="99"/>
        <v/>
      </c>
      <c r="AF133" s="163" t="s">
        <v>148</v>
      </c>
      <c r="AG133" s="163" t="s">
        <v>148</v>
      </c>
      <c r="AH133" s="163" t="s">
        <v>148</v>
      </c>
      <c r="AJ133" s="162"/>
      <c r="AK133" s="162" t="s">
        <v>680</v>
      </c>
      <c r="AL133" s="163" t="s">
        <v>152</v>
      </c>
      <c r="AM133" s="179">
        <v>3295.13</v>
      </c>
      <c r="AN133" s="179">
        <v>3295.13</v>
      </c>
      <c r="AO133" s="179">
        <f t="shared" si="126"/>
        <v>8184.4</v>
      </c>
      <c r="AP133" s="163" t="str">
        <f t="shared" si="77"/>
        <v>Cost-Effective</v>
      </c>
      <c r="AQ133" s="163" t="str">
        <f t="shared" si="102"/>
        <v>Cost-Effective</v>
      </c>
      <c r="AR133" s="167">
        <f t="shared" si="100"/>
        <v>0.40261106495283716</v>
      </c>
      <c r="AS133" s="167">
        <f t="shared" si="103"/>
        <v>0.56000000000000005</v>
      </c>
      <c r="AT133" s="159" t="str">
        <f t="shared" si="116"/>
        <v>Cost-Effective</v>
      </c>
      <c r="AU133" s="167">
        <f t="shared" si="104"/>
        <v>0.37</v>
      </c>
      <c r="AV133" s="162" t="str">
        <f t="shared" si="117"/>
        <v>Not Cost-Effective</v>
      </c>
      <c r="AW133" s="167" t="str">
        <f t="shared" si="105"/>
        <v>.</v>
      </c>
      <c r="AX133" s="159" t="str">
        <f t="shared" si="118"/>
        <v>.</v>
      </c>
      <c r="AY133" s="167" t="str">
        <f t="shared" si="106"/>
        <v>.</v>
      </c>
      <c r="AZ133" s="159" t="str">
        <f t="shared" si="119"/>
        <v>.</v>
      </c>
      <c r="BA133" s="167">
        <f t="shared" si="107"/>
        <v>1.6478818109738349</v>
      </c>
      <c r="BB133" s="159" t="str">
        <f t="shared" si="120"/>
        <v>Cost-Effective</v>
      </c>
      <c r="BC133" s="167">
        <f t="shared" si="108"/>
        <v>0.68297921454881216</v>
      </c>
      <c r="BD133" s="159" t="str">
        <f t="shared" si="121"/>
        <v>Cost-Effective</v>
      </c>
      <c r="BE133" s="162" t="s">
        <v>161</v>
      </c>
      <c r="BF133" s="162" t="s">
        <v>382</v>
      </c>
      <c r="BG133" s="168">
        <f t="shared" si="109"/>
        <v>1</v>
      </c>
      <c r="BH133" s="168">
        <f t="shared" si="110"/>
        <v>0</v>
      </c>
      <c r="BI133" s="163">
        <f t="shared" si="111"/>
        <v>0</v>
      </c>
      <c r="BJ133" s="163">
        <f t="shared" si="112"/>
        <v>0</v>
      </c>
      <c r="BK133" s="163">
        <f t="shared" si="122"/>
        <v>0</v>
      </c>
      <c r="BL133" s="163">
        <f t="shared" si="123"/>
        <v>0</v>
      </c>
      <c r="BM133" s="163">
        <f t="shared" si="124"/>
        <v>1</v>
      </c>
      <c r="BN133" s="163" t="s">
        <v>155</v>
      </c>
      <c r="BO133" s="162" t="str">
        <f t="shared" si="96"/>
        <v/>
      </c>
      <c r="BP133" s="162" t="s">
        <v>422</v>
      </c>
      <c r="BQ133" s="162" t="s">
        <v>163</v>
      </c>
    </row>
    <row r="134" spans="1:69">
      <c r="A134" s="159">
        <f t="shared" si="113"/>
        <v>43</v>
      </c>
      <c r="B134" s="159">
        <f t="shared" si="114"/>
        <v>4</v>
      </c>
      <c r="C134" s="160" t="str">
        <f t="shared" si="101"/>
        <v>4304</v>
      </c>
      <c r="D134" s="159" t="s">
        <v>279</v>
      </c>
      <c r="E134" s="159">
        <v>2013</v>
      </c>
      <c r="F134" s="162" t="s">
        <v>676</v>
      </c>
      <c r="G134" s="182" t="s">
        <v>221</v>
      </c>
      <c r="H134" s="163" t="str">
        <f t="shared" si="125"/>
        <v>UM</v>
      </c>
      <c r="I134" s="163" t="s">
        <v>155</v>
      </c>
      <c r="J134" s="180" t="s">
        <v>533</v>
      </c>
      <c r="K134" s="163" t="s">
        <v>166</v>
      </c>
      <c r="L134" s="163" t="s">
        <v>147</v>
      </c>
      <c r="M134" s="163" t="str">
        <f t="shared" si="115"/>
        <v>PCV10 vs NoVax</v>
      </c>
      <c r="N134" s="159" t="s">
        <v>403</v>
      </c>
      <c r="O134" s="159">
        <v>4</v>
      </c>
      <c r="P134" s="162" t="s">
        <v>155</v>
      </c>
      <c r="Q134" s="162" t="s">
        <v>377</v>
      </c>
      <c r="R134" s="162" t="s">
        <v>150</v>
      </c>
      <c r="S134" s="162" t="s">
        <v>151</v>
      </c>
      <c r="T134" s="159">
        <v>2009</v>
      </c>
      <c r="U134" s="165">
        <v>20</v>
      </c>
      <c r="V134" s="165" t="e">
        <f>IF(ISNUMBER(U134),U134/VLOOKUP($S134,xRates!$A$1:$AA$267,data!$T134-xRates!$B$1+2,FALSE),U134)</f>
        <v>#REF!</v>
      </c>
      <c r="W134" s="162" t="s">
        <v>677</v>
      </c>
      <c r="Y134" s="165"/>
      <c r="AA134" s="163" t="s">
        <v>148</v>
      </c>
      <c r="AB134" s="162" t="s">
        <v>417</v>
      </c>
      <c r="AC134" s="162" t="s">
        <v>148</v>
      </c>
      <c r="AD134" s="163" t="s">
        <v>148</v>
      </c>
      <c r="AE134" s="162" t="s">
        <v>385</v>
      </c>
      <c r="AF134" s="163" t="s">
        <v>148</v>
      </c>
      <c r="AG134" s="163" t="s">
        <v>148</v>
      </c>
      <c r="AH134" s="163" t="s">
        <v>148</v>
      </c>
      <c r="AJ134" s="162"/>
      <c r="AK134" s="162" t="s">
        <v>681</v>
      </c>
      <c r="AL134" s="163" t="s">
        <v>152</v>
      </c>
      <c r="AM134" s="179">
        <v>1454.51</v>
      </c>
      <c r="AN134" s="179">
        <v>1454.51</v>
      </c>
      <c r="AO134" s="179">
        <f t="shared" si="126"/>
        <v>8184.4</v>
      </c>
      <c r="AP134" s="163" t="str">
        <f t="shared" si="77"/>
        <v>Cost-Effective</v>
      </c>
      <c r="AQ134" s="163" t="str">
        <f t="shared" si="102"/>
        <v>Cost-Effective</v>
      </c>
      <c r="AR134" s="167">
        <f t="shared" si="100"/>
        <v>0.17771736474268121</v>
      </c>
      <c r="AS134" s="167">
        <f t="shared" si="103"/>
        <v>0.56000000000000005</v>
      </c>
      <c r="AT134" s="159" t="str">
        <f t="shared" si="116"/>
        <v>Cost-Effective</v>
      </c>
      <c r="AU134" s="167">
        <f t="shared" si="104"/>
        <v>0.37</v>
      </c>
      <c r="AV134" s="162" t="str">
        <f t="shared" si="117"/>
        <v>Cost-Effective</v>
      </c>
      <c r="AW134" s="167" t="str">
        <f t="shared" si="105"/>
        <v>.</v>
      </c>
      <c r="AX134" s="159" t="str">
        <f t="shared" si="118"/>
        <v>.</v>
      </c>
      <c r="AY134" s="167" t="str">
        <f t="shared" si="106"/>
        <v>.</v>
      </c>
      <c r="AZ134" s="159" t="str">
        <f t="shared" si="119"/>
        <v>.</v>
      </c>
      <c r="BA134" s="167">
        <f t="shared" si="107"/>
        <v>1.6478818109738349</v>
      </c>
      <c r="BB134" s="159" t="str">
        <f t="shared" si="120"/>
        <v>Cost-Effective</v>
      </c>
      <c r="BC134" s="167">
        <f t="shared" si="108"/>
        <v>0.68297921454881216</v>
      </c>
      <c r="BD134" s="159" t="str">
        <f t="shared" si="121"/>
        <v>Cost-Effective</v>
      </c>
      <c r="BE134" s="162" t="s">
        <v>161</v>
      </c>
      <c r="BF134" s="162" t="s">
        <v>382</v>
      </c>
      <c r="BG134" s="168">
        <f t="shared" si="109"/>
        <v>0</v>
      </c>
      <c r="BH134" s="168">
        <f t="shared" si="110"/>
        <v>0</v>
      </c>
      <c r="BI134" s="163">
        <f t="shared" si="111"/>
        <v>0</v>
      </c>
      <c r="BJ134" s="163">
        <f t="shared" si="112"/>
        <v>0</v>
      </c>
      <c r="BK134" s="163">
        <f t="shared" si="122"/>
        <v>0</v>
      </c>
      <c r="BL134" s="163">
        <f t="shared" si="123"/>
        <v>0</v>
      </c>
      <c r="BM134" s="163">
        <f t="shared" si="124"/>
        <v>0</v>
      </c>
      <c r="BN134" s="163" t="s">
        <v>155</v>
      </c>
      <c r="BO134" s="162" t="str">
        <f t="shared" si="96"/>
        <v/>
      </c>
      <c r="BP134" s="162" t="s">
        <v>422</v>
      </c>
      <c r="BQ134" s="162" t="s">
        <v>163</v>
      </c>
    </row>
    <row r="135" spans="1:69">
      <c r="A135" s="159">
        <f t="shared" si="113"/>
        <v>43</v>
      </c>
      <c r="B135" s="159">
        <f t="shared" si="114"/>
        <v>5</v>
      </c>
      <c r="C135" s="160" t="str">
        <f t="shared" si="101"/>
        <v>4305</v>
      </c>
      <c r="D135" s="159" t="s">
        <v>279</v>
      </c>
      <c r="E135" s="159">
        <v>2013</v>
      </c>
      <c r="F135" s="162" t="s">
        <v>676</v>
      </c>
      <c r="G135" s="182" t="s">
        <v>211</v>
      </c>
      <c r="H135" s="163" t="str">
        <f t="shared" si="125"/>
        <v>UM</v>
      </c>
      <c r="I135" s="163" t="s">
        <v>155</v>
      </c>
      <c r="J135" s="180" t="s">
        <v>533</v>
      </c>
      <c r="K135" s="163" t="s">
        <v>166</v>
      </c>
      <c r="L135" s="163" t="s">
        <v>147</v>
      </c>
      <c r="M135" s="163" t="str">
        <f t="shared" si="115"/>
        <v>PCV10 vs NoVax</v>
      </c>
      <c r="N135" s="159" t="s">
        <v>403</v>
      </c>
      <c r="O135" s="159">
        <v>4</v>
      </c>
      <c r="P135" s="162" t="s">
        <v>148</v>
      </c>
      <c r="Q135" s="162" t="s">
        <v>377</v>
      </c>
      <c r="R135" s="162" t="s">
        <v>150</v>
      </c>
      <c r="S135" s="162" t="s">
        <v>151</v>
      </c>
      <c r="T135" s="159">
        <v>2008</v>
      </c>
      <c r="U135" s="165">
        <v>20</v>
      </c>
      <c r="V135" s="165" t="e">
        <f>IF(ISNUMBER(U135),U135/VLOOKUP($S135,xRates!$A$1:$AA$267,data!$T135-xRates!$B$1+2,FALSE),U135)</f>
        <v>#REF!</v>
      </c>
      <c r="W135" s="162" t="s">
        <v>677</v>
      </c>
      <c r="Y135" s="165"/>
      <c r="AA135" s="163" t="s">
        <v>155</v>
      </c>
      <c r="AB135" s="162"/>
      <c r="AC135" s="162" t="str">
        <f>IF(AA135="No","","")</f>
        <v/>
      </c>
      <c r="AD135" s="163" t="s">
        <v>155</v>
      </c>
      <c r="AE135" s="162" t="str">
        <f>IF(AD135="No", "", "")</f>
        <v/>
      </c>
      <c r="AF135" s="163" t="s">
        <v>148</v>
      </c>
      <c r="AG135" s="163" t="s">
        <v>148</v>
      </c>
      <c r="AH135" s="163" t="s">
        <v>148</v>
      </c>
      <c r="AJ135" s="162"/>
      <c r="AK135" s="162" t="s">
        <v>682</v>
      </c>
      <c r="AL135" s="163" t="s">
        <v>152</v>
      </c>
      <c r="AM135" s="179">
        <v>7088.64</v>
      </c>
      <c r="AN135" s="179">
        <v>7088.64</v>
      </c>
      <c r="AO135" s="179">
        <f t="shared" si="126"/>
        <v>8801.7999999999993</v>
      </c>
      <c r="AP135" s="163" t="str">
        <f t="shared" ref="AP135" si="127">IF(AN135="NA", ".", IF(AN135&lt;0,"Cost-Saving",IF(AN135&lt;=AO135,"Cost-Effective",IF(AN135&gt;AO135&amp;AN135&lt;&gt;"NA","Not Cost-Effective","Missing"))))</f>
        <v>Cost-Effective</v>
      </c>
      <c r="AQ135" s="163" t="str">
        <f t="shared" si="102"/>
        <v>Cost-Effective</v>
      </c>
      <c r="AR135" s="167">
        <f t="shared" si="100"/>
        <v>0.80536253948056091</v>
      </c>
      <c r="AS135" s="167">
        <f t="shared" si="103"/>
        <v>1.0900000000000001</v>
      </c>
      <c r="AT135" s="159" t="str">
        <f t="shared" si="116"/>
        <v>Cost-Effective</v>
      </c>
      <c r="AU135" s="167">
        <f t="shared" si="104"/>
        <v>0.71</v>
      </c>
      <c r="AV135" s="162" t="str">
        <f t="shared" si="117"/>
        <v>Not Cost-Effective</v>
      </c>
      <c r="AW135" s="167">
        <f t="shared" si="105"/>
        <v>0.61540469547909216</v>
      </c>
      <c r="AX135" s="159" t="str">
        <f t="shared" si="118"/>
        <v>Not Cost-Effective</v>
      </c>
      <c r="AY135" s="167">
        <f t="shared" si="106"/>
        <v>0.19520989346254874</v>
      </c>
      <c r="AZ135" s="159" t="str">
        <f t="shared" si="119"/>
        <v>Not Cost-Effective</v>
      </c>
      <c r="BA135" s="167">
        <f t="shared" si="107"/>
        <v>1.6838320916192782</v>
      </c>
      <c r="BB135" s="159" t="str">
        <f t="shared" si="120"/>
        <v>Cost-Effective</v>
      </c>
      <c r="BC135" s="167">
        <f t="shared" si="108"/>
        <v>0.69788475235435776</v>
      </c>
      <c r="BD135" s="159" t="str">
        <f t="shared" si="121"/>
        <v>Not Cost-Effective</v>
      </c>
      <c r="BE135" s="162" t="s">
        <v>161</v>
      </c>
      <c r="BF135" s="162" t="s">
        <v>382</v>
      </c>
      <c r="BG135" s="168">
        <f t="shared" si="109"/>
        <v>1</v>
      </c>
      <c r="BH135" s="168">
        <f t="shared" si="110"/>
        <v>0</v>
      </c>
      <c r="BI135" s="163">
        <f t="shared" si="111"/>
        <v>1</v>
      </c>
      <c r="BJ135" s="163">
        <f t="shared" si="112"/>
        <v>1</v>
      </c>
      <c r="BK135" s="163">
        <f t="shared" si="122"/>
        <v>1</v>
      </c>
      <c r="BL135" s="163">
        <f t="shared" si="123"/>
        <v>0</v>
      </c>
      <c r="BM135" s="163">
        <f t="shared" si="124"/>
        <v>4</v>
      </c>
      <c r="BN135" s="163" t="s">
        <v>155</v>
      </c>
      <c r="BO135" s="162" t="str">
        <f t="shared" si="96"/>
        <v/>
      </c>
      <c r="BP135" s="162" t="s">
        <v>422</v>
      </c>
      <c r="BQ135" s="162" t="s">
        <v>163</v>
      </c>
    </row>
    <row r="136" spans="1:69">
      <c r="A136" s="159">
        <f t="shared" si="113"/>
        <v>43</v>
      </c>
      <c r="B136" s="159">
        <f t="shared" si="114"/>
        <v>6</v>
      </c>
      <c r="C136" s="160" t="str">
        <f t="shared" si="101"/>
        <v>4306</v>
      </c>
      <c r="D136" s="159" t="s">
        <v>279</v>
      </c>
      <c r="E136" s="159">
        <v>2013</v>
      </c>
      <c r="F136" s="162" t="s">
        <v>676</v>
      </c>
      <c r="G136" s="182" t="s">
        <v>211</v>
      </c>
      <c r="H136" s="163" t="str">
        <f t="shared" si="125"/>
        <v>UM</v>
      </c>
      <c r="I136" s="163" t="s">
        <v>155</v>
      </c>
      <c r="J136" s="180" t="s">
        <v>533</v>
      </c>
      <c r="K136" s="163" t="s">
        <v>166</v>
      </c>
      <c r="L136" s="163" t="s">
        <v>147</v>
      </c>
      <c r="M136" s="163" t="str">
        <f t="shared" si="115"/>
        <v>PCV10 vs NoVax</v>
      </c>
      <c r="N136" s="159" t="s">
        <v>403</v>
      </c>
      <c r="O136" s="159">
        <v>4</v>
      </c>
      <c r="P136" s="162" t="s">
        <v>155</v>
      </c>
      <c r="Q136" s="162" t="s">
        <v>149</v>
      </c>
      <c r="R136" s="162" t="s">
        <v>150</v>
      </c>
      <c r="S136" s="162" t="s">
        <v>151</v>
      </c>
      <c r="T136" s="159">
        <v>2008</v>
      </c>
      <c r="U136" s="165">
        <v>20</v>
      </c>
      <c r="V136" s="165" t="e">
        <f>IF(ISNUMBER(U136),U136/VLOOKUP($S136,xRates!$A$1:$AA$267,data!$T136-xRates!$B$1+2,FALSE),U136)</f>
        <v>#REF!</v>
      </c>
      <c r="W136" s="162" t="s">
        <v>677</v>
      </c>
      <c r="Y136" s="165"/>
      <c r="AA136" s="163" t="s">
        <v>155</v>
      </c>
      <c r="AB136" s="162"/>
      <c r="AC136" s="162" t="str">
        <f>IF(AA136="No","","")</f>
        <v/>
      </c>
      <c r="AD136" s="163" t="s">
        <v>155</v>
      </c>
      <c r="AE136" s="162" t="str">
        <f>IF(AD136="No", "", "")</f>
        <v/>
      </c>
      <c r="AF136" s="163" t="s">
        <v>148</v>
      </c>
      <c r="AG136" s="163" t="s">
        <v>148</v>
      </c>
      <c r="AH136" s="163" t="s">
        <v>148</v>
      </c>
      <c r="AJ136" s="162"/>
      <c r="AK136" s="162" t="s">
        <v>683</v>
      </c>
      <c r="AL136" s="163" t="s">
        <v>152</v>
      </c>
      <c r="AM136" s="179">
        <v>4810.99</v>
      </c>
      <c r="AN136" s="179">
        <v>4810.99</v>
      </c>
      <c r="AO136" s="179">
        <f t="shared" si="126"/>
        <v>8801.7999999999993</v>
      </c>
      <c r="AP136" s="163" t="str">
        <f t="shared" si="77"/>
        <v>Cost-Effective</v>
      </c>
      <c r="AQ136" s="163" t="str">
        <f t="shared" si="102"/>
        <v>Cost-Effective</v>
      </c>
      <c r="AR136" s="167">
        <f t="shared" si="100"/>
        <v>0.54659160626235548</v>
      </c>
      <c r="AS136" s="167">
        <f t="shared" si="103"/>
        <v>1.0900000000000001</v>
      </c>
      <c r="AT136" s="159" t="str">
        <f t="shared" si="116"/>
        <v>Cost-Effective</v>
      </c>
      <c r="AU136" s="167">
        <f t="shared" si="104"/>
        <v>0.71</v>
      </c>
      <c r="AV136" s="162" t="str">
        <f t="shared" si="117"/>
        <v>Cost-Effective</v>
      </c>
      <c r="AW136" s="167">
        <f t="shared" si="105"/>
        <v>0.61540469547909216</v>
      </c>
      <c r="AX136" s="159" t="str">
        <f t="shared" si="118"/>
        <v>Cost-Effective</v>
      </c>
      <c r="AY136" s="167">
        <f t="shared" si="106"/>
        <v>0.19520989346254874</v>
      </c>
      <c r="AZ136" s="159" t="str">
        <f t="shared" si="119"/>
        <v>Not Cost-Effective</v>
      </c>
      <c r="BA136" s="167">
        <f t="shared" si="107"/>
        <v>1.6838320916192782</v>
      </c>
      <c r="BB136" s="159" t="str">
        <f t="shared" si="120"/>
        <v>Cost-Effective</v>
      </c>
      <c r="BC136" s="167">
        <f t="shared" si="108"/>
        <v>0.69788475235435776</v>
      </c>
      <c r="BD136" s="159" t="str">
        <f t="shared" si="121"/>
        <v>Cost-Effective</v>
      </c>
      <c r="BE136" s="162" t="s">
        <v>161</v>
      </c>
      <c r="BF136" s="162" t="s">
        <v>382</v>
      </c>
      <c r="BG136" s="168">
        <f t="shared" si="109"/>
        <v>0</v>
      </c>
      <c r="BH136" s="168">
        <f t="shared" si="110"/>
        <v>0</v>
      </c>
      <c r="BI136" s="163">
        <f t="shared" si="111"/>
        <v>1</v>
      </c>
      <c r="BJ136" s="163">
        <f t="shared" si="112"/>
        <v>0</v>
      </c>
      <c r="BK136" s="163">
        <f t="shared" si="122"/>
        <v>0</v>
      </c>
      <c r="BL136" s="163">
        <f t="shared" si="123"/>
        <v>0</v>
      </c>
      <c r="BM136" s="163">
        <f t="shared" si="124"/>
        <v>1</v>
      </c>
      <c r="BN136" s="163" t="s">
        <v>155</v>
      </c>
      <c r="BO136" s="162" t="str">
        <f t="shared" si="96"/>
        <v/>
      </c>
      <c r="BP136" s="162" t="s">
        <v>422</v>
      </c>
      <c r="BQ136" s="162" t="s">
        <v>163</v>
      </c>
    </row>
    <row r="137" spans="1:69">
      <c r="A137" s="159">
        <f t="shared" si="113"/>
        <v>43</v>
      </c>
      <c r="B137" s="159">
        <f t="shared" si="114"/>
        <v>7</v>
      </c>
      <c r="C137" s="160" t="str">
        <f t="shared" si="101"/>
        <v>4307</v>
      </c>
      <c r="D137" s="159" t="s">
        <v>279</v>
      </c>
      <c r="E137" s="159">
        <v>2013</v>
      </c>
      <c r="F137" s="162" t="s">
        <v>676</v>
      </c>
      <c r="G137" s="182" t="s">
        <v>211</v>
      </c>
      <c r="H137" s="163" t="str">
        <f t="shared" si="125"/>
        <v>UM</v>
      </c>
      <c r="I137" s="163" t="s">
        <v>155</v>
      </c>
      <c r="J137" s="180" t="s">
        <v>533</v>
      </c>
      <c r="K137" s="163" t="s">
        <v>166</v>
      </c>
      <c r="L137" s="163" t="s">
        <v>147</v>
      </c>
      <c r="M137" s="163" t="str">
        <f t="shared" si="115"/>
        <v>PCV10 vs NoVax</v>
      </c>
      <c r="N137" s="159" t="s">
        <v>403</v>
      </c>
      <c r="O137" s="159">
        <v>4</v>
      </c>
      <c r="P137" s="162" t="s">
        <v>155</v>
      </c>
      <c r="Q137" s="162" t="s">
        <v>377</v>
      </c>
      <c r="R137" s="162" t="s">
        <v>150</v>
      </c>
      <c r="S137" s="162" t="s">
        <v>151</v>
      </c>
      <c r="T137" s="159">
        <v>2008</v>
      </c>
      <c r="U137" s="165">
        <v>20</v>
      </c>
      <c r="V137" s="165" t="e">
        <f>IF(ISNUMBER(U137),U137/VLOOKUP($S137,xRates!$A$1:$AA$267,data!$T137-xRates!$B$1+2,FALSE),U137)</f>
        <v>#REF!</v>
      </c>
      <c r="W137" s="162" t="s">
        <v>677</v>
      </c>
      <c r="Y137" s="165"/>
      <c r="AA137" s="163" t="s">
        <v>148</v>
      </c>
      <c r="AB137" s="162" t="s">
        <v>417</v>
      </c>
      <c r="AC137" s="162" t="s">
        <v>148</v>
      </c>
      <c r="AD137" s="163" t="s">
        <v>155</v>
      </c>
      <c r="AE137" s="162" t="str">
        <f>IF(AD137="No", "", "")</f>
        <v/>
      </c>
      <c r="AF137" s="163" t="s">
        <v>148</v>
      </c>
      <c r="AG137" s="163" t="s">
        <v>148</v>
      </c>
      <c r="AH137" s="163" t="s">
        <v>148</v>
      </c>
      <c r="AJ137" s="162"/>
      <c r="AK137" s="162" t="s">
        <v>684</v>
      </c>
      <c r="AL137" s="163" t="s">
        <v>152</v>
      </c>
      <c r="AM137" s="179">
        <v>6293.05</v>
      </c>
      <c r="AN137" s="179">
        <v>6293.05</v>
      </c>
      <c r="AO137" s="179">
        <f t="shared" si="126"/>
        <v>8801.7999999999993</v>
      </c>
      <c r="AP137" s="163" t="str">
        <f t="shared" ref="AP137:AP197" si="128">IF(AN137="NA", ".", IF(AN137&lt;0,"Cost-Saving",IF(AN137&lt;=AO137,"Cost-Effective",IF(AN137&gt;AO137&amp;AN137&lt;&gt;"NA","Not Cost-Effective","Missing"))))</f>
        <v>Cost-Effective</v>
      </c>
      <c r="AQ137" s="163" t="str">
        <f t="shared" si="102"/>
        <v>Cost-Effective</v>
      </c>
      <c r="AR137" s="167">
        <f t="shared" si="100"/>
        <v>0.71497307368947272</v>
      </c>
      <c r="AS137" s="167">
        <f t="shared" si="103"/>
        <v>1.0900000000000001</v>
      </c>
      <c r="AT137" s="159" t="str">
        <f t="shared" si="116"/>
        <v>Cost-Effective</v>
      </c>
      <c r="AU137" s="167">
        <f t="shared" si="104"/>
        <v>0.71</v>
      </c>
      <c r="AV137" s="162" t="str">
        <f t="shared" si="117"/>
        <v>Not Cost-Effective</v>
      </c>
      <c r="AW137" s="167">
        <f t="shared" si="105"/>
        <v>0.61540469547909216</v>
      </c>
      <c r="AX137" s="159" t="str">
        <f t="shared" si="118"/>
        <v>Not Cost-Effective</v>
      </c>
      <c r="AY137" s="167">
        <f t="shared" si="106"/>
        <v>0.19520989346254874</v>
      </c>
      <c r="AZ137" s="159" t="str">
        <f t="shared" si="119"/>
        <v>Not Cost-Effective</v>
      </c>
      <c r="BA137" s="167">
        <f t="shared" si="107"/>
        <v>1.6838320916192782</v>
      </c>
      <c r="BB137" s="159" t="str">
        <f t="shared" si="120"/>
        <v>Cost-Effective</v>
      </c>
      <c r="BC137" s="167">
        <f t="shared" si="108"/>
        <v>0.69788475235435776</v>
      </c>
      <c r="BD137" s="159" t="str">
        <f t="shared" si="121"/>
        <v>Not Cost-Effective</v>
      </c>
      <c r="BE137" s="162" t="s">
        <v>161</v>
      </c>
      <c r="BF137" s="162" t="s">
        <v>382</v>
      </c>
      <c r="BG137" s="168">
        <f t="shared" si="109"/>
        <v>1</v>
      </c>
      <c r="BH137" s="168">
        <f t="shared" si="110"/>
        <v>0</v>
      </c>
      <c r="BI137" s="163">
        <f t="shared" si="111"/>
        <v>1</v>
      </c>
      <c r="BJ137" s="163">
        <f t="shared" si="112"/>
        <v>1</v>
      </c>
      <c r="BK137" s="163">
        <f t="shared" si="122"/>
        <v>1</v>
      </c>
      <c r="BL137" s="163">
        <f t="shared" si="123"/>
        <v>0</v>
      </c>
      <c r="BM137" s="163">
        <f t="shared" si="124"/>
        <v>4</v>
      </c>
      <c r="BN137" s="163" t="s">
        <v>155</v>
      </c>
      <c r="BO137" s="162" t="str">
        <f t="shared" si="96"/>
        <v/>
      </c>
      <c r="BP137" s="162" t="s">
        <v>422</v>
      </c>
      <c r="BQ137" s="162" t="s">
        <v>163</v>
      </c>
    </row>
    <row r="138" spans="1:69">
      <c r="A138" s="159">
        <f t="shared" si="113"/>
        <v>43</v>
      </c>
      <c r="B138" s="159">
        <f t="shared" si="114"/>
        <v>8</v>
      </c>
      <c r="C138" s="160" t="str">
        <f t="shared" si="101"/>
        <v>4308</v>
      </c>
      <c r="D138" s="159" t="s">
        <v>279</v>
      </c>
      <c r="E138" s="159">
        <v>2013</v>
      </c>
      <c r="F138" s="162" t="s">
        <v>676</v>
      </c>
      <c r="G138" s="182" t="s">
        <v>211</v>
      </c>
      <c r="H138" s="163" t="str">
        <f t="shared" si="125"/>
        <v>UM</v>
      </c>
      <c r="I138" s="163" t="s">
        <v>155</v>
      </c>
      <c r="J138" s="180" t="s">
        <v>533</v>
      </c>
      <c r="K138" s="163" t="s">
        <v>166</v>
      </c>
      <c r="L138" s="163" t="s">
        <v>147</v>
      </c>
      <c r="M138" s="163" t="str">
        <f t="shared" si="115"/>
        <v>PCV10 vs NoVax</v>
      </c>
      <c r="N138" s="159" t="s">
        <v>403</v>
      </c>
      <c r="O138" s="159">
        <v>4</v>
      </c>
      <c r="P138" s="162" t="s">
        <v>155</v>
      </c>
      <c r="Q138" s="162" t="s">
        <v>377</v>
      </c>
      <c r="R138" s="162" t="s">
        <v>150</v>
      </c>
      <c r="S138" s="162" t="s">
        <v>151</v>
      </c>
      <c r="T138" s="159">
        <v>2008</v>
      </c>
      <c r="U138" s="165">
        <v>20</v>
      </c>
      <c r="V138" s="165" t="e">
        <f>IF(ISNUMBER(U138),U138/VLOOKUP($S138,xRates!$A$1:$AA$267,data!$T138-xRates!$B$1+2,FALSE),U138)</f>
        <v>#REF!</v>
      </c>
      <c r="W138" s="162" t="s">
        <v>677</v>
      </c>
      <c r="Y138" s="165"/>
      <c r="AA138" s="163" t="s">
        <v>148</v>
      </c>
      <c r="AB138" s="162" t="s">
        <v>417</v>
      </c>
      <c r="AC138" s="162" t="s">
        <v>148</v>
      </c>
      <c r="AD138" s="163" t="s">
        <v>148</v>
      </c>
      <c r="AE138" s="162" t="s">
        <v>385</v>
      </c>
      <c r="AF138" s="163" t="s">
        <v>148</v>
      </c>
      <c r="AG138" s="163" t="s">
        <v>148</v>
      </c>
      <c r="AH138" s="163" t="s">
        <v>148</v>
      </c>
      <c r="AJ138" s="162"/>
      <c r="AK138" s="162" t="s">
        <v>685</v>
      </c>
      <c r="AL138" s="163" t="s">
        <v>152</v>
      </c>
      <c r="AM138" s="179">
        <v>4024.69</v>
      </c>
      <c r="AN138" s="179">
        <v>4024.69</v>
      </c>
      <c r="AO138" s="179">
        <f t="shared" si="126"/>
        <v>8801.7999999999993</v>
      </c>
      <c r="AP138" s="163" t="str">
        <f t="shared" si="128"/>
        <v>Cost-Effective</v>
      </c>
      <c r="AQ138" s="163" t="str">
        <f t="shared" si="102"/>
        <v>Cost-Effective</v>
      </c>
      <c r="AR138" s="167">
        <f t="shared" si="100"/>
        <v>0.45725760639869123</v>
      </c>
      <c r="AS138" s="167">
        <f t="shared" si="103"/>
        <v>1.0900000000000001</v>
      </c>
      <c r="AT138" s="159" t="str">
        <f t="shared" si="116"/>
        <v>Cost-Effective</v>
      </c>
      <c r="AU138" s="167">
        <f t="shared" si="104"/>
        <v>0.71</v>
      </c>
      <c r="AV138" s="162" t="str">
        <f t="shared" si="117"/>
        <v>Cost-Effective</v>
      </c>
      <c r="AW138" s="167">
        <f t="shared" si="105"/>
        <v>0.61540469547909216</v>
      </c>
      <c r="AX138" s="159" t="str">
        <f t="shared" si="118"/>
        <v>Cost-Effective</v>
      </c>
      <c r="AY138" s="167">
        <f t="shared" si="106"/>
        <v>0.19520989346254874</v>
      </c>
      <c r="AZ138" s="159" t="str">
        <f t="shared" si="119"/>
        <v>Not Cost-Effective</v>
      </c>
      <c r="BA138" s="167">
        <f t="shared" si="107"/>
        <v>1.6838320916192782</v>
      </c>
      <c r="BB138" s="159" t="str">
        <f t="shared" si="120"/>
        <v>Cost-Effective</v>
      </c>
      <c r="BC138" s="167">
        <f t="shared" si="108"/>
        <v>0.69788475235435776</v>
      </c>
      <c r="BD138" s="159" t="str">
        <f t="shared" si="121"/>
        <v>Cost-Effective</v>
      </c>
      <c r="BE138" s="162" t="s">
        <v>161</v>
      </c>
      <c r="BF138" s="162" t="s">
        <v>382</v>
      </c>
      <c r="BG138" s="168">
        <f t="shared" si="109"/>
        <v>0</v>
      </c>
      <c r="BH138" s="168">
        <f t="shared" si="110"/>
        <v>0</v>
      </c>
      <c r="BI138" s="163">
        <f t="shared" si="111"/>
        <v>1</v>
      </c>
      <c r="BJ138" s="163">
        <f t="shared" si="112"/>
        <v>0</v>
      </c>
      <c r="BK138" s="163">
        <f t="shared" si="122"/>
        <v>0</v>
      </c>
      <c r="BL138" s="163">
        <f t="shared" si="123"/>
        <v>0</v>
      </c>
      <c r="BM138" s="163">
        <f t="shared" si="124"/>
        <v>1</v>
      </c>
      <c r="BN138" s="163" t="s">
        <v>155</v>
      </c>
      <c r="BO138" s="162" t="str">
        <f t="shared" si="96"/>
        <v/>
      </c>
      <c r="BP138" s="162" t="s">
        <v>422</v>
      </c>
      <c r="BQ138" s="162" t="s">
        <v>163</v>
      </c>
    </row>
    <row r="139" spans="1:69">
      <c r="A139" s="159">
        <f t="shared" si="113"/>
        <v>43</v>
      </c>
      <c r="B139" s="159">
        <f t="shared" si="114"/>
        <v>9</v>
      </c>
      <c r="C139" s="160" t="str">
        <f t="shared" si="101"/>
        <v>4309</v>
      </c>
      <c r="D139" s="159" t="s">
        <v>279</v>
      </c>
      <c r="E139" s="159">
        <v>2013</v>
      </c>
      <c r="F139" s="162" t="s">
        <v>676</v>
      </c>
      <c r="G139" s="182" t="s">
        <v>241</v>
      </c>
      <c r="H139" s="163" t="str">
        <f t="shared" si="125"/>
        <v>UM</v>
      </c>
      <c r="I139" s="163" t="s">
        <v>155</v>
      </c>
      <c r="J139" s="180" t="s">
        <v>533</v>
      </c>
      <c r="K139" s="163" t="s">
        <v>166</v>
      </c>
      <c r="L139" s="163" t="s">
        <v>147</v>
      </c>
      <c r="M139" s="163" t="str">
        <f t="shared" si="115"/>
        <v>PCV10 vs NoVax</v>
      </c>
      <c r="N139" s="159" t="s">
        <v>403</v>
      </c>
      <c r="O139" s="159">
        <v>4</v>
      </c>
      <c r="P139" s="162" t="s">
        <v>148</v>
      </c>
      <c r="Q139" s="162" t="s">
        <v>377</v>
      </c>
      <c r="R139" s="162" t="s">
        <v>150</v>
      </c>
      <c r="S139" s="162" t="s">
        <v>151</v>
      </c>
      <c r="T139" s="159">
        <v>2008</v>
      </c>
      <c r="U139" s="165">
        <v>20</v>
      </c>
      <c r="V139" s="165" t="e">
        <f>IF(ISNUMBER(U139),U139/VLOOKUP($S139,xRates!$A$1:$AA$267,data!$T139-xRates!$B$1+2,FALSE),U139)</f>
        <v>#REF!</v>
      </c>
      <c r="W139" s="162" t="s">
        <v>677</v>
      </c>
      <c r="Y139" s="165"/>
      <c r="AA139" s="163" t="s">
        <v>155</v>
      </c>
      <c r="AB139" s="162"/>
      <c r="AC139" s="162" t="str">
        <f>IF(AA139="No","","")</f>
        <v/>
      </c>
      <c r="AD139" s="163" t="s">
        <v>155</v>
      </c>
      <c r="AE139" s="162" t="str">
        <f>IF(AD139="No", "", "")</f>
        <v/>
      </c>
      <c r="AF139" s="163" t="s">
        <v>148</v>
      </c>
      <c r="AG139" s="163" t="s">
        <v>148</v>
      </c>
      <c r="AH139" s="163" t="s">
        <v>148</v>
      </c>
      <c r="AJ139" s="162"/>
      <c r="AK139" s="162" t="s">
        <v>686</v>
      </c>
      <c r="AL139" s="163" t="s">
        <v>152</v>
      </c>
      <c r="AM139" s="179">
        <v>4021.37</v>
      </c>
      <c r="AN139" s="179">
        <v>4021.37</v>
      </c>
      <c r="AO139" s="179">
        <f t="shared" si="126"/>
        <v>5534.7</v>
      </c>
      <c r="AP139" s="163" t="str">
        <f t="shared" si="128"/>
        <v>Cost-Effective</v>
      </c>
      <c r="AQ139" s="163" t="str">
        <f t="shared" si="102"/>
        <v>Cost-Effective</v>
      </c>
      <c r="AR139" s="167">
        <f t="shared" si="100"/>
        <v>0.72657415939436643</v>
      </c>
      <c r="AS139" s="167">
        <f t="shared" si="103"/>
        <v>1.89</v>
      </c>
      <c r="AT139" s="159" t="str">
        <f t="shared" si="116"/>
        <v>Cost-Effective</v>
      </c>
      <c r="AU139" s="167">
        <f t="shared" si="104"/>
        <v>1.17</v>
      </c>
      <c r="AV139" s="162" t="str">
        <f t="shared" si="117"/>
        <v>Cost-Effective</v>
      </c>
      <c r="AW139" s="167">
        <f t="shared" si="105"/>
        <v>0.6677477128612227</v>
      </c>
      <c r="AX139" s="159" t="str">
        <f t="shared" si="118"/>
        <v>Not Cost-Effective</v>
      </c>
      <c r="AY139" s="167">
        <f t="shared" si="106"/>
        <v>0.16578730819497556</v>
      </c>
      <c r="AZ139" s="159" t="str">
        <f t="shared" si="119"/>
        <v>Not Cost-Effective</v>
      </c>
      <c r="BA139" s="167">
        <f t="shared" si="107"/>
        <v>1.3213703099510603</v>
      </c>
      <c r="BB139" s="159" t="str">
        <f t="shared" si="120"/>
        <v>Cost-Effective</v>
      </c>
      <c r="BC139" s="167">
        <f t="shared" si="108"/>
        <v>0.54765788860405495</v>
      </c>
      <c r="BD139" s="159" t="str">
        <f t="shared" si="121"/>
        <v>Not Cost-Effective</v>
      </c>
      <c r="BE139" s="162" t="s">
        <v>161</v>
      </c>
      <c r="BF139" s="162" t="s">
        <v>382</v>
      </c>
      <c r="BG139" s="168">
        <f t="shared" si="109"/>
        <v>0</v>
      </c>
      <c r="BH139" s="168">
        <f t="shared" si="110"/>
        <v>0</v>
      </c>
      <c r="BI139" s="163">
        <f t="shared" si="111"/>
        <v>1</v>
      </c>
      <c r="BJ139" s="163">
        <f t="shared" si="112"/>
        <v>1</v>
      </c>
      <c r="BK139" s="163">
        <f t="shared" si="122"/>
        <v>1</v>
      </c>
      <c r="BL139" s="163">
        <f t="shared" si="123"/>
        <v>0</v>
      </c>
      <c r="BM139" s="163">
        <f t="shared" si="124"/>
        <v>3</v>
      </c>
      <c r="BN139" s="163" t="s">
        <v>155</v>
      </c>
      <c r="BO139" s="162" t="str">
        <f t="shared" si="96"/>
        <v/>
      </c>
      <c r="BP139" s="162" t="s">
        <v>422</v>
      </c>
      <c r="BQ139" s="162" t="s">
        <v>163</v>
      </c>
    </row>
    <row r="140" spans="1:69">
      <c r="A140" s="159">
        <f t="shared" si="113"/>
        <v>43</v>
      </c>
      <c r="B140" s="159">
        <f t="shared" si="114"/>
        <v>10</v>
      </c>
      <c r="C140" s="160" t="str">
        <f t="shared" si="101"/>
        <v>4310</v>
      </c>
      <c r="D140" s="159" t="s">
        <v>279</v>
      </c>
      <c r="E140" s="159">
        <v>2013</v>
      </c>
      <c r="F140" s="162" t="s">
        <v>676</v>
      </c>
      <c r="G140" s="182" t="s">
        <v>241</v>
      </c>
      <c r="H140" s="163" t="str">
        <f t="shared" si="125"/>
        <v>UM</v>
      </c>
      <c r="I140" s="163" t="s">
        <v>155</v>
      </c>
      <c r="J140" s="180" t="s">
        <v>533</v>
      </c>
      <c r="K140" s="163" t="s">
        <v>166</v>
      </c>
      <c r="L140" s="163" t="s">
        <v>147</v>
      </c>
      <c r="M140" s="163" t="str">
        <f t="shared" si="115"/>
        <v>PCV10 vs NoVax</v>
      </c>
      <c r="N140" s="159" t="s">
        <v>403</v>
      </c>
      <c r="O140" s="159">
        <v>4</v>
      </c>
      <c r="P140" s="162" t="s">
        <v>155</v>
      </c>
      <c r="Q140" s="162" t="s">
        <v>149</v>
      </c>
      <c r="R140" s="162" t="s">
        <v>150</v>
      </c>
      <c r="S140" s="162" t="s">
        <v>151</v>
      </c>
      <c r="T140" s="159">
        <v>2008</v>
      </c>
      <c r="U140" s="165">
        <v>20</v>
      </c>
      <c r="V140" s="165" t="e">
        <f>IF(ISNUMBER(U140),U140/VLOOKUP($S140,xRates!$A$1:$AA$267,data!$T140-xRates!$B$1+2,FALSE),U140)</f>
        <v>#REF!</v>
      </c>
      <c r="W140" s="162" t="s">
        <v>677</v>
      </c>
      <c r="Y140" s="165"/>
      <c r="AA140" s="163" t="s">
        <v>155</v>
      </c>
      <c r="AB140" s="162"/>
      <c r="AC140" s="162" t="str">
        <f>IF(AA140="No","","")</f>
        <v/>
      </c>
      <c r="AD140" s="163" t="s">
        <v>155</v>
      </c>
      <c r="AE140" s="162" t="str">
        <f>IF(AD140="No", "", "")</f>
        <v/>
      </c>
      <c r="AF140" s="163" t="s">
        <v>148</v>
      </c>
      <c r="AG140" s="163" t="s">
        <v>148</v>
      </c>
      <c r="AH140" s="163" t="s">
        <v>148</v>
      </c>
      <c r="AJ140" s="162"/>
      <c r="AK140" s="162" t="s">
        <v>687</v>
      </c>
      <c r="AL140" s="163" t="s">
        <v>152</v>
      </c>
      <c r="AM140" s="179">
        <v>2433.3200000000002</v>
      </c>
      <c r="AN140" s="179">
        <v>2433.3200000000002</v>
      </c>
      <c r="AO140" s="179">
        <f t="shared" si="126"/>
        <v>5534.7</v>
      </c>
      <c r="AP140" s="163" t="str">
        <f t="shared" si="128"/>
        <v>Cost-Effective</v>
      </c>
      <c r="AQ140" s="163" t="str">
        <f t="shared" si="102"/>
        <v>Cost-Effective</v>
      </c>
      <c r="AR140" s="167">
        <f t="shared" si="100"/>
        <v>0.43964803873742031</v>
      </c>
      <c r="AS140" s="167">
        <f t="shared" si="103"/>
        <v>1.89</v>
      </c>
      <c r="AT140" s="159" t="str">
        <f t="shared" si="116"/>
        <v>Cost-Effective</v>
      </c>
      <c r="AU140" s="167">
        <f t="shared" si="104"/>
        <v>1.17</v>
      </c>
      <c r="AV140" s="162" t="str">
        <f t="shared" si="117"/>
        <v>Cost-Effective</v>
      </c>
      <c r="AW140" s="167">
        <f t="shared" si="105"/>
        <v>0.6677477128612227</v>
      </c>
      <c r="AX140" s="159" t="str">
        <f t="shared" si="118"/>
        <v>Cost-Effective</v>
      </c>
      <c r="AY140" s="167">
        <f t="shared" si="106"/>
        <v>0.16578730819497556</v>
      </c>
      <c r="AZ140" s="159" t="str">
        <f t="shared" si="119"/>
        <v>Not Cost-Effective</v>
      </c>
      <c r="BA140" s="167">
        <f t="shared" si="107"/>
        <v>1.3213703099510603</v>
      </c>
      <c r="BB140" s="159" t="str">
        <f t="shared" si="120"/>
        <v>Cost-Effective</v>
      </c>
      <c r="BC140" s="167">
        <f t="shared" si="108"/>
        <v>0.54765788860405495</v>
      </c>
      <c r="BD140" s="159" t="str">
        <f t="shared" si="121"/>
        <v>Cost-Effective</v>
      </c>
      <c r="BE140" s="162" t="s">
        <v>161</v>
      </c>
      <c r="BF140" s="162" t="s">
        <v>382</v>
      </c>
      <c r="BG140" s="168">
        <f t="shared" si="109"/>
        <v>0</v>
      </c>
      <c r="BH140" s="168">
        <f t="shared" si="110"/>
        <v>0</v>
      </c>
      <c r="BI140" s="163">
        <f t="shared" si="111"/>
        <v>1</v>
      </c>
      <c r="BJ140" s="163">
        <f t="shared" si="112"/>
        <v>0</v>
      </c>
      <c r="BK140" s="163">
        <f t="shared" si="122"/>
        <v>0</v>
      </c>
      <c r="BL140" s="163">
        <f t="shared" si="123"/>
        <v>0</v>
      </c>
      <c r="BM140" s="163">
        <f t="shared" si="124"/>
        <v>1</v>
      </c>
      <c r="BN140" s="163" t="s">
        <v>155</v>
      </c>
      <c r="BO140" s="162" t="str">
        <f t="shared" si="96"/>
        <v/>
      </c>
      <c r="BP140" s="162" t="s">
        <v>422</v>
      </c>
      <c r="BQ140" s="162" t="s">
        <v>163</v>
      </c>
    </row>
    <row r="141" spans="1:69">
      <c r="A141" s="159">
        <f t="shared" si="113"/>
        <v>43</v>
      </c>
      <c r="B141" s="159">
        <f t="shared" si="114"/>
        <v>11</v>
      </c>
      <c r="C141" s="160" t="str">
        <f t="shared" si="101"/>
        <v>4311</v>
      </c>
      <c r="D141" s="159" t="s">
        <v>279</v>
      </c>
      <c r="E141" s="159">
        <v>2013</v>
      </c>
      <c r="F141" s="162" t="s">
        <v>676</v>
      </c>
      <c r="G141" s="182" t="s">
        <v>241</v>
      </c>
      <c r="H141" s="163" t="str">
        <f t="shared" si="125"/>
        <v>UM</v>
      </c>
      <c r="I141" s="163" t="s">
        <v>155</v>
      </c>
      <c r="J141" s="180" t="s">
        <v>533</v>
      </c>
      <c r="K141" s="163" t="s">
        <v>166</v>
      </c>
      <c r="L141" s="163" t="s">
        <v>147</v>
      </c>
      <c r="M141" s="163" t="str">
        <f t="shared" si="115"/>
        <v>PCV10 vs NoVax</v>
      </c>
      <c r="N141" s="159" t="s">
        <v>403</v>
      </c>
      <c r="O141" s="159">
        <v>4</v>
      </c>
      <c r="P141" s="162" t="s">
        <v>155</v>
      </c>
      <c r="Q141" s="162" t="s">
        <v>377</v>
      </c>
      <c r="R141" s="162" t="s">
        <v>150</v>
      </c>
      <c r="S141" s="162" t="s">
        <v>151</v>
      </c>
      <c r="T141" s="159">
        <v>2008</v>
      </c>
      <c r="U141" s="165">
        <v>20</v>
      </c>
      <c r="V141" s="165" t="e">
        <f>IF(ISNUMBER(U141),U141/VLOOKUP($S141,xRates!$A$1:$AA$267,data!$T141-xRates!$B$1+2,FALSE),U141)</f>
        <v>#REF!</v>
      </c>
      <c r="W141" s="162" t="s">
        <v>677</v>
      </c>
      <c r="Y141" s="165"/>
      <c r="AA141" s="163" t="s">
        <v>148</v>
      </c>
      <c r="AB141" s="162" t="s">
        <v>417</v>
      </c>
      <c r="AC141" s="162" t="s">
        <v>148</v>
      </c>
      <c r="AD141" s="163" t="s">
        <v>155</v>
      </c>
      <c r="AE141" s="162" t="str">
        <f>IF(AD141="No", "", "")</f>
        <v/>
      </c>
      <c r="AF141" s="163" t="s">
        <v>148</v>
      </c>
      <c r="AG141" s="163" t="s">
        <v>148</v>
      </c>
      <c r="AH141" s="163" t="s">
        <v>148</v>
      </c>
      <c r="AJ141" s="162"/>
      <c r="AK141" s="162" t="s">
        <v>688</v>
      </c>
      <c r="AL141" s="163" t="s">
        <v>152</v>
      </c>
      <c r="AM141" s="179">
        <v>3885.8</v>
      </c>
      <c r="AN141" s="179">
        <v>3885.8</v>
      </c>
      <c r="AO141" s="179">
        <f t="shared" si="126"/>
        <v>5534.7</v>
      </c>
      <c r="AP141" s="163" t="str">
        <f t="shared" si="128"/>
        <v>Cost-Effective</v>
      </c>
      <c r="AQ141" s="163" t="str">
        <f t="shared" si="102"/>
        <v>Cost-Effective</v>
      </c>
      <c r="AR141" s="167">
        <f t="shared" si="100"/>
        <v>0.70207960684409276</v>
      </c>
      <c r="AS141" s="167">
        <f t="shared" si="103"/>
        <v>1.89</v>
      </c>
      <c r="AT141" s="159" t="str">
        <f t="shared" si="116"/>
        <v>Cost-Effective</v>
      </c>
      <c r="AU141" s="167">
        <f t="shared" si="104"/>
        <v>1.17</v>
      </c>
      <c r="AV141" s="162" t="str">
        <f t="shared" si="117"/>
        <v>Cost-Effective</v>
      </c>
      <c r="AW141" s="167">
        <f t="shared" si="105"/>
        <v>0.6677477128612227</v>
      </c>
      <c r="AX141" s="159" t="str">
        <f t="shared" si="118"/>
        <v>Not Cost-Effective</v>
      </c>
      <c r="AY141" s="167">
        <f t="shared" si="106"/>
        <v>0.16578730819497556</v>
      </c>
      <c r="AZ141" s="159" t="str">
        <f t="shared" si="119"/>
        <v>Not Cost-Effective</v>
      </c>
      <c r="BA141" s="167">
        <f t="shared" si="107"/>
        <v>1.3213703099510603</v>
      </c>
      <c r="BB141" s="159" t="str">
        <f t="shared" si="120"/>
        <v>Cost-Effective</v>
      </c>
      <c r="BC141" s="167">
        <f t="shared" si="108"/>
        <v>0.54765788860405495</v>
      </c>
      <c r="BD141" s="159" t="str">
        <f t="shared" si="121"/>
        <v>Not Cost-Effective</v>
      </c>
      <c r="BE141" s="162" t="s">
        <v>161</v>
      </c>
      <c r="BF141" s="162" t="s">
        <v>382</v>
      </c>
      <c r="BG141" s="168">
        <f t="shared" si="109"/>
        <v>0</v>
      </c>
      <c r="BH141" s="168">
        <f t="shared" si="110"/>
        <v>0</v>
      </c>
      <c r="BI141" s="163">
        <f t="shared" si="111"/>
        <v>1</v>
      </c>
      <c r="BJ141" s="163">
        <f t="shared" si="112"/>
        <v>1</v>
      </c>
      <c r="BK141" s="163">
        <f t="shared" si="122"/>
        <v>1</v>
      </c>
      <c r="BL141" s="163">
        <f t="shared" si="123"/>
        <v>0</v>
      </c>
      <c r="BM141" s="163">
        <f t="shared" si="124"/>
        <v>3</v>
      </c>
      <c r="BN141" s="163" t="s">
        <v>155</v>
      </c>
      <c r="BO141" s="162" t="str">
        <f t="shared" si="96"/>
        <v/>
      </c>
      <c r="BP141" s="162" t="s">
        <v>422</v>
      </c>
      <c r="BQ141" s="162" t="s">
        <v>163</v>
      </c>
    </row>
    <row r="142" spans="1:69">
      <c r="A142" s="159">
        <f t="shared" si="113"/>
        <v>43</v>
      </c>
      <c r="B142" s="159">
        <f t="shared" si="114"/>
        <v>12</v>
      </c>
      <c r="C142" s="160" t="str">
        <f t="shared" si="101"/>
        <v>4312</v>
      </c>
      <c r="D142" s="159" t="s">
        <v>279</v>
      </c>
      <c r="E142" s="159">
        <v>2013</v>
      </c>
      <c r="F142" s="162" t="s">
        <v>676</v>
      </c>
      <c r="G142" s="182" t="s">
        <v>241</v>
      </c>
      <c r="H142" s="163" t="str">
        <f t="shared" si="125"/>
        <v>UM</v>
      </c>
      <c r="I142" s="163" t="s">
        <v>155</v>
      </c>
      <c r="J142" s="180" t="s">
        <v>533</v>
      </c>
      <c r="K142" s="163" t="s">
        <v>166</v>
      </c>
      <c r="L142" s="163" t="s">
        <v>147</v>
      </c>
      <c r="M142" s="163" t="str">
        <f t="shared" si="115"/>
        <v>PCV10 vs NoVax</v>
      </c>
      <c r="N142" s="159" t="s">
        <v>403</v>
      </c>
      <c r="O142" s="159">
        <v>4</v>
      </c>
      <c r="P142" s="162" t="s">
        <v>155</v>
      </c>
      <c r="Q142" s="162" t="s">
        <v>377</v>
      </c>
      <c r="R142" s="162" t="s">
        <v>150</v>
      </c>
      <c r="S142" s="162" t="s">
        <v>151</v>
      </c>
      <c r="T142" s="159">
        <v>2008</v>
      </c>
      <c r="U142" s="165">
        <v>20</v>
      </c>
      <c r="V142" s="165" t="e">
        <f>IF(ISNUMBER(U142),U142/VLOOKUP($S142,xRates!$A$1:$AA$267,data!$T142-xRates!$B$1+2,FALSE),U142)</f>
        <v>#REF!</v>
      </c>
      <c r="W142" s="162" t="s">
        <v>677</v>
      </c>
      <c r="Y142" s="165"/>
      <c r="AA142" s="163" t="s">
        <v>148</v>
      </c>
      <c r="AB142" s="162" t="s">
        <v>417</v>
      </c>
      <c r="AC142" s="162" t="s">
        <v>148</v>
      </c>
      <c r="AD142" s="163" t="s">
        <v>148</v>
      </c>
      <c r="AE142" s="162" t="s">
        <v>385</v>
      </c>
      <c r="AF142" s="163" t="s">
        <v>148</v>
      </c>
      <c r="AG142" s="163" t="s">
        <v>148</v>
      </c>
      <c r="AH142" s="163" t="s">
        <v>148</v>
      </c>
      <c r="AJ142" s="162"/>
      <c r="AK142" s="162" t="s">
        <v>689</v>
      </c>
      <c r="AL142" s="163" t="s">
        <v>152</v>
      </c>
      <c r="AM142" s="179">
        <v>2295.77</v>
      </c>
      <c r="AN142" s="179">
        <v>2295.77</v>
      </c>
      <c r="AO142" s="179">
        <f t="shared" si="126"/>
        <v>5534.7</v>
      </c>
      <c r="AP142" s="163" t="str">
        <f t="shared" si="128"/>
        <v>Cost-Effective</v>
      </c>
      <c r="AQ142" s="163" t="str">
        <f t="shared" si="102"/>
        <v>Cost-Effective</v>
      </c>
      <c r="AR142" s="167">
        <f t="shared" si="100"/>
        <v>0.41479574322004809</v>
      </c>
      <c r="AS142" s="167">
        <f t="shared" si="103"/>
        <v>1.89</v>
      </c>
      <c r="AT142" s="159" t="str">
        <f t="shared" si="116"/>
        <v>Cost-Effective</v>
      </c>
      <c r="AU142" s="167">
        <f t="shared" si="104"/>
        <v>1.17</v>
      </c>
      <c r="AV142" s="162" t="str">
        <f t="shared" si="117"/>
        <v>Cost-Effective</v>
      </c>
      <c r="AW142" s="167">
        <f t="shared" si="105"/>
        <v>0.6677477128612227</v>
      </c>
      <c r="AX142" s="159" t="str">
        <f t="shared" si="118"/>
        <v>Cost-Effective</v>
      </c>
      <c r="AY142" s="167">
        <f t="shared" si="106"/>
        <v>0.16578730819497556</v>
      </c>
      <c r="AZ142" s="159" t="str">
        <f t="shared" si="119"/>
        <v>Not Cost-Effective</v>
      </c>
      <c r="BA142" s="167">
        <f t="shared" si="107"/>
        <v>1.3213703099510603</v>
      </c>
      <c r="BB142" s="159" t="str">
        <f t="shared" si="120"/>
        <v>Cost-Effective</v>
      </c>
      <c r="BC142" s="167">
        <f t="shared" si="108"/>
        <v>0.54765788860405495</v>
      </c>
      <c r="BD142" s="159" t="str">
        <f t="shared" si="121"/>
        <v>Cost-Effective</v>
      </c>
      <c r="BE142" s="162" t="s">
        <v>161</v>
      </c>
      <c r="BF142" s="162" t="s">
        <v>382</v>
      </c>
      <c r="BG142" s="168">
        <f t="shared" si="109"/>
        <v>0</v>
      </c>
      <c r="BH142" s="168">
        <f t="shared" si="110"/>
        <v>0</v>
      </c>
      <c r="BI142" s="163">
        <f t="shared" si="111"/>
        <v>1</v>
      </c>
      <c r="BJ142" s="163">
        <f t="shared" si="112"/>
        <v>0</v>
      </c>
      <c r="BK142" s="163">
        <f t="shared" si="122"/>
        <v>0</v>
      </c>
      <c r="BL142" s="163">
        <f t="shared" si="123"/>
        <v>0</v>
      </c>
      <c r="BM142" s="163">
        <f t="shared" si="124"/>
        <v>1</v>
      </c>
      <c r="BN142" s="163" t="s">
        <v>155</v>
      </c>
      <c r="BO142" s="162" t="str">
        <f t="shared" si="96"/>
        <v/>
      </c>
      <c r="BP142" s="162" t="s">
        <v>422</v>
      </c>
      <c r="BQ142" s="162" t="s">
        <v>163</v>
      </c>
    </row>
    <row r="143" spans="1:69">
      <c r="A143" s="159">
        <f t="shared" si="113"/>
        <v>43</v>
      </c>
      <c r="B143" s="159">
        <f t="shared" si="114"/>
        <v>13</v>
      </c>
      <c r="C143" s="160" t="str">
        <f t="shared" si="101"/>
        <v>4313</v>
      </c>
      <c r="D143" s="159" t="s">
        <v>279</v>
      </c>
      <c r="E143" s="159">
        <v>2013</v>
      </c>
      <c r="F143" s="162" t="s">
        <v>676</v>
      </c>
      <c r="G143" s="182" t="s">
        <v>281</v>
      </c>
      <c r="H143" s="163" t="str">
        <f t="shared" si="125"/>
        <v>UM</v>
      </c>
      <c r="I143" s="163" t="s">
        <v>155</v>
      </c>
      <c r="J143" s="180" t="s">
        <v>533</v>
      </c>
      <c r="K143" s="163" t="s">
        <v>166</v>
      </c>
      <c r="L143" s="163" t="s">
        <v>147</v>
      </c>
      <c r="M143" s="163" t="str">
        <f t="shared" si="115"/>
        <v>PCV10 vs NoVax</v>
      </c>
      <c r="N143" s="159" t="s">
        <v>403</v>
      </c>
      <c r="O143" s="159">
        <v>4</v>
      </c>
      <c r="P143" s="162" t="s">
        <v>148</v>
      </c>
      <c r="Q143" s="162" t="s">
        <v>377</v>
      </c>
      <c r="R143" s="162" t="s">
        <v>150</v>
      </c>
      <c r="S143" s="162" t="s">
        <v>151</v>
      </c>
      <c r="T143" s="159">
        <v>2008</v>
      </c>
      <c r="U143" s="165">
        <v>20</v>
      </c>
      <c r="V143" s="165" t="e">
        <f>IF(ISNUMBER(U143),U143/VLOOKUP($S143,xRates!$A$1:$AA$267,data!$T143-xRates!$B$1+2,FALSE),U143)</f>
        <v>#REF!</v>
      </c>
      <c r="W143" s="162" t="s">
        <v>677</v>
      </c>
      <c r="Y143" s="165"/>
      <c r="AA143" s="163" t="s">
        <v>155</v>
      </c>
      <c r="AB143" s="162"/>
      <c r="AC143" s="162" t="str">
        <f>IF(AA143="No","","")</f>
        <v/>
      </c>
      <c r="AD143" s="163" t="s">
        <v>155</v>
      </c>
      <c r="AE143" s="162" t="str">
        <f>IF(AD143="No", "", "")</f>
        <v/>
      </c>
      <c r="AF143" s="163" t="s">
        <v>148</v>
      </c>
      <c r="AG143" s="163" t="s">
        <v>148</v>
      </c>
      <c r="AH143" s="163" t="s">
        <v>148</v>
      </c>
      <c r="AJ143" s="162"/>
      <c r="AK143" s="162" t="s">
        <v>690</v>
      </c>
      <c r="AL143" s="163" t="s">
        <v>152</v>
      </c>
      <c r="AM143" s="179">
        <v>4594.33</v>
      </c>
      <c r="AN143" s="179">
        <v>4594.33</v>
      </c>
      <c r="AO143" s="179">
        <f t="shared" si="126"/>
        <v>10590</v>
      </c>
      <c r="AP143" s="163" t="str">
        <f t="shared" si="128"/>
        <v>Cost-Effective</v>
      </c>
      <c r="AQ143" s="163" t="str">
        <f t="shared" si="102"/>
        <v>Cost-Effective</v>
      </c>
      <c r="AR143" s="167">
        <f t="shared" si="100"/>
        <v>0.43383663833805475</v>
      </c>
      <c r="AS143" s="167">
        <f t="shared" si="103"/>
        <v>0.97</v>
      </c>
      <c r="AT143" s="159" t="str">
        <f t="shared" si="116"/>
        <v>Cost-Effective</v>
      </c>
      <c r="AU143" s="167">
        <f t="shared" si="104"/>
        <v>0.64</v>
      </c>
      <c r="AV143" s="162" t="str">
        <f t="shared" si="117"/>
        <v>Cost-Effective</v>
      </c>
      <c r="AW143" s="167">
        <f t="shared" si="105"/>
        <v>0.59633311243649212</v>
      </c>
      <c r="AX143" s="159" t="str">
        <f t="shared" si="118"/>
        <v>Cost-Effective</v>
      </c>
      <c r="AY143" s="167">
        <f t="shared" si="106"/>
        <v>0.21294455489286504</v>
      </c>
      <c r="AZ143" s="159" t="str">
        <f t="shared" si="119"/>
        <v>Not Cost-Effective</v>
      </c>
      <c r="BA143" s="167">
        <f t="shared" si="107"/>
        <v>0.87938205585264406</v>
      </c>
      <c r="BB143" s="159" t="str">
        <f t="shared" si="120"/>
        <v>Cost-Effective</v>
      </c>
      <c r="BC143" s="167">
        <f t="shared" si="108"/>
        <v>0.36446054472619938</v>
      </c>
      <c r="BD143" s="159" t="str">
        <f t="shared" si="121"/>
        <v>Not Cost-Effective</v>
      </c>
      <c r="BE143" s="162" t="s">
        <v>161</v>
      </c>
      <c r="BF143" s="162" t="s">
        <v>382</v>
      </c>
      <c r="BG143" s="168">
        <f t="shared" si="109"/>
        <v>0</v>
      </c>
      <c r="BH143" s="168">
        <f t="shared" si="110"/>
        <v>0</v>
      </c>
      <c r="BI143" s="163">
        <f t="shared" si="111"/>
        <v>1</v>
      </c>
      <c r="BJ143" s="163">
        <f t="shared" si="112"/>
        <v>0</v>
      </c>
      <c r="BK143" s="163">
        <f t="shared" si="122"/>
        <v>1</v>
      </c>
      <c r="BL143" s="163">
        <f t="shared" si="123"/>
        <v>0</v>
      </c>
      <c r="BM143" s="163">
        <f t="shared" si="124"/>
        <v>2</v>
      </c>
      <c r="BN143" s="163" t="s">
        <v>155</v>
      </c>
      <c r="BO143" s="162" t="str">
        <f t="shared" si="96"/>
        <v/>
      </c>
      <c r="BP143" s="162" t="s">
        <v>422</v>
      </c>
      <c r="BQ143" s="162" t="s">
        <v>163</v>
      </c>
    </row>
    <row r="144" spans="1:69">
      <c r="A144" s="159">
        <f t="shared" si="113"/>
        <v>43</v>
      </c>
      <c r="B144" s="159">
        <f t="shared" si="114"/>
        <v>14</v>
      </c>
      <c r="C144" s="160" t="str">
        <f t="shared" si="101"/>
        <v>4314</v>
      </c>
      <c r="D144" s="159" t="s">
        <v>279</v>
      </c>
      <c r="E144" s="159">
        <v>2013</v>
      </c>
      <c r="F144" s="162" t="s">
        <v>676</v>
      </c>
      <c r="G144" s="182" t="s">
        <v>281</v>
      </c>
      <c r="H144" s="163" t="str">
        <f t="shared" si="125"/>
        <v>UM</v>
      </c>
      <c r="I144" s="163" t="s">
        <v>155</v>
      </c>
      <c r="J144" s="180" t="s">
        <v>533</v>
      </c>
      <c r="K144" s="163" t="s">
        <v>166</v>
      </c>
      <c r="L144" s="163" t="s">
        <v>147</v>
      </c>
      <c r="M144" s="163" t="str">
        <f t="shared" si="115"/>
        <v>PCV10 vs NoVax</v>
      </c>
      <c r="N144" s="159" t="s">
        <v>403</v>
      </c>
      <c r="O144" s="159">
        <v>4</v>
      </c>
      <c r="P144" s="162" t="s">
        <v>155</v>
      </c>
      <c r="Q144" s="162" t="s">
        <v>149</v>
      </c>
      <c r="R144" s="162" t="s">
        <v>150</v>
      </c>
      <c r="S144" s="162" t="s">
        <v>151</v>
      </c>
      <c r="T144" s="159">
        <v>2008</v>
      </c>
      <c r="U144" s="165">
        <v>20</v>
      </c>
      <c r="V144" s="165" t="e">
        <f>IF(ISNUMBER(U144),U144/VLOOKUP($S144,xRates!$A$1:$AA$267,data!$T144-xRates!$B$1+2,FALSE),U144)</f>
        <v>#REF!</v>
      </c>
      <c r="W144" s="162" t="s">
        <v>677</v>
      </c>
      <c r="Y144" s="165"/>
      <c r="AA144" s="163" t="s">
        <v>155</v>
      </c>
      <c r="AB144" s="162"/>
      <c r="AC144" s="162" t="str">
        <f>IF(AA144="No","","")</f>
        <v/>
      </c>
      <c r="AD144" s="163" t="s">
        <v>155</v>
      </c>
      <c r="AE144" s="162" t="str">
        <f>IF(AD144="No", "", "")</f>
        <v/>
      </c>
      <c r="AF144" s="163" t="s">
        <v>148</v>
      </c>
      <c r="AG144" s="163" t="s">
        <v>148</v>
      </c>
      <c r="AH144" s="163" t="s">
        <v>148</v>
      </c>
      <c r="AJ144" s="162"/>
      <c r="AK144" s="162" t="s">
        <v>691</v>
      </c>
      <c r="AL144" s="163" t="s">
        <v>152</v>
      </c>
      <c r="AM144" s="179">
        <v>3243.41</v>
      </c>
      <c r="AN144" s="179">
        <v>3243.41</v>
      </c>
      <c r="AO144" s="179">
        <f t="shared" si="126"/>
        <v>10590</v>
      </c>
      <c r="AP144" s="163" t="str">
        <f t="shared" si="128"/>
        <v>Cost-Effective</v>
      </c>
      <c r="AQ144" s="163" t="str">
        <f t="shared" si="102"/>
        <v>Cost-Effective</v>
      </c>
      <c r="AR144" s="167">
        <f t="shared" si="100"/>
        <v>0.3062710103871577</v>
      </c>
      <c r="AS144" s="167">
        <f t="shared" si="103"/>
        <v>0.97</v>
      </c>
      <c r="AT144" s="159" t="str">
        <f t="shared" si="116"/>
        <v>Cost-Effective</v>
      </c>
      <c r="AU144" s="167">
        <f t="shared" si="104"/>
        <v>0.64</v>
      </c>
      <c r="AV144" s="162" t="str">
        <f t="shared" si="117"/>
        <v>Cost-Effective</v>
      </c>
      <c r="AW144" s="167">
        <f t="shared" si="105"/>
        <v>0.59633311243649212</v>
      </c>
      <c r="AX144" s="159" t="str">
        <f t="shared" si="118"/>
        <v>Cost-Effective</v>
      </c>
      <c r="AY144" s="167">
        <f t="shared" si="106"/>
        <v>0.21294455489286504</v>
      </c>
      <c r="AZ144" s="159" t="str">
        <f t="shared" si="119"/>
        <v>Not Cost-Effective</v>
      </c>
      <c r="BA144" s="167">
        <f t="shared" si="107"/>
        <v>0.87938205585264406</v>
      </c>
      <c r="BB144" s="159" t="str">
        <f t="shared" si="120"/>
        <v>Cost-Effective</v>
      </c>
      <c r="BC144" s="167">
        <f t="shared" si="108"/>
        <v>0.36446054472619938</v>
      </c>
      <c r="BD144" s="159" t="str">
        <f t="shared" si="121"/>
        <v>Cost-Effective</v>
      </c>
      <c r="BE144" s="162" t="s">
        <v>161</v>
      </c>
      <c r="BF144" s="162" t="s">
        <v>382</v>
      </c>
      <c r="BG144" s="168">
        <f t="shared" si="109"/>
        <v>0</v>
      </c>
      <c r="BH144" s="168">
        <f t="shared" si="110"/>
        <v>0</v>
      </c>
      <c r="BI144" s="163">
        <f t="shared" si="111"/>
        <v>1</v>
      </c>
      <c r="BJ144" s="163">
        <f t="shared" si="112"/>
        <v>0</v>
      </c>
      <c r="BK144" s="163">
        <f t="shared" si="122"/>
        <v>0</v>
      </c>
      <c r="BL144" s="163">
        <f t="shared" si="123"/>
        <v>0</v>
      </c>
      <c r="BM144" s="163">
        <f t="shared" si="124"/>
        <v>1</v>
      </c>
      <c r="BN144" s="163" t="s">
        <v>155</v>
      </c>
      <c r="BO144" s="162" t="str">
        <f t="shared" si="96"/>
        <v/>
      </c>
      <c r="BP144" s="162" t="s">
        <v>422</v>
      </c>
      <c r="BQ144" s="162" t="s">
        <v>163</v>
      </c>
    </row>
    <row r="145" spans="1:69">
      <c r="A145" s="159">
        <f t="shared" si="113"/>
        <v>43</v>
      </c>
      <c r="B145" s="159">
        <f t="shared" si="114"/>
        <v>15</v>
      </c>
      <c r="C145" s="160" t="str">
        <f t="shared" si="101"/>
        <v>4315</v>
      </c>
      <c r="D145" s="159" t="s">
        <v>279</v>
      </c>
      <c r="E145" s="159">
        <v>2013</v>
      </c>
      <c r="F145" s="162" t="s">
        <v>676</v>
      </c>
      <c r="G145" s="182" t="s">
        <v>281</v>
      </c>
      <c r="H145" s="163" t="str">
        <f t="shared" si="125"/>
        <v>UM</v>
      </c>
      <c r="I145" s="163" t="s">
        <v>155</v>
      </c>
      <c r="J145" s="180" t="s">
        <v>533</v>
      </c>
      <c r="K145" s="163" t="s">
        <v>166</v>
      </c>
      <c r="L145" s="163" t="s">
        <v>147</v>
      </c>
      <c r="M145" s="163" t="str">
        <f t="shared" si="115"/>
        <v>PCV10 vs NoVax</v>
      </c>
      <c r="N145" s="159" t="s">
        <v>403</v>
      </c>
      <c r="O145" s="159">
        <v>4</v>
      </c>
      <c r="P145" s="162" t="s">
        <v>155</v>
      </c>
      <c r="Q145" s="162" t="s">
        <v>377</v>
      </c>
      <c r="R145" s="162" t="s">
        <v>150</v>
      </c>
      <c r="S145" s="162" t="s">
        <v>151</v>
      </c>
      <c r="T145" s="159">
        <v>2008</v>
      </c>
      <c r="U145" s="165">
        <v>20</v>
      </c>
      <c r="V145" s="165" t="e">
        <f>IF(ISNUMBER(U145),U145/VLOOKUP($S145,xRates!$A$1:$AA$267,data!$T145-xRates!$B$1+2,FALSE),U145)</f>
        <v>#REF!</v>
      </c>
      <c r="W145" s="162" t="s">
        <v>677</v>
      </c>
      <c r="Y145" s="165"/>
      <c r="AA145" s="163" t="s">
        <v>148</v>
      </c>
      <c r="AB145" s="162" t="s">
        <v>417</v>
      </c>
      <c r="AC145" s="162" t="s">
        <v>148</v>
      </c>
      <c r="AD145" s="163" t="s">
        <v>155</v>
      </c>
      <c r="AE145" s="162" t="str">
        <f>IF(AD145="No", "", "")</f>
        <v/>
      </c>
      <c r="AF145" s="163" t="s">
        <v>148</v>
      </c>
      <c r="AG145" s="163" t="s">
        <v>148</v>
      </c>
      <c r="AH145" s="163" t="s">
        <v>148</v>
      </c>
      <c r="AJ145" s="162"/>
      <c r="AK145" s="162" t="s">
        <v>692</v>
      </c>
      <c r="AL145" s="163" t="s">
        <v>152</v>
      </c>
      <c r="AM145" s="179">
        <v>4144.01</v>
      </c>
      <c r="AN145" s="179">
        <v>4144.01</v>
      </c>
      <c r="AO145" s="179">
        <f t="shared" si="126"/>
        <v>10590</v>
      </c>
      <c r="AP145" s="163" t="str">
        <f t="shared" si="128"/>
        <v>Cost-Effective</v>
      </c>
      <c r="AQ145" s="163" t="str">
        <f t="shared" si="102"/>
        <v>Cost-Effective</v>
      </c>
      <c r="AR145" s="167">
        <f t="shared" si="100"/>
        <v>0.39131350330500475</v>
      </c>
      <c r="AS145" s="167">
        <f t="shared" si="103"/>
        <v>0.97</v>
      </c>
      <c r="AT145" s="159" t="str">
        <f t="shared" si="116"/>
        <v>Cost-Effective</v>
      </c>
      <c r="AU145" s="167">
        <f t="shared" si="104"/>
        <v>0.64</v>
      </c>
      <c r="AV145" s="162" t="str">
        <f t="shared" si="117"/>
        <v>Cost-Effective</v>
      </c>
      <c r="AW145" s="167">
        <f t="shared" si="105"/>
        <v>0.59633311243649212</v>
      </c>
      <c r="AX145" s="159" t="str">
        <f t="shared" si="118"/>
        <v>Cost-Effective</v>
      </c>
      <c r="AY145" s="167">
        <f t="shared" si="106"/>
        <v>0.21294455489286504</v>
      </c>
      <c r="AZ145" s="159" t="str">
        <f t="shared" si="119"/>
        <v>Not Cost-Effective</v>
      </c>
      <c r="BA145" s="167">
        <f t="shared" si="107"/>
        <v>0.87938205585264406</v>
      </c>
      <c r="BB145" s="159" t="str">
        <f t="shared" si="120"/>
        <v>Cost-Effective</v>
      </c>
      <c r="BC145" s="167">
        <f t="shared" si="108"/>
        <v>0.36446054472619938</v>
      </c>
      <c r="BD145" s="159" t="str">
        <f t="shared" si="121"/>
        <v>Not Cost-Effective</v>
      </c>
      <c r="BE145" s="162" t="s">
        <v>161</v>
      </c>
      <c r="BF145" s="162" t="s">
        <v>382</v>
      </c>
      <c r="BG145" s="168">
        <f t="shared" si="109"/>
        <v>0</v>
      </c>
      <c r="BH145" s="168">
        <f t="shared" si="110"/>
        <v>0</v>
      </c>
      <c r="BI145" s="163">
        <f t="shared" si="111"/>
        <v>1</v>
      </c>
      <c r="BJ145" s="163">
        <f t="shared" si="112"/>
        <v>0</v>
      </c>
      <c r="BK145" s="163">
        <f t="shared" si="122"/>
        <v>1</v>
      </c>
      <c r="BL145" s="163">
        <f t="shared" si="123"/>
        <v>0</v>
      </c>
      <c r="BM145" s="163">
        <f t="shared" si="124"/>
        <v>2</v>
      </c>
      <c r="BN145" s="163" t="s">
        <v>155</v>
      </c>
      <c r="BO145" s="162" t="str">
        <f t="shared" si="96"/>
        <v/>
      </c>
      <c r="BP145" s="162" t="s">
        <v>422</v>
      </c>
      <c r="BQ145" s="162" t="s">
        <v>163</v>
      </c>
    </row>
    <row r="146" spans="1:69">
      <c r="A146" s="159">
        <f t="shared" si="113"/>
        <v>43</v>
      </c>
      <c r="B146" s="159">
        <f t="shared" si="114"/>
        <v>16</v>
      </c>
      <c r="C146" s="160" t="str">
        <f t="shared" si="101"/>
        <v>4316</v>
      </c>
      <c r="D146" s="159" t="s">
        <v>279</v>
      </c>
      <c r="E146" s="159">
        <v>2013</v>
      </c>
      <c r="F146" s="162" t="s">
        <v>676</v>
      </c>
      <c r="G146" s="182" t="s">
        <v>281</v>
      </c>
      <c r="H146" s="163" t="str">
        <f t="shared" si="125"/>
        <v>UM</v>
      </c>
      <c r="I146" s="163" t="s">
        <v>155</v>
      </c>
      <c r="J146" s="180" t="s">
        <v>533</v>
      </c>
      <c r="K146" s="163" t="s">
        <v>166</v>
      </c>
      <c r="L146" s="163" t="s">
        <v>147</v>
      </c>
      <c r="M146" s="163" t="str">
        <f t="shared" si="115"/>
        <v>PCV10 vs NoVax</v>
      </c>
      <c r="N146" s="159" t="s">
        <v>403</v>
      </c>
      <c r="O146" s="159">
        <v>4</v>
      </c>
      <c r="P146" s="162" t="s">
        <v>155</v>
      </c>
      <c r="Q146" s="162" t="s">
        <v>377</v>
      </c>
      <c r="R146" s="162" t="s">
        <v>150</v>
      </c>
      <c r="S146" s="162" t="s">
        <v>151</v>
      </c>
      <c r="T146" s="159">
        <v>2008</v>
      </c>
      <c r="U146" s="165">
        <v>20</v>
      </c>
      <c r="V146" s="165" t="e">
        <f>IF(ISNUMBER(U146),U146/VLOOKUP($S146,xRates!$A$1:$AA$267,data!$T146-xRates!$B$1+2,FALSE),U146)</f>
        <v>#REF!</v>
      </c>
      <c r="W146" s="162" t="s">
        <v>677</v>
      </c>
      <c r="Y146" s="165"/>
      <c r="AA146" s="163" t="s">
        <v>148</v>
      </c>
      <c r="AB146" s="162" t="s">
        <v>417</v>
      </c>
      <c r="AC146" s="162" t="s">
        <v>148</v>
      </c>
      <c r="AD146" s="163" t="s">
        <v>148</v>
      </c>
      <c r="AE146" s="162" t="s">
        <v>385</v>
      </c>
      <c r="AF146" s="163" t="s">
        <v>148</v>
      </c>
      <c r="AG146" s="163" t="s">
        <v>148</v>
      </c>
      <c r="AH146" s="163" t="s">
        <v>148</v>
      </c>
      <c r="AJ146" s="162"/>
      <c r="AK146" s="162" t="s">
        <v>693</v>
      </c>
      <c r="AL146" s="163" t="s">
        <v>152</v>
      </c>
      <c r="AM146" s="179">
        <v>2790.71</v>
      </c>
      <c r="AN146" s="179">
        <v>2790.71</v>
      </c>
      <c r="AO146" s="179">
        <f t="shared" si="126"/>
        <v>10590</v>
      </c>
      <c r="AP146" s="163" t="str">
        <f t="shared" si="128"/>
        <v>Cost-Effective</v>
      </c>
      <c r="AQ146" s="163" t="str">
        <f t="shared" si="102"/>
        <v>Cost-Effective</v>
      </c>
      <c r="AR146" s="167">
        <f t="shared" si="100"/>
        <v>0.26352313503305003</v>
      </c>
      <c r="AS146" s="167">
        <f t="shared" si="103"/>
        <v>0.97</v>
      </c>
      <c r="AT146" s="159" t="str">
        <f t="shared" si="116"/>
        <v>Cost-Effective</v>
      </c>
      <c r="AU146" s="167">
        <f t="shared" si="104"/>
        <v>0.64</v>
      </c>
      <c r="AV146" s="162" t="str">
        <f t="shared" si="117"/>
        <v>Cost-Effective</v>
      </c>
      <c r="AW146" s="167">
        <f t="shared" si="105"/>
        <v>0.59633311243649212</v>
      </c>
      <c r="AX146" s="159" t="str">
        <f t="shared" si="118"/>
        <v>Cost-Effective</v>
      </c>
      <c r="AY146" s="167">
        <f t="shared" si="106"/>
        <v>0.21294455489286504</v>
      </c>
      <c r="AZ146" s="159" t="str">
        <f t="shared" si="119"/>
        <v>Not Cost-Effective</v>
      </c>
      <c r="BA146" s="167">
        <f t="shared" si="107"/>
        <v>0.87938205585264406</v>
      </c>
      <c r="BB146" s="159" t="str">
        <f t="shared" si="120"/>
        <v>Cost-Effective</v>
      </c>
      <c r="BC146" s="167">
        <f t="shared" si="108"/>
        <v>0.36446054472619938</v>
      </c>
      <c r="BD146" s="159" t="str">
        <f t="shared" si="121"/>
        <v>Cost-Effective</v>
      </c>
      <c r="BE146" s="162" t="s">
        <v>161</v>
      </c>
      <c r="BF146" s="162" t="s">
        <v>382</v>
      </c>
      <c r="BG146" s="168">
        <f t="shared" si="109"/>
        <v>0</v>
      </c>
      <c r="BH146" s="168">
        <f t="shared" si="110"/>
        <v>0</v>
      </c>
      <c r="BI146" s="163">
        <f t="shared" si="111"/>
        <v>1</v>
      </c>
      <c r="BJ146" s="163">
        <f t="shared" si="112"/>
        <v>0</v>
      </c>
      <c r="BK146" s="163">
        <f t="shared" si="122"/>
        <v>0</v>
      </c>
      <c r="BL146" s="163">
        <f t="shared" si="123"/>
        <v>0</v>
      </c>
      <c r="BM146" s="163">
        <f t="shared" si="124"/>
        <v>1</v>
      </c>
      <c r="BN146" s="163" t="s">
        <v>155</v>
      </c>
      <c r="BO146" s="162" t="str">
        <f t="shared" si="96"/>
        <v/>
      </c>
      <c r="BP146" s="162" t="s">
        <v>422</v>
      </c>
      <c r="BQ146" s="162" t="s">
        <v>163</v>
      </c>
    </row>
    <row r="147" spans="1:69">
      <c r="A147" s="159">
        <f t="shared" si="113"/>
        <v>43</v>
      </c>
      <c r="B147" s="159">
        <f t="shared" si="114"/>
        <v>17</v>
      </c>
      <c r="C147" s="160" t="str">
        <f t="shared" si="101"/>
        <v>4317</v>
      </c>
      <c r="D147" s="159" t="s">
        <v>279</v>
      </c>
      <c r="E147" s="159">
        <v>2013</v>
      </c>
      <c r="F147" s="162" t="s">
        <v>676</v>
      </c>
      <c r="G147" s="182" t="s">
        <v>234</v>
      </c>
      <c r="H147" s="163" t="str">
        <f t="shared" si="125"/>
        <v>UM</v>
      </c>
      <c r="I147" s="163" t="s">
        <v>155</v>
      </c>
      <c r="J147" s="180" t="s">
        <v>533</v>
      </c>
      <c r="K147" s="163" t="s">
        <v>166</v>
      </c>
      <c r="L147" s="163" t="s">
        <v>147</v>
      </c>
      <c r="M147" s="163" t="str">
        <f t="shared" si="115"/>
        <v>PCV10 vs NoVax</v>
      </c>
      <c r="N147" s="159" t="s">
        <v>403</v>
      </c>
      <c r="O147" s="159">
        <v>4</v>
      </c>
      <c r="P147" s="162" t="s">
        <v>148</v>
      </c>
      <c r="Q147" s="162" t="s">
        <v>377</v>
      </c>
      <c r="R147" s="162" t="s">
        <v>150</v>
      </c>
      <c r="S147" s="162" t="s">
        <v>151</v>
      </c>
      <c r="T147" s="159">
        <v>2009</v>
      </c>
      <c r="U147" s="165">
        <v>20</v>
      </c>
      <c r="V147" s="165" t="e">
        <f>IF(ISNUMBER(U147),U147/VLOOKUP($S147,xRates!$A$1:$AA$267,data!$T147-xRates!$B$1+2,FALSE),U147)</f>
        <v>#REF!</v>
      </c>
      <c r="W147" s="162" t="s">
        <v>677</v>
      </c>
      <c r="Y147" s="165"/>
      <c r="AA147" s="163" t="s">
        <v>155</v>
      </c>
      <c r="AB147" s="162"/>
      <c r="AC147" s="162" t="str">
        <f>IF(AA147="No","","")</f>
        <v/>
      </c>
      <c r="AD147" s="163" t="s">
        <v>155</v>
      </c>
      <c r="AE147" s="162" t="str">
        <f>IF(AD147="No", "", "")</f>
        <v/>
      </c>
      <c r="AF147" s="163" t="s">
        <v>148</v>
      </c>
      <c r="AG147" s="163" t="s">
        <v>148</v>
      </c>
      <c r="AH147" s="163" t="s">
        <v>148</v>
      </c>
      <c r="AJ147" s="162"/>
      <c r="AK147" s="162" t="s">
        <v>694</v>
      </c>
      <c r="AL147" s="163" t="s">
        <v>152</v>
      </c>
      <c r="AM147" s="179">
        <v>2975.23</v>
      </c>
      <c r="AN147" s="179">
        <v>2975.23</v>
      </c>
      <c r="AO147" s="179">
        <f t="shared" si="126"/>
        <v>4165</v>
      </c>
      <c r="AP147" s="163" t="str">
        <f t="shared" si="128"/>
        <v>Cost-Effective</v>
      </c>
      <c r="AQ147" s="163" t="str">
        <f t="shared" si="102"/>
        <v>Cost-Effective</v>
      </c>
      <c r="AR147" s="167">
        <f t="shared" si="100"/>
        <v>0.71434093637454987</v>
      </c>
      <c r="AS147" s="167">
        <f t="shared" si="103"/>
        <v>1.08</v>
      </c>
      <c r="AT147" s="159" t="str">
        <f t="shared" si="116"/>
        <v>Cost-Effective</v>
      </c>
      <c r="AU147" s="167">
        <f t="shared" si="104"/>
        <v>0.64</v>
      </c>
      <c r="AV147" s="162" t="str">
        <f t="shared" si="117"/>
        <v>Not Cost-Effective</v>
      </c>
      <c r="AW147" s="167">
        <f t="shared" si="105"/>
        <v>0.65445260705966679</v>
      </c>
      <c r="AX147" s="159" t="str">
        <f t="shared" si="118"/>
        <v>Not Cost-Effective</v>
      </c>
      <c r="AY147" s="167">
        <f t="shared" si="106"/>
        <v>0.16633817117601385</v>
      </c>
      <c r="AZ147" s="159" t="str">
        <f t="shared" si="119"/>
        <v>Not Cost-Effective</v>
      </c>
      <c r="BA147" s="167">
        <f t="shared" si="107"/>
        <v>0.89355279235247609</v>
      </c>
      <c r="BB147" s="159" t="str">
        <f t="shared" si="120"/>
        <v>Cost-Effective</v>
      </c>
      <c r="BC147" s="167">
        <f t="shared" si="108"/>
        <v>0.37030115719111623</v>
      </c>
      <c r="BD147" s="159" t="str">
        <f t="shared" si="121"/>
        <v>Not Cost-Effective</v>
      </c>
      <c r="BE147" s="162" t="s">
        <v>161</v>
      </c>
      <c r="BF147" s="162" t="s">
        <v>382</v>
      </c>
      <c r="BG147" s="168">
        <f t="shared" si="109"/>
        <v>1</v>
      </c>
      <c r="BH147" s="168">
        <f t="shared" si="110"/>
        <v>0</v>
      </c>
      <c r="BI147" s="163">
        <f t="shared" si="111"/>
        <v>1</v>
      </c>
      <c r="BJ147" s="163">
        <f t="shared" si="112"/>
        <v>1</v>
      </c>
      <c r="BK147" s="163">
        <f t="shared" si="122"/>
        <v>1</v>
      </c>
      <c r="BL147" s="163">
        <f t="shared" si="123"/>
        <v>0</v>
      </c>
      <c r="BM147" s="163">
        <f t="shared" si="124"/>
        <v>4</v>
      </c>
      <c r="BN147" s="163" t="s">
        <v>155</v>
      </c>
      <c r="BO147" s="162" t="str">
        <f t="shared" si="96"/>
        <v/>
      </c>
      <c r="BP147" s="162" t="s">
        <v>422</v>
      </c>
      <c r="BQ147" s="162" t="s">
        <v>163</v>
      </c>
    </row>
    <row r="148" spans="1:69">
      <c r="A148" s="159">
        <f t="shared" si="113"/>
        <v>43</v>
      </c>
      <c r="B148" s="159">
        <f t="shared" si="114"/>
        <v>18</v>
      </c>
      <c r="C148" s="160" t="str">
        <f t="shared" si="101"/>
        <v>4318</v>
      </c>
      <c r="D148" s="159" t="s">
        <v>279</v>
      </c>
      <c r="E148" s="159">
        <v>2013</v>
      </c>
      <c r="F148" s="162" t="s">
        <v>676</v>
      </c>
      <c r="G148" s="182" t="s">
        <v>234</v>
      </c>
      <c r="H148" s="163" t="str">
        <f t="shared" si="125"/>
        <v>UM</v>
      </c>
      <c r="I148" s="163" t="s">
        <v>155</v>
      </c>
      <c r="J148" s="180" t="s">
        <v>533</v>
      </c>
      <c r="K148" s="163" t="s">
        <v>166</v>
      </c>
      <c r="L148" s="163" t="s">
        <v>147</v>
      </c>
      <c r="M148" s="163" t="str">
        <f t="shared" si="115"/>
        <v>PCV10 vs NoVax</v>
      </c>
      <c r="N148" s="159" t="s">
        <v>403</v>
      </c>
      <c r="O148" s="159">
        <v>4</v>
      </c>
      <c r="P148" s="162" t="s">
        <v>155</v>
      </c>
      <c r="Q148" s="162" t="s">
        <v>149</v>
      </c>
      <c r="R148" s="162" t="s">
        <v>150</v>
      </c>
      <c r="S148" s="162" t="s">
        <v>151</v>
      </c>
      <c r="T148" s="159">
        <v>2009</v>
      </c>
      <c r="U148" s="165">
        <v>20</v>
      </c>
      <c r="V148" s="165" t="e">
        <f>IF(ISNUMBER(U148),U148/VLOOKUP($S148,xRates!$A$1:$AA$267,data!$T148-xRates!$B$1+2,FALSE),U148)</f>
        <v>#REF!</v>
      </c>
      <c r="W148" s="162" t="s">
        <v>677</v>
      </c>
      <c r="Y148" s="165"/>
      <c r="AA148" s="163" t="s">
        <v>155</v>
      </c>
      <c r="AB148" s="162"/>
      <c r="AC148" s="162" t="str">
        <f>IF(AA148="No","","")</f>
        <v/>
      </c>
      <c r="AD148" s="163" t="s">
        <v>155</v>
      </c>
      <c r="AE148" s="162" t="str">
        <f>IF(AD148="No", "", "")</f>
        <v/>
      </c>
      <c r="AF148" s="163" t="s">
        <v>148</v>
      </c>
      <c r="AG148" s="163" t="s">
        <v>148</v>
      </c>
      <c r="AH148" s="163" t="s">
        <v>148</v>
      </c>
      <c r="AJ148" s="162"/>
      <c r="AK148" s="162" t="s">
        <v>695</v>
      </c>
      <c r="AL148" s="163" t="s">
        <v>152</v>
      </c>
      <c r="AM148" s="179">
        <v>1535.87</v>
      </c>
      <c r="AN148" s="179">
        <v>1535.87</v>
      </c>
      <c r="AO148" s="179">
        <f t="shared" si="126"/>
        <v>4165</v>
      </c>
      <c r="AP148" s="163" t="str">
        <f t="shared" si="128"/>
        <v>Cost-Effective</v>
      </c>
      <c r="AQ148" s="163" t="str">
        <f t="shared" si="102"/>
        <v>Cost-Effective</v>
      </c>
      <c r="AR148" s="167">
        <f t="shared" si="100"/>
        <v>0.36875630252100838</v>
      </c>
      <c r="AS148" s="167">
        <f t="shared" si="103"/>
        <v>1.08</v>
      </c>
      <c r="AT148" s="159" t="str">
        <f t="shared" si="116"/>
        <v>Cost-Effective</v>
      </c>
      <c r="AU148" s="167">
        <f t="shared" si="104"/>
        <v>0.64</v>
      </c>
      <c r="AV148" s="162" t="str">
        <f t="shared" si="117"/>
        <v>Cost-Effective</v>
      </c>
      <c r="AW148" s="167">
        <f t="shared" si="105"/>
        <v>0.65445260705966679</v>
      </c>
      <c r="AX148" s="159" t="str">
        <f t="shared" si="118"/>
        <v>Cost-Effective</v>
      </c>
      <c r="AY148" s="167">
        <f t="shared" si="106"/>
        <v>0.16633817117601385</v>
      </c>
      <c r="AZ148" s="159" t="str">
        <f t="shared" si="119"/>
        <v>Not Cost-Effective</v>
      </c>
      <c r="BA148" s="167">
        <f t="shared" si="107"/>
        <v>0.89355279235247609</v>
      </c>
      <c r="BB148" s="159" t="str">
        <f t="shared" si="120"/>
        <v>Cost-Effective</v>
      </c>
      <c r="BC148" s="167">
        <f t="shared" si="108"/>
        <v>0.37030115719111623</v>
      </c>
      <c r="BD148" s="159" t="str">
        <f t="shared" si="121"/>
        <v>Cost-Effective</v>
      </c>
      <c r="BE148" s="162" t="s">
        <v>161</v>
      </c>
      <c r="BF148" s="162" t="s">
        <v>382</v>
      </c>
      <c r="BG148" s="168">
        <f t="shared" si="109"/>
        <v>0</v>
      </c>
      <c r="BH148" s="168">
        <f t="shared" si="110"/>
        <v>0</v>
      </c>
      <c r="BI148" s="163">
        <f t="shared" si="111"/>
        <v>1</v>
      </c>
      <c r="BJ148" s="163">
        <f t="shared" si="112"/>
        <v>0</v>
      </c>
      <c r="BK148" s="163">
        <f t="shared" si="122"/>
        <v>0</v>
      </c>
      <c r="BL148" s="163">
        <f t="shared" si="123"/>
        <v>0</v>
      </c>
      <c r="BM148" s="163">
        <f t="shared" si="124"/>
        <v>1</v>
      </c>
      <c r="BN148" s="163" t="s">
        <v>155</v>
      </c>
      <c r="BO148" s="162" t="str">
        <f t="shared" si="96"/>
        <v/>
      </c>
      <c r="BP148" s="162" t="s">
        <v>422</v>
      </c>
      <c r="BQ148" s="162" t="s">
        <v>163</v>
      </c>
    </row>
    <row r="149" spans="1:69">
      <c r="A149" s="159">
        <f t="shared" si="113"/>
        <v>43</v>
      </c>
      <c r="B149" s="159">
        <f t="shared" si="114"/>
        <v>19</v>
      </c>
      <c r="C149" s="160" t="str">
        <f t="shared" si="101"/>
        <v>4319</v>
      </c>
      <c r="D149" s="159" t="s">
        <v>279</v>
      </c>
      <c r="E149" s="159">
        <v>2013</v>
      </c>
      <c r="F149" s="162" t="s">
        <v>676</v>
      </c>
      <c r="G149" s="182" t="s">
        <v>234</v>
      </c>
      <c r="H149" s="163" t="str">
        <f t="shared" si="125"/>
        <v>UM</v>
      </c>
      <c r="I149" s="163" t="s">
        <v>155</v>
      </c>
      <c r="J149" s="180" t="s">
        <v>533</v>
      </c>
      <c r="K149" s="163" t="s">
        <v>166</v>
      </c>
      <c r="L149" s="163" t="s">
        <v>147</v>
      </c>
      <c r="M149" s="163" t="str">
        <f t="shared" si="115"/>
        <v>PCV10 vs NoVax</v>
      </c>
      <c r="N149" s="159" t="s">
        <v>403</v>
      </c>
      <c r="O149" s="159">
        <v>4</v>
      </c>
      <c r="P149" s="162" t="s">
        <v>155</v>
      </c>
      <c r="Q149" s="162" t="s">
        <v>377</v>
      </c>
      <c r="R149" s="162" t="s">
        <v>150</v>
      </c>
      <c r="S149" s="162" t="s">
        <v>151</v>
      </c>
      <c r="T149" s="159">
        <v>2009</v>
      </c>
      <c r="U149" s="165">
        <v>20</v>
      </c>
      <c r="V149" s="165" t="e">
        <f>IF(ISNUMBER(U149),U149/VLOOKUP($S149,xRates!$A$1:$AA$267,data!$T149-xRates!$B$1+2,FALSE),U149)</f>
        <v>#REF!</v>
      </c>
      <c r="W149" s="162" t="s">
        <v>677</v>
      </c>
      <c r="Y149" s="165"/>
      <c r="AA149" s="163" t="s">
        <v>148</v>
      </c>
      <c r="AB149" s="162" t="s">
        <v>417</v>
      </c>
      <c r="AC149" s="162" t="s">
        <v>148</v>
      </c>
      <c r="AD149" s="163" t="s">
        <v>155</v>
      </c>
      <c r="AE149" s="162" t="str">
        <f>IF(AD149="No", "", "")</f>
        <v/>
      </c>
      <c r="AF149" s="163" t="s">
        <v>148</v>
      </c>
      <c r="AG149" s="163" t="s">
        <v>148</v>
      </c>
      <c r="AH149" s="163" t="s">
        <v>148</v>
      </c>
      <c r="AJ149" s="162"/>
      <c r="AK149" s="162" t="s">
        <v>696</v>
      </c>
      <c r="AL149" s="163" t="s">
        <v>152</v>
      </c>
      <c r="AM149" s="179">
        <v>2920.73</v>
      </c>
      <c r="AN149" s="179">
        <v>2920.73</v>
      </c>
      <c r="AO149" s="179">
        <f t="shared" si="126"/>
        <v>4165</v>
      </c>
      <c r="AP149" s="163" t="str">
        <f t="shared" si="128"/>
        <v>Cost-Effective</v>
      </c>
      <c r="AQ149" s="163" t="str">
        <f t="shared" si="102"/>
        <v>Cost-Effective</v>
      </c>
      <c r="AR149" s="167">
        <f t="shared" si="100"/>
        <v>0.70125570228091239</v>
      </c>
      <c r="AS149" s="167">
        <f t="shared" si="103"/>
        <v>1.08</v>
      </c>
      <c r="AT149" s="159" t="str">
        <f t="shared" si="116"/>
        <v>Cost-Effective</v>
      </c>
      <c r="AU149" s="167">
        <f t="shared" si="104"/>
        <v>0.64</v>
      </c>
      <c r="AV149" s="162" t="str">
        <f t="shared" si="117"/>
        <v>Not Cost-Effective</v>
      </c>
      <c r="AW149" s="167">
        <f t="shared" si="105"/>
        <v>0.65445260705966679</v>
      </c>
      <c r="AX149" s="159" t="str">
        <f t="shared" si="118"/>
        <v>Not Cost-Effective</v>
      </c>
      <c r="AY149" s="167">
        <f t="shared" si="106"/>
        <v>0.16633817117601385</v>
      </c>
      <c r="AZ149" s="159" t="str">
        <f t="shared" si="119"/>
        <v>Not Cost-Effective</v>
      </c>
      <c r="BA149" s="167">
        <f t="shared" si="107"/>
        <v>0.89355279235247609</v>
      </c>
      <c r="BB149" s="159" t="str">
        <f t="shared" si="120"/>
        <v>Cost-Effective</v>
      </c>
      <c r="BC149" s="167">
        <f t="shared" si="108"/>
        <v>0.37030115719111623</v>
      </c>
      <c r="BD149" s="159" t="str">
        <f t="shared" si="121"/>
        <v>Not Cost-Effective</v>
      </c>
      <c r="BE149" s="162" t="s">
        <v>161</v>
      </c>
      <c r="BF149" s="162" t="s">
        <v>382</v>
      </c>
      <c r="BG149" s="168">
        <f t="shared" si="109"/>
        <v>1</v>
      </c>
      <c r="BH149" s="168">
        <f t="shared" si="110"/>
        <v>0</v>
      </c>
      <c r="BI149" s="163">
        <f t="shared" si="111"/>
        <v>1</v>
      </c>
      <c r="BJ149" s="163">
        <f t="shared" si="112"/>
        <v>1</v>
      </c>
      <c r="BK149" s="163">
        <f t="shared" si="122"/>
        <v>1</v>
      </c>
      <c r="BL149" s="163">
        <f t="shared" si="123"/>
        <v>0</v>
      </c>
      <c r="BM149" s="163">
        <f t="shared" si="124"/>
        <v>4</v>
      </c>
      <c r="BN149" s="163" t="s">
        <v>155</v>
      </c>
      <c r="BO149" s="162" t="str">
        <f t="shared" si="96"/>
        <v/>
      </c>
      <c r="BP149" s="162" t="s">
        <v>422</v>
      </c>
      <c r="BQ149" s="162" t="s">
        <v>163</v>
      </c>
    </row>
    <row r="150" spans="1:69">
      <c r="A150" s="159">
        <f t="shared" si="113"/>
        <v>43</v>
      </c>
      <c r="B150" s="159">
        <f t="shared" si="114"/>
        <v>20</v>
      </c>
      <c r="C150" s="160" t="str">
        <f t="shared" si="101"/>
        <v>4320</v>
      </c>
      <c r="D150" s="159" t="s">
        <v>279</v>
      </c>
      <c r="E150" s="159">
        <v>2013</v>
      </c>
      <c r="F150" s="162" t="s">
        <v>676</v>
      </c>
      <c r="G150" s="182" t="s">
        <v>234</v>
      </c>
      <c r="H150" s="163" t="str">
        <f t="shared" si="125"/>
        <v>UM</v>
      </c>
      <c r="I150" s="163" t="s">
        <v>155</v>
      </c>
      <c r="J150" s="180" t="s">
        <v>533</v>
      </c>
      <c r="K150" s="163" t="s">
        <v>166</v>
      </c>
      <c r="L150" s="163" t="s">
        <v>147</v>
      </c>
      <c r="M150" s="163" t="str">
        <f t="shared" si="115"/>
        <v>PCV10 vs NoVax</v>
      </c>
      <c r="N150" s="159" t="s">
        <v>403</v>
      </c>
      <c r="O150" s="159">
        <v>4</v>
      </c>
      <c r="P150" s="162" t="s">
        <v>155</v>
      </c>
      <c r="Q150" s="162" t="s">
        <v>377</v>
      </c>
      <c r="R150" s="162" t="s">
        <v>150</v>
      </c>
      <c r="S150" s="162" t="s">
        <v>151</v>
      </c>
      <c r="T150" s="159">
        <v>2009</v>
      </c>
      <c r="U150" s="165">
        <v>20</v>
      </c>
      <c r="V150" s="165" t="e">
        <f>IF(ISNUMBER(U150),U150/VLOOKUP($S150,xRates!$A$1:$AA$267,data!$T150-xRates!$B$1+2,FALSE),U150)</f>
        <v>#REF!</v>
      </c>
      <c r="W150" s="162" t="s">
        <v>677</v>
      </c>
      <c r="Y150" s="165"/>
      <c r="AA150" s="163" t="s">
        <v>148</v>
      </c>
      <c r="AB150" s="162" t="s">
        <v>417</v>
      </c>
      <c r="AC150" s="162" t="s">
        <v>148</v>
      </c>
      <c r="AD150" s="163" t="s">
        <v>148</v>
      </c>
      <c r="AE150" s="162" t="s">
        <v>385</v>
      </c>
      <c r="AF150" s="163" t="s">
        <v>148</v>
      </c>
      <c r="AG150" s="163" t="s">
        <v>148</v>
      </c>
      <c r="AH150" s="163" t="s">
        <v>148</v>
      </c>
      <c r="AJ150" s="162"/>
      <c r="AK150" s="162" t="s">
        <v>697</v>
      </c>
      <c r="AL150" s="163" t="s">
        <v>152</v>
      </c>
      <c r="AM150" s="179">
        <v>1478.95</v>
      </c>
      <c r="AN150" s="179">
        <v>1478.95</v>
      </c>
      <c r="AO150" s="179">
        <f t="shared" si="126"/>
        <v>4165</v>
      </c>
      <c r="AP150" s="163" t="str">
        <f t="shared" si="128"/>
        <v>Cost-Effective</v>
      </c>
      <c r="AQ150" s="163" t="str">
        <f t="shared" si="102"/>
        <v>Cost-Effective</v>
      </c>
      <c r="AR150" s="167">
        <f t="shared" si="100"/>
        <v>0.35509003601440575</v>
      </c>
      <c r="AS150" s="167">
        <f t="shared" si="103"/>
        <v>1.08</v>
      </c>
      <c r="AT150" s="159" t="str">
        <f t="shared" si="116"/>
        <v>Cost-Effective</v>
      </c>
      <c r="AU150" s="167">
        <f t="shared" si="104"/>
        <v>0.64</v>
      </c>
      <c r="AV150" s="162" t="str">
        <f t="shared" si="117"/>
        <v>Cost-Effective</v>
      </c>
      <c r="AW150" s="167">
        <f t="shared" si="105"/>
        <v>0.65445260705966679</v>
      </c>
      <c r="AX150" s="159" t="str">
        <f t="shared" si="118"/>
        <v>Cost-Effective</v>
      </c>
      <c r="AY150" s="167">
        <f t="shared" si="106"/>
        <v>0.16633817117601385</v>
      </c>
      <c r="AZ150" s="159" t="str">
        <f t="shared" si="119"/>
        <v>Not Cost-Effective</v>
      </c>
      <c r="BA150" s="167">
        <f t="shared" si="107"/>
        <v>0.89355279235247609</v>
      </c>
      <c r="BB150" s="159" t="str">
        <f t="shared" si="120"/>
        <v>Cost-Effective</v>
      </c>
      <c r="BC150" s="167">
        <f t="shared" si="108"/>
        <v>0.37030115719111623</v>
      </c>
      <c r="BD150" s="159" t="str">
        <f t="shared" si="121"/>
        <v>Cost-Effective</v>
      </c>
      <c r="BE150" s="162" t="s">
        <v>161</v>
      </c>
      <c r="BF150" s="162" t="s">
        <v>382</v>
      </c>
      <c r="BG150" s="168">
        <f t="shared" si="109"/>
        <v>0</v>
      </c>
      <c r="BH150" s="168">
        <f t="shared" si="110"/>
        <v>0</v>
      </c>
      <c r="BI150" s="163">
        <f t="shared" si="111"/>
        <v>1</v>
      </c>
      <c r="BJ150" s="163">
        <f t="shared" si="112"/>
        <v>0</v>
      </c>
      <c r="BK150" s="163">
        <f t="shared" si="122"/>
        <v>0</v>
      </c>
      <c r="BL150" s="163">
        <f t="shared" si="123"/>
        <v>0</v>
      </c>
      <c r="BM150" s="163">
        <f t="shared" si="124"/>
        <v>1</v>
      </c>
      <c r="BN150" s="163" t="s">
        <v>155</v>
      </c>
      <c r="BO150" s="162" t="str">
        <f t="shared" si="96"/>
        <v/>
      </c>
      <c r="BP150" s="162" t="s">
        <v>422</v>
      </c>
      <c r="BQ150" s="162" t="s">
        <v>163</v>
      </c>
    </row>
    <row r="151" spans="1:69">
      <c r="A151" s="159">
        <f t="shared" si="113"/>
        <v>44</v>
      </c>
      <c r="B151" s="159">
        <f t="shared" si="114"/>
        <v>1</v>
      </c>
      <c r="C151" s="160" t="str">
        <f t="shared" si="101"/>
        <v>4401</v>
      </c>
      <c r="D151" s="159" t="s">
        <v>58</v>
      </c>
      <c r="E151" s="159">
        <v>2010</v>
      </c>
      <c r="F151" s="162" t="s">
        <v>63</v>
      </c>
      <c r="G151" s="182" t="s">
        <v>221</v>
      </c>
      <c r="H151" s="163" t="str">
        <f t="shared" si="125"/>
        <v>UM</v>
      </c>
      <c r="I151" s="163" t="s">
        <v>155</v>
      </c>
      <c r="J151" s="180" t="s">
        <v>698</v>
      </c>
      <c r="K151" s="163" t="s">
        <v>146</v>
      </c>
      <c r="L151" s="163" t="s">
        <v>147</v>
      </c>
      <c r="M151" s="163" t="str">
        <f t="shared" si="115"/>
        <v>PCV7 vs NoVax</v>
      </c>
      <c r="N151" s="159" t="s">
        <v>403</v>
      </c>
      <c r="O151" s="159">
        <v>4</v>
      </c>
      <c r="P151" s="162" t="s">
        <v>148</v>
      </c>
      <c r="Q151" s="162" t="s">
        <v>149</v>
      </c>
      <c r="R151" s="162" t="s">
        <v>150</v>
      </c>
      <c r="S151" s="162" t="s">
        <v>151</v>
      </c>
      <c r="T151" s="159">
        <v>2007</v>
      </c>
      <c r="U151" s="165">
        <v>26.5</v>
      </c>
      <c r="V151" s="165" t="e">
        <f>IF(ISNUMBER(U151),U151/VLOOKUP($S151,xRates!$A$1:$AA$267,data!$T151-xRates!$B$1+2,FALSE),U151)</f>
        <v>#REF!</v>
      </c>
      <c r="W151" s="162" t="s">
        <v>385</v>
      </c>
      <c r="Y151" s="165"/>
      <c r="AA151" s="163" t="s">
        <v>155</v>
      </c>
      <c r="AB151" s="162"/>
      <c r="AC151" s="162" t="str">
        <f>IF(AA151="No","","")</f>
        <v/>
      </c>
      <c r="AD151" s="163" t="s">
        <v>155</v>
      </c>
      <c r="AE151" s="162" t="str">
        <f>IF(AD151="No", "", "")</f>
        <v/>
      </c>
      <c r="AF151" s="163" t="s">
        <v>148</v>
      </c>
      <c r="AG151" s="163" t="s">
        <v>148</v>
      </c>
      <c r="AH151" s="163" t="s">
        <v>148</v>
      </c>
      <c r="AJ151" s="162"/>
      <c r="AK151" s="162" t="s">
        <v>699</v>
      </c>
      <c r="AL151" s="163" t="s">
        <v>263</v>
      </c>
      <c r="AM151" s="179">
        <v>5599.42</v>
      </c>
      <c r="AN151" s="179">
        <v>5599.42</v>
      </c>
      <c r="AO151" s="179">
        <f t="shared" si="126"/>
        <v>7210.6</v>
      </c>
      <c r="AP151" s="163" t="str">
        <f t="shared" si="128"/>
        <v>Cost-Effective</v>
      </c>
      <c r="AQ151" s="163" t="str">
        <f t="shared" si="102"/>
        <v>Cost-Effective</v>
      </c>
      <c r="AR151" s="167">
        <f t="shared" si="100"/>
        <v>0.77655396222228379</v>
      </c>
      <c r="AS151" s="167">
        <f t="shared" si="103"/>
        <v>0.56000000000000005</v>
      </c>
      <c r="AT151" s="159" t="str">
        <f t="shared" si="116"/>
        <v>Not Cost-Effective</v>
      </c>
      <c r="AU151" s="167">
        <f t="shared" si="104"/>
        <v>0.37</v>
      </c>
      <c r="AV151" s="162" t="str">
        <f t="shared" si="117"/>
        <v>Not Cost-Effective</v>
      </c>
      <c r="AW151" s="167" t="str">
        <f t="shared" si="105"/>
        <v>.</v>
      </c>
      <c r="AX151" s="159" t="str">
        <f t="shared" si="118"/>
        <v>.</v>
      </c>
      <c r="AY151" s="167" t="str">
        <f t="shared" si="106"/>
        <v>.</v>
      </c>
      <c r="AZ151" s="159" t="str">
        <f t="shared" si="119"/>
        <v>.</v>
      </c>
      <c r="BA151" s="167">
        <f t="shared" si="107"/>
        <v>1.6478818109738349</v>
      </c>
      <c r="BB151" s="159" t="str">
        <f t="shared" si="120"/>
        <v>Cost-Effective</v>
      </c>
      <c r="BC151" s="167">
        <f t="shared" si="108"/>
        <v>0.68297921454881216</v>
      </c>
      <c r="BD151" s="159" t="str">
        <f t="shared" si="121"/>
        <v>Not Cost-Effective</v>
      </c>
      <c r="BE151" s="162" t="s">
        <v>153</v>
      </c>
      <c r="BF151" s="162" t="s">
        <v>382</v>
      </c>
      <c r="BG151" s="168">
        <f t="shared" si="109"/>
        <v>1</v>
      </c>
      <c r="BH151" s="168">
        <f t="shared" si="110"/>
        <v>1</v>
      </c>
      <c r="BI151" s="163">
        <f t="shared" si="111"/>
        <v>0</v>
      </c>
      <c r="BJ151" s="163">
        <f t="shared" si="112"/>
        <v>0</v>
      </c>
      <c r="BK151" s="163">
        <f t="shared" si="122"/>
        <v>1</v>
      </c>
      <c r="BL151" s="163">
        <f t="shared" si="123"/>
        <v>0</v>
      </c>
      <c r="BM151" s="163">
        <f t="shared" si="124"/>
        <v>3</v>
      </c>
      <c r="BN151" s="163" t="s">
        <v>148</v>
      </c>
      <c r="BO151" s="162" t="s">
        <v>700</v>
      </c>
      <c r="BP151" s="162" t="s">
        <v>701</v>
      </c>
      <c r="BQ151" s="162" t="s">
        <v>163</v>
      </c>
    </row>
    <row r="152" spans="1:69">
      <c r="A152" s="159">
        <f t="shared" si="113"/>
        <v>44</v>
      </c>
      <c r="B152" s="159">
        <f t="shared" si="114"/>
        <v>2</v>
      </c>
      <c r="C152" s="160" t="str">
        <f t="shared" si="101"/>
        <v>4402</v>
      </c>
      <c r="D152" s="159" t="s">
        <v>58</v>
      </c>
      <c r="E152" s="159">
        <v>2010</v>
      </c>
      <c r="F152" s="162" t="s">
        <v>63</v>
      </c>
      <c r="G152" s="182" t="s">
        <v>221</v>
      </c>
      <c r="H152" s="163" t="str">
        <f t="shared" si="125"/>
        <v>UM</v>
      </c>
      <c r="I152" s="163" t="s">
        <v>155</v>
      </c>
      <c r="J152" s="180" t="s">
        <v>698</v>
      </c>
      <c r="K152" s="163" t="s">
        <v>146</v>
      </c>
      <c r="L152" s="163" t="s">
        <v>147</v>
      </c>
      <c r="M152" s="163" t="str">
        <f t="shared" si="115"/>
        <v>PCV7 vs NoVax</v>
      </c>
      <c r="N152" s="159" t="s">
        <v>403</v>
      </c>
      <c r="O152" s="159">
        <v>4</v>
      </c>
      <c r="P152" s="162" t="s">
        <v>155</v>
      </c>
      <c r="Q152" s="162" t="s">
        <v>149</v>
      </c>
      <c r="R152" s="162" t="s">
        <v>150</v>
      </c>
      <c r="S152" s="162" t="s">
        <v>151</v>
      </c>
      <c r="T152" s="159">
        <v>2007</v>
      </c>
      <c r="U152" s="165">
        <v>26.5</v>
      </c>
      <c r="V152" s="165" t="e">
        <f>IF(ISNUMBER(U152),U152/VLOOKUP($S152,xRates!$A$1:$AA$267,data!$T152-xRates!$B$1+2,FALSE),U152)</f>
        <v>#REF!</v>
      </c>
      <c r="W152" s="162" t="s">
        <v>385</v>
      </c>
      <c r="Y152" s="165"/>
      <c r="AA152" s="163" t="s">
        <v>148</v>
      </c>
      <c r="AB152" s="162" t="s">
        <v>417</v>
      </c>
      <c r="AC152" s="162" t="s">
        <v>148</v>
      </c>
      <c r="AD152" s="163" t="s">
        <v>155</v>
      </c>
      <c r="AE152" s="162" t="str">
        <f>IF(AD152="No", "", "")</f>
        <v/>
      </c>
      <c r="AF152" s="163" t="s">
        <v>148</v>
      </c>
      <c r="AG152" s="163" t="s">
        <v>148</v>
      </c>
      <c r="AH152" s="163" t="s">
        <v>148</v>
      </c>
      <c r="AJ152" s="162"/>
      <c r="AK152" s="162" t="s">
        <v>702</v>
      </c>
      <c r="AL152" s="163" t="s">
        <v>263</v>
      </c>
      <c r="AM152" s="179">
        <v>2821.83</v>
      </c>
      <c r="AN152" s="179">
        <v>2821.83</v>
      </c>
      <c r="AO152" s="179">
        <f t="shared" si="126"/>
        <v>7210.6</v>
      </c>
      <c r="AP152" s="163" t="str">
        <f t="shared" si="128"/>
        <v>Cost-Effective</v>
      </c>
      <c r="AQ152" s="163" t="str">
        <f t="shared" si="102"/>
        <v>Cost-Effective</v>
      </c>
      <c r="AR152" s="167">
        <f t="shared" si="100"/>
        <v>0.39134468698860009</v>
      </c>
      <c r="AS152" s="167">
        <f t="shared" si="103"/>
        <v>0.56000000000000005</v>
      </c>
      <c r="AT152" s="159" t="str">
        <f t="shared" si="116"/>
        <v>Cost-Effective</v>
      </c>
      <c r="AU152" s="167">
        <f t="shared" si="104"/>
        <v>0.37</v>
      </c>
      <c r="AV152" s="162" t="str">
        <f t="shared" si="117"/>
        <v>Not Cost-Effective</v>
      </c>
      <c r="AW152" s="167" t="str">
        <f t="shared" si="105"/>
        <v>.</v>
      </c>
      <c r="AX152" s="159" t="str">
        <f t="shared" si="118"/>
        <v>.</v>
      </c>
      <c r="AY152" s="167" t="str">
        <f t="shared" si="106"/>
        <v>.</v>
      </c>
      <c r="AZ152" s="159" t="str">
        <f t="shared" si="119"/>
        <v>.</v>
      </c>
      <c r="BA152" s="167">
        <f t="shared" si="107"/>
        <v>1.6478818109738349</v>
      </c>
      <c r="BB152" s="159" t="str">
        <f t="shared" si="120"/>
        <v>Cost-Effective</v>
      </c>
      <c r="BC152" s="167">
        <f t="shared" si="108"/>
        <v>0.68297921454881216</v>
      </c>
      <c r="BD152" s="159" t="str">
        <f t="shared" si="121"/>
        <v>Cost-Effective</v>
      </c>
      <c r="BE152" s="162" t="s">
        <v>153</v>
      </c>
      <c r="BF152" s="162" t="s">
        <v>382</v>
      </c>
      <c r="BG152" s="168">
        <f t="shared" si="109"/>
        <v>1</v>
      </c>
      <c r="BH152" s="168">
        <f t="shared" si="110"/>
        <v>0</v>
      </c>
      <c r="BI152" s="163">
        <f t="shared" si="111"/>
        <v>0</v>
      </c>
      <c r="BJ152" s="163">
        <f t="shared" si="112"/>
        <v>0</v>
      </c>
      <c r="BK152" s="163">
        <f t="shared" si="122"/>
        <v>0</v>
      </c>
      <c r="BL152" s="163">
        <f t="shared" si="123"/>
        <v>0</v>
      </c>
      <c r="BM152" s="163">
        <f t="shared" si="124"/>
        <v>1</v>
      </c>
      <c r="BN152" s="163" t="s">
        <v>148</v>
      </c>
      <c r="BO152" s="162" t="s">
        <v>703</v>
      </c>
      <c r="BP152" s="162" t="s">
        <v>701</v>
      </c>
      <c r="BQ152" s="162" t="s">
        <v>163</v>
      </c>
    </row>
    <row r="153" spans="1:69">
      <c r="A153" s="159">
        <f t="shared" si="113"/>
        <v>44</v>
      </c>
      <c r="B153" s="159">
        <f t="shared" si="114"/>
        <v>3</v>
      </c>
      <c r="C153" s="160" t="str">
        <f t="shared" si="101"/>
        <v>4403</v>
      </c>
      <c r="D153" s="159" t="s">
        <v>58</v>
      </c>
      <c r="E153" s="159">
        <v>2010</v>
      </c>
      <c r="F153" s="162" t="s">
        <v>63</v>
      </c>
      <c r="G153" s="182" t="s">
        <v>221</v>
      </c>
      <c r="H153" s="163" t="str">
        <f t="shared" si="125"/>
        <v>UM</v>
      </c>
      <c r="I153" s="163" t="s">
        <v>155</v>
      </c>
      <c r="J153" s="180" t="s">
        <v>698</v>
      </c>
      <c r="K153" s="163" t="s">
        <v>146</v>
      </c>
      <c r="L153" s="163" t="s">
        <v>147</v>
      </c>
      <c r="M153" s="163" t="str">
        <f t="shared" si="115"/>
        <v>PCV7 vs NoVax</v>
      </c>
      <c r="N153" s="159" t="s">
        <v>403</v>
      </c>
      <c r="O153" s="159">
        <v>4</v>
      </c>
      <c r="P153" s="162" t="s">
        <v>155</v>
      </c>
      <c r="Q153" s="162" t="s">
        <v>377</v>
      </c>
      <c r="R153" s="162" t="s">
        <v>150</v>
      </c>
      <c r="S153" s="162" t="s">
        <v>151</v>
      </c>
      <c r="T153" s="159">
        <v>2007</v>
      </c>
      <c r="U153" s="165">
        <v>26.5</v>
      </c>
      <c r="V153" s="165" t="e">
        <f>IF(ISNUMBER(U153),U153/VLOOKUP($S153,xRates!$A$1:$AA$267,data!$T153-xRates!$B$1+2,FALSE),U153)</f>
        <v>#REF!</v>
      </c>
      <c r="W153" s="162" t="s">
        <v>385</v>
      </c>
      <c r="Y153" s="165"/>
      <c r="AA153" s="163" t="s">
        <v>155</v>
      </c>
      <c r="AB153" s="162"/>
      <c r="AC153" s="162" t="str">
        <f>IF(AA153="No","","")</f>
        <v/>
      </c>
      <c r="AD153" s="163" t="s">
        <v>155</v>
      </c>
      <c r="AE153" s="162" t="str">
        <f>IF(AD153="No", "", "")</f>
        <v/>
      </c>
      <c r="AF153" s="163" t="s">
        <v>148</v>
      </c>
      <c r="AG153" s="163" t="s">
        <v>148</v>
      </c>
      <c r="AH153" s="163" t="s">
        <v>148</v>
      </c>
      <c r="AJ153" s="162"/>
      <c r="AK153" s="162" t="s">
        <v>704</v>
      </c>
      <c r="AL153" s="163" t="s">
        <v>263</v>
      </c>
      <c r="AM153" s="179">
        <v>5827.76</v>
      </c>
      <c r="AN153" s="179">
        <f>AM153</f>
        <v>5827.76</v>
      </c>
      <c r="AO153" s="179">
        <f t="shared" si="126"/>
        <v>7210.6</v>
      </c>
      <c r="AP153" s="163" t="str">
        <f t="shared" si="128"/>
        <v>Cost-Effective</v>
      </c>
      <c r="AQ153" s="163" t="str">
        <f t="shared" si="102"/>
        <v>Cost-Effective</v>
      </c>
      <c r="AR153" s="167">
        <f t="shared" si="100"/>
        <v>0.80822122985604528</v>
      </c>
      <c r="AS153" s="167">
        <f t="shared" si="103"/>
        <v>0.56000000000000005</v>
      </c>
      <c r="AT153" s="159" t="str">
        <f t="shared" si="116"/>
        <v>Not Cost-Effective</v>
      </c>
      <c r="AU153" s="167">
        <f t="shared" si="104"/>
        <v>0.37</v>
      </c>
      <c r="AV153" s="162" t="str">
        <f t="shared" si="117"/>
        <v>Not Cost-Effective</v>
      </c>
      <c r="AW153" s="167" t="str">
        <f t="shared" si="105"/>
        <v>.</v>
      </c>
      <c r="AX153" s="159" t="str">
        <f t="shared" si="118"/>
        <v>.</v>
      </c>
      <c r="AY153" s="167" t="str">
        <f t="shared" si="106"/>
        <v>.</v>
      </c>
      <c r="AZ153" s="159" t="str">
        <f t="shared" si="119"/>
        <v>.</v>
      </c>
      <c r="BA153" s="167">
        <f t="shared" si="107"/>
        <v>1.6478818109738349</v>
      </c>
      <c r="BB153" s="159" t="str">
        <f t="shared" si="120"/>
        <v>Cost-Effective</v>
      </c>
      <c r="BC153" s="167">
        <f t="shared" si="108"/>
        <v>0.68297921454881216</v>
      </c>
      <c r="BD153" s="159" t="str">
        <f t="shared" si="121"/>
        <v>Not Cost-Effective</v>
      </c>
      <c r="BE153" s="162" t="s">
        <v>153</v>
      </c>
      <c r="BF153" s="162" t="s">
        <v>382</v>
      </c>
      <c r="BG153" s="168">
        <f t="shared" si="109"/>
        <v>1</v>
      </c>
      <c r="BH153" s="168">
        <f t="shared" si="110"/>
        <v>1</v>
      </c>
      <c r="BI153" s="163">
        <f t="shared" si="111"/>
        <v>0</v>
      </c>
      <c r="BJ153" s="163">
        <f t="shared" si="112"/>
        <v>0</v>
      </c>
      <c r="BK153" s="163">
        <f t="shared" si="122"/>
        <v>1</v>
      </c>
      <c r="BL153" s="163">
        <f t="shared" si="123"/>
        <v>0</v>
      </c>
      <c r="BM153" s="163">
        <f t="shared" si="124"/>
        <v>3</v>
      </c>
      <c r="BN153" s="163" t="s">
        <v>148</v>
      </c>
      <c r="BP153" s="162" t="s">
        <v>705</v>
      </c>
      <c r="BQ153" s="162" t="s">
        <v>163</v>
      </c>
    </row>
    <row r="154" spans="1:69">
      <c r="A154" s="159">
        <f t="shared" si="113"/>
        <v>45</v>
      </c>
      <c r="B154" s="159">
        <f t="shared" si="114"/>
        <v>1</v>
      </c>
      <c r="C154" s="160" t="str">
        <f t="shared" si="101"/>
        <v>4501</v>
      </c>
      <c r="D154" s="159" t="s">
        <v>64</v>
      </c>
      <c r="E154" s="159">
        <v>2010</v>
      </c>
      <c r="F154" s="162" t="s">
        <v>65</v>
      </c>
      <c r="G154" s="182" t="s">
        <v>281</v>
      </c>
      <c r="H154" s="163" t="str">
        <f t="shared" si="125"/>
        <v>UM</v>
      </c>
      <c r="I154" s="163" t="s">
        <v>155</v>
      </c>
      <c r="J154" s="180" t="s">
        <v>706</v>
      </c>
      <c r="K154" s="163" t="s">
        <v>166</v>
      </c>
      <c r="L154" s="163" t="s">
        <v>146</v>
      </c>
      <c r="M154" s="163" t="str">
        <f t="shared" si="115"/>
        <v>PCV10 vs PCV7</v>
      </c>
      <c r="N154" s="159" t="s">
        <v>368</v>
      </c>
      <c r="O154" s="159">
        <v>3</v>
      </c>
      <c r="P154" s="162" t="s">
        <v>148</v>
      </c>
      <c r="Q154" s="162" t="s">
        <v>377</v>
      </c>
      <c r="R154" s="162" t="s">
        <v>284</v>
      </c>
      <c r="S154" s="162" t="s">
        <v>281</v>
      </c>
      <c r="T154" s="159">
        <v>2008</v>
      </c>
      <c r="U154" s="165" t="s">
        <v>386</v>
      </c>
      <c r="V154" s="165" t="str">
        <f>IF(ISNUMBER(U154),U154/VLOOKUP($S154,xRates!$A$1:$AA$267,data!$T154-xRates!$B$1+2,FALSE),U154)</f>
        <v>.</v>
      </c>
      <c r="W154" s="162" t="s">
        <v>385</v>
      </c>
      <c r="Y154" s="165"/>
      <c r="AA154" s="163" t="s">
        <v>155</v>
      </c>
      <c r="AB154" s="162"/>
      <c r="AC154" s="162" t="str">
        <f>IF(AA154="No","","")</f>
        <v/>
      </c>
      <c r="AD154" s="163" t="s">
        <v>148</v>
      </c>
      <c r="AE154" s="162" t="s">
        <v>707</v>
      </c>
      <c r="AF154" s="163" t="s">
        <v>148</v>
      </c>
      <c r="AG154" s="163" t="s">
        <v>148</v>
      </c>
      <c r="AH154" s="163" t="s">
        <v>148</v>
      </c>
      <c r="AJ154" s="162" t="s">
        <v>708</v>
      </c>
      <c r="AK154" s="162" t="s">
        <v>709</v>
      </c>
      <c r="AL154" s="163" t="s">
        <v>152</v>
      </c>
      <c r="AM154" s="179">
        <f>-228800000/3232.4</f>
        <v>-70783.318896176221</v>
      </c>
      <c r="AN154" s="179">
        <f>AM154/xRates!N129</f>
        <v>-214494.90574598854</v>
      </c>
      <c r="AO154" s="179">
        <f t="shared" si="126"/>
        <v>10590</v>
      </c>
      <c r="AP154" s="163" t="str">
        <f t="shared" si="128"/>
        <v>Cost-Saving</v>
      </c>
      <c r="AQ154" s="163" t="str">
        <f t="shared" si="102"/>
        <v>Cost-Saving</v>
      </c>
      <c r="AR154" s="167">
        <f t="shared" si="100"/>
        <v>-20.254476463266151</v>
      </c>
      <c r="AS154" s="167">
        <f t="shared" si="103"/>
        <v>0.97</v>
      </c>
      <c r="AT154" s="159" t="str">
        <f t="shared" si="116"/>
        <v>Cost-Saving</v>
      </c>
      <c r="AU154" s="167">
        <f t="shared" si="104"/>
        <v>0.64</v>
      </c>
      <c r="AV154" s="162" t="str">
        <f t="shared" si="117"/>
        <v>Cost-Saving</v>
      </c>
      <c r="AW154" s="167">
        <f t="shared" si="105"/>
        <v>0.59633311243649212</v>
      </c>
      <c r="AX154" s="159" t="str">
        <f t="shared" si="118"/>
        <v>Cost-Saving</v>
      </c>
      <c r="AY154" s="167">
        <f t="shared" si="106"/>
        <v>0.21294455489286504</v>
      </c>
      <c r="AZ154" s="159" t="str">
        <f t="shared" si="119"/>
        <v>Cost-Saving</v>
      </c>
      <c r="BA154" s="167">
        <f t="shared" si="107"/>
        <v>0.87938205585264406</v>
      </c>
      <c r="BB154" s="159" t="str">
        <f t="shared" si="120"/>
        <v>Cost-Saving</v>
      </c>
      <c r="BC154" s="167">
        <f t="shared" si="108"/>
        <v>0.36446054472619938</v>
      </c>
      <c r="BD154" s="159" t="str">
        <f t="shared" si="121"/>
        <v>Cost-Saving</v>
      </c>
      <c r="BE154" s="162" t="s">
        <v>153</v>
      </c>
      <c r="BF154" s="162" t="s">
        <v>439</v>
      </c>
      <c r="BG154" s="168" t="str">
        <f t="shared" si="109"/>
        <v>.</v>
      </c>
      <c r="BH154" s="168" t="str">
        <f t="shared" si="110"/>
        <v>.</v>
      </c>
      <c r="BI154" s="163" t="str">
        <f t="shared" si="111"/>
        <v>.</v>
      </c>
      <c r="BJ154" s="163" t="str">
        <f t="shared" si="112"/>
        <v>.</v>
      </c>
      <c r="BK154" s="163" t="str">
        <f t="shared" si="122"/>
        <v>.</v>
      </c>
      <c r="BL154" s="163" t="str">
        <f t="shared" si="123"/>
        <v>.</v>
      </c>
      <c r="BM154" s="163">
        <f t="shared" si="124"/>
        <v>0</v>
      </c>
      <c r="BN154" s="163" t="s">
        <v>155</v>
      </c>
      <c r="BO154" s="162" t="str">
        <f t="shared" ref="BO154:BO170" si="129">IF(BN154="No", "", "")</f>
        <v/>
      </c>
      <c r="BP154" s="162" t="s">
        <v>422</v>
      </c>
      <c r="BQ154" s="162" t="s">
        <v>163</v>
      </c>
    </row>
    <row r="155" spans="1:69">
      <c r="A155" s="159">
        <f t="shared" si="113"/>
        <v>45</v>
      </c>
      <c r="B155" s="159">
        <f t="shared" si="114"/>
        <v>2</v>
      </c>
      <c r="C155" s="160" t="str">
        <f t="shared" si="101"/>
        <v>4502</v>
      </c>
      <c r="D155" s="159" t="s">
        <v>64</v>
      </c>
      <c r="E155" s="159">
        <v>2010</v>
      </c>
      <c r="F155" s="162" t="s">
        <v>65</v>
      </c>
      <c r="G155" s="182" t="s">
        <v>281</v>
      </c>
      <c r="H155" s="163" t="str">
        <f t="shared" ref="H155" si="130">VLOOKUP(G155,income,T155-1985,FALSE)</f>
        <v>UM</v>
      </c>
      <c r="I155" s="163" t="s">
        <v>155</v>
      </c>
      <c r="J155" s="180" t="s">
        <v>706</v>
      </c>
      <c r="K155" s="163" t="s">
        <v>166</v>
      </c>
      <c r="L155" s="163" t="s">
        <v>146</v>
      </c>
      <c r="M155" s="163" t="str">
        <f t="shared" si="115"/>
        <v>PCV10 vs PCV7</v>
      </c>
      <c r="N155" s="159" t="s">
        <v>368</v>
      </c>
      <c r="O155" s="159">
        <v>3</v>
      </c>
      <c r="P155" s="162" t="s">
        <v>148</v>
      </c>
      <c r="Q155" s="162" t="s">
        <v>377</v>
      </c>
      <c r="R155" s="162" t="s">
        <v>284</v>
      </c>
      <c r="S155" s="162" t="s">
        <v>281</v>
      </c>
      <c r="T155" s="159">
        <v>2008</v>
      </c>
      <c r="U155" s="165" t="s">
        <v>386</v>
      </c>
      <c r="V155" s="165" t="str">
        <f>IF(ISNUMBER(U155),U155/VLOOKUP($S155,xRates!$A$1:$AA$267,data!$T155-xRates!$B$1+2,FALSE),U155)</f>
        <v>.</v>
      </c>
      <c r="W155" s="162" t="s">
        <v>385</v>
      </c>
      <c r="Y155" s="165"/>
      <c r="AA155" s="163" t="s">
        <v>148</v>
      </c>
      <c r="AB155" s="162" t="s">
        <v>710</v>
      </c>
      <c r="AC155" s="162" t="s">
        <v>386</v>
      </c>
      <c r="AD155" s="163" t="s">
        <v>148</v>
      </c>
      <c r="AE155" s="162" t="s">
        <v>707</v>
      </c>
      <c r="AF155" s="163" t="s">
        <v>148</v>
      </c>
      <c r="AG155" s="163" t="s">
        <v>148</v>
      </c>
      <c r="AH155" s="163" t="s">
        <v>148</v>
      </c>
      <c r="AJ155" s="162" t="s">
        <v>708</v>
      </c>
      <c r="AK155" s="162" t="s">
        <v>711</v>
      </c>
      <c r="AL155" s="163" t="s">
        <v>152</v>
      </c>
      <c r="AM155" s="179">
        <v>-999999</v>
      </c>
      <c r="AN155" s="179" t="e">
        <f>AM155/xRates!N130</f>
        <v>#DIV/0!</v>
      </c>
      <c r="AO155" s="179">
        <f t="shared" ref="AO155" si="131">VLOOKUP(G155,gdppc,T155-1958,FALSE)</f>
        <v>10590</v>
      </c>
      <c r="AP155" s="163" t="e">
        <f t="shared" si="128"/>
        <v>#DIV/0!</v>
      </c>
      <c r="AQ155" s="163" t="e">
        <f t="shared" si="102"/>
        <v>#DIV/0!</v>
      </c>
      <c r="AR155" s="167" t="str">
        <f t="shared" si="100"/>
        <v>.</v>
      </c>
      <c r="AS155" s="167">
        <f t="shared" si="103"/>
        <v>0.97</v>
      </c>
      <c r="AT155" s="159" t="str">
        <f t="shared" si="116"/>
        <v>Not Cost-Effective</v>
      </c>
      <c r="AU155" s="167">
        <f t="shared" si="104"/>
        <v>0.64</v>
      </c>
      <c r="AV155" s="162" t="str">
        <f t="shared" si="117"/>
        <v>Not Cost-Effective</v>
      </c>
      <c r="AW155" s="167">
        <f t="shared" si="105"/>
        <v>0.59633311243649212</v>
      </c>
      <c r="AX155" s="159" t="str">
        <f t="shared" si="118"/>
        <v>Not Cost-Effective</v>
      </c>
      <c r="AY155" s="167">
        <f t="shared" si="106"/>
        <v>0.21294455489286504</v>
      </c>
      <c r="AZ155" s="159" t="str">
        <f t="shared" si="119"/>
        <v>Not Cost-Effective</v>
      </c>
      <c r="BA155" s="167">
        <f t="shared" si="107"/>
        <v>0.87938205585264406</v>
      </c>
      <c r="BB155" s="159" t="str">
        <f t="shared" si="120"/>
        <v>Not Cost-Effective</v>
      </c>
      <c r="BC155" s="167">
        <f t="shared" si="108"/>
        <v>0.36446054472619938</v>
      </c>
      <c r="BD155" s="159" t="str">
        <f t="shared" si="121"/>
        <v>Not Cost-Effective</v>
      </c>
      <c r="BE155" s="162" t="s">
        <v>153</v>
      </c>
      <c r="BF155" s="162" t="s">
        <v>439</v>
      </c>
      <c r="BG155" s="168" t="str">
        <f t="shared" si="109"/>
        <v>.</v>
      </c>
      <c r="BH155" s="168" t="str">
        <f t="shared" si="110"/>
        <v>.</v>
      </c>
      <c r="BI155" s="163" t="str">
        <f t="shared" si="111"/>
        <v>.</v>
      </c>
      <c r="BJ155" s="163" t="str">
        <f t="shared" si="112"/>
        <v>.</v>
      </c>
      <c r="BK155" s="163" t="str">
        <f t="shared" si="122"/>
        <v>.</v>
      </c>
      <c r="BL155" s="163" t="str">
        <f t="shared" si="123"/>
        <v>.</v>
      </c>
      <c r="BM155" s="163">
        <f t="shared" si="124"/>
        <v>0</v>
      </c>
      <c r="BN155" s="163" t="s">
        <v>155</v>
      </c>
      <c r="BO155" s="162" t="str">
        <f t="shared" si="129"/>
        <v/>
      </c>
      <c r="BP155" s="162" t="s">
        <v>422</v>
      </c>
      <c r="BQ155" s="162" t="s">
        <v>163</v>
      </c>
    </row>
    <row r="156" spans="1:69">
      <c r="A156" s="159">
        <f t="shared" si="113"/>
        <v>46</v>
      </c>
      <c r="B156" s="159">
        <f t="shared" si="114"/>
        <v>1</v>
      </c>
      <c r="C156" s="160" t="str">
        <f t="shared" si="101"/>
        <v>4601</v>
      </c>
      <c r="D156" s="159" t="s">
        <v>66</v>
      </c>
      <c r="E156" s="159">
        <v>2015</v>
      </c>
      <c r="F156" s="162" t="s">
        <v>67</v>
      </c>
      <c r="G156" s="182" t="s">
        <v>286</v>
      </c>
      <c r="H156" s="163" t="str">
        <f t="shared" si="125"/>
        <v>UM</v>
      </c>
      <c r="I156" s="163" t="s">
        <v>155</v>
      </c>
      <c r="J156" s="180" t="s">
        <v>712</v>
      </c>
      <c r="K156" s="163" t="s">
        <v>166</v>
      </c>
      <c r="L156" s="163" t="s">
        <v>147</v>
      </c>
      <c r="M156" s="163" t="str">
        <f t="shared" si="115"/>
        <v>PCV10 vs NoVax</v>
      </c>
      <c r="N156" s="159" t="s">
        <v>385</v>
      </c>
      <c r="O156" s="159" t="s">
        <v>386</v>
      </c>
      <c r="P156" s="162" t="s">
        <v>148</v>
      </c>
      <c r="Q156" s="162" t="s">
        <v>149</v>
      </c>
      <c r="R156" s="162" t="s">
        <v>150</v>
      </c>
      <c r="S156" s="162" t="s">
        <v>151</v>
      </c>
      <c r="T156" s="159">
        <v>2014</v>
      </c>
      <c r="U156" s="165">
        <v>14.12</v>
      </c>
      <c r="V156" s="165" t="e">
        <f>IF(ISNUMBER(U156),U156/VLOOKUP($S156,xRates!$A$1:$AA$267,data!$T156-xRates!$B$1+2,FALSE),U156)</f>
        <v>#REF!</v>
      </c>
      <c r="W156" s="162" t="s">
        <v>713</v>
      </c>
      <c r="Y156" s="165"/>
      <c r="AA156" s="163" t="s">
        <v>155</v>
      </c>
      <c r="AB156" s="162"/>
      <c r="AC156" s="162" t="str">
        <f t="shared" ref="AC156:AC169" si="132">IF(AA156="No","","")</f>
        <v/>
      </c>
      <c r="AD156" s="163" t="s">
        <v>155</v>
      </c>
      <c r="AE156" s="162" t="str">
        <f t="shared" ref="AE156:AE169" si="133">IF(AD156="No", "", "")</f>
        <v/>
      </c>
      <c r="AF156" s="163" t="s">
        <v>148</v>
      </c>
      <c r="AG156" s="163" t="s">
        <v>148</v>
      </c>
      <c r="AH156" s="163" t="s">
        <v>148</v>
      </c>
      <c r="AJ156" s="162" t="s">
        <v>714</v>
      </c>
      <c r="AK156" s="162" t="s">
        <v>715</v>
      </c>
      <c r="AL156" s="163" t="s">
        <v>152</v>
      </c>
      <c r="AM156" s="179">
        <v>1340</v>
      </c>
      <c r="AN156" s="179">
        <f>(AM156*ppp!$P$68)/xRates!$T$59</f>
        <v>270.20238770378973</v>
      </c>
      <c r="AO156" s="179">
        <f t="shared" si="126"/>
        <v>6436.8</v>
      </c>
      <c r="AP156" s="163" t="str">
        <f t="shared" si="128"/>
        <v>Cost-Effective</v>
      </c>
      <c r="AQ156" s="163" t="str">
        <f t="shared" si="102"/>
        <v>Cost-Effective</v>
      </c>
      <c r="AR156" s="167">
        <f t="shared" si="100"/>
        <v>4.1977751010407301E-2</v>
      </c>
      <c r="AS156" s="167">
        <f t="shared" si="103"/>
        <v>1.1200000000000001</v>
      </c>
      <c r="AT156" s="159" t="str">
        <f t="shared" si="116"/>
        <v>Cost-Effective</v>
      </c>
      <c r="AU156" s="167">
        <f t="shared" si="104"/>
        <v>0.72</v>
      </c>
      <c r="AV156" s="162" t="str">
        <f t="shared" si="117"/>
        <v>Cost-Effective</v>
      </c>
      <c r="AW156" s="167">
        <f t="shared" si="105"/>
        <v>0.51953760989905573</v>
      </c>
      <c r="AX156" s="159" t="str">
        <f t="shared" si="118"/>
        <v>Cost-Effective</v>
      </c>
      <c r="AY156" s="167">
        <f t="shared" si="106"/>
        <v>0.13969391077824814</v>
      </c>
      <c r="AZ156" s="159" t="str">
        <f t="shared" si="119"/>
        <v>Cost-Effective</v>
      </c>
      <c r="BA156" s="167">
        <f t="shared" si="107"/>
        <v>1.3462933410706515</v>
      </c>
      <c r="BB156" s="159" t="str">
        <f t="shared" si="120"/>
        <v>Cost-Effective</v>
      </c>
      <c r="BC156" s="167">
        <f t="shared" si="108"/>
        <v>0.5578928703838032</v>
      </c>
      <c r="BD156" s="159" t="str">
        <f t="shared" si="121"/>
        <v>Cost-Effective</v>
      </c>
      <c r="BE156" s="162" t="s">
        <v>153</v>
      </c>
      <c r="BF156" s="162" t="s">
        <v>382</v>
      </c>
      <c r="BG156" s="168">
        <f t="shared" si="109"/>
        <v>0</v>
      </c>
      <c r="BH156" s="168">
        <f t="shared" si="110"/>
        <v>0</v>
      </c>
      <c r="BI156" s="163">
        <f t="shared" si="111"/>
        <v>0</v>
      </c>
      <c r="BJ156" s="163">
        <f t="shared" si="112"/>
        <v>0</v>
      </c>
      <c r="BK156" s="163">
        <f t="shared" si="122"/>
        <v>0</v>
      </c>
      <c r="BL156" s="163">
        <f t="shared" si="123"/>
        <v>0</v>
      </c>
      <c r="BM156" s="163">
        <f t="shared" si="124"/>
        <v>0</v>
      </c>
      <c r="BN156" s="163" t="s">
        <v>155</v>
      </c>
      <c r="BO156" s="162" t="str">
        <f t="shared" si="129"/>
        <v/>
      </c>
      <c r="BP156" s="162" t="s">
        <v>716</v>
      </c>
      <c r="BQ156" s="169" t="s">
        <v>156</v>
      </c>
    </row>
    <row r="157" spans="1:69">
      <c r="A157" s="159">
        <f t="shared" si="113"/>
        <v>46</v>
      </c>
      <c r="B157" s="159">
        <f t="shared" si="114"/>
        <v>2</v>
      </c>
      <c r="C157" s="160" t="str">
        <f t="shared" si="101"/>
        <v>4602</v>
      </c>
      <c r="D157" s="159" t="s">
        <v>66</v>
      </c>
      <c r="E157" s="159">
        <v>2015</v>
      </c>
      <c r="F157" s="162" t="s">
        <v>67</v>
      </c>
      <c r="G157" s="182" t="s">
        <v>286</v>
      </c>
      <c r="H157" s="163" t="str">
        <f t="shared" si="125"/>
        <v>UM</v>
      </c>
      <c r="I157" s="163" t="s">
        <v>155</v>
      </c>
      <c r="J157" s="180" t="s">
        <v>717</v>
      </c>
      <c r="K157" s="163" t="s">
        <v>167</v>
      </c>
      <c r="L157" s="163" t="s">
        <v>147</v>
      </c>
      <c r="M157" s="163" t="str">
        <f t="shared" si="115"/>
        <v>PCV13 vs NoVax</v>
      </c>
      <c r="N157" s="159" t="s">
        <v>385</v>
      </c>
      <c r="O157" s="159" t="s">
        <v>386</v>
      </c>
      <c r="P157" s="162" t="s">
        <v>148</v>
      </c>
      <c r="Q157" s="162" t="s">
        <v>149</v>
      </c>
      <c r="R157" s="162" t="s">
        <v>150</v>
      </c>
      <c r="S157" s="162" t="s">
        <v>151</v>
      </c>
      <c r="T157" s="159">
        <v>2014</v>
      </c>
      <c r="U157" s="165">
        <v>15.68</v>
      </c>
      <c r="V157" s="165" t="e">
        <f>IF(ISNUMBER(U157),U157/VLOOKUP($S157,xRates!$A$1:$AA$267,data!$T157-xRates!$B$1+2,FALSE),U157)</f>
        <v>#REF!</v>
      </c>
      <c r="W157" s="162" t="s">
        <v>713</v>
      </c>
      <c r="Y157" s="165"/>
      <c r="AA157" s="163" t="s">
        <v>155</v>
      </c>
      <c r="AB157" s="162"/>
      <c r="AC157" s="162" t="str">
        <f t="shared" si="132"/>
        <v/>
      </c>
      <c r="AD157" s="163" t="s">
        <v>155</v>
      </c>
      <c r="AE157" s="162" t="str">
        <f t="shared" si="133"/>
        <v/>
      </c>
      <c r="AF157" s="163" t="s">
        <v>148</v>
      </c>
      <c r="AG157" s="163" t="s">
        <v>148</v>
      </c>
      <c r="AH157" s="163" t="s">
        <v>148</v>
      </c>
      <c r="AJ157" s="162" t="s">
        <v>718</v>
      </c>
      <c r="AK157" s="162" t="s">
        <v>719</v>
      </c>
      <c r="AL157" s="163" t="s">
        <v>152</v>
      </c>
      <c r="AM157" s="179">
        <v>1166</v>
      </c>
      <c r="AN157" s="179">
        <f>(AM157*ppp!$P$68)/xRates!$T$59</f>
        <v>235.11640601687969</v>
      </c>
      <c r="AO157" s="179">
        <f t="shared" si="126"/>
        <v>6436.8</v>
      </c>
      <c r="AP157" s="163" t="str">
        <f t="shared" si="128"/>
        <v>Cost-Effective</v>
      </c>
      <c r="AQ157" s="163" t="str">
        <f t="shared" si="102"/>
        <v>Cost-Effective</v>
      </c>
      <c r="AR157" s="167">
        <f t="shared" si="100"/>
        <v>3.6526908715026049E-2</v>
      </c>
      <c r="AS157" s="167">
        <f t="shared" si="103"/>
        <v>1.1200000000000001</v>
      </c>
      <c r="AT157" s="159" t="str">
        <f t="shared" si="116"/>
        <v>Cost-Effective</v>
      </c>
      <c r="AU157" s="167">
        <f t="shared" si="104"/>
        <v>0.72</v>
      </c>
      <c r="AV157" s="162" t="str">
        <f t="shared" si="117"/>
        <v>Cost-Effective</v>
      </c>
      <c r="AW157" s="167">
        <f t="shared" si="105"/>
        <v>0.51953760989905573</v>
      </c>
      <c r="AX157" s="159" t="str">
        <f t="shared" si="118"/>
        <v>Cost-Effective</v>
      </c>
      <c r="AY157" s="167">
        <f t="shared" si="106"/>
        <v>0.13969391077824814</v>
      </c>
      <c r="AZ157" s="159" t="str">
        <f t="shared" si="119"/>
        <v>Cost-Effective</v>
      </c>
      <c r="BA157" s="167">
        <f t="shared" si="107"/>
        <v>1.3462933410706515</v>
      </c>
      <c r="BB157" s="159" t="str">
        <f t="shared" si="120"/>
        <v>Cost-Effective</v>
      </c>
      <c r="BC157" s="167">
        <f t="shared" si="108"/>
        <v>0.5578928703838032</v>
      </c>
      <c r="BD157" s="159" t="str">
        <f t="shared" si="121"/>
        <v>Cost-Effective</v>
      </c>
      <c r="BE157" s="162" t="s">
        <v>153</v>
      </c>
      <c r="BF157" s="162" t="s">
        <v>382</v>
      </c>
      <c r="BG157" s="168">
        <f t="shared" si="109"/>
        <v>0</v>
      </c>
      <c r="BH157" s="168">
        <f t="shared" si="110"/>
        <v>0</v>
      </c>
      <c r="BI157" s="163">
        <f t="shared" si="111"/>
        <v>0</v>
      </c>
      <c r="BJ157" s="163">
        <f t="shared" si="112"/>
        <v>0</v>
      </c>
      <c r="BK157" s="163">
        <f t="shared" si="122"/>
        <v>0</v>
      </c>
      <c r="BL157" s="163">
        <f t="shared" si="123"/>
        <v>0</v>
      </c>
      <c r="BM157" s="163">
        <f t="shared" si="124"/>
        <v>0</v>
      </c>
      <c r="BN157" s="163" t="s">
        <v>155</v>
      </c>
      <c r="BO157" s="162" t="str">
        <f t="shared" si="129"/>
        <v/>
      </c>
      <c r="BP157" s="162" t="s">
        <v>716</v>
      </c>
      <c r="BQ157" s="169" t="s">
        <v>156</v>
      </c>
    </row>
    <row r="158" spans="1:69">
      <c r="A158" s="159">
        <f t="shared" si="113"/>
        <v>46</v>
      </c>
      <c r="B158" s="159">
        <f t="shared" si="114"/>
        <v>3</v>
      </c>
      <c r="C158" s="160" t="str">
        <f t="shared" si="101"/>
        <v>4603</v>
      </c>
      <c r="D158" s="159" t="s">
        <v>66</v>
      </c>
      <c r="E158" s="159">
        <v>2015</v>
      </c>
      <c r="F158" s="162" t="s">
        <v>67</v>
      </c>
      <c r="G158" s="182" t="s">
        <v>287</v>
      </c>
      <c r="H158" s="163" t="str">
        <f t="shared" si="125"/>
        <v>LM</v>
      </c>
      <c r="I158" s="163" t="s">
        <v>155</v>
      </c>
      <c r="J158" s="180" t="s">
        <v>712</v>
      </c>
      <c r="K158" s="163" t="s">
        <v>166</v>
      </c>
      <c r="L158" s="163" t="s">
        <v>147</v>
      </c>
      <c r="M158" s="163" t="str">
        <f t="shared" si="115"/>
        <v>PCV10 vs NoVax</v>
      </c>
      <c r="N158" s="159" t="s">
        <v>385</v>
      </c>
      <c r="O158" s="159" t="s">
        <v>386</v>
      </c>
      <c r="P158" s="162" t="s">
        <v>148</v>
      </c>
      <c r="Q158" s="162" t="s">
        <v>149</v>
      </c>
      <c r="R158" s="162" t="s">
        <v>150</v>
      </c>
      <c r="S158" s="162" t="s">
        <v>151</v>
      </c>
      <c r="T158" s="159">
        <v>2014</v>
      </c>
      <c r="U158" s="165">
        <v>14.12</v>
      </c>
      <c r="V158" s="165" t="e">
        <f>IF(ISNUMBER(U158),U158/VLOOKUP($S158,xRates!$A$1:$AA$267,data!$T158-xRates!$B$1+2,FALSE),U158)</f>
        <v>#REF!</v>
      </c>
      <c r="W158" s="162" t="s">
        <v>713</v>
      </c>
      <c r="Y158" s="165"/>
      <c r="AA158" s="163" t="s">
        <v>155</v>
      </c>
      <c r="AB158" s="162"/>
      <c r="AC158" s="162" t="str">
        <f t="shared" si="132"/>
        <v/>
      </c>
      <c r="AD158" s="163" t="s">
        <v>155</v>
      </c>
      <c r="AE158" s="162" t="str">
        <f t="shared" si="133"/>
        <v/>
      </c>
      <c r="AF158" s="163" t="s">
        <v>148</v>
      </c>
      <c r="AG158" s="163" t="s">
        <v>148</v>
      </c>
      <c r="AH158" s="163" t="s">
        <v>148</v>
      </c>
      <c r="AJ158" s="162" t="s">
        <v>714</v>
      </c>
      <c r="AK158" s="162" t="s">
        <v>720</v>
      </c>
      <c r="AL158" s="163" t="s">
        <v>152</v>
      </c>
      <c r="AM158" s="179">
        <v>796</v>
      </c>
      <c r="AN158" s="179">
        <f>(AM158*ppp!$P$99)/xRates!$T$87</f>
        <v>419.72454295438752</v>
      </c>
      <c r="AO158" s="179">
        <f t="shared" si="126"/>
        <v>2164.4</v>
      </c>
      <c r="AP158" s="163" t="str">
        <f t="shared" si="128"/>
        <v>Cost-Effective</v>
      </c>
      <c r="AQ158" s="163" t="str">
        <f t="shared" si="102"/>
        <v>Cost-Effective</v>
      </c>
      <c r="AR158" s="167">
        <f t="shared" si="100"/>
        <v>0.19392189195822745</v>
      </c>
      <c r="AS158" s="167">
        <f t="shared" si="103"/>
        <v>1</v>
      </c>
      <c r="AT158" s="159" t="str">
        <f t="shared" si="116"/>
        <v>Cost-Effective</v>
      </c>
      <c r="AU158" s="167">
        <f t="shared" si="104"/>
        <v>0.68</v>
      </c>
      <c r="AV158" s="162" t="str">
        <f t="shared" si="117"/>
        <v>Cost-Effective</v>
      </c>
      <c r="AW158" s="167">
        <f t="shared" si="105"/>
        <v>0.57008621524750558</v>
      </c>
      <c r="AX158" s="159" t="str">
        <f t="shared" si="118"/>
        <v>Cost-Effective</v>
      </c>
      <c r="AY158" s="167">
        <f t="shared" si="106"/>
        <v>7.2168943136685079E-2</v>
      </c>
      <c r="AZ158" s="159" t="str">
        <f t="shared" si="119"/>
        <v>Not Cost-Effective</v>
      </c>
      <c r="BA158" s="167">
        <f t="shared" si="107"/>
        <v>0.81368821292775662</v>
      </c>
      <c r="BB158" s="159" t="str">
        <f t="shared" si="120"/>
        <v>Cost-Effective</v>
      </c>
      <c r="BC158" s="167">
        <f t="shared" si="108"/>
        <v>0.32779667800680407</v>
      </c>
      <c r="BD158" s="159" t="str">
        <f t="shared" si="121"/>
        <v>Cost-Effective</v>
      </c>
      <c r="BE158" s="162" t="s">
        <v>153</v>
      </c>
      <c r="BF158" s="162" t="s">
        <v>382</v>
      </c>
      <c r="BG158" s="168">
        <f t="shared" si="109"/>
        <v>0</v>
      </c>
      <c r="BH158" s="168">
        <f t="shared" si="110"/>
        <v>0</v>
      </c>
      <c r="BI158" s="163">
        <f t="shared" si="111"/>
        <v>1</v>
      </c>
      <c r="BJ158" s="163">
        <f t="shared" si="112"/>
        <v>0</v>
      </c>
      <c r="BK158" s="163">
        <f t="shared" si="122"/>
        <v>0</v>
      </c>
      <c r="BL158" s="163">
        <f t="shared" si="123"/>
        <v>0</v>
      </c>
      <c r="BM158" s="163">
        <f t="shared" si="124"/>
        <v>1</v>
      </c>
      <c r="BN158" s="163" t="s">
        <v>155</v>
      </c>
      <c r="BO158" s="162" t="str">
        <f t="shared" si="129"/>
        <v/>
      </c>
      <c r="BP158" s="162" t="s">
        <v>716</v>
      </c>
      <c r="BQ158" s="169" t="s">
        <v>156</v>
      </c>
    </row>
    <row r="159" spans="1:69">
      <c r="A159" s="159">
        <f t="shared" si="113"/>
        <v>46</v>
      </c>
      <c r="B159" s="159">
        <f t="shared" si="114"/>
        <v>4</v>
      </c>
      <c r="C159" s="160" t="str">
        <f t="shared" si="101"/>
        <v>4604</v>
      </c>
      <c r="D159" s="159" t="s">
        <v>66</v>
      </c>
      <c r="E159" s="159">
        <v>2015</v>
      </c>
      <c r="F159" s="162" t="s">
        <v>67</v>
      </c>
      <c r="G159" s="182" t="s">
        <v>287</v>
      </c>
      <c r="H159" s="163" t="str">
        <f t="shared" si="125"/>
        <v>LM</v>
      </c>
      <c r="I159" s="163" t="s">
        <v>155</v>
      </c>
      <c r="J159" s="180" t="s">
        <v>717</v>
      </c>
      <c r="K159" s="163" t="s">
        <v>167</v>
      </c>
      <c r="L159" s="163" t="s">
        <v>147</v>
      </c>
      <c r="M159" s="163" t="str">
        <f t="shared" si="115"/>
        <v>PCV13 vs NoVax</v>
      </c>
      <c r="N159" s="159" t="s">
        <v>385</v>
      </c>
      <c r="O159" s="159" t="s">
        <v>386</v>
      </c>
      <c r="P159" s="162" t="s">
        <v>148</v>
      </c>
      <c r="Q159" s="162" t="s">
        <v>149</v>
      </c>
      <c r="R159" s="162" t="s">
        <v>150</v>
      </c>
      <c r="S159" s="162" t="s">
        <v>151</v>
      </c>
      <c r="T159" s="159">
        <v>2014</v>
      </c>
      <c r="U159" s="165">
        <v>15.68</v>
      </c>
      <c r="V159" s="165" t="e">
        <f>IF(ISNUMBER(U159),U159/VLOOKUP($S159,xRates!$A$1:$AA$267,data!$T159-xRates!$B$1+2,FALSE),U159)</f>
        <v>#REF!</v>
      </c>
      <c r="W159" s="162" t="s">
        <v>713</v>
      </c>
      <c r="Y159" s="165"/>
      <c r="AA159" s="163" t="s">
        <v>155</v>
      </c>
      <c r="AB159" s="162"/>
      <c r="AC159" s="162" t="str">
        <f t="shared" si="132"/>
        <v/>
      </c>
      <c r="AD159" s="163" t="s">
        <v>155</v>
      </c>
      <c r="AE159" s="162" t="str">
        <f t="shared" si="133"/>
        <v/>
      </c>
      <c r="AF159" s="163" t="s">
        <v>148</v>
      </c>
      <c r="AG159" s="163" t="s">
        <v>148</v>
      </c>
      <c r="AH159" s="163" t="s">
        <v>148</v>
      </c>
      <c r="AJ159" s="162" t="s">
        <v>718</v>
      </c>
      <c r="AK159" s="162" t="s">
        <v>721</v>
      </c>
      <c r="AL159" s="163" t="s">
        <v>152</v>
      </c>
      <c r="AM159" s="179">
        <v>691</v>
      </c>
      <c r="AN159" s="179">
        <f>(AM159*ppp!$P$99)/xRates!$T$87</f>
        <v>364.35886831844448</v>
      </c>
      <c r="AO159" s="179">
        <f t="shared" si="126"/>
        <v>2164.4</v>
      </c>
      <c r="AP159" s="163" t="str">
        <f t="shared" si="128"/>
        <v>Cost-Effective</v>
      </c>
      <c r="AQ159" s="163" t="str">
        <f t="shared" si="102"/>
        <v>Cost-Effective</v>
      </c>
      <c r="AR159" s="167">
        <f t="shared" si="100"/>
        <v>0.16834174289338591</v>
      </c>
      <c r="AS159" s="167">
        <f t="shared" si="103"/>
        <v>1</v>
      </c>
      <c r="AT159" s="159" t="str">
        <f t="shared" si="116"/>
        <v>Cost-Effective</v>
      </c>
      <c r="AU159" s="167">
        <f t="shared" si="104"/>
        <v>0.68</v>
      </c>
      <c r="AV159" s="162" t="str">
        <f t="shared" si="117"/>
        <v>Cost-Effective</v>
      </c>
      <c r="AW159" s="167">
        <f t="shared" si="105"/>
        <v>0.57008621524750558</v>
      </c>
      <c r="AX159" s="159" t="str">
        <f t="shared" si="118"/>
        <v>Cost-Effective</v>
      </c>
      <c r="AY159" s="167">
        <f t="shared" si="106"/>
        <v>7.2168943136685079E-2</v>
      </c>
      <c r="AZ159" s="159" t="str">
        <f t="shared" si="119"/>
        <v>Not Cost-Effective</v>
      </c>
      <c r="BA159" s="167">
        <f t="shared" si="107"/>
        <v>0.81368821292775662</v>
      </c>
      <c r="BB159" s="159" t="str">
        <f t="shared" si="120"/>
        <v>Cost-Effective</v>
      </c>
      <c r="BC159" s="167">
        <f t="shared" si="108"/>
        <v>0.32779667800680407</v>
      </c>
      <c r="BD159" s="159" t="str">
        <f t="shared" si="121"/>
        <v>Cost-Effective</v>
      </c>
      <c r="BE159" s="162" t="s">
        <v>153</v>
      </c>
      <c r="BF159" s="162" t="s">
        <v>382</v>
      </c>
      <c r="BG159" s="168">
        <f t="shared" si="109"/>
        <v>0</v>
      </c>
      <c r="BH159" s="168">
        <f t="shared" si="110"/>
        <v>0</v>
      </c>
      <c r="BI159" s="163">
        <f t="shared" si="111"/>
        <v>1</v>
      </c>
      <c r="BJ159" s="163">
        <f t="shared" si="112"/>
        <v>0</v>
      </c>
      <c r="BK159" s="163">
        <f t="shared" si="122"/>
        <v>0</v>
      </c>
      <c r="BL159" s="163">
        <f t="shared" si="123"/>
        <v>0</v>
      </c>
      <c r="BM159" s="163">
        <f t="shared" si="124"/>
        <v>1</v>
      </c>
      <c r="BN159" s="163" t="s">
        <v>155</v>
      </c>
      <c r="BO159" s="162" t="str">
        <f t="shared" si="129"/>
        <v/>
      </c>
      <c r="BP159" s="162" t="s">
        <v>716</v>
      </c>
      <c r="BQ159" s="169" t="s">
        <v>156</v>
      </c>
    </row>
    <row r="160" spans="1:69">
      <c r="A160" s="159">
        <f t="shared" si="113"/>
        <v>46</v>
      </c>
      <c r="B160" s="159">
        <f t="shared" si="114"/>
        <v>5</v>
      </c>
      <c r="C160" s="160" t="str">
        <f t="shared" si="101"/>
        <v>4605</v>
      </c>
      <c r="D160" s="159" t="s">
        <v>66</v>
      </c>
      <c r="E160" s="159">
        <v>2015</v>
      </c>
      <c r="F160" s="162" t="s">
        <v>67</v>
      </c>
      <c r="G160" s="182" t="s">
        <v>267</v>
      </c>
      <c r="H160" s="163" t="str">
        <f t="shared" si="125"/>
        <v>UM</v>
      </c>
      <c r="I160" s="163" t="s">
        <v>155</v>
      </c>
      <c r="J160" s="180" t="s">
        <v>712</v>
      </c>
      <c r="K160" s="163" t="s">
        <v>166</v>
      </c>
      <c r="L160" s="163" t="s">
        <v>147</v>
      </c>
      <c r="M160" s="163" t="str">
        <f t="shared" si="115"/>
        <v>PCV10 vs NoVax</v>
      </c>
      <c r="N160" s="159" t="s">
        <v>385</v>
      </c>
      <c r="O160" s="159" t="s">
        <v>386</v>
      </c>
      <c r="P160" s="162" t="s">
        <v>148</v>
      </c>
      <c r="Q160" s="162" t="s">
        <v>149</v>
      </c>
      <c r="R160" s="162" t="s">
        <v>150</v>
      </c>
      <c r="S160" s="162" t="s">
        <v>151</v>
      </c>
      <c r="T160" s="159">
        <v>2014</v>
      </c>
      <c r="U160" s="165">
        <v>14.12</v>
      </c>
      <c r="V160" s="165" t="e">
        <f>IF(ISNUMBER(U160),U160/VLOOKUP($S160,xRates!$A$1:$AA$267,data!$T160-xRates!$B$1+2,FALSE),U160)</f>
        <v>#REF!</v>
      </c>
      <c r="W160" s="162" t="s">
        <v>713</v>
      </c>
      <c r="Y160" s="165"/>
      <c r="AA160" s="163" t="s">
        <v>155</v>
      </c>
      <c r="AB160" s="162"/>
      <c r="AC160" s="162" t="str">
        <f t="shared" si="132"/>
        <v/>
      </c>
      <c r="AD160" s="163" t="s">
        <v>155</v>
      </c>
      <c r="AE160" s="162" t="str">
        <f t="shared" si="133"/>
        <v/>
      </c>
      <c r="AF160" s="163" t="s">
        <v>148</v>
      </c>
      <c r="AG160" s="163" t="s">
        <v>148</v>
      </c>
      <c r="AH160" s="163" t="s">
        <v>148</v>
      </c>
      <c r="AJ160" s="162" t="s">
        <v>714</v>
      </c>
      <c r="AK160" s="162" t="s">
        <v>722</v>
      </c>
      <c r="AL160" s="163" t="s">
        <v>152</v>
      </c>
      <c r="AM160" s="179">
        <v>1226</v>
      </c>
      <c r="AN160" s="179" t="e">
        <f>(AM160*ppp!$P$197)/xRates!$T$155</f>
        <v>#DIV/0!</v>
      </c>
      <c r="AO160" s="179">
        <f t="shared" si="126"/>
        <v>6629.4</v>
      </c>
      <c r="AP160" s="163" t="e">
        <f t="shared" si="128"/>
        <v>#DIV/0!</v>
      </c>
      <c r="AQ160" s="163" t="e">
        <f t="shared" si="102"/>
        <v>#DIV/0!</v>
      </c>
      <c r="AR160" s="167" t="str">
        <f t="shared" si="100"/>
        <v>.</v>
      </c>
      <c r="AS160" s="167">
        <f t="shared" si="103"/>
        <v>1.42</v>
      </c>
      <c r="AT160" s="159" t="str">
        <f t="shared" si="116"/>
        <v>Not Cost-Effective</v>
      </c>
      <c r="AU160" s="167">
        <f t="shared" si="104"/>
        <v>0.83</v>
      </c>
      <c r="AV160" s="162" t="str">
        <f t="shared" si="117"/>
        <v>Not Cost-Effective</v>
      </c>
      <c r="AW160" s="167">
        <f t="shared" si="105"/>
        <v>0.33989517688899978</v>
      </c>
      <c r="AX160" s="159" t="str">
        <f t="shared" si="118"/>
        <v>Not Cost-Effective</v>
      </c>
      <c r="AY160" s="167">
        <f t="shared" si="106"/>
        <v>7.549759780370624E-2</v>
      </c>
      <c r="AZ160" s="159" t="str">
        <f t="shared" si="119"/>
        <v>Not Cost-Effective</v>
      </c>
      <c r="BA160" s="167">
        <f t="shared" si="107"/>
        <v>1.1109197975136884</v>
      </c>
      <c r="BB160" s="159" t="str">
        <f t="shared" si="120"/>
        <v>Not Cost-Effective</v>
      </c>
      <c r="BC160" s="167">
        <f t="shared" si="108"/>
        <v>0.46041530355728499</v>
      </c>
      <c r="BD160" s="159" t="str">
        <f t="shared" si="121"/>
        <v>Not Cost-Effective</v>
      </c>
      <c r="BE160" s="162" t="s">
        <v>153</v>
      </c>
      <c r="BF160" s="162" t="s">
        <v>382</v>
      </c>
      <c r="BG160" s="168">
        <f t="shared" si="109"/>
        <v>1</v>
      </c>
      <c r="BH160" s="168">
        <f t="shared" si="110"/>
        <v>1</v>
      </c>
      <c r="BI160" s="163">
        <f t="shared" si="111"/>
        <v>1</v>
      </c>
      <c r="BJ160" s="163">
        <f t="shared" si="112"/>
        <v>1</v>
      </c>
      <c r="BK160" s="163">
        <f t="shared" si="122"/>
        <v>1</v>
      </c>
      <c r="BL160" s="163">
        <f t="shared" si="123"/>
        <v>1</v>
      </c>
      <c r="BM160" s="163">
        <f t="shared" si="124"/>
        <v>6</v>
      </c>
      <c r="BN160" s="163" t="s">
        <v>155</v>
      </c>
      <c r="BO160" s="162" t="str">
        <f t="shared" si="129"/>
        <v/>
      </c>
      <c r="BP160" s="162" t="s">
        <v>716</v>
      </c>
      <c r="BQ160" s="169" t="s">
        <v>156</v>
      </c>
    </row>
    <row r="161" spans="1:69">
      <c r="A161" s="159">
        <f t="shared" si="113"/>
        <v>46</v>
      </c>
      <c r="B161" s="159">
        <f t="shared" si="114"/>
        <v>6</v>
      </c>
      <c r="C161" s="160" t="str">
        <f t="shared" si="101"/>
        <v>4606</v>
      </c>
      <c r="D161" s="159" t="s">
        <v>66</v>
      </c>
      <c r="E161" s="159">
        <v>2015</v>
      </c>
      <c r="F161" s="162" t="s">
        <v>67</v>
      </c>
      <c r="G161" s="182" t="s">
        <v>267</v>
      </c>
      <c r="H161" s="163" t="str">
        <f t="shared" si="125"/>
        <v>UM</v>
      </c>
      <c r="I161" s="163" t="s">
        <v>155</v>
      </c>
      <c r="J161" s="180" t="s">
        <v>717</v>
      </c>
      <c r="K161" s="163" t="s">
        <v>167</v>
      </c>
      <c r="L161" s="163" t="s">
        <v>147</v>
      </c>
      <c r="M161" s="163" t="str">
        <f t="shared" si="115"/>
        <v>PCV13 vs NoVax</v>
      </c>
      <c r="N161" s="159" t="s">
        <v>385</v>
      </c>
      <c r="O161" s="159" t="s">
        <v>386</v>
      </c>
      <c r="P161" s="162" t="s">
        <v>148</v>
      </c>
      <c r="Q161" s="162" t="s">
        <v>149</v>
      </c>
      <c r="R161" s="162" t="s">
        <v>150</v>
      </c>
      <c r="S161" s="162" t="s">
        <v>151</v>
      </c>
      <c r="T161" s="159">
        <v>2014</v>
      </c>
      <c r="U161" s="165">
        <v>15.68</v>
      </c>
      <c r="V161" s="165" t="e">
        <f>IF(ISNUMBER(U161),U161/VLOOKUP($S161,xRates!$A$1:$AA$267,data!$T161-xRates!$B$1+2,FALSE),U161)</f>
        <v>#REF!</v>
      </c>
      <c r="W161" s="162" t="s">
        <v>713</v>
      </c>
      <c r="Y161" s="165"/>
      <c r="AA161" s="163" t="s">
        <v>155</v>
      </c>
      <c r="AB161" s="162"/>
      <c r="AC161" s="162" t="str">
        <f t="shared" si="132"/>
        <v/>
      </c>
      <c r="AD161" s="163" t="s">
        <v>155</v>
      </c>
      <c r="AE161" s="162" t="str">
        <f t="shared" si="133"/>
        <v/>
      </c>
      <c r="AF161" s="163" t="s">
        <v>148</v>
      </c>
      <c r="AG161" s="163" t="s">
        <v>148</v>
      </c>
      <c r="AH161" s="163" t="s">
        <v>148</v>
      </c>
      <c r="AJ161" s="162" t="s">
        <v>718</v>
      </c>
      <c r="AK161" s="162" t="s">
        <v>723</v>
      </c>
      <c r="AL161" s="163" t="s">
        <v>152</v>
      </c>
      <c r="AM161" s="179">
        <v>1026</v>
      </c>
      <c r="AN161" s="179" t="e">
        <f>(AM161*ppp!$P$197)/xRates!$T$155</f>
        <v>#DIV/0!</v>
      </c>
      <c r="AO161" s="179">
        <f t="shared" si="126"/>
        <v>6629.4</v>
      </c>
      <c r="AP161" s="163" t="e">
        <f t="shared" si="128"/>
        <v>#DIV/0!</v>
      </c>
      <c r="AQ161" s="163" t="e">
        <f t="shared" si="102"/>
        <v>#DIV/0!</v>
      </c>
      <c r="AR161" s="167" t="str">
        <f t="shared" si="100"/>
        <v>.</v>
      </c>
      <c r="AS161" s="167">
        <f t="shared" si="103"/>
        <v>1.42</v>
      </c>
      <c r="AT161" s="159" t="str">
        <f t="shared" si="116"/>
        <v>Not Cost-Effective</v>
      </c>
      <c r="AU161" s="167">
        <f t="shared" si="104"/>
        <v>0.83</v>
      </c>
      <c r="AV161" s="162" t="str">
        <f t="shared" si="117"/>
        <v>Not Cost-Effective</v>
      </c>
      <c r="AW161" s="167">
        <f t="shared" si="105"/>
        <v>0.33989517688899978</v>
      </c>
      <c r="AX161" s="159" t="str">
        <f t="shared" si="118"/>
        <v>Not Cost-Effective</v>
      </c>
      <c r="AY161" s="167">
        <f t="shared" si="106"/>
        <v>7.549759780370624E-2</v>
      </c>
      <c r="AZ161" s="159" t="str">
        <f t="shared" si="119"/>
        <v>Not Cost-Effective</v>
      </c>
      <c r="BA161" s="167">
        <f t="shared" si="107"/>
        <v>1.1109197975136884</v>
      </c>
      <c r="BB161" s="159" t="str">
        <f t="shared" si="120"/>
        <v>Not Cost-Effective</v>
      </c>
      <c r="BC161" s="167">
        <f t="shared" si="108"/>
        <v>0.46041530355728499</v>
      </c>
      <c r="BD161" s="159" t="str">
        <f t="shared" si="121"/>
        <v>Not Cost-Effective</v>
      </c>
      <c r="BE161" s="162" t="s">
        <v>153</v>
      </c>
      <c r="BF161" s="162" t="s">
        <v>382</v>
      </c>
      <c r="BG161" s="168">
        <f t="shared" si="109"/>
        <v>1</v>
      </c>
      <c r="BH161" s="168">
        <f t="shared" si="110"/>
        <v>1</v>
      </c>
      <c r="BI161" s="163">
        <f t="shared" si="111"/>
        <v>1</v>
      </c>
      <c r="BJ161" s="163">
        <f t="shared" si="112"/>
        <v>1</v>
      </c>
      <c r="BK161" s="163">
        <f t="shared" si="122"/>
        <v>1</v>
      </c>
      <c r="BL161" s="163">
        <f t="shared" si="123"/>
        <v>1</v>
      </c>
      <c r="BM161" s="163">
        <f t="shared" si="124"/>
        <v>6</v>
      </c>
      <c r="BN161" s="163" t="s">
        <v>155</v>
      </c>
      <c r="BO161" s="162" t="str">
        <f t="shared" si="129"/>
        <v/>
      </c>
      <c r="BP161" s="162" t="s">
        <v>716</v>
      </c>
      <c r="BQ161" s="169" t="s">
        <v>156</v>
      </c>
    </row>
    <row r="162" spans="1:69">
      <c r="A162" s="159">
        <f t="shared" si="113"/>
        <v>47</v>
      </c>
      <c r="B162" s="159">
        <f t="shared" si="114"/>
        <v>1</v>
      </c>
      <c r="C162" s="160" t="str">
        <f t="shared" si="101"/>
        <v>4701</v>
      </c>
      <c r="D162" s="159" t="s">
        <v>69</v>
      </c>
      <c r="E162" s="159">
        <v>2018</v>
      </c>
      <c r="F162" s="162" t="s">
        <v>70</v>
      </c>
      <c r="G162" s="182" t="s">
        <v>241</v>
      </c>
      <c r="H162" s="163" t="str">
        <f t="shared" si="125"/>
        <v>UM</v>
      </c>
      <c r="I162" s="163" t="s">
        <v>155</v>
      </c>
      <c r="J162" s="180" t="s">
        <v>717</v>
      </c>
      <c r="K162" s="163" t="s">
        <v>167</v>
      </c>
      <c r="L162" s="163" t="s">
        <v>147</v>
      </c>
      <c r="M162" s="163" t="str">
        <f t="shared" si="115"/>
        <v>PCV13 vs NoVax</v>
      </c>
      <c r="N162" s="159" t="s">
        <v>368</v>
      </c>
      <c r="O162" s="159">
        <v>3</v>
      </c>
      <c r="P162" s="162" t="s">
        <v>148</v>
      </c>
      <c r="Q162" s="162" t="s">
        <v>377</v>
      </c>
      <c r="R162" s="162" t="s">
        <v>150</v>
      </c>
      <c r="S162" s="162" t="s">
        <v>151</v>
      </c>
      <c r="T162" s="159">
        <v>2014</v>
      </c>
      <c r="U162" s="165">
        <v>15.68</v>
      </c>
      <c r="V162" s="165" t="e">
        <f>IF(ISNUMBER(U162),U162/VLOOKUP($S162,xRates!$A$1:$AA$267,data!$T162-xRates!$B$1+2,FALSE),U162)</f>
        <v>#REF!</v>
      </c>
      <c r="W162" s="162" t="s">
        <v>724</v>
      </c>
      <c r="Y162" s="165"/>
      <c r="AA162" s="163" t="s">
        <v>155</v>
      </c>
      <c r="AB162" s="162"/>
      <c r="AC162" s="162" t="str">
        <f t="shared" si="132"/>
        <v/>
      </c>
      <c r="AD162" s="163" t="s">
        <v>155</v>
      </c>
      <c r="AE162" s="162" t="str">
        <f t="shared" si="133"/>
        <v/>
      </c>
      <c r="AF162" s="163" t="s">
        <v>148</v>
      </c>
      <c r="AG162" s="163" t="s">
        <v>148</v>
      </c>
      <c r="AH162" s="163" t="s">
        <v>148</v>
      </c>
      <c r="AJ162" s="162"/>
      <c r="AK162" s="162" t="s">
        <v>725</v>
      </c>
      <c r="AL162" s="163" t="s">
        <v>263</v>
      </c>
      <c r="AM162" s="179">
        <v>2319</v>
      </c>
      <c r="AN162" s="179">
        <f>AM162</f>
        <v>2319</v>
      </c>
      <c r="AO162" s="179">
        <f t="shared" si="126"/>
        <v>8167.5</v>
      </c>
      <c r="AP162" s="163" t="str">
        <f t="shared" si="128"/>
        <v>Cost-Effective</v>
      </c>
      <c r="AQ162" s="163" t="str">
        <f t="shared" si="102"/>
        <v>Cost-Effective</v>
      </c>
      <c r="AR162" s="167">
        <f t="shared" si="100"/>
        <v>0.28393021120293849</v>
      </c>
      <c r="AS162" s="167">
        <f t="shared" ref="AS162:AS197" si="134">IFERROR(VLOOKUP(G162,ochalek,11,FALSE),".")</f>
        <v>1.89</v>
      </c>
      <c r="AT162" s="159" t="str">
        <f t="shared" si="116"/>
        <v>Cost-Effective</v>
      </c>
      <c r="AU162" s="167">
        <f t="shared" ref="AU162:AU197" si="135">IFERROR(VLOOKUP(G162,ochalek,10,FALSE),".")</f>
        <v>1.17</v>
      </c>
      <c r="AV162" s="162" t="str">
        <f t="shared" si="117"/>
        <v>Cost-Effective</v>
      </c>
      <c r="AW162" s="167">
        <f t="shared" ref="AW162:AW197" si="136">IFERROR(VLOOKUP(G162,woods,6,FALSE),".")</f>
        <v>0.6677477128612227</v>
      </c>
      <c r="AX162" s="159" t="str">
        <f t="shared" si="118"/>
        <v>Cost-Effective</v>
      </c>
      <c r="AY162" s="167">
        <f t="shared" ref="AY162:AY197" si="137">IFERROR(VLOOKUP(G162,woods,5,FALSE),".")</f>
        <v>0.16578730819497556</v>
      </c>
      <c r="AZ162" s="159" t="str">
        <f t="shared" si="119"/>
        <v>Not Cost-Effective</v>
      </c>
      <c r="BA162" s="167">
        <f t="shared" ref="BA162:BA191" si="138">IFERROR(VLOOKUP(G162,riviere,8,FALSE),".")</f>
        <v>1.3213703099510603</v>
      </c>
      <c r="BB162" s="159" t="str">
        <f t="shared" si="120"/>
        <v>Cost-Effective</v>
      </c>
      <c r="BC162" s="167">
        <f t="shared" ref="BC162:BC191" si="139">IFERROR(VLOOKUP(G162,riviere,7,FALSE),".")</f>
        <v>0.54765788860405495</v>
      </c>
      <c r="BD162" s="159" t="str">
        <f t="shared" si="121"/>
        <v>Cost-Effective</v>
      </c>
      <c r="BE162" s="162" t="s">
        <v>176</v>
      </c>
      <c r="BF162" s="162" t="s">
        <v>382</v>
      </c>
      <c r="BG162" s="168">
        <f t="shared" ref="BG162:BG191" si="140">IF(BF162="Cost-Effective",IF(AV162="Not Cost-Effective",1,0),".")</f>
        <v>0</v>
      </c>
      <c r="BH162" s="168">
        <f t="shared" ref="BH162:BH191" si="141">IF(BF162="Cost-Effective",IF(AT162="Not Cost-Effective",1,0),".")</f>
        <v>0</v>
      </c>
      <c r="BI162" s="163">
        <f t="shared" ref="BI162:BI191" si="142">IF(BF162="Cost-Effective",IF(AZ162="Not Cost-Effective",1,0),".")</f>
        <v>1</v>
      </c>
      <c r="BJ162" s="163">
        <f t="shared" ref="BJ162:BJ191" si="143">IF(BF162="Cost-Effective",IF(AX162="Not Cost-Effective",1,0),".")</f>
        <v>0</v>
      </c>
      <c r="BK162" s="163">
        <f t="shared" si="122"/>
        <v>0</v>
      </c>
      <c r="BL162" s="163">
        <f t="shared" si="123"/>
        <v>0</v>
      </c>
      <c r="BM162" s="163">
        <f t="shared" si="124"/>
        <v>1</v>
      </c>
      <c r="BN162" s="163" t="s">
        <v>155</v>
      </c>
      <c r="BO162" s="162" t="str">
        <f t="shared" si="129"/>
        <v/>
      </c>
      <c r="BP162" s="162" t="s">
        <v>170</v>
      </c>
      <c r="BQ162" s="162" t="s">
        <v>156</v>
      </c>
    </row>
    <row r="163" spans="1:69">
      <c r="A163" s="159">
        <f t="shared" si="113"/>
        <v>47</v>
      </c>
      <c r="B163" s="159">
        <f t="shared" si="114"/>
        <v>2</v>
      </c>
      <c r="C163" s="160" t="str">
        <f t="shared" si="101"/>
        <v>4702</v>
      </c>
      <c r="D163" s="159" t="s">
        <v>69</v>
      </c>
      <c r="E163" s="159">
        <v>2018</v>
      </c>
      <c r="F163" s="162" t="s">
        <v>70</v>
      </c>
      <c r="G163" s="182" t="s">
        <v>241</v>
      </c>
      <c r="H163" s="163" t="str">
        <f t="shared" ref="H163:H197" si="144">VLOOKUP(G163,income,T163-1985,FALSE)</f>
        <v>UM</v>
      </c>
      <c r="I163" s="163" t="s">
        <v>155</v>
      </c>
      <c r="J163" s="180" t="s">
        <v>712</v>
      </c>
      <c r="K163" s="163" t="s">
        <v>166</v>
      </c>
      <c r="L163" s="163" t="s">
        <v>147</v>
      </c>
      <c r="M163" s="163" t="str">
        <f t="shared" si="115"/>
        <v>PCV10 vs NoVax</v>
      </c>
      <c r="N163" s="159" t="s">
        <v>368</v>
      </c>
      <c r="O163" s="159">
        <v>3</v>
      </c>
      <c r="P163" s="162" t="s">
        <v>148</v>
      </c>
      <c r="Q163" s="162" t="s">
        <v>377</v>
      </c>
      <c r="R163" s="162" t="s">
        <v>150</v>
      </c>
      <c r="S163" s="162" t="s">
        <v>151</v>
      </c>
      <c r="T163" s="159">
        <v>2014</v>
      </c>
      <c r="U163" s="165">
        <v>14.12</v>
      </c>
      <c r="V163" s="165" t="e">
        <f>IF(ISNUMBER(U163),U163/VLOOKUP($S163,xRates!$A$1:$AA$267,data!$T163-xRates!$B$1+2,FALSE),U163)</f>
        <v>#REF!</v>
      </c>
      <c r="W163" s="162" t="s">
        <v>724</v>
      </c>
      <c r="Y163" s="165"/>
      <c r="AA163" s="163" t="s">
        <v>155</v>
      </c>
      <c r="AB163" s="162"/>
      <c r="AC163" s="162" t="str">
        <f t="shared" si="132"/>
        <v/>
      </c>
      <c r="AD163" s="163" t="s">
        <v>155</v>
      </c>
      <c r="AE163" s="162" t="str">
        <f t="shared" si="133"/>
        <v/>
      </c>
      <c r="AF163" s="163" t="s">
        <v>148</v>
      </c>
      <c r="AG163" s="163" t="s">
        <v>148</v>
      </c>
      <c r="AH163" s="163" t="s">
        <v>148</v>
      </c>
      <c r="AJ163" s="162"/>
      <c r="AK163" s="162" t="s">
        <v>726</v>
      </c>
      <c r="AL163" s="163" t="s">
        <v>263</v>
      </c>
      <c r="AM163" s="179">
        <v>1770</v>
      </c>
      <c r="AN163" s="179">
        <f>AM163</f>
        <v>1770</v>
      </c>
      <c r="AO163" s="179">
        <f t="shared" ref="AO163:AO191" si="145">VLOOKUP(G163,gdppc,T163-1958,FALSE)</f>
        <v>8167.5</v>
      </c>
      <c r="AP163" s="163" t="str">
        <f t="shared" si="128"/>
        <v>Cost-Effective</v>
      </c>
      <c r="AQ163" s="163" t="str">
        <f t="shared" si="102"/>
        <v>Cost-Effective</v>
      </c>
      <c r="AR163" s="167">
        <f t="shared" si="100"/>
        <v>0.21671258034894397</v>
      </c>
      <c r="AS163" s="167">
        <f t="shared" si="134"/>
        <v>1.89</v>
      </c>
      <c r="AT163" s="159" t="str">
        <f t="shared" si="116"/>
        <v>Cost-Effective</v>
      </c>
      <c r="AU163" s="167">
        <f t="shared" si="135"/>
        <v>1.17</v>
      </c>
      <c r="AV163" s="162" t="str">
        <f t="shared" si="117"/>
        <v>Cost-Effective</v>
      </c>
      <c r="AW163" s="167">
        <f t="shared" si="136"/>
        <v>0.6677477128612227</v>
      </c>
      <c r="AX163" s="159" t="str">
        <f t="shared" si="118"/>
        <v>Cost-Effective</v>
      </c>
      <c r="AY163" s="167">
        <f t="shared" si="137"/>
        <v>0.16578730819497556</v>
      </c>
      <c r="AZ163" s="159" t="str">
        <f t="shared" si="119"/>
        <v>Not Cost-Effective</v>
      </c>
      <c r="BA163" s="167">
        <f t="shared" si="138"/>
        <v>1.3213703099510603</v>
      </c>
      <c r="BB163" s="159" t="str">
        <f t="shared" si="120"/>
        <v>Cost-Effective</v>
      </c>
      <c r="BC163" s="167">
        <f t="shared" si="139"/>
        <v>0.54765788860405495</v>
      </c>
      <c r="BD163" s="159" t="str">
        <f t="shared" si="121"/>
        <v>Cost-Effective</v>
      </c>
      <c r="BE163" s="162" t="s">
        <v>176</v>
      </c>
      <c r="BF163" s="162" t="s">
        <v>382</v>
      </c>
      <c r="BG163" s="168">
        <f t="shared" si="140"/>
        <v>0</v>
      </c>
      <c r="BH163" s="168">
        <f t="shared" si="141"/>
        <v>0</v>
      </c>
      <c r="BI163" s="163">
        <f t="shared" si="142"/>
        <v>1</v>
      </c>
      <c r="BJ163" s="163">
        <f t="shared" si="143"/>
        <v>0</v>
      </c>
      <c r="BK163" s="163">
        <f t="shared" si="122"/>
        <v>0</v>
      </c>
      <c r="BL163" s="163">
        <f t="shared" si="123"/>
        <v>0</v>
      </c>
      <c r="BM163" s="163">
        <f t="shared" si="124"/>
        <v>1</v>
      </c>
      <c r="BN163" s="163" t="s">
        <v>155</v>
      </c>
      <c r="BO163" s="162" t="str">
        <f t="shared" si="129"/>
        <v/>
      </c>
      <c r="BP163" s="162" t="s">
        <v>170</v>
      </c>
      <c r="BQ163" s="162" t="s">
        <v>156</v>
      </c>
    </row>
    <row r="164" spans="1:69">
      <c r="A164" s="159">
        <f t="shared" si="113"/>
        <v>47</v>
      </c>
      <c r="B164" s="159">
        <f t="shared" si="114"/>
        <v>3</v>
      </c>
      <c r="C164" s="160" t="str">
        <f t="shared" si="101"/>
        <v>4703</v>
      </c>
      <c r="D164" s="159" t="s">
        <v>69</v>
      </c>
      <c r="E164" s="159">
        <v>2018</v>
      </c>
      <c r="F164" s="162" t="s">
        <v>70</v>
      </c>
      <c r="G164" s="182" t="s">
        <v>241</v>
      </c>
      <c r="H164" s="163" t="str">
        <f t="shared" si="144"/>
        <v>UM</v>
      </c>
      <c r="I164" s="163" t="s">
        <v>155</v>
      </c>
      <c r="J164" s="180" t="s">
        <v>727</v>
      </c>
      <c r="K164" s="163" t="s">
        <v>167</v>
      </c>
      <c r="L164" s="163" t="s">
        <v>166</v>
      </c>
      <c r="M164" s="163" t="str">
        <f t="shared" si="115"/>
        <v>PCV13 vs PCV10</v>
      </c>
      <c r="N164" s="159" t="s">
        <v>368</v>
      </c>
      <c r="O164" s="159">
        <v>3</v>
      </c>
      <c r="P164" s="162" t="s">
        <v>148</v>
      </c>
      <c r="Q164" s="162" t="s">
        <v>377</v>
      </c>
      <c r="R164" s="162" t="s">
        <v>150</v>
      </c>
      <c r="S164" s="162" t="s">
        <v>151</v>
      </c>
      <c r="T164" s="159">
        <v>2014</v>
      </c>
      <c r="U164" s="165">
        <v>15.68</v>
      </c>
      <c r="V164" s="165" t="e">
        <f>IF(ISNUMBER(U164),U164/VLOOKUP($S164,xRates!$A$1:$AA$267,data!$T164-xRates!$B$1+2,FALSE),U164)</f>
        <v>#REF!</v>
      </c>
      <c r="W164" s="162" t="s">
        <v>724</v>
      </c>
      <c r="X164" s="159">
        <v>14.12</v>
      </c>
      <c r="Y164" s="165">
        <v>14.12</v>
      </c>
      <c r="AA164" s="163" t="s">
        <v>155</v>
      </c>
      <c r="AB164" s="162"/>
      <c r="AC164" s="162" t="str">
        <f t="shared" si="132"/>
        <v/>
      </c>
      <c r="AD164" s="163" t="s">
        <v>155</v>
      </c>
      <c r="AE164" s="162" t="str">
        <f t="shared" si="133"/>
        <v/>
      </c>
      <c r="AF164" s="163" t="s">
        <v>148</v>
      </c>
      <c r="AG164" s="163" t="s">
        <v>148</v>
      </c>
      <c r="AH164" s="163" t="s">
        <v>148</v>
      </c>
      <c r="AJ164" s="162"/>
      <c r="AK164" s="162" t="s">
        <v>728</v>
      </c>
      <c r="AL164" s="163" t="s">
        <v>263</v>
      </c>
      <c r="AM164" s="179">
        <v>2217</v>
      </c>
      <c r="AN164" s="179">
        <f>AM164</f>
        <v>2217</v>
      </c>
      <c r="AO164" s="179">
        <f t="shared" si="145"/>
        <v>8167.5</v>
      </c>
      <c r="AP164" s="163" t="str">
        <f t="shared" si="128"/>
        <v>Cost-Effective</v>
      </c>
      <c r="AQ164" s="163" t="str">
        <f t="shared" si="102"/>
        <v>Cost-Effective</v>
      </c>
      <c r="AR164" s="167">
        <f t="shared" si="100"/>
        <v>0.27144168962350779</v>
      </c>
      <c r="AS164" s="167">
        <f t="shared" si="134"/>
        <v>1.89</v>
      </c>
      <c r="AT164" s="159" t="str">
        <f t="shared" si="116"/>
        <v>Cost-Effective</v>
      </c>
      <c r="AU164" s="167">
        <f t="shared" si="135"/>
        <v>1.17</v>
      </c>
      <c r="AV164" s="162" t="str">
        <f t="shared" si="117"/>
        <v>Cost-Effective</v>
      </c>
      <c r="AW164" s="167">
        <f t="shared" si="136"/>
        <v>0.6677477128612227</v>
      </c>
      <c r="AX164" s="159" t="str">
        <f t="shared" si="118"/>
        <v>Cost-Effective</v>
      </c>
      <c r="AY164" s="167">
        <f t="shared" si="137"/>
        <v>0.16578730819497556</v>
      </c>
      <c r="AZ164" s="159" t="str">
        <f t="shared" si="119"/>
        <v>Not Cost-Effective</v>
      </c>
      <c r="BA164" s="167">
        <f t="shared" si="138"/>
        <v>1.3213703099510603</v>
      </c>
      <c r="BB164" s="159" t="str">
        <f t="shared" si="120"/>
        <v>Cost-Effective</v>
      </c>
      <c r="BC164" s="167">
        <f t="shared" si="139"/>
        <v>0.54765788860405495</v>
      </c>
      <c r="BD164" s="159" t="str">
        <f t="shared" si="121"/>
        <v>Cost-Effective</v>
      </c>
      <c r="BE164" s="162" t="s">
        <v>176</v>
      </c>
      <c r="BF164" s="162" t="s">
        <v>382</v>
      </c>
      <c r="BG164" s="168">
        <f t="shared" si="140"/>
        <v>0</v>
      </c>
      <c r="BH164" s="168">
        <f t="shared" si="141"/>
        <v>0</v>
      </c>
      <c r="BI164" s="163">
        <f t="shared" si="142"/>
        <v>1</v>
      </c>
      <c r="BJ164" s="163">
        <f t="shared" si="143"/>
        <v>0</v>
      </c>
      <c r="BK164" s="163">
        <f t="shared" si="122"/>
        <v>0</v>
      </c>
      <c r="BL164" s="163">
        <f t="shared" si="123"/>
        <v>0</v>
      </c>
      <c r="BM164" s="163">
        <f t="shared" si="124"/>
        <v>1</v>
      </c>
      <c r="BN164" s="163" t="s">
        <v>155</v>
      </c>
      <c r="BO164" s="162" t="str">
        <f t="shared" si="129"/>
        <v/>
      </c>
      <c r="BP164" s="162" t="s">
        <v>170</v>
      </c>
      <c r="BQ164" s="162" t="s">
        <v>156</v>
      </c>
    </row>
    <row r="165" spans="1:69">
      <c r="A165" s="159">
        <f t="shared" si="113"/>
        <v>48</v>
      </c>
      <c r="B165" s="159">
        <f t="shared" si="114"/>
        <v>1</v>
      </c>
      <c r="C165" s="160" t="str">
        <f t="shared" si="101"/>
        <v>4801</v>
      </c>
      <c r="D165" s="159" t="s">
        <v>71</v>
      </c>
      <c r="E165" s="161">
        <v>2019</v>
      </c>
      <c r="F165" s="162" t="s">
        <v>72</v>
      </c>
      <c r="G165" s="162" t="s">
        <v>616</v>
      </c>
      <c r="H165" s="163" t="e">
        <f t="shared" si="144"/>
        <v>#N/A</v>
      </c>
      <c r="I165" s="163" t="s">
        <v>155</v>
      </c>
      <c r="J165" s="162" t="s">
        <v>729</v>
      </c>
      <c r="K165" s="163" t="s">
        <v>167</v>
      </c>
      <c r="L165" s="163" t="s">
        <v>166</v>
      </c>
      <c r="M165" s="163" t="str">
        <f t="shared" si="115"/>
        <v>PCV13 vs PCV10</v>
      </c>
      <c r="N165" s="159" t="s">
        <v>376</v>
      </c>
      <c r="O165" s="159">
        <v>4</v>
      </c>
      <c r="P165" s="162" t="s">
        <v>148</v>
      </c>
      <c r="Q165" s="164" t="s">
        <v>377</v>
      </c>
      <c r="R165" s="162" t="s">
        <v>290</v>
      </c>
      <c r="S165" s="162" t="s">
        <v>291</v>
      </c>
      <c r="T165" s="161">
        <v>2016</v>
      </c>
      <c r="U165" s="165">
        <v>23.78</v>
      </c>
      <c r="V165" s="165" t="e">
        <f>IF(ISNUMBER(U165),U165/VLOOKUP($S165,xRates!$A$1:$AA$267,data!$T165-xRates!$B$1+2,FALSE),U165)</f>
        <v>#REF!</v>
      </c>
      <c r="W165" s="162" t="s">
        <v>730</v>
      </c>
      <c r="Y165" s="165"/>
      <c r="AA165" s="163" t="s">
        <v>155</v>
      </c>
      <c r="AB165" s="162"/>
      <c r="AC165" s="162" t="str">
        <f t="shared" si="132"/>
        <v/>
      </c>
      <c r="AD165" s="163" t="s">
        <v>155</v>
      </c>
      <c r="AE165" s="162" t="str">
        <f t="shared" si="133"/>
        <v/>
      </c>
      <c r="AF165" s="163" t="s">
        <v>148</v>
      </c>
      <c r="AG165" s="163" t="s">
        <v>148</v>
      </c>
      <c r="AH165" s="163" t="s">
        <v>148</v>
      </c>
      <c r="AJ165" s="162" t="s">
        <v>731</v>
      </c>
      <c r="AK165" s="162" t="s">
        <v>732</v>
      </c>
      <c r="AL165" s="163" t="s">
        <v>152</v>
      </c>
      <c r="AM165" s="177">
        <v>999999</v>
      </c>
      <c r="AN165" s="177">
        <v>999999</v>
      </c>
      <c r="AO165" s="166" t="e">
        <f t="shared" si="145"/>
        <v>#N/A</v>
      </c>
      <c r="AP165" s="163" t="e">
        <f t="shared" si="128"/>
        <v>#N/A</v>
      </c>
      <c r="AQ165" s="163" t="e">
        <f t="shared" si="102"/>
        <v>#N/A</v>
      </c>
      <c r="AR165" s="167" t="str">
        <f t="shared" si="100"/>
        <v>.</v>
      </c>
      <c r="AS165" s="167" t="str">
        <f t="shared" si="134"/>
        <v>.</v>
      </c>
      <c r="AT165" s="159" t="str">
        <f t="shared" si="116"/>
        <v>.</v>
      </c>
      <c r="AU165" s="167" t="str">
        <f t="shared" si="135"/>
        <v>.</v>
      </c>
      <c r="AV165" s="162" t="str">
        <f t="shared" si="117"/>
        <v>.</v>
      </c>
      <c r="AW165" s="167" t="str">
        <f t="shared" si="136"/>
        <v>.</v>
      </c>
      <c r="AX165" s="159" t="str">
        <f t="shared" si="118"/>
        <v>.</v>
      </c>
      <c r="AY165" s="167" t="str">
        <f t="shared" si="137"/>
        <v>.</v>
      </c>
      <c r="AZ165" s="159" t="str">
        <f t="shared" si="119"/>
        <v>.</v>
      </c>
      <c r="BA165" s="167" t="str">
        <f t="shared" si="138"/>
        <v>.</v>
      </c>
      <c r="BB165" s="159" t="str">
        <f t="shared" si="120"/>
        <v>.</v>
      </c>
      <c r="BC165" s="167" t="str">
        <f t="shared" si="139"/>
        <v>.</v>
      </c>
      <c r="BD165" s="159" t="str">
        <f t="shared" si="121"/>
        <v>.</v>
      </c>
      <c r="BE165" s="162" t="s">
        <v>176</v>
      </c>
      <c r="BF165" s="162" t="s">
        <v>371</v>
      </c>
      <c r="BG165" s="168" t="str">
        <f t="shared" si="140"/>
        <v>.</v>
      </c>
      <c r="BH165" s="168" t="str">
        <f t="shared" si="141"/>
        <v>.</v>
      </c>
      <c r="BI165" s="163" t="str">
        <f t="shared" si="142"/>
        <v>.</v>
      </c>
      <c r="BJ165" s="163" t="str">
        <f t="shared" si="143"/>
        <v>.</v>
      </c>
      <c r="BK165" s="163" t="str">
        <f t="shared" si="122"/>
        <v>.</v>
      </c>
      <c r="BL165" s="163" t="str">
        <f t="shared" si="123"/>
        <v>.</v>
      </c>
      <c r="BM165" s="163">
        <f t="shared" si="124"/>
        <v>0</v>
      </c>
      <c r="BN165" s="163" t="s">
        <v>155</v>
      </c>
      <c r="BO165" s="162" t="str">
        <f t="shared" si="129"/>
        <v/>
      </c>
      <c r="BP165" s="162" t="s">
        <v>422</v>
      </c>
      <c r="BQ165" s="162" t="s">
        <v>163</v>
      </c>
    </row>
    <row r="166" spans="1:69">
      <c r="A166" s="159">
        <f t="shared" si="113"/>
        <v>49</v>
      </c>
      <c r="B166" s="159">
        <f t="shared" si="114"/>
        <v>1</v>
      </c>
      <c r="C166" s="160" t="str">
        <f t="shared" si="101"/>
        <v>4901</v>
      </c>
      <c r="D166" s="159" t="s">
        <v>73</v>
      </c>
      <c r="E166" s="159">
        <v>2019</v>
      </c>
      <c r="F166" s="162" t="s">
        <v>74</v>
      </c>
      <c r="G166" s="182" t="s">
        <v>293</v>
      </c>
      <c r="H166" s="163" t="str">
        <f t="shared" si="144"/>
        <v>LM</v>
      </c>
      <c r="I166" s="163" t="s">
        <v>155</v>
      </c>
      <c r="J166" s="180" t="s">
        <v>717</v>
      </c>
      <c r="K166" s="163" t="s">
        <v>167</v>
      </c>
      <c r="L166" s="163" t="s">
        <v>147</v>
      </c>
      <c r="M166" s="163" t="str">
        <f t="shared" si="115"/>
        <v>PCV13 vs NoVax</v>
      </c>
      <c r="N166" s="159" t="s">
        <v>368</v>
      </c>
      <c r="O166" s="159">
        <v>3</v>
      </c>
      <c r="P166" s="162" t="s">
        <v>148</v>
      </c>
      <c r="Q166" s="162" t="s">
        <v>377</v>
      </c>
      <c r="R166" s="162" t="s">
        <v>150</v>
      </c>
      <c r="S166" s="162" t="s">
        <v>151</v>
      </c>
      <c r="T166" s="159">
        <v>2017</v>
      </c>
      <c r="U166" s="165">
        <v>15.7</v>
      </c>
      <c r="V166" s="165" t="e">
        <f>IF(ISNUMBER(U166),U166/VLOOKUP($S166,xRates!$A$1:$AA$267,data!$T166-xRates!$B$1+2,FALSE),U166)</f>
        <v>#REF!</v>
      </c>
      <c r="W166" s="162" t="s">
        <v>385</v>
      </c>
      <c r="Y166" s="165"/>
      <c r="AA166" s="163" t="s">
        <v>155</v>
      </c>
      <c r="AB166" s="162"/>
      <c r="AC166" s="162" t="str">
        <f t="shared" si="132"/>
        <v/>
      </c>
      <c r="AD166" s="163" t="s">
        <v>155</v>
      </c>
      <c r="AE166" s="162" t="str">
        <f t="shared" si="133"/>
        <v/>
      </c>
      <c r="AF166" s="163" t="s">
        <v>148</v>
      </c>
      <c r="AG166" s="163" t="s">
        <v>148</v>
      </c>
      <c r="AH166" s="163" t="s">
        <v>148</v>
      </c>
      <c r="AJ166" s="162"/>
      <c r="AK166" s="162" t="s">
        <v>733</v>
      </c>
      <c r="AL166" s="163" t="s">
        <v>152</v>
      </c>
      <c r="AM166" s="179">
        <v>848</v>
      </c>
      <c r="AN166" s="179">
        <f>AM166</f>
        <v>848</v>
      </c>
      <c r="AO166" s="179">
        <f t="shared" si="145"/>
        <v>3569.7</v>
      </c>
      <c r="AP166" s="163" t="str">
        <f t="shared" si="128"/>
        <v>Cost-Effective</v>
      </c>
      <c r="AQ166" s="163" t="str">
        <f t="shared" si="102"/>
        <v>Cost-Effective</v>
      </c>
      <c r="AR166" s="167">
        <f t="shared" si="100"/>
        <v>0.23755497660867861</v>
      </c>
      <c r="AS166" s="167">
        <f t="shared" si="134"/>
        <v>1.22</v>
      </c>
      <c r="AT166" s="159" t="str">
        <f t="shared" si="116"/>
        <v>Cost-Effective</v>
      </c>
      <c r="AU166" s="167">
        <f t="shared" si="135"/>
        <v>0.71</v>
      </c>
      <c r="AV166" s="162" t="str">
        <f t="shared" si="117"/>
        <v>Cost-Effective</v>
      </c>
      <c r="AW166" s="167">
        <f t="shared" si="136"/>
        <v>0.60162941299352413</v>
      </c>
      <c r="AX166" s="159" t="str">
        <f t="shared" si="118"/>
        <v>Cost-Effective</v>
      </c>
      <c r="AY166" s="167">
        <f t="shared" si="137"/>
        <v>0.15737065663950978</v>
      </c>
      <c r="AZ166" s="159" t="str">
        <f t="shared" si="119"/>
        <v>Not Cost-Effective</v>
      </c>
      <c r="BA166" s="167">
        <f t="shared" si="138"/>
        <v>0.71021910403128408</v>
      </c>
      <c r="BB166" s="159" t="str">
        <f t="shared" si="120"/>
        <v>Cost-Effective</v>
      </c>
      <c r="BC166" s="167">
        <f t="shared" si="139"/>
        <v>0.28581287020530216</v>
      </c>
      <c r="BD166" s="159" t="str">
        <f t="shared" si="121"/>
        <v>Cost-Effective</v>
      </c>
      <c r="BE166" s="162" t="s">
        <v>153</v>
      </c>
      <c r="BF166" s="162" t="s">
        <v>382</v>
      </c>
      <c r="BG166" s="168">
        <f t="shared" si="140"/>
        <v>0</v>
      </c>
      <c r="BH166" s="168">
        <f t="shared" si="141"/>
        <v>0</v>
      </c>
      <c r="BI166" s="163">
        <f t="shared" si="142"/>
        <v>1</v>
      </c>
      <c r="BJ166" s="163">
        <f t="shared" si="143"/>
        <v>0</v>
      </c>
      <c r="BK166" s="163">
        <f t="shared" si="122"/>
        <v>0</v>
      </c>
      <c r="BL166" s="163">
        <f t="shared" si="123"/>
        <v>0</v>
      </c>
      <c r="BM166" s="163">
        <f t="shared" si="124"/>
        <v>1</v>
      </c>
      <c r="BN166" s="163" t="s">
        <v>155</v>
      </c>
      <c r="BO166" s="162" t="str">
        <f t="shared" si="129"/>
        <v/>
      </c>
      <c r="BP166" s="162" t="s">
        <v>383</v>
      </c>
      <c r="BQ166" s="162" t="s">
        <v>163</v>
      </c>
    </row>
    <row r="167" spans="1:69">
      <c r="A167" s="159">
        <f t="shared" si="113"/>
        <v>49</v>
      </c>
      <c r="B167" s="159">
        <f t="shared" si="114"/>
        <v>2</v>
      </c>
      <c r="C167" s="160" t="str">
        <f t="shared" si="101"/>
        <v>4902</v>
      </c>
      <c r="D167" s="159" t="s">
        <v>73</v>
      </c>
      <c r="E167" s="159">
        <v>2019</v>
      </c>
      <c r="F167" s="162" t="s">
        <v>74</v>
      </c>
      <c r="G167" s="182" t="s">
        <v>293</v>
      </c>
      <c r="H167" s="163" t="str">
        <f t="shared" si="144"/>
        <v>LM</v>
      </c>
      <c r="I167" s="163" t="s">
        <v>155</v>
      </c>
      <c r="J167" s="180" t="s">
        <v>712</v>
      </c>
      <c r="K167" s="163" t="s">
        <v>166</v>
      </c>
      <c r="L167" s="163" t="s">
        <v>147</v>
      </c>
      <c r="M167" s="163" t="str">
        <f t="shared" si="115"/>
        <v>PCV10 vs NoVax</v>
      </c>
      <c r="N167" s="159" t="s">
        <v>368</v>
      </c>
      <c r="O167" s="159">
        <v>3</v>
      </c>
      <c r="P167" s="162" t="s">
        <v>148</v>
      </c>
      <c r="Q167" s="162" t="s">
        <v>377</v>
      </c>
      <c r="R167" s="162" t="s">
        <v>150</v>
      </c>
      <c r="S167" s="162" t="s">
        <v>151</v>
      </c>
      <c r="T167" s="159">
        <v>2017</v>
      </c>
      <c r="U167" s="165">
        <v>15.7</v>
      </c>
      <c r="V167" s="165" t="e">
        <f>IF(ISNUMBER(U167),U167/VLOOKUP($S167,xRates!$A$1:$AA$267,data!$T167-xRates!$B$1+2,FALSE),U167)</f>
        <v>#REF!</v>
      </c>
      <c r="W167" s="162" t="s">
        <v>385</v>
      </c>
      <c r="Y167" s="165"/>
      <c r="AA167" s="163" t="s">
        <v>155</v>
      </c>
      <c r="AB167" s="162"/>
      <c r="AC167" s="162" t="str">
        <f t="shared" si="132"/>
        <v/>
      </c>
      <c r="AD167" s="163" t="s">
        <v>155</v>
      </c>
      <c r="AE167" s="162" t="str">
        <f t="shared" si="133"/>
        <v/>
      </c>
      <c r="AF167" s="163" t="s">
        <v>148</v>
      </c>
      <c r="AG167" s="163" t="s">
        <v>148</v>
      </c>
      <c r="AH167" s="163" t="s">
        <v>148</v>
      </c>
      <c r="AJ167" s="162"/>
      <c r="AK167" s="162" t="s">
        <v>734</v>
      </c>
      <c r="AL167" s="163" t="s">
        <v>152</v>
      </c>
      <c r="AM167" s="179">
        <v>1366</v>
      </c>
      <c r="AN167" s="179">
        <f>AM167</f>
        <v>1366</v>
      </c>
      <c r="AO167" s="179">
        <f t="shared" si="145"/>
        <v>3569.7</v>
      </c>
      <c r="AP167" s="163" t="str">
        <f t="shared" si="128"/>
        <v>Cost-Effective</v>
      </c>
      <c r="AQ167" s="163" t="str">
        <f t="shared" si="102"/>
        <v>Cost-Effective</v>
      </c>
      <c r="AR167" s="167">
        <f t="shared" si="100"/>
        <v>0.38266520996162146</v>
      </c>
      <c r="AS167" s="167">
        <f t="shared" si="134"/>
        <v>1.22</v>
      </c>
      <c r="AT167" s="159" t="str">
        <f t="shared" si="116"/>
        <v>Cost-Effective</v>
      </c>
      <c r="AU167" s="167">
        <f t="shared" si="135"/>
        <v>0.71</v>
      </c>
      <c r="AV167" s="162" t="str">
        <f t="shared" si="117"/>
        <v>Cost-Effective</v>
      </c>
      <c r="AW167" s="167">
        <f t="shared" si="136"/>
        <v>0.60162941299352413</v>
      </c>
      <c r="AX167" s="159" t="str">
        <f t="shared" si="118"/>
        <v>Cost-Effective</v>
      </c>
      <c r="AY167" s="167">
        <f t="shared" si="137"/>
        <v>0.15737065663950978</v>
      </c>
      <c r="AZ167" s="159" t="str">
        <f t="shared" si="119"/>
        <v>Not Cost-Effective</v>
      </c>
      <c r="BA167" s="167">
        <f t="shared" si="138"/>
        <v>0.71021910403128408</v>
      </c>
      <c r="BB167" s="159" t="str">
        <f t="shared" si="120"/>
        <v>Cost-Effective</v>
      </c>
      <c r="BC167" s="167">
        <f t="shared" si="139"/>
        <v>0.28581287020530216</v>
      </c>
      <c r="BD167" s="159" t="str">
        <f t="shared" si="121"/>
        <v>Not Cost-Effective</v>
      </c>
      <c r="BE167" s="162" t="s">
        <v>153</v>
      </c>
      <c r="BF167" s="162" t="s">
        <v>382</v>
      </c>
      <c r="BG167" s="168">
        <f t="shared" si="140"/>
        <v>0</v>
      </c>
      <c r="BH167" s="168">
        <f t="shared" si="141"/>
        <v>0</v>
      </c>
      <c r="BI167" s="163">
        <f t="shared" si="142"/>
        <v>1</v>
      </c>
      <c r="BJ167" s="163">
        <f t="shared" si="143"/>
        <v>0</v>
      </c>
      <c r="BK167" s="163">
        <f t="shared" si="122"/>
        <v>1</v>
      </c>
      <c r="BL167" s="163">
        <f t="shared" si="123"/>
        <v>0</v>
      </c>
      <c r="BM167" s="163">
        <f t="shared" si="124"/>
        <v>2</v>
      </c>
      <c r="BN167" s="163" t="s">
        <v>155</v>
      </c>
      <c r="BO167" s="162" t="str">
        <f t="shared" si="129"/>
        <v/>
      </c>
      <c r="BP167" s="162" t="s">
        <v>383</v>
      </c>
      <c r="BQ167" s="162" t="s">
        <v>163</v>
      </c>
    </row>
    <row r="168" spans="1:69">
      <c r="A168" s="159">
        <f t="shared" si="113"/>
        <v>49</v>
      </c>
      <c r="B168" s="159">
        <f t="shared" si="114"/>
        <v>3</v>
      </c>
      <c r="C168" s="160" t="str">
        <f t="shared" si="101"/>
        <v>4903</v>
      </c>
      <c r="D168" s="159" t="s">
        <v>73</v>
      </c>
      <c r="E168" s="159">
        <v>2019</v>
      </c>
      <c r="F168" s="162" t="s">
        <v>74</v>
      </c>
      <c r="G168" s="182" t="s">
        <v>294</v>
      </c>
      <c r="H168" s="163" t="str">
        <f t="shared" si="144"/>
        <v>UM</v>
      </c>
      <c r="I168" s="163" t="s">
        <v>155</v>
      </c>
      <c r="J168" s="180" t="s">
        <v>717</v>
      </c>
      <c r="K168" s="163" t="s">
        <v>167</v>
      </c>
      <c r="L168" s="163" t="s">
        <v>147</v>
      </c>
      <c r="M168" s="163" t="str">
        <f t="shared" si="115"/>
        <v>PCV13 vs NoVax</v>
      </c>
      <c r="N168" s="159" t="s">
        <v>368</v>
      </c>
      <c r="O168" s="159">
        <v>3</v>
      </c>
      <c r="P168" s="162" t="s">
        <v>148</v>
      </c>
      <c r="Q168" s="162" t="s">
        <v>377</v>
      </c>
      <c r="R168" s="162" t="s">
        <v>150</v>
      </c>
      <c r="S168" s="162" t="s">
        <v>151</v>
      </c>
      <c r="T168" s="159">
        <v>2017</v>
      </c>
      <c r="U168" s="165">
        <v>15.7</v>
      </c>
      <c r="V168" s="165" t="e">
        <f>IF(ISNUMBER(U168),U168/VLOOKUP($S168,xRates!$A$1:$AA$267,data!$T168-xRates!$B$1+2,FALSE),U168)</f>
        <v>#REF!</v>
      </c>
      <c r="W168" s="162" t="s">
        <v>385</v>
      </c>
      <c r="Y168" s="165"/>
      <c r="AA168" s="163" t="s">
        <v>155</v>
      </c>
      <c r="AB168" s="162"/>
      <c r="AC168" s="162" t="str">
        <f t="shared" si="132"/>
        <v/>
      </c>
      <c r="AD168" s="163" t="s">
        <v>155</v>
      </c>
      <c r="AE168" s="162" t="str">
        <f t="shared" si="133"/>
        <v/>
      </c>
      <c r="AF168" s="163" t="s">
        <v>148</v>
      </c>
      <c r="AG168" s="163" t="s">
        <v>148</v>
      </c>
      <c r="AH168" s="163" t="s">
        <v>148</v>
      </c>
      <c r="AJ168" s="162"/>
      <c r="AK168" s="162" t="s">
        <v>735</v>
      </c>
      <c r="AL168" s="163" t="s">
        <v>152</v>
      </c>
      <c r="AM168" s="179">
        <v>308</v>
      </c>
      <c r="AN168" s="179">
        <f>AM168</f>
        <v>308</v>
      </c>
      <c r="AO168" s="179">
        <f t="shared" si="145"/>
        <v>4615.8999999999996</v>
      </c>
      <c r="AP168" s="163" t="str">
        <f t="shared" si="128"/>
        <v>Cost-Effective</v>
      </c>
      <c r="AQ168" s="163" t="str">
        <f t="shared" si="102"/>
        <v>Cost-Effective</v>
      </c>
      <c r="AR168" s="167">
        <f t="shared" si="100"/>
        <v>6.6725882276479132E-2</v>
      </c>
      <c r="AS168" s="167">
        <f t="shared" si="134"/>
        <v>1.54</v>
      </c>
      <c r="AT168" s="159" t="str">
        <f t="shared" si="116"/>
        <v>Cost-Effective</v>
      </c>
      <c r="AU168" s="167">
        <f t="shared" si="135"/>
        <v>0.97</v>
      </c>
      <c r="AV168" s="162" t="str">
        <f t="shared" si="117"/>
        <v>Cost-Effective</v>
      </c>
      <c r="AW168" s="167">
        <f t="shared" si="136"/>
        <v>0.61922014326600161</v>
      </c>
      <c r="AX168" s="159" t="str">
        <f t="shared" si="118"/>
        <v>Cost-Effective</v>
      </c>
      <c r="AY168" s="167">
        <f t="shared" si="137"/>
        <v>0.1674193921948153</v>
      </c>
      <c r="AZ168" s="159" t="str">
        <f t="shared" si="119"/>
        <v>Cost-Effective</v>
      </c>
      <c r="BA168" s="167">
        <f t="shared" si="138"/>
        <v>0.58784574291958225</v>
      </c>
      <c r="BB168" s="159" t="str">
        <f t="shared" si="120"/>
        <v>Cost-Effective</v>
      </c>
      <c r="BC168" s="167">
        <f t="shared" si="139"/>
        <v>0.23663936778437561</v>
      </c>
      <c r="BD168" s="159" t="str">
        <f t="shared" si="121"/>
        <v>Cost-Effective</v>
      </c>
      <c r="BE168" s="162" t="s">
        <v>153</v>
      </c>
      <c r="BF168" s="162" t="s">
        <v>382</v>
      </c>
      <c r="BG168" s="168">
        <f t="shared" si="140"/>
        <v>0</v>
      </c>
      <c r="BH168" s="168">
        <f t="shared" si="141"/>
        <v>0</v>
      </c>
      <c r="BI168" s="163">
        <f t="shared" si="142"/>
        <v>0</v>
      </c>
      <c r="BJ168" s="163">
        <f t="shared" si="143"/>
        <v>0</v>
      </c>
      <c r="BK168" s="163">
        <f t="shared" si="122"/>
        <v>0</v>
      </c>
      <c r="BL168" s="163">
        <f t="shared" si="123"/>
        <v>0</v>
      </c>
      <c r="BM168" s="163">
        <f t="shared" si="124"/>
        <v>0</v>
      </c>
      <c r="BN168" s="163" t="s">
        <v>155</v>
      </c>
      <c r="BO168" s="162" t="str">
        <f t="shared" si="129"/>
        <v/>
      </c>
      <c r="BP168" s="162" t="s">
        <v>383</v>
      </c>
      <c r="BQ168" s="162" t="s">
        <v>163</v>
      </c>
    </row>
    <row r="169" spans="1:69">
      <c r="A169" s="159">
        <f t="shared" si="113"/>
        <v>49</v>
      </c>
      <c r="B169" s="159">
        <f t="shared" si="114"/>
        <v>4</v>
      </c>
      <c r="C169" s="160" t="str">
        <f t="shared" si="101"/>
        <v>4904</v>
      </c>
      <c r="D169" s="159" t="s">
        <v>73</v>
      </c>
      <c r="E169" s="159">
        <v>2019</v>
      </c>
      <c r="F169" s="162" t="s">
        <v>74</v>
      </c>
      <c r="G169" s="182" t="s">
        <v>294</v>
      </c>
      <c r="H169" s="163" t="str">
        <f t="shared" si="144"/>
        <v>UM</v>
      </c>
      <c r="I169" s="163" t="s">
        <v>155</v>
      </c>
      <c r="J169" s="180" t="s">
        <v>712</v>
      </c>
      <c r="K169" s="163" t="s">
        <v>166</v>
      </c>
      <c r="L169" s="163" t="s">
        <v>147</v>
      </c>
      <c r="M169" s="163" t="str">
        <f t="shared" si="115"/>
        <v>PCV10 vs NoVax</v>
      </c>
      <c r="N169" s="159" t="s">
        <v>368</v>
      </c>
      <c r="O169" s="159">
        <v>3</v>
      </c>
      <c r="P169" s="162" t="s">
        <v>148</v>
      </c>
      <c r="Q169" s="162" t="s">
        <v>377</v>
      </c>
      <c r="R169" s="162" t="s">
        <v>150</v>
      </c>
      <c r="S169" s="162" t="s">
        <v>151</v>
      </c>
      <c r="T169" s="159">
        <v>2017</v>
      </c>
      <c r="U169" s="165">
        <v>15.7</v>
      </c>
      <c r="V169" s="165" t="e">
        <f>IF(ISNUMBER(U169),U169/VLOOKUP($S169,xRates!$A$1:$AA$267,data!$T169-xRates!$B$1+2,FALSE),U169)</f>
        <v>#REF!</v>
      </c>
      <c r="W169" s="162" t="s">
        <v>385</v>
      </c>
      <c r="Y169" s="165"/>
      <c r="AA169" s="163" t="s">
        <v>155</v>
      </c>
      <c r="AB169" s="162"/>
      <c r="AC169" s="162" t="str">
        <f t="shared" si="132"/>
        <v/>
      </c>
      <c r="AD169" s="163" t="s">
        <v>155</v>
      </c>
      <c r="AE169" s="162" t="str">
        <f t="shared" si="133"/>
        <v/>
      </c>
      <c r="AF169" s="163" t="s">
        <v>148</v>
      </c>
      <c r="AG169" s="163" t="s">
        <v>148</v>
      </c>
      <c r="AH169" s="163" t="s">
        <v>148</v>
      </c>
      <c r="AJ169" s="162"/>
      <c r="AK169" s="162" t="s">
        <v>736</v>
      </c>
      <c r="AL169" s="163" t="s">
        <v>152</v>
      </c>
      <c r="AM169" s="179">
        <v>731</v>
      </c>
      <c r="AN169" s="179">
        <f>AM169</f>
        <v>731</v>
      </c>
      <c r="AO169" s="179">
        <f t="shared" si="145"/>
        <v>4615.8999999999996</v>
      </c>
      <c r="AP169" s="163" t="str">
        <f t="shared" si="128"/>
        <v>Cost-Effective</v>
      </c>
      <c r="AQ169" s="163" t="str">
        <f t="shared" si="102"/>
        <v>Cost-Effective</v>
      </c>
      <c r="AR169" s="167">
        <f t="shared" si="100"/>
        <v>0.15836564916917611</v>
      </c>
      <c r="AS169" s="167">
        <f t="shared" si="134"/>
        <v>1.54</v>
      </c>
      <c r="AT169" s="159" t="str">
        <f t="shared" si="116"/>
        <v>Cost-Effective</v>
      </c>
      <c r="AU169" s="167">
        <f t="shared" si="135"/>
        <v>0.97</v>
      </c>
      <c r="AV169" s="162" t="str">
        <f t="shared" si="117"/>
        <v>Cost-Effective</v>
      </c>
      <c r="AW169" s="167">
        <f t="shared" si="136"/>
        <v>0.61922014326600161</v>
      </c>
      <c r="AX169" s="159" t="str">
        <f t="shared" si="118"/>
        <v>Cost-Effective</v>
      </c>
      <c r="AY169" s="167">
        <f t="shared" si="137"/>
        <v>0.1674193921948153</v>
      </c>
      <c r="AZ169" s="159" t="str">
        <f t="shared" si="119"/>
        <v>Cost-Effective</v>
      </c>
      <c r="BA169" s="167">
        <f t="shared" si="138"/>
        <v>0.58784574291958225</v>
      </c>
      <c r="BB169" s="159" t="str">
        <f t="shared" si="120"/>
        <v>Cost-Effective</v>
      </c>
      <c r="BC169" s="167">
        <f t="shared" si="139"/>
        <v>0.23663936778437561</v>
      </c>
      <c r="BD169" s="159" t="str">
        <f t="shared" si="121"/>
        <v>Cost-Effective</v>
      </c>
      <c r="BE169" s="162" t="s">
        <v>153</v>
      </c>
      <c r="BF169" s="162" t="s">
        <v>382</v>
      </c>
      <c r="BG169" s="168">
        <f t="shared" si="140"/>
        <v>0</v>
      </c>
      <c r="BH169" s="168">
        <f t="shared" si="141"/>
        <v>0</v>
      </c>
      <c r="BI169" s="163">
        <f t="shared" si="142"/>
        <v>0</v>
      </c>
      <c r="BJ169" s="163">
        <f t="shared" si="143"/>
        <v>0</v>
      </c>
      <c r="BK169" s="163">
        <f t="shared" si="122"/>
        <v>0</v>
      </c>
      <c r="BL169" s="163">
        <f t="shared" si="123"/>
        <v>0</v>
      </c>
      <c r="BM169" s="163">
        <f t="shared" si="124"/>
        <v>0</v>
      </c>
      <c r="BN169" s="163" t="s">
        <v>155</v>
      </c>
      <c r="BO169" s="162" t="str">
        <f t="shared" si="129"/>
        <v/>
      </c>
      <c r="BP169" s="162" t="s">
        <v>383</v>
      </c>
      <c r="BQ169" s="162" t="s">
        <v>163</v>
      </c>
    </row>
    <row r="170" spans="1:69">
      <c r="A170" s="159">
        <f t="shared" si="113"/>
        <v>50</v>
      </c>
      <c r="B170" s="159">
        <f t="shared" si="114"/>
        <v>1</v>
      </c>
      <c r="C170" s="160" t="str">
        <f t="shared" si="101"/>
        <v>5001</v>
      </c>
      <c r="D170" s="159" t="s">
        <v>73</v>
      </c>
      <c r="E170" s="159">
        <v>2020</v>
      </c>
      <c r="F170" s="162" t="s">
        <v>75</v>
      </c>
      <c r="G170" s="182" t="s">
        <v>241</v>
      </c>
      <c r="H170" s="163" t="str">
        <f t="shared" si="144"/>
        <v>UM</v>
      </c>
      <c r="I170" s="163" t="s">
        <v>155</v>
      </c>
      <c r="J170" s="180" t="s">
        <v>727</v>
      </c>
      <c r="K170" s="163" t="s">
        <v>167</v>
      </c>
      <c r="L170" s="163" t="s">
        <v>166</v>
      </c>
      <c r="M170" s="163" t="str">
        <f t="shared" si="115"/>
        <v>PCV13 vs PCV10</v>
      </c>
      <c r="N170" s="159" t="s">
        <v>368</v>
      </c>
      <c r="O170" s="159">
        <v>3</v>
      </c>
      <c r="P170" s="162" t="s">
        <v>148</v>
      </c>
      <c r="Q170" s="162" t="s">
        <v>377</v>
      </c>
      <c r="R170" s="162" t="s">
        <v>150</v>
      </c>
      <c r="S170" s="162" t="s">
        <v>151</v>
      </c>
      <c r="T170" s="159">
        <v>2016</v>
      </c>
      <c r="U170" s="165">
        <v>14.75</v>
      </c>
      <c r="V170" s="165" t="e">
        <f>IF(ISNUMBER(U170),U170/VLOOKUP($S170,xRates!$A$1:$AA$267,data!$T170-xRates!$B$1+2,FALSE),U170)</f>
        <v>#REF!</v>
      </c>
      <c r="W170" s="162" t="s">
        <v>515</v>
      </c>
      <c r="X170" s="159">
        <v>12.85</v>
      </c>
      <c r="Y170" s="165">
        <v>12.85</v>
      </c>
      <c r="Z170" s="162" t="s">
        <v>515</v>
      </c>
      <c r="AA170" s="163" t="s">
        <v>148</v>
      </c>
      <c r="AB170" s="162" t="s">
        <v>417</v>
      </c>
      <c r="AC170" s="162" t="s">
        <v>386</v>
      </c>
      <c r="AD170" s="163" t="s">
        <v>155</v>
      </c>
      <c r="AE170" s="162" t="s">
        <v>737</v>
      </c>
      <c r="AF170" s="163" t="s">
        <v>148</v>
      </c>
      <c r="AG170" s="163" t="s">
        <v>148</v>
      </c>
      <c r="AH170" s="163" t="s">
        <v>148</v>
      </c>
      <c r="AJ170" s="162" t="s">
        <v>737</v>
      </c>
      <c r="AK170" s="183" t="s">
        <v>738</v>
      </c>
      <c r="AL170" s="163" t="s">
        <v>152</v>
      </c>
      <c r="AM170" s="179">
        <f>-59836109/6406</f>
        <v>-9340.6351857633472</v>
      </c>
      <c r="AN170" s="179">
        <f>AM170</f>
        <v>-9340.6351857633472</v>
      </c>
      <c r="AO170" s="179">
        <f t="shared" si="145"/>
        <v>5936.3</v>
      </c>
      <c r="AP170" s="163" t="str">
        <f t="shared" si="128"/>
        <v>Cost-Saving</v>
      </c>
      <c r="AQ170" s="163" t="str">
        <f t="shared" si="102"/>
        <v>Cost-Saving</v>
      </c>
      <c r="AR170" s="167">
        <f t="shared" si="100"/>
        <v>-1.573477618341955</v>
      </c>
      <c r="AS170" s="167">
        <f t="shared" si="134"/>
        <v>1.89</v>
      </c>
      <c r="AT170" s="159" t="str">
        <f t="shared" si="116"/>
        <v>Cost-Saving</v>
      </c>
      <c r="AU170" s="167">
        <f t="shared" si="135"/>
        <v>1.17</v>
      </c>
      <c r="AV170" s="162" t="str">
        <f t="shared" si="117"/>
        <v>Cost-Saving</v>
      </c>
      <c r="AW170" s="167">
        <f t="shared" si="136"/>
        <v>0.6677477128612227</v>
      </c>
      <c r="AX170" s="159" t="str">
        <f t="shared" si="118"/>
        <v>Cost-Saving</v>
      </c>
      <c r="AY170" s="167">
        <f t="shared" si="137"/>
        <v>0.16578730819497556</v>
      </c>
      <c r="AZ170" s="159" t="str">
        <f t="shared" si="119"/>
        <v>Cost-Saving</v>
      </c>
      <c r="BA170" s="167">
        <f t="shared" si="138"/>
        <v>1.3213703099510603</v>
      </c>
      <c r="BB170" s="159" t="str">
        <f t="shared" si="120"/>
        <v>Cost-Saving</v>
      </c>
      <c r="BC170" s="167">
        <f t="shared" si="139"/>
        <v>0.54765788860405495</v>
      </c>
      <c r="BD170" s="159" t="str">
        <f t="shared" si="121"/>
        <v>Cost-Saving</v>
      </c>
      <c r="BE170" s="162" t="s">
        <v>153</v>
      </c>
      <c r="BF170" s="162" t="s">
        <v>439</v>
      </c>
      <c r="BG170" s="168" t="str">
        <f t="shared" si="140"/>
        <v>.</v>
      </c>
      <c r="BH170" s="168" t="str">
        <f t="shared" si="141"/>
        <v>.</v>
      </c>
      <c r="BI170" s="163" t="str">
        <f t="shared" si="142"/>
        <v>.</v>
      </c>
      <c r="BJ170" s="163" t="str">
        <f t="shared" si="143"/>
        <v>.</v>
      </c>
      <c r="BK170" s="163" t="str">
        <f t="shared" si="122"/>
        <v>.</v>
      </c>
      <c r="BL170" s="163" t="str">
        <f t="shared" si="123"/>
        <v>.</v>
      </c>
      <c r="BM170" s="163">
        <f t="shared" si="124"/>
        <v>0</v>
      </c>
      <c r="BN170" s="163" t="s">
        <v>155</v>
      </c>
      <c r="BO170" s="162" t="str">
        <f t="shared" si="129"/>
        <v/>
      </c>
      <c r="BP170" s="162" t="s">
        <v>383</v>
      </c>
      <c r="BQ170" s="162" t="s">
        <v>163</v>
      </c>
    </row>
    <row r="171" spans="1:69">
      <c r="A171" s="159">
        <f t="shared" si="113"/>
        <v>51</v>
      </c>
      <c r="B171" s="159">
        <f t="shared" si="114"/>
        <v>1</v>
      </c>
      <c r="C171" s="160" t="str">
        <f t="shared" ref="C171:C172" si="146">_xlfn.CONCAT(TEXT(A171,"00"),TEXT(B171,"00"))</f>
        <v>5101</v>
      </c>
      <c r="D171" s="159" t="s">
        <v>76</v>
      </c>
      <c r="E171" s="159">
        <v>2021</v>
      </c>
      <c r="F171" s="162" t="s">
        <v>77</v>
      </c>
      <c r="G171" s="162" t="s">
        <v>217</v>
      </c>
      <c r="H171" s="163" t="str">
        <f t="shared" ref="H171:H172" si="147">VLOOKUP(G171,income,T171-1985,FALSE)</f>
        <v>L</v>
      </c>
      <c r="I171" s="163" t="s">
        <v>155</v>
      </c>
      <c r="J171" s="180" t="s">
        <v>717</v>
      </c>
      <c r="K171" s="163" t="s">
        <v>167</v>
      </c>
      <c r="L171" s="163" t="s">
        <v>147</v>
      </c>
      <c r="M171" s="163" t="str">
        <f t="shared" si="115"/>
        <v>PCV13 vs NoVax</v>
      </c>
      <c r="N171" s="159" t="s">
        <v>514</v>
      </c>
      <c r="O171" s="159">
        <v>3</v>
      </c>
      <c r="P171" s="162" t="s">
        <v>148</v>
      </c>
      <c r="Q171" s="162" t="s">
        <v>377</v>
      </c>
      <c r="R171" s="162" t="s">
        <v>150</v>
      </c>
      <c r="S171" s="162" t="s">
        <v>151</v>
      </c>
      <c r="T171" s="159">
        <v>2017</v>
      </c>
      <c r="U171" s="165">
        <v>0.2</v>
      </c>
      <c r="V171" s="165" t="e">
        <f>IF(ISNUMBER(U171),U171/VLOOKUP($S171,xRates!$A$1:$AA$267,data!$T171-xRates!$B$1+2,FALSE),U171)</f>
        <v>#REF!</v>
      </c>
      <c r="W171" s="162" t="s">
        <v>739</v>
      </c>
      <c r="Y171" s="165"/>
      <c r="AA171" s="163" t="s">
        <v>155</v>
      </c>
      <c r="AB171" s="162"/>
      <c r="AC171" s="162" t="str">
        <f>IF(AA171="No","","")</f>
        <v/>
      </c>
      <c r="AD171" s="163" t="s">
        <v>155</v>
      </c>
      <c r="AE171" s="162" t="str">
        <f>IF(AD171="No", "", "")</f>
        <v/>
      </c>
      <c r="AF171" s="163" t="s">
        <v>148</v>
      </c>
      <c r="AG171" s="163" t="s">
        <v>148</v>
      </c>
      <c r="AH171" s="163" t="s">
        <v>155</v>
      </c>
      <c r="AJ171" s="162"/>
      <c r="AK171" s="162" t="s">
        <v>711</v>
      </c>
      <c r="AL171" s="163" t="s">
        <v>190</v>
      </c>
      <c r="AM171" s="179">
        <v>-999999</v>
      </c>
      <c r="AN171" s="179">
        <v>-999999</v>
      </c>
      <c r="AO171" s="179">
        <f t="shared" ref="AO171:AO172" si="148">VLOOKUP(G171,gdppc,T171-1958,FALSE)</f>
        <v>632</v>
      </c>
      <c r="AP171" s="163" t="str">
        <f t="shared" ref="AP171:AP172" si="149">IF(AN171="NA", ".", IF(AN171&lt;0,"Cost-Saving",IF(AN171&lt;=AO171,"Cost-Effective",IF(AN171&gt;AO171&amp;AN171&lt;&gt;"NA","Not Cost-Effective","Missing"))))</f>
        <v>Cost-Saving</v>
      </c>
      <c r="AQ171" s="163" t="str">
        <f t="shared" ref="AQ171:AQ172" si="150">IF(AN171="NA", ".", IF(AN171&lt;0,"Cost-Saving",IF(AN171&lt;=AO171*3,"Cost-Effective",IF(AN171&gt;AO171*3&amp;AN171&lt;&gt;"NA","Not Cost-Effective","Missing"))))</f>
        <v>Cost-Saving</v>
      </c>
      <c r="AR171" s="167">
        <f t="shared" ref="AR171:AR172" si="151">IFERROR(AN171/AO171,".")</f>
        <v>-1582.2768987341772</v>
      </c>
      <c r="AS171" s="167">
        <f t="shared" ref="AS171:AS172" si="152">IFERROR(VLOOKUP(G171,ochalek,11,FALSE),".")</f>
        <v>0.69</v>
      </c>
      <c r="AT171" s="159" t="str">
        <f t="shared" ref="AT171:AT172" si="153">IF(AR171&lt;0,"Cost-Saving", IF(AS171=".", ".", IF(AR171&lt;AS171, "Cost-Effective", "Not Cost-Effective")))</f>
        <v>Cost-Saving</v>
      </c>
      <c r="AU171" s="167">
        <f t="shared" ref="AU171:AU172" si="154">IFERROR(VLOOKUP(G171,ochalek,10,FALSE),".")</f>
        <v>0.52</v>
      </c>
      <c r="AV171" s="162" t="str">
        <f t="shared" ref="AV171:AV172" si="155">IF(AR171&lt;0,"Cost-Saving", IF(AU171=".", ".", IF(AR171&lt;AU171, "Cost-Effective", "Not Cost-Effective")))</f>
        <v>Cost-Saving</v>
      </c>
      <c r="AW171" s="167">
        <f t="shared" ref="AW171:AW172" si="156">IFERROR(VLOOKUP(G171,woods,6,FALSE),".")</f>
        <v>0.38924930491195553</v>
      </c>
      <c r="AX171" s="159" t="str">
        <f t="shared" ref="AX171:AX172" si="157">IF(AR171&lt;0,"Cost-Saving", IF(AW171=".", ".", IF(AR171&lt;AW171, "Cost-Effective", "Not Cost-Effective")))</f>
        <v>Cost-Saving</v>
      </c>
      <c r="AY171" s="167">
        <f t="shared" ref="AY171:AY172" si="158">IFERROR(VLOOKUP(G171,woods,5,FALSE),".")</f>
        <v>1.8535681186283598E-2</v>
      </c>
      <c r="AZ171" s="159" t="str">
        <f t="shared" ref="AZ171:AZ172" si="159">IF(AR171&lt;0,"Cost-Saving", IF(AY171=".", ".", IF(AR171&lt;AY171, "Cost-Effective", "Not Cost-Effective")))</f>
        <v>Cost-Saving</v>
      </c>
      <c r="BA171" s="167">
        <f t="shared" si="138"/>
        <v>0.27251348734264769</v>
      </c>
      <c r="BB171" s="159" t="str">
        <f t="shared" si="120"/>
        <v>Cost-Saving</v>
      </c>
      <c r="BC171" s="167">
        <f t="shared" si="139"/>
        <v>5.3949370590676442E-2</v>
      </c>
      <c r="BD171" s="159" t="str">
        <f t="shared" si="121"/>
        <v>Cost-Saving</v>
      </c>
      <c r="BE171" s="162" t="s">
        <v>386</v>
      </c>
      <c r="BF171" s="162" t="s">
        <v>439</v>
      </c>
      <c r="BG171" s="168" t="str">
        <f t="shared" si="140"/>
        <v>.</v>
      </c>
      <c r="BH171" s="168" t="str">
        <f t="shared" si="141"/>
        <v>.</v>
      </c>
      <c r="BI171" s="163" t="str">
        <f t="shared" si="142"/>
        <v>.</v>
      </c>
      <c r="BJ171" s="163" t="str">
        <f t="shared" si="143"/>
        <v>.</v>
      </c>
      <c r="BK171" s="163" t="str">
        <f t="shared" si="122"/>
        <v>.</v>
      </c>
      <c r="BL171" s="163" t="str">
        <f t="shared" si="123"/>
        <v>.</v>
      </c>
      <c r="BM171" s="163">
        <f t="shared" si="124"/>
        <v>0</v>
      </c>
      <c r="BN171" s="163" t="s">
        <v>148</v>
      </c>
      <c r="BO171" s="162" t="s">
        <v>740</v>
      </c>
      <c r="BP171" s="162" t="s">
        <v>741</v>
      </c>
      <c r="BQ171" s="162" t="s">
        <v>249</v>
      </c>
    </row>
    <row r="172" spans="1:69">
      <c r="A172" s="159">
        <f t="shared" si="113"/>
        <v>51</v>
      </c>
      <c r="B172" s="159">
        <f t="shared" si="114"/>
        <v>2</v>
      </c>
      <c r="C172" s="160" t="str">
        <f t="shared" si="146"/>
        <v>5102</v>
      </c>
      <c r="D172" s="159" t="s">
        <v>76</v>
      </c>
      <c r="E172" s="159">
        <v>2021</v>
      </c>
      <c r="F172" s="162" t="s">
        <v>77</v>
      </c>
      <c r="G172" s="162" t="s">
        <v>217</v>
      </c>
      <c r="H172" s="163" t="str">
        <f t="shared" si="147"/>
        <v>L</v>
      </c>
      <c r="I172" s="163" t="s">
        <v>155</v>
      </c>
      <c r="J172" s="180" t="s">
        <v>717</v>
      </c>
      <c r="K172" s="163" t="s">
        <v>167</v>
      </c>
      <c r="L172" s="163" t="s">
        <v>147</v>
      </c>
      <c r="M172" s="163" t="str">
        <f t="shared" si="115"/>
        <v>PCV13 vs NoVax</v>
      </c>
      <c r="N172" s="159" t="s">
        <v>514</v>
      </c>
      <c r="O172" s="159">
        <v>3</v>
      </c>
      <c r="P172" s="162" t="s">
        <v>148</v>
      </c>
      <c r="Q172" s="162" t="s">
        <v>149</v>
      </c>
      <c r="R172" s="162" t="s">
        <v>150</v>
      </c>
      <c r="S172" s="162" t="s">
        <v>151</v>
      </c>
      <c r="T172" s="159">
        <v>2017</v>
      </c>
      <c r="U172" s="165">
        <v>0.2</v>
      </c>
      <c r="V172" s="165" t="e">
        <f>IF(ISNUMBER(U172),U172/VLOOKUP($S172,xRates!$A$1:$AA$267,data!$T172-xRates!$B$1+2,FALSE),U172)</f>
        <v>#REF!</v>
      </c>
      <c r="W172" s="162" t="s">
        <v>739</v>
      </c>
      <c r="Y172" s="165"/>
      <c r="AA172" s="163" t="s">
        <v>155</v>
      </c>
      <c r="AB172" s="162"/>
      <c r="AC172" s="162" t="str">
        <f>IF(AA172="No","","")</f>
        <v/>
      </c>
      <c r="AD172" s="163" t="s">
        <v>155</v>
      </c>
      <c r="AE172" s="162" t="str">
        <f>IF(AD172="No", "", "")</f>
        <v/>
      </c>
      <c r="AF172" s="163" t="s">
        <v>148</v>
      </c>
      <c r="AG172" s="163" t="s">
        <v>148</v>
      </c>
      <c r="AH172" s="163" t="s">
        <v>155</v>
      </c>
      <c r="AJ172" s="162"/>
      <c r="AK172" s="162" t="s">
        <v>711</v>
      </c>
      <c r="AL172" s="163" t="s">
        <v>190</v>
      </c>
      <c r="AM172" s="179">
        <v>-999999</v>
      </c>
      <c r="AN172" s="179">
        <v>-999999</v>
      </c>
      <c r="AO172" s="179">
        <f t="shared" si="148"/>
        <v>632</v>
      </c>
      <c r="AP172" s="163" t="str">
        <f t="shared" si="149"/>
        <v>Cost-Saving</v>
      </c>
      <c r="AQ172" s="163" t="str">
        <f t="shared" si="150"/>
        <v>Cost-Saving</v>
      </c>
      <c r="AR172" s="167">
        <f t="shared" si="151"/>
        <v>-1582.2768987341772</v>
      </c>
      <c r="AS172" s="167">
        <f t="shared" si="152"/>
        <v>0.69</v>
      </c>
      <c r="AT172" s="159" t="str">
        <f t="shared" si="153"/>
        <v>Cost-Saving</v>
      </c>
      <c r="AU172" s="167">
        <f t="shared" si="154"/>
        <v>0.52</v>
      </c>
      <c r="AV172" s="162" t="str">
        <f t="shared" si="155"/>
        <v>Cost-Saving</v>
      </c>
      <c r="AW172" s="167">
        <f t="shared" si="156"/>
        <v>0.38924930491195553</v>
      </c>
      <c r="AX172" s="159" t="str">
        <f t="shared" si="157"/>
        <v>Cost-Saving</v>
      </c>
      <c r="AY172" s="167">
        <f t="shared" si="158"/>
        <v>1.8535681186283598E-2</v>
      </c>
      <c r="AZ172" s="159" t="str">
        <f t="shared" si="159"/>
        <v>Cost-Saving</v>
      </c>
      <c r="BA172" s="167">
        <f t="shared" si="138"/>
        <v>0.27251348734264769</v>
      </c>
      <c r="BB172" s="159" t="str">
        <f t="shared" si="120"/>
        <v>Cost-Saving</v>
      </c>
      <c r="BC172" s="167">
        <f t="shared" si="139"/>
        <v>5.3949370590676442E-2</v>
      </c>
      <c r="BD172" s="159" t="str">
        <f t="shared" si="121"/>
        <v>Cost-Saving</v>
      </c>
      <c r="BE172" s="162" t="s">
        <v>386</v>
      </c>
      <c r="BF172" s="162" t="s">
        <v>439</v>
      </c>
      <c r="BG172" s="168" t="str">
        <f t="shared" si="140"/>
        <v>.</v>
      </c>
      <c r="BH172" s="168" t="str">
        <f t="shared" si="141"/>
        <v>.</v>
      </c>
      <c r="BI172" s="163" t="str">
        <f t="shared" si="142"/>
        <v>.</v>
      </c>
      <c r="BJ172" s="163" t="str">
        <f t="shared" si="143"/>
        <v>.</v>
      </c>
      <c r="BK172" s="163" t="str">
        <f t="shared" si="122"/>
        <v>.</v>
      </c>
      <c r="BL172" s="163" t="str">
        <f t="shared" si="123"/>
        <v>.</v>
      </c>
      <c r="BM172" s="163">
        <f t="shared" si="124"/>
        <v>0</v>
      </c>
      <c r="BN172" s="163" t="s">
        <v>148</v>
      </c>
      <c r="BO172" s="162" t="s">
        <v>740</v>
      </c>
      <c r="BP172" s="162" t="s">
        <v>741</v>
      </c>
      <c r="BQ172" s="162" t="s">
        <v>249</v>
      </c>
    </row>
    <row r="173" spans="1:69">
      <c r="A173" s="159">
        <f t="shared" si="113"/>
        <v>52</v>
      </c>
      <c r="B173" s="159">
        <f t="shared" si="114"/>
        <v>1</v>
      </c>
      <c r="C173" s="160" t="str">
        <f t="shared" si="101"/>
        <v>5201</v>
      </c>
      <c r="D173" s="159" t="s">
        <v>78</v>
      </c>
      <c r="E173" s="159">
        <v>2021</v>
      </c>
      <c r="F173" s="162" t="s">
        <v>79</v>
      </c>
      <c r="G173" s="182" t="s">
        <v>200</v>
      </c>
      <c r="H173" s="163" t="str">
        <f t="shared" si="144"/>
        <v>LM</v>
      </c>
      <c r="I173" s="163" t="s">
        <v>148</v>
      </c>
      <c r="J173" s="180" t="s">
        <v>437</v>
      </c>
      <c r="K173" s="163" t="s">
        <v>167</v>
      </c>
      <c r="L173" s="163" t="s">
        <v>166</v>
      </c>
      <c r="M173" s="163" t="str">
        <f t="shared" si="115"/>
        <v>PCV13 vs PCV10</v>
      </c>
      <c r="N173" s="159" t="s">
        <v>494</v>
      </c>
      <c r="O173" s="159">
        <v>3</v>
      </c>
      <c r="P173" s="162" t="s">
        <v>148</v>
      </c>
      <c r="Q173" s="162" t="s">
        <v>149</v>
      </c>
      <c r="R173" s="162" t="s">
        <v>201</v>
      </c>
      <c r="S173" s="162" t="s">
        <v>200</v>
      </c>
      <c r="T173" s="159">
        <v>2019</v>
      </c>
      <c r="U173" s="165">
        <v>704.43</v>
      </c>
      <c r="V173" s="165" t="e">
        <f>IF(ISNUMBER(U173),U173/VLOOKUP($S173,xRates!$A$1:$AA$267,data!$T173-xRates!$B$1+2,FALSE),U173)</f>
        <v>#REF!</v>
      </c>
      <c r="W173" s="162" t="s">
        <v>742</v>
      </c>
      <c r="X173" s="159">
        <v>624.27</v>
      </c>
      <c r="Y173" s="165">
        <v>12.052525669850253</v>
      </c>
      <c r="Z173" s="162" t="s">
        <v>742</v>
      </c>
      <c r="AA173" s="163" t="s">
        <v>148</v>
      </c>
      <c r="AB173" s="162" t="s">
        <v>743</v>
      </c>
      <c r="AC173" s="162" t="s">
        <v>155</v>
      </c>
      <c r="AD173" s="163" t="s">
        <v>148</v>
      </c>
      <c r="AE173" s="162" t="s">
        <v>744</v>
      </c>
      <c r="AF173" s="163" t="s">
        <v>148</v>
      </c>
      <c r="AG173" s="163" t="s">
        <v>148</v>
      </c>
      <c r="AH173" s="163" t="s">
        <v>148</v>
      </c>
      <c r="AJ173" s="162" t="s">
        <v>737</v>
      </c>
      <c r="AK173" s="184" t="s">
        <v>745</v>
      </c>
      <c r="AL173" s="163" t="s">
        <v>152</v>
      </c>
      <c r="AM173" s="179">
        <f>-12274777282/153349</f>
        <v>-80044.716835453772</v>
      </c>
      <c r="AN173" s="179" t="e">
        <f>AM173/xRates!Y157</f>
        <v>#DIV/0!</v>
      </c>
      <c r="AO173" s="179">
        <f t="shared" si="145"/>
        <v>3413.8</v>
      </c>
      <c r="AP173" s="163" t="e">
        <f t="shared" si="128"/>
        <v>#DIV/0!</v>
      </c>
      <c r="AQ173" s="163" t="e">
        <f t="shared" si="102"/>
        <v>#DIV/0!</v>
      </c>
      <c r="AR173" s="167" t="str">
        <f t="shared" si="100"/>
        <v>.</v>
      </c>
      <c r="AS173" s="167">
        <f t="shared" si="134"/>
        <v>0.34</v>
      </c>
      <c r="AT173" s="159" t="str">
        <f t="shared" si="116"/>
        <v>Not Cost-Effective</v>
      </c>
      <c r="AU173" s="167">
        <f t="shared" si="135"/>
        <v>0.23</v>
      </c>
      <c r="AV173" s="162" t="str">
        <f t="shared" si="117"/>
        <v>Not Cost-Effective</v>
      </c>
      <c r="AW173" s="167">
        <f t="shared" si="136"/>
        <v>0.49901671583087515</v>
      </c>
      <c r="AX173" s="159" t="str">
        <f t="shared" si="118"/>
        <v>Not Cost-Effective</v>
      </c>
      <c r="AY173" s="167">
        <f t="shared" si="137"/>
        <v>8.9900266891417335E-2</v>
      </c>
      <c r="AZ173" s="159" t="str">
        <f t="shared" si="119"/>
        <v>Not Cost-Effective</v>
      </c>
      <c r="BA173" s="167">
        <f t="shared" si="138"/>
        <v>0.41039311031694881</v>
      </c>
      <c r="BB173" s="159" t="str">
        <f t="shared" si="120"/>
        <v>Not Cost-Effective</v>
      </c>
      <c r="BC173" s="167">
        <f t="shared" si="139"/>
        <v>0.16521178745093443</v>
      </c>
      <c r="BD173" s="159" t="str">
        <f t="shared" si="121"/>
        <v>Not Cost-Effective</v>
      </c>
      <c r="BE173" s="162" t="s">
        <v>298</v>
      </c>
      <c r="BF173" s="162" t="s">
        <v>439</v>
      </c>
      <c r="BG173" s="168" t="str">
        <f t="shared" si="140"/>
        <v>.</v>
      </c>
      <c r="BH173" s="168" t="str">
        <f t="shared" si="141"/>
        <v>.</v>
      </c>
      <c r="BI173" s="163" t="str">
        <f t="shared" si="142"/>
        <v>.</v>
      </c>
      <c r="BJ173" s="163" t="str">
        <f t="shared" si="143"/>
        <v>.</v>
      </c>
      <c r="BK173" s="163" t="str">
        <f t="shared" si="122"/>
        <v>.</v>
      </c>
      <c r="BL173" s="163" t="str">
        <f t="shared" si="123"/>
        <v>.</v>
      </c>
      <c r="BM173" s="163">
        <f t="shared" si="124"/>
        <v>0</v>
      </c>
      <c r="BN173" s="163" t="s">
        <v>155</v>
      </c>
      <c r="BO173" s="162" t="str">
        <f>IF(BN173="No", "", "")</f>
        <v/>
      </c>
      <c r="BP173" s="162" t="s">
        <v>383</v>
      </c>
      <c r="BQ173" s="162" t="s">
        <v>163</v>
      </c>
    </row>
    <row r="174" spans="1:69">
      <c r="A174" s="159">
        <f t="shared" si="113"/>
        <v>52</v>
      </c>
      <c r="B174" s="159">
        <f t="shared" si="114"/>
        <v>2</v>
      </c>
      <c r="C174" s="160" t="str">
        <f t="shared" si="101"/>
        <v>5202</v>
      </c>
      <c r="D174" s="159" t="s">
        <v>78</v>
      </c>
      <c r="E174" s="159">
        <v>2021</v>
      </c>
      <c r="F174" s="162" t="s">
        <v>79</v>
      </c>
      <c r="G174" s="182" t="s">
        <v>200</v>
      </c>
      <c r="H174" s="163" t="str">
        <f t="shared" si="144"/>
        <v>LM</v>
      </c>
      <c r="I174" s="163" t="s">
        <v>148</v>
      </c>
      <c r="J174" s="180" t="s">
        <v>746</v>
      </c>
      <c r="K174" s="163" t="s">
        <v>167</v>
      </c>
      <c r="L174" s="163" t="s">
        <v>166</v>
      </c>
      <c r="M174" s="163" t="str">
        <f t="shared" si="115"/>
        <v>PCV13 vs PCV10</v>
      </c>
      <c r="N174" s="159" t="s">
        <v>494</v>
      </c>
      <c r="O174" s="159">
        <v>3</v>
      </c>
      <c r="P174" s="162" t="s">
        <v>148</v>
      </c>
      <c r="Q174" s="162" t="s">
        <v>149</v>
      </c>
      <c r="R174" s="162" t="s">
        <v>201</v>
      </c>
      <c r="S174" s="162" t="s">
        <v>200</v>
      </c>
      <c r="T174" s="159">
        <v>2019</v>
      </c>
      <c r="U174" s="165">
        <v>704.43</v>
      </c>
      <c r="V174" s="165" t="e">
        <f>IF(ISNUMBER(U174),U174/VLOOKUP($S174,xRates!$A$1:$AA$267,data!$T174-xRates!$B$1+2,FALSE),U174)</f>
        <v>#REF!</v>
      </c>
      <c r="W174" s="162" t="s">
        <v>742</v>
      </c>
      <c r="X174" s="159">
        <v>624.27</v>
      </c>
      <c r="Y174" s="165">
        <v>12.052525669850253</v>
      </c>
      <c r="Z174" s="162" t="s">
        <v>742</v>
      </c>
      <c r="AA174" s="163" t="s">
        <v>148</v>
      </c>
      <c r="AB174" s="162" t="s">
        <v>743</v>
      </c>
      <c r="AC174" s="162" t="s">
        <v>155</v>
      </c>
      <c r="AD174" s="163" t="s">
        <v>148</v>
      </c>
      <c r="AE174" s="162" t="s">
        <v>744</v>
      </c>
      <c r="AF174" s="163" t="s">
        <v>148</v>
      </c>
      <c r="AG174" s="163" t="s">
        <v>148</v>
      </c>
      <c r="AH174" s="163" t="s">
        <v>148</v>
      </c>
      <c r="AJ174" s="162" t="s">
        <v>737</v>
      </c>
      <c r="AK174" s="184" t="s">
        <v>747</v>
      </c>
      <c r="AL174" s="163" t="s">
        <v>152</v>
      </c>
      <c r="AM174" s="179">
        <f>-7383473851/187084</f>
        <v>-39466.089302131666</v>
      </c>
      <c r="AN174" s="179" t="e">
        <f>AM174/xRates!Y157</f>
        <v>#DIV/0!</v>
      </c>
      <c r="AO174" s="179">
        <f t="shared" si="145"/>
        <v>3413.8</v>
      </c>
      <c r="AP174" s="163" t="e">
        <f t="shared" si="128"/>
        <v>#DIV/0!</v>
      </c>
      <c r="AQ174" s="163" t="e">
        <f t="shared" si="102"/>
        <v>#DIV/0!</v>
      </c>
      <c r="AR174" s="167" t="str">
        <f t="shared" si="100"/>
        <v>.</v>
      </c>
      <c r="AS174" s="167">
        <f t="shared" si="134"/>
        <v>0.34</v>
      </c>
      <c r="AT174" s="159" t="str">
        <f t="shared" si="116"/>
        <v>Not Cost-Effective</v>
      </c>
      <c r="AU174" s="167">
        <f t="shared" si="135"/>
        <v>0.23</v>
      </c>
      <c r="AV174" s="162" t="str">
        <f t="shared" si="117"/>
        <v>Not Cost-Effective</v>
      </c>
      <c r="AW174" s="167">
        <f t="shared" si="136"/>
        <v>0.49901671583087515</v>
      </c>
      <c r="AX174" s="159" t="str">
        <f t="shared" si="118"/>
        <v>Not Cost-Effective</v>
      </c>
      <c r="AY174" s="167">
        <f t="shared" si="137"/>
        <v>8.9900266891417335E-2</v>
      </c>
      <c r="AZ174" s="159" t="str">
        <f t="shared" si="119"/>
        <v>Not Cost-Effective</v>
      </c>
      <c r="BA174" s="167">
        <f t="shared" si="138"/>
        <v>0.41039311031694881</v>
      </c>
      <c r="BB174" s="159" t="str">
        <f t="shared" si="120"/>
        <v>Not Cost-Effective</v>
      </c>
      <c r="BC174" s="167">
        <f t="shared" si="139"/>
        <v>0.16521178745093443</v>
      </c>
      <c r="BD174" s="159" t="str">
        <f t="shared" si="121"/>
        <v>Not Cost-Effective</v>
      </c>
      <c r="BE174" s="162" t="s">
        <v>298</v>
      </c>
      <c r="BF174" s="162" t="s">
        <v>439</v>
      </c>
      <c r="BG174" s="168" t="str">
        <f t="shared" si="140"/>
        <v>.</v>
      </c>
      <c r="BH174" s="168" t="str">
        <f t="shared" si="141"/>
        <v>.</v>
      </c>
      <c r="BI174" s="163" t="str">
        <f t="shared" si="142"/>
        <v>.</v>
      </c>
      <c r="BJ174" s="163" t="str">
        <f t="shared" si="143"/>
        <v>.</v>
      </c>
      <c r="BK174" s="163" t="str">
        <f t="shared" si="122"/>
        <v>.</v>
      </c>
      <c r="BL174" s="163" t="str">
        <f t="shared" si="123"/>
        <v>.</v>
      </c>
      <c r="BM174" s="163">
        <f t="shared" si="124"/>
        <v>0</v>
      </c>
      <c r="BN174" s="163" t="s">
        <v>155</v>
      </c>
      <c r="BO174" s="162" t="str">
        <f>IF(BN174="No", "", "")</f>
        <v/>
      </c>
      <c r="BP174" s="162" t="s">
        <v>383</v>
      </c>
      <c r="BQ174" s="162" t="s">
        <v>163</v>
      </c>
    </row>
    <row r="175" spans="1:69">
      <c r="A175" s="159">
        <f t="shared" si="113"/>
        <v>53</v>
      </c>
      <c r="B175" s="159">
        <f t="shared" si="114"/>
        <v>1</v>
      </c>
      <c r="C175" s="160" t="str">
        <f t="shared" si="101"/>
        <v>5301</v>
      </c>
      <c r="D175" s="159" t="s">
        <v>78</v>
      </c>
      <c r="E175" s="159">
        <v>2021</v>
      </c>
      <c r="F175" s="162" t="s">
        <v>80</v>
      </c>
      <c r="G175" s="182" t="s">
        <v>211</v>
      </c>
      <c r="H175" s="163" t="str">
        <f t="shared" si="144"/>
        <v>UM</v>
      </c>
      <c r="I175" s="163" t="s">
        <v>155</v>
      </c>
      <c r="J175" s="180" t="s">
        <v>727</v>
      </c>
      <c r="K175" s="163" t="s">
        <v>167</v>
      </c>
      <c r="L175" s="163" t="s">
        <v>166</v>
      </c>
      <c r="M175" s="163" t="str">
        <f t="shared" si="115"/>
        <v>PCV13 vs PCV10</v>
      </c>
      <c r="N175" s="159" t="s">
        <v>368</v>
      </c>
      <c r="O175" s="159">
        <v>3</v>
      </c>
      <c r="P175" s="162" t="s">
        <v>148</v>
      </c>
      <c r="Q175" s="162" t="s">
        <v>377</v>
      </c>
      <c r="R175" s="162" t="s">
        <v>215</v>
      </c>
      <c r="S175" s="162" t="s">
        <v>211</v>
      </c>
      <c r="T175" s="159">
        <v>2019</v>
      </c>
      <c r="U175" s="165">
        <v>58.94</v>
      </c>
      <c r="V175" s="165" t="e">
        <f>IF(ISNUMBER(U175),U175/VLOOKUP($S175,xRates!$A$1:$AA$267,data!$T175-xRates!$B$1+2,FALSE),U175)</f>
        <v>#REF!</v>
      </c>
      <c r="W175" s="162" t="s">
        <v>748</v>
      </c>
      <c r="X175" s="159">
        <v>57.22</v>
      </c>
      <c r="Y175" s="165">
        <v>14.506380852906336</v>
      </c>
      <c r="Z175" s="162" t="s">
        <v>748</v>
      </c>
      <c r="AA175" s="163" t="s">
        <v>148</v>
      </c>
      <c r="AB175" s="162" t="s">
        <v>743</v>
      </c>
      <c r="AC175" s="162" t="s">
        <v>155</v>
      </c>
      <c r="AD175" s="163" t="s">
        <v>148</v>
      </c>
      <c r="AE175" s="162" t="s">
        <v>744</v>
      </c>
      <c r="AF175" s="163" t="s">
        <v>148</v>
      </c>
      <c r="AG175" s="163" t="s">
        <v>148</v>
      </c>
      <c r="AH175" s="163" t="s">
        <v>148</v>
      </c>
      <c r="AJ175" s="162" t="s">
        <v>737</v>
      </c>
      <c r="AK175" s="183" t="s">
        <v>749</v>
      </c>
      <c r="AL175" s="163" t="s">
        <v>152</v>
      </c>
      <c r="AM175" s="179">
        <f>-172101081/20317</f>
        <v>-8470.7919968499282</v>
      </c>
      <c r="AN175" s="179">
        <f>AM175/xRates!Y28</f>
        <v>-4235.3959984249641</v>
      </c>
      <c r="AO175" s="179">
        <f t="shared" si="145"/>
        <v>8845.2999999999993</v>
      </c>
      <c r="AP175" s="163" t="str">
        <f t="shared" si="128"/>
        <v>Cost-Saving</v>
      </c>
      <c r="AQ175" s="163" t="str">
        <f t="shared" si="102"/>
        <v>Cost-Saving</v>
      </c>
      <c r="AR175" s="167">
        <f t="shared" si="100"/>
        <v>-0.47883011298938016</v>
      </c>
      <c r="AS175" s="167">
        <f t="shared" si="134"/>
        <v>1.0900000000000001</v>
      </c>
      <c r="AT175" s="159" t="str">
        <f t="shared" si="116"/>
        <v>Cost-Saving</v>
      </c>
      <c r="AU175" s="167">
        <f t="shared" si="135"/>
        <v>0.71</v>
      </c>
      <c r="AV175" s="162" t="str">
        <f t="shared" si="117"/>
        <v>Cost-Saving</v>
      </c>
      <c r="AW175" s="167">
        <f t="shared" si="136"/>
        <v>0.61540469547909216</v>
      </c>
      <c r="AX175" s="159" t="str">
        <f t="shared" si="118"/>
        <v>Cost-Saving</v>
      </c>
      <c r="AY175" s="167">
        <f t="shared" si="137"/>
        <v>0.19520989346254874</v>
      </c>
      <c r="AZ175" s="159" t="str">
        <f t="shared" si="119"/>
        <v>Cost-Saving</v>
      </c>
      <c r="BA175" s="167">
        <f t="shared" si="138"/>
        <v>1.6838320916192782</v>
      </c>
      <c r="BB175" s="159" t="str">
        <f t="shared" si="120"/>
        <v>Cost-Saving</v>
      </c>
      <c r="BC175" s="167">
        <f t="shared" si="139"/>
        <v>0.69788475235435776</v>
      </c>
      <c r="BD175" s="159" t="str">
        <f t="shared" si="121"/>
        <v>Cost-Saving</v>
      </c>
      <c r="BE175" s="162" t="s">
        <v>176</v>
      </c>
      <c r="BF175" s="162" t="s">
        <v>439</v>
      </c>
      <c r="BG175" s="168" t="str">
        <f t="shared" si="140"/>
        <v>.</v>
      </c>
      <c r="BH175" s="168" t="str">
        <f t="shared" si="141"/>
        <v>.</v>
      </c>
      <c r="BI175" s="163" t="str">
        <f t="shared" si="142"/>
        <v>.</v>
      </c>
      <c r="BJ175" s="163" t="str">
        <f t="shared" si="143"/>
        <v>.</v>
      </c>
      <c r="BK175" s="163" t="str">
        <f t="shared" si="122"/>
        <v>.</v>
      </c>
      <c r="BL175" s="163" t="str">
        <f t="shared" si="123"/>
        <v>.</v>
      </c>
      <c r="BM175" s="163">
        <f t="shared" si="124"/>
        <v>0</v>
      </c>
      <c r="BN175" s="163" t="s">
        <v>155</v>
      </c>
      <c r="BO175" s="162" t="str">
        <f>IF(BN175="No", "", "")</f>
        <v/>
      </c>
      <c r="BP175" s="162" t="s">
        <v>383</v>
      </c>
      <c r="BQ175" s="162" t="s">
        <v>163</v>
      </c>
    </row>
    <row r="176" spans="1:69">
      <c r="A176" s="159">
        <f t="shared" si="113"/>
        <v>54</v>
      </c>
      <c r="B176" s="159">
        <f t="shared" si="114"/>
        <v>1</v>
      </c>
      <c r="C176" s="160" t="str">
        <f t="shared" si="101"/>
        <v>5401</v>
      </c>
      <c r="D176" s="159" t="s">
        <v>81</v>
      </c>
      <c r="E176" s="159">
        <v>2021</v>
      </c>
      <c r="F176" s="162" t="s">
        <v>82</v>
      </c>
      <c r="G176" s="182" t="s">
        <v>301</v>
      </c>
      <c r="H176" s="163" t="str">
        <f t="shared" si="144"/>
        <v>UM</v>
      </c>
      <c r="I176" s="163" t="s">
        <v>148</v>
      </c>
      <c r="J176" s="180" t="s">
        <v>750</v>
      </c>
      <c r="K176" s="163" t="s">
        <v>167</v>
      </c>
      <c r="L176" s="163" t="s">
        <v>147</v>
      </c>
      <c r="M176" s="163" t="str">
        <f t="shared" si="115"/>
        <v>PCV13 vs NoVax</v>
      </c>
      <c r="N176" s="159" t="s">
        <v>368</v>
      </c>
      <c r="O176" s="159">
        <v>3</v>
      </c>
      <c r="P176" s="162" t="s">
        <v>148</v>
      </c>
      <c r="Q176" s="162" t="s">
        <v>302</v>
      </c>
      <c r="R176" s="162" t="s">
        <v>150</v>
      </c>
      <c r="S176" s="162" t="s">
        <v>151</v>
      </c>
      <c r="T176" s="159">
        <v>2019</v>
      </c>
      <c r="U176" s="165">
        <v>3.05</v>
      </c>
      <c r="V176" s="165" t="e">
        <f>IF(ISNUMBER(U176),U176/VLOOKUP($S176,xRates!$A$1:$AA$267,data!$T176-xRates!$B$1+2,FALSE),U176)</f>
        <v>#REF!</v>
      </c>
      <c r="W176" s="162" t="s">
        <v>751</v>
      </c>
      <c r="Y176" s="165"/>
      <c r="AA176" s="163" t="s">
        <v>155</v>
      </c>
      <c r="AB176" s="162"/>
      <c r="AC176" s="162" t="str">
        <f t="shared" ref="AC176:AC191" si="160">IF(AA176="No","","")</f>
        <v/>
      </c>
      <c r="AD176" s="163" t="s">
        <v>155</v>
      </c>
      <c r="AE176" s="162" t="str">
        <f t="shared" ref="AE176:AE196" si="161">IF(AD176="No", "", "")</f>
        <v/>
      </c>
      <c r="AF176" s="163" t="s">
        <v>148</v>
      </c>
      <c r="AG176" s="163" t="s">
        <v>148</v>
      </c>
      <c r="AH176" s="163" t="s">
        <v>155</v>
      </c>
      <c r="AJ176" s="162"/>
      <c r="AK176" s="162" t="s">
        <v>752</v>
      </c>
      <c r="AL176" s="163" t="s">
        <v>152</v>
      </c>
      <c r="AM176" s="179">
        <v>162</v>
      </c>
      <c r="AN176" s="179">
        <f t="shared" ref="AN176:AN192" si="162">AM176</f>
        <v>162</v>
      </c>
      <c r="AO176" s="179">
        <f t="shared" si="145"/>
        <v>4151.2</v>
      </c>
      <c r="AP176" s="163" t="str">
        <f t="shared" si="128"/>
        <v>Cost-Effective</v>
      </c>
      <c r="AQ176" s="163" t="str">
        <f t="shared" si="102"/>
        <v>Cost-Effective</v>
      </c>
      <c r="AR176" s="167">
        <f t="shared" si="100"/>
        <v>3.9024860281364426E-2</v>
      </c>
      <c r="AS176" s="167">
        <f t="shared" si="134"/>
        <v>0.23</v>
      </c>
      <c r="AT176" s="159" t="str">
        <f t="shared" si="116"/>
        <v>Cost-Effective</v>
      </c>
      <c r="AU176" s="167">
        <f t="shared" si="135"/>
        <v>0.16</v>
      </c>
      <c r="AV176" s="162" t="str">
        <f t="shared" si="117"/>
        <v>Cost-Effective</v>
      </c>
      <c r="AW176" s="167">
        <f t="shared" si="136"/>
        <v>0.49571178772655361</v>
      </c>
      <c r="AX176" s="159" t="str">
        <f t="shared" si="118"/>
        <v>Cost-Effective</v>
      </c>
      <c r="AY176" s="167">
        <f t="shared" si="137"/>
        <v>0.13100557883926836</v>
      </c>
      <c r="AZ176" s="159" t="str">
        <f t="shared" si="119"/>
        <v>Cost-Effective</v>
      </c>
      <c r="BA176" s="167">
        <f t="shared" si="138"/>
        <v>0.46974368857197923</v>
      </c>
      <c r="BB176" s="159" t="str">
        <f t="shared" si="120"/>
        <v>Cost-Effective</v>
      </c>
      <c r="BC176" s="167">
        <f t="shared" si="139"/>
        <v>0.19464251300828678</v>
      </c>
      <c r="BD176" s="159" t="str">
        <f t="shared" si="121"/>
        <v>Cost-Effective</v>
      </c>
      <c r="BE176" s="162" t="s">
        <v>153</v>
      </c>
      <c r="BF176" s="162" t="s">
        <v>382</v>
      </c>
      <c r="BG176" s="168">
        <f t="shared" si="140"/>
        <v>0</v>
      </c>
      <c r="BH176" s="168">
        <f t="shared" si="141"/>
        <v>0</v>
      </c>
      <c r="BI176" s="163">
        <f t="shared" si="142"/>
        <v>0</v>
      </c>
      <c r="BJ176" s="163">
        <f t="shared" si="143"/>
        <v>0</v>
      </c>
      <c r="BK176" s="163">
        <f t="shared" si="122"/>
        <v>0</v>
      </c>
      <c r="BL176" s="163">
        <f t="shared" si="123"/>
        <v>0</v>
      </c>
      <c r="BM176" s="163">
        <f t="shared" si="124"/>
        <v>0</v>
      </c>
      <c r="BN176" s="163" t="s">
        <v>148</v>
      </c>
      <c r="BO176" s="162" t="s">
        <v>753</v>
      </c>
      <c r="BP176" s="162" t="s">
        <v>754</v>
      </c>
      <c r="BQ176" s="162" t="s">
        <v>156</v>
      </c>
    </row>
    <row r="177" spans="1:70">
      <c r="A177" s="159">
        <f t="shared" si="113"/>
        <v>54</v>
      </c>
      <c r="B177" s="159">
        <f t="shared" si="114"/>
        <v>2</v>
      </c>
      <c r="C177" s="160" t="str">
        <f t="shared" si="101"/>
        <v>5402</v>
      </c>
      <c r="D177" s="159" t="s">
        <v>81</v>
      </c>
      <c r="E177" s="159">
        <v>2021</v>
      </c>
      <c r="F177" s="162" t="s">
        <v>82</v>
      </c>
      <c r="G177" s="182" t="s">
        <v>301</v>
      </c>
      <c r="H177" s="163" t="str">
        <f t="shared" si="144"/>
        <v>UM</v>
      </c>
      <c r="I177" s="163" t="s">
        <v>148</v>
      </c>
      <c r="J177" s="180" t="s">
        <v>750</v>
      </c>
      <c r="K177" s="163" t="s">
        <v>167</v>
      </c>
      <c r="L177" s="163" t="s">
        <v>147</v>
      </c>
      <c r="M177" s="163" t="str">
        <f t="shared" si="115"/>
        <v>PCV13 vs NoVax</v>
      </c>
      <c r="N177" s="159" t="s">
        <v>368</v>
      </c>
      <c r="O177" s="159">
        <v>3</v>
      </c>
      <c r="P177" s="162" t="s">
        <v>148</v>
      </c>
      <c r="Q177" s="162" t="s">
        <v>149</v>
      </c>
      <c r="R177" s="162" t="s">
        <v>150</v>
      </c>
      <c r="S177" s="162" t="s">
        <v>151</v>
      </c>
      <c r="T177" s="159">
        <v>2019</v>
      </c>
      <c r="U177" s="165">
        <v>3.05</v>
      </c>
      <c r="V177" s="165" t="e">
        <f>IF(ISNUMBER(U177),U177/VLOOKUP($S177,xRates!$A$1:$AA$267,data!$T177-xRates!$B$1+2,FALSE),U177)</f>
        <v>#REF!</v>
      </c>
      <c r="W177" s="162" t="s">
        <v>751</v>
      </c>
      <c r="Y177" s="165"/>
      <c r="AA177" s="163" t="s">
        <v>155</v>
      </c>
      <c r="AB177" s="162"/>
      <c r="AC177" s="162" t="str">
        <f t="shared" si="160"/>
        <v/>
      </c>
      <c r="AD177" s="163" t="s">
        <v>155</v>
      </c>
      <c r="AE177" s="162" t="str">
        <f t="shared" si="161"/>
        <v/>
      </c>
      <c r="AF177" s="163" t="s">
        <v>148</v>
      </c>
      <c r="AG177" s="163" t="s">
        <v>148</v>
      </c>
      <c r="AH177" s="163" t="s">
        <v>155</v>
      </c>
      <c r="AJ177" s="162"/>
      <c r="AK177" s="162" t="s">
        <v>755</v>
      </c>
      <c r="AL177" s="163" t="s">
        <v>152</v>
      </c>
      <c r="AM177" s="179">
        <v>254</v>
      </c>
      <c r="AN177" s="179">
        <f t="shared" si="162"/>
        <v>254</v>
      </c>
      <c r="AO177" s="179">
        <f t="shared" si="145"/>
        <v>4151.2</v>
      </c>
      <c r="AP177" s="163" t="str">
        <f t="shared" si="128"/>
        <v>Cost-Effective</v>
      </c>
      <c r="AQ177" s="163" t="str">
        <f t="shared" si="102"/>
        <v>Cost-Effective</v>
      </c>
      <c r="AR177" s="167">
        <f t="shared" si="100"/>
        <v>6.1187126613991137E-2</v>
      </c>
      <c r="AS177" s="167">
        <f t="shared" si="134"/>
        <v>0.23</v>
      </c>
      <c r="AT177" s="159" t="str">
        <f t="shared" si="116"/>
        <v>Cost-Effective</v>
      </c>
      <c r="AU177" s="167">
        <f t="shared" si="135"/>
        <v>0.16</v>
      </c>
      <c r="AV177" s="162" t="str">
        <f t="shared" si="117"/>
        <v>Cost-Effective</v>
      </c>
      <c r="AW177" s="167">
        <f t="shared" si="136"/>
        <v>0.49571178772655361</v>
      </c>
      <c r="AX177" s="159" t="str">
        <f t="shared" si="118"/>
        <v>Cost-Effective</v>
      </c>
      <c r="AY177" s="167">
        <f t="shared" si="137"/>
        <v>0.13100557883926836</v>
      </c>
      <c r="AZ177" s="159" t="str">
        <f t="shared" si="119"/>
        <v>Cost-Effective</v>
      </c>
      <c r="BA177" s="167">
        <f t="shared" si="138"/>
        <v>0.46974368857197923</v>
      </c>
      <c r="BB177" s="159" t="str">
        <f t="shared" si="120"/>
        <v>Cost-Effective</v>
      </c>
      <c r="BC177" s="167">
        <f t="shared" si="139"/>
        <v>0.19464251300828678</v>
      </c>
      <c r="BD177" s="159" t="str">
        <f t="shared" si="121"/>
        <v>Cost-Effective</v>
      </c>
      <c r="BE177" s="162" t="s">
        <v>153</v>
      </c>
      <c r="BF177" s="162" t="s">
        <v>382</v>
      </c>
      <c r="BG177" s="168">
        <f t="shared" si="140"/>
        <v>0</v>
      </c>
      <c r="BH177" s="168">
        <f t="shared" si="141"/>
        <v>0</v>
      </c>
      <c r="BI177" s="163">
        <f t="shared" si="142"/>
        <v>0</v>
      </c>
      <c r="BJ177" s="163">
        <f t="shared" si="143"/>
        <v>0</v>
      </c>
      <c r="BK177" s="163">
        <f t="shared" si="122"/>
        <v>0</v>
      </c>
      <c r="BL177" s="163">
        <f t="shared" si="123"/>
        <v>0</v>
      </c>
      <c r="BM177" s="163">
        <f t="shared" si="124"/>
        <v>0</v>
      </c>
      <c r="BN177" s="163" t="s">
        <v>148</v>
      </c>
      <c r="BP177" s="162" t="s">
        <v>754</v>
      </c>
      <c r="BQ177" s="162" t="s">
        <v>156</v>
      </c>
    </row>
    <row r="178" spans="1:70">
      <c r="A178" s="159">
        <f t="shared" si="113"/>
        <v>54</v>
      </c>
      <c r="B178" s="159">
        <f t="shared" si="114"/>
        <v>3</v>
      </c>
      <c r="C178" s="160" t="str">
        <f t="shared" si="101"/>
        <v>5403</v>
      </c>
      <c r="D178" s="159" t="s">
        <v>81</v>
      </c>
      <c r="E178" s="159">
        <v>2021</v>
      </c>
      <c r="F178" s="162" t="s">
        <v>82</v>
      </c>
      <c r="G178" s="182" t="s">
        <v>301</v>
      </c>
      <c r="H178" s="163" t="str">
        <f t="shared" si="144"/>
        <v>UM</v>
      </c>
      <c r="I178" s="163" t="s">
        <v>148</v>
      </c>
      <c r="J178" s="180" t="s">
        <v>750</v>
      </c>
      <c r="K178" s="163" t="s">
        <v>167</v>
      </c>
      <c r="L178" s="163" t="s">
        <v>147</v>
      </c>
      <c r="M178" s="163" t="str">
        <f t="shared" si="115"/>
        <v>PCV13 vs NoVax</v>
      </c>
      <c r="N178" s="159" t="s">
        <v>368</v>
      </c>
      <c r="O178" s="159">
        <v>3</v>
      </c>
      <c r="P178" s="162" t="s">
        <v>148</v>
      </c>
      <c r="Q178" s="162" t="s">
        <v>756</v>
      </c>
      <c r="R178" s="162" t="s">
        <v>150</v>
      </c>
      <c r="S178" s="162" t="s">
        <v>151</v>
      </c>
      <c r="T178" s="159">
        <v>2019</v>
      </c>
      <c r="U178" s="165">
        <v>3.05</v>
      </c>
      <c r="V178" s="165" t="e">
        <f>IF(ISNUMBER(U178),U178/VLOOKUP($S178,xRates!$A$1:$AA$267,data!$T178-xRates!$B$1+2,FALSE),U178)</f>
        <v>#REF!</v>
      </c>
      <c r="W178" s="162" t="s">
        <v>751</v>
      </c>
      <c r="Y178" s="165"/>
      <c r="AA178" s="163" t="s">
        <v>155</v>
      </c>
      <c r="AB178" s="162"/>
      <c r="AC178" s="162" t="str">
        <f t="shared" si="160"/>
        <v/>
      </c>
      <c r="AD178" s="163" t="s">
        <v>155</v>
      </c>
      <c r="AE178" s="162" t="str">
        <f t="shared" si="161"/>
        <v/>
      </c>
      <c r="AF178" s="163" t="s">
        <v>148</v>
      </c>
      <c r="AG178" s="163" t="s">
        <v>148</v>
      </c>
      <c r="AH178" s="163" t="s">
        <v>155</v>
      </c>
      <c r="AJ178" s="162"/>
      <c r="AK178" s="162" t="s">
        <v>757</v>
      </c>
      <c r="AL178" s="163" t="s">
        <v>152</v>
      </c>
      <c r="AM178" s="179">
        <v>322</v>
      </c>
      <c r="AN178" s="179">
        <f t="shared" si="162"/>
        <v>322</v>
      </c>
      <c r="AO178" s="179">
        <f t="shared" si="145"/>
        <v>4151.2</v>
      </c>
      <c r="AP178" s="163" t="str">
        <f t="shared" si="128"/>
        <v>Cost-Effective</v>
      </c>
      <c r="AQ178" s="163" t="str">
        <f t="shared" si="102"/>
        <v>Cost-Effective</v>
      </c>
      <c r="AR178" s="167">
        <f t="shared" si="100"/>
        <v>7.7567932164193484E-2</v>
      </c>
      <c r="AS178" s="167">
        <f t="shared" si="134"/>
        <v>0.23</v>
      </c>
      <c r="AT178" s="159" t="str">
        <f t="shared" si="116"/>
        <v>Cost-Effective</v>
      </c>
      <c r="AU178" s="167">
        <f t="shared" si="135"/>
        <v>0.16</v>
      </c>
      <c r="AV178" s="162" t="str">
        <f t="shared" si="117"/>
        <v>Cost-Effective</v>
      </c>
      <c r="AW178" s="167">
        <f t="shared" si="136"/>
        <v>0.49571178772655361</v>
      </c>
      <c r="AX178" s="159" t="str">
        <f t="shared" si="118"/>
        <v>Cost-Effective</v>
      </c>
      <c r="AY178" s="167">
        <f t="shared" si="137"/>
        <v>0.13100557883926836</v>
      </c>
      <c r="AZ178" s="159" t="str">
        <f t="shared" si="119"/>
        <v>Cost-Effective</v>
      </c>
      <c r="BA178" s="167">
        <f t="shared" si="138"/>
        <v>0.46974368857197923</v>
      </c>
      <c r="BB178" s="159" t="str">
        <f t="shared" si="120"/>
        <v>Cost-Effective</v>
      </c>
      <c r="BC178" s="167">
        <f t="shared" si="139"/>
        <v>0.19464251300828678</v>
      </c>
      <c r="BD178" s="159" t="str">
        <f t="shared" si="121"/>
        <v>Cost-Effective</v>
      </c>
      <c r="BE178" s="162" t="s">
        <v>153</v>
      </c>
      <c r="BF178" s="162" t="s">
        <v>382</v>
      </c>
      <c r="BG178" s="168">
        <f t="shared" si="140"/>
        <v>0</v>
      </c>
      <c r="BH178" s="168">
        <f t="shared" si="141"/>
        <v>0</v>
      </c>
      <c r="BI178" s="163">
        <f t="shared" si="142"/>
        <v>0</v>
      </c>
      <c r="BJ178" s="163">
        <f t="shared" si="143"/>
        <v>0</v>
      </c>
      <c r="BK178" s="163">
        <f t="shared" si="122"/>
        <v>0</v>
      </c>
      <c r="BL178" s="163">
        <f t="shared" si="123"/>
        <v>0</v>
      </c>
      <c r="BM178" s="163">
        <f t="shared" si="124"/>
        <v>0</v>
      </c>
      <c r="BN178" s="163" t="s">
        <v>148</v>
      </c>
      <c r="BP178" s="162" t="s">
        <v>754</v>
      </c>
      <c r="BQ178" s="162" t="s">
        <v>156</v>
      </c>
    </row>
    <row r="179" spans="1:70">
      <c r="A179" s="159">
        <f t="shared" si="113"/>
        <v>54</v>
      </c>
      <c r="B179" s="159">
        <f t="shared" si="114"/>
        <v>4</v>
      </c>
      <c r="C179" s="160" t="str">
        <f t="shared" si="101"/>
        <v>5404</v>
      </c>
      <c r="D179" s="159" t="s">
        <v>81</v>
      </c>
      <c r="E179" s="159">
        <v>2021</v>
      </c>
      <c r="F179" s="162" t="s">
        <v>82</v>
      </c>
      <c r="G179" s="182" t="s">
        <v>301</v>
      </c>
      <c r="H179" s="163" t="str">
        <f t="shared" si="144"/>
        <v>UM</v>
      </c>
      <c r="I179" s="163" t="s">
        <v>148</v>
      </c>
      <c r="J179" s="180" t="s">
        <v>758</v>
      </c>
      <c r="K179" s="163" t="s">
        <v>167</v>
      </c>
      <c r="L179" s="163" t="s">
        <v>147</v>
      </c>
      <c r="M179" s="163" t="str">
        <f t="shared" si="115"/>
        <v>PCV13 vs NoVax</v>
      </c>
      <c r="N179" s="159" t="s">
        <v>368</v>
      </c>
      <c r="O179" s="159">
        <v>3</v>
      </c>
      <c r="P179" s="162" t="s">
        <v>148</v>
      </c>
      <c r="Q179" s="162" t="s">
        <v>302</v>
      </c>
      <c r="R179" s="162" t="s">
        <v>150</v>
      </c>
      <c r="S179" s="162" t="s">
        <v>151</v>
      </c>
      <c r="T179" s="159">
        <v>2019</v>
      </c>
      <c r="U179" s="165">
        <v>18.899999999999999</v>
      </c>
      <c r="V179" s="165" t="e">
        <f>IF(ISNUMBER(U179),U179/VLOOKUP($S179,xRates!$A$1:$AA$267,data!$T179-xRates!$B$1+2,FALSE),U179)</f>
        <v>#REF!</v>
      </c>
      <c r="W179" s="162" t="s">
        <v>759</v>
      </c>
      <c r="Y179" s="165"/>
      <c r="AA179" s="163" t="s">
        <v>155</v>
      </c>
      <c r="AB179" s="162"/>
      <c r="AC179" s="162" t="str">
        <f t="shared" si="160"/>
        <v/>
      </c>
      <c r="AD179" s="163" t="s">
        <v>155</v>
      </c>
      <c r="AE179" s="162" t="str">
        <f t="shared" si="161"/>
        <v/>
      </c>
      <c r="AF179" s="163" t="s">
        <v>148</v>
      </c>
      <c r="AG179" s="163" t="s">
        <v>148</v>
      </c>
      <c r="AH179" s="163" t="s">
        <v>155</v>
      </c>
      <c r="AJ179" s="162"/>
      <c r="AK179" s="162" t="s">
        <v>760</v>
      </c>
      <c r="AL179" s="163" t="s">
        <v>152</v>
      </c>
      <c r="AM179" s="179">
        <v>447</v>
      </c>
      <c r="AN179" s="179">
        <f t="shared" si="162"/>
        <v>447</v>
      </c>
      <c r="AO179" s="179">
        <f t="shared" si="145"/>
        <v>4151.2</v>
      </c>
      <c r="AP179" s="163" t="str">
        <f t="shared" si="128"/>
        <v>Cost-Effective</v>
      </c>
      <c r="AQ179" s="163" t="str">
        <f t="shared" si="102"/>
        <v>Cost-Effective</v>
      </c>
      <c r="AR179" s="167">
        <f t="shared" si="100"/>
        <v>0.1076797070726537</v>
      </c>
      <c r="AS179" s="167">
        <f t="shared" si="134"/>
        <v>0.23</v>
      </c>
      <c r="AT179" s="159" t="str">
        <f t="shared" si="116"/>
        <v>Cost-Effective</v>
      </c>
      <c r="AU179" s="167">
        <f t="shared" si="135"/>
        <v>0.16</v>
      </c>
      <c r="AV179" s="162" t="str">
        <f t="shared" si="117"/>
        <v>Cost-Effective</v>
      </c>
      <c r="AW179" s="167">
        <f t="shared" si="136"/>
        <v>0.49571178772655361</v>
      </c>
      <c r="AX179" s="159" t="str">
        <f t="shared" si="118"/>
        <v>Cost-Effective</v>
      </c>
      <c r="AY179" s="167">
        <f t="shared" si="137"/>
        <v>0.13100557883926836</v>
      </c>
      <c r="AZ179" s="159" t="str">
        <f t="shared" si="119"/>
        <v>Cost-Effective</v>
      </c>
      <c r="BA179" s="167">
        <f t="shared" si="138"/>
        <v>0.46974368857197923</v>
      </c>
      <c r="BB179" s="159" t="str">
        <f t="shared" si="120"/>
        <v>Cost-Effective</v>
      </c>
      <c r="BC179" s="167">
        <f t="shared" si="139"/>
        <v>0.19464251300828678</v>
      </c>
      <c r="BD179" s="159" t="str">
        <f t="shared" si="121"/>
        <v>Cost-Effective</v>
      </c>
      <c r="BE179" s="162" t="s">
        <v>153</v>
      </c>
      <c r="BF179" s="162" t="s">
        <v>382</v>
      </c>
      <c r="BG179" s="168">
        <f t="shared" si="140"/>
        <v>0</v>
      </c>
      <c r="BH179" s="168">
        <f t="shared" si="141"/>
        <v>0</v>
      </c>
      <c r="BI179" s="163">
        <f t="shared" si="142"/>
        <v>0</v>
      </c>
      <c r="BJ179" s="163">
        <f t="shared" si="143"/>
        <v>0</v>
      </c>
      <c r="BK179" s="163">
        <f t="shared" si="122"/>
        <v>0</v>
      </c>
      <c r="BL179" s="163">
        <f t="shared" si="123"/>
        <v>0</v>
      </c>
      <c r="BM179" s="163">
        <f t="shared" si="124"/>
        <v>0</v>
      </c>
      <c r="BN179" s="163" t="s">
        <v>148</v>
      </c>
      <c r="BO179" s="162" t="s">
        <v>761</v>
      </c>
      <c r="BP179" s="162" t="s">
        <v>754</v>
      </c>
      <c r="BQ179" s="162" t="s">
        <v>156</v>
      </c>
    </row>
    <row r="180" spans="1:70">
      <c r="A180" s="159">
        <f t="shared" si="113"/>
        <v>54</v>
      </c>
      <c r="B180" s="159">
        <f t="shared" si="114"/>
        <v>5</v>
      </c>
      <c r="C180" s="160" t="str">
        <f t="shared" si="101"/>
        <v>5405</v>
      </c>
      <c r="D180" s="159" t="s">
        <v>81</v>
      </c>
      <c r="E180" s="159">
        <v>2021</v>
      </c>
      <c r="F180" s="162" t="s">
        <v>82</v>
      </c>
      <c r="G180" s="182" t="s">
        <v>301</v>
      </c>
      <c r="H180" s="163" t="str">
        <f t="shared" si="144"/>
        <v>UM</v>
      </c>
      <c r="I180" s="163" t="s">
        <v>148</v>
      </c>
      <c r="J180" s="180" t="s">
        <v>758</v>
      </c>
      <c r="K180" s="163" t="s">
        <v>167</v>
      </c>
      <c r="L180" s="163" t="s">
        <v>147</v>
      </c>
      <c r="M180" s="163" t="str">
        <f t="shared" si="115"/>
        <v>PCV13 vs NoVax</v>
      </c>
      <c r="N180" s="159" t="s">
        <v>368</v>
      </c>
      <c r="O180" s="159">
        <v>3</v>
      </c>
      <c r="P180" s="162" t="s">
        <v>148</v>
      </c>
      <c r="Q180" s="162" t="s">
        <v>149</v>
      </c>
      <c r="R180" s="162" t="s">
        <v>150</v>
      </c>
      <c r="S180" s="162" t="s">
        <v>151</v>
      </c>
      <c r="T180" s="159">
        <v>2019</v>
      </c>
      <c r="U180" s="165">
        <v>18.899999999999999</v>
      </c>
      <c r="V180" s="165" t="e">
        <f>IF(ISNUMBER(U180),U180/VLOOKUP($S180,xRates!$A$1:$AA$267,data!$T180-xRates!$B$1+2,FALSE),U180)</f>
        <v>#REF!</v>
      </c>
      <c r="W180" s="162" t="s">
        <v>759</v>
      </c>
      <c r="Y180" s="165"/>
      <c r="AA180" s="163" t="s">
        <v>155</v>
      </c>
      <c r="AB180" s="162"/>
      <c r="AC180" s="162" t="str">
        <f t="shared" si="160"/>
        <v/>
      </c>
      <c r="AD180" s="163" t="s">
        <v>155</v>
      </c>
      <c r="AE180" s="162" t="str">
        <f t="shared" si="161"/>
        <v/>
      </c>
      <c r="AF180" s="163" t="s">
        <v>148</v>
      </c>
      <c r="AG180" s="163" t="s">
        <v>148</v>
      </c>
      <c r="AH180" s="163" t="s">
        <v>155</v>
      </c>
      <c r="AJ180" s="162"/>
      <c r="AK180" s="162" t="s">
        <v>762</v>
      </c>
      <c r="AL180" s="163" t="s">
        <v>152</v>
      </c>
      <c r="AM180" s="179">
        <v>539</v>
      </c>
      <c r="AN180" s="179">
        <f t="shared" si="162"/>
        <v>539</v>
      </c>
      <c r="AO180" s="179">
        <f t="shared" si="145"/>
        <v>4151.2</v>
      </c>
      <c r="AP180" s="163" t="str">
        <f t="shared" si="128"/>
        <v>Cost-Effective</v>
      </c>
      <c r="AQ180" s="163" t="str">
        <f t="shared" si="102"/>
        <v>Cost-Effective</v>
      </c>
      <c r="AR180" s="167">
        <f t="shared" si="100"/>
        <v>0.12984197340528042</v>
      </c>
      <c r="AS180" s="167">
        <f t="shared" si="134"/>
        <v>0.23</v>
      </c>
      <c r="AT180" s="159" t="str">
        <f t="shared" si="116"/>
        <v>Cost-Effective</v>
      </c>
      <c r="AU180" s="167">
        <f t="shared" si="135"/>
        <v>0.16</v>
      </c>
      <c r="AV180" s="162" t="str">
        <f t="shared" si="117"/>
        <v>Cost-Effective</v>
      </c>
      <c r="AW180" s="167">
        <f t="shared" si="136"/>
        <v>0.49571178772655361</v>
      </c>
      <c r="AX180" s="159" t="str">
        <f t="shared" si="118"/>
        <v>Cost-Effective</v>
      </c>
      <c r="AY180" s="167">
        <f t="shared" si="137"/>
        <v>0.13100557883926836</v>
      </c>
      <c r="AZ180" s="159" t="str">
        <f t="shared" si="119"/>
        <v>Cost-Effective</v>
      </c>
      <c r="BA180" s="167">
        <f t="shared" si="138"/>
        <v>0.46974368857197923</v>
      </c>
      <c r="BB180" s="159" t="str">
        <f t="shared" si="120"/>
        <v>Cost-Effective</v>
      </c>
      <c r="BC180" s="167">
        <f t="shared" si="139"/>
        <v>0.19464251300828678</v>
      </c>
      <c r="BD180" s="159" t="str">
        <f t="shared" si="121"/>
        <v>Cost-Effective</v>
      </c>
      <c r="BE180" s="162" t="s">
        <v>153</v>
      </c>
      <c r="BF180" s="162" t="s">
        <v>382</v>
      </c>
      <c r="BG180" s="168">
        <f t="shared" si="140"/>
        <v>0</v>
      </c>
      <c r="BH180" s="168">
        <f t="shared" si="141"/>
        <v>0</v>
      </c>
      <c r="BI180" s="163">
        <f t="shared" si="142"/>
        <v>0</v>
      </c>
      <c r="BJ180" s="163">
        <f t="shared" si="143"/>
        <v>0</v>
      </c>
      <c r="BK180" s="163">
        <f t="shared" si="122"/>
        <v>0</v>
      </c>
      <c r="BL180" s="163">
        <f t="shared" si="123"/>
        <v>0</v>
      </c>
      <c r="BM180" s="163">
        <f t="shared" si="124"/>
        <v>0</v>
      </c>
      <c r="BN180" s="163" t="s">
        <v>148</v>
      </c>
      <c r="BP180" s="162" t="s">
        <v>754</v>
      </c>
      <c r="BQ180" s="162" t="s">
        <v>156</v>
      </c>
    </row>
    <row r="181" spans="1:70">
      <c r="A181" s="159">
        <f t="shared" si="113"/>
        <v>54</v>
      </c>
      <c r="B181" s="159">
        <f t="shared" si="114"/>
        <v>6</v>
      </c>
      <c r="C181" s="160" t="str">
        <f t="shared" si="101"/>
        <v>5406</v>
      </c>
      <c r="D181" s="159" t="s">
        <v>81</v>
      </c>
      <c r="E181" s="159">
        <v>2021</v>
      </c>
      <c r="F181" s="162" t="s">
        <v>82</v>
      </c>
      <c r="G181" s="182" t="s">
        <v>301</v>
      </c>
      <c r="H181" s="163" t="str">
        <f t="shared" si="144"/>
        <v>UM</v>
      </c>
      <c r="I181" s="163" t="s">
        <v>148</v>
      </c>
      <c r="J181" s="180" t="s">
        <v>758</v>
      </c>
      <c r="K181" s="163" t="s">
        <v>167</v>
      </c>
      <c r="L181" s="163" t="s">
        <v>147</v>
      </c>
      <c r="M181" s="163" t="str">
        <f t="shared" si="115"/>
        <v>PCV13 vs NoVax</v>
      </c>
      <c r="N181" s="159" t="s">
        <v>368</v>
      </c>
      <c r="O181" s="159">
        <v>3</v>
      </c>
      <c r="P181" s="162" t="s">
        <v>148</v>
      </c>
      <c r="Q181" s="162" t="s">
        <v>756</v>
      </c>
      <c r="R181" s="162" t="s">
        <v>150</v>
      </c>
      <c r="S181" s="162" t="s">
        <v>151</v>
      </c>
      <c r="T181" s="159">
        <v>2019</v>
      </c>
      <c r="U181" s="165">
        <v>18.899999999999999</v>
      </c>
      <c r="V181" s="165" t="e">
        <f>IF(ISNUMBER(U181),U181/VLOOKUP($S181,xRates!$A$1:$AA$267,data!$T181-xRates!$B$1+2,FALSE),U181)</f>
        <v>#REF!</v>
      </c>
      <c r="W181" s="162" t="s">
        <v>759</v>
      </c>
      <c r="Y181" s="165"/>
      <c r="AA181" s="163" t="s">
        <v>155</v>
      </c>
      <c r="AB181" s="162"/>
      <c r="AC181" s="162" t="str">
        <f t="shared" si="160"/>
        <v/>
      </c>
      <c r="AD181" s="163" t="s">
        <v>155</v>
      </c>
      <c r="AE181" s="162" t="str">
        <f t="shared" si="161"/>
        <v/>
      </c>
      <c r="AF181" s="163" t="s">
        <v>148</v>
      </c>
      <c r="AG181" s="163" t="s">
        <v>148</v>
      </c>
      <c r="AH181" s="163" t="s">
        <v>155</v>
      </c>
      <c r="AJ181" s="162"/>
      <c r="AK181" s="162" t="s">
        <v>763</v>
      </c>
      <c r="AL181" s="163" t="s">
        <v>152</v>
      </c>
      <c r="AM181" s="179">
        <v>607</v>
      </c>
      <c r="AN181" s="179">
        <f t="shared" si="162"/>
        <v>607</v>
      </c>
      <c r="AO181" s="179">
        <f t="shared" si="145"/>
        <v>4151.2</v>
      </c>
      <c r="AP181" s="163" t="str">
        <f t="shared" si="128"/>
        <v>Cost-Effective</v>
      </c>
      <c r="AQ181" s="163" t="str">
        <f t="shared" si="102"/>
        <v>Cost-Effective</v>
      </c>
      <c r="AR181" s="167">
        <f t="shared" si="100"/>
        <v>0.14622277895548275</v>
      </c>
      <c r="AS181" s="167">
        <f t="shared" si="134"/>
        <v>0.23</v>
      </c>
      <c r="AT181" s="159" t="str">
        <f t="shared" si="116"/>
        <v>Cost-Effective</v>
      </c>
      <c r="AU181" s="167">
        <f t="shared" si="135"/>
        <v>0.16</v>
      </c>
      <c r="AV181" s="162" t="str">
        <f t="shared" si="117"/>
        <v>Cost-Effective</v>
      </c>
      <c r="AW181" s="167">
        <f t="shared" si="136"/>
        <v>0.49571178772655361</v>
      </c>
      <c r="AX181" s="159" t="str">
        <f t="shared" si="118"/>
        <v>Cost-Effective</v>
      </c>
      <c r="AY181" s="167">
        <f t="shared" si="137"/>
        <v>0.13100557883926836</v>
      </c>
      <c r="AZ181" s="159" t="str">
        <f t="shared" si="119"/>
        <v>Not Cost-Effective</v>
      </c>
      <c r="BA181" s="167">
        <f t="shared" si="138"/>
        <v>0.46974368857197923</v>
      </c>
      <c r="BB181" s="159" t="str">
        <f t="shared" si="120"/>
        <v>Cost-Effective</v>
      </c>
      <c r="BC181" s="167">
        <f t="shared" si="139"/>
        <v>0.19464251300828678</v>
      </c>
      <c r="BD181" s="159" t="str">
        <f t="shared" si="121"/>
        <v>Cost-Effective</v>
      </c>
      <c r="BE181" s="162" t="s">
        <v>153</v>
      </c>
      <c r="BF181" s="162" t="s">
        <v>382</v>
      </c>
      <c r="BG181" s="168">
        <f t="shared" si="140"/>
        <v>0</v>
      </c>
      <c r="BH181" s="168">
        <f t="shared" si="141"/>
        <v>0</v>
      </c>
      <c r="BI181" s="163">
        <f t="shared" si="142"/>
        <v>1</v>
      </c>
      <c r="BJ181" s="163">
        <f t="shared" si="143"/>
        <v>0</v>
      </c>
      <c r="BK181" s="163">
        <f t="shared" si="122"/>
        <v>0</v>
      </c>
      <c r="BL181" s="163">
        <f t="shared" si="123"/>
        <v>0</v>
      </c>
      <c r="BM181" s="163">
        <f t="shared" si="124"/>
        <v>1</v>
      </c>
      <c r="BN181" s="163" t="s">
        <v>148</v>
      </c>
      <c r="BP181" s="162" t="s">
        <v>754</v>
      </c>
      <c r="BQ181" s="162" t="s">
        <v>156</v>
      </c>
    </row>
    <row r="182" spans="1:70">
      <c r="A182" s="159">
        <f t="shared" si="113"/>
        <v>54</v>
      </c>
      <c r="B182" s="159">
        <f t="shared" si="114"/>
        <v>7</v>
      </c>
      <c r="C182" s="160" t="str">
        <f t="shared" si="101"/>
        <v>5407</v>
      </c>
      <c r="D182" s="159" t="s">
        <v>81</v>
      </c>
      <c r="E182" s="159">
        <v>2021</v>
      </c>
      <c r="F182" s="162" t="s">
        <v>82</v>
      </c>
      <c r="G182" s="182" t="s">
        <v>301</v>
      </c>
      <c r="H182" s="163" t="str">
        <f t="shared" si="144"/>
        <v>UM</v>
      </c>
      <c r="I182" s="163" t="s">
        <v>148</v>
      </c>
      <c r="J182" s="180" t="s">
        <v>764</v>
      </c>
      <c r="K182" s="163" t="s">
        <v>166</v>
      </c>
      <c r="L182" s="163" t="s">
        <v>147</v>
      </c>
      <c r="M182" s="163" t="str">
        <f t="shared" si="115"/>
        <v>PCV10 vs NoVax</v>
      </c>
      <c r="N182" s="159" t="s">
        <v>368</v>
      </c>
      <c r="O182" s="159">
        <v>3</v>
      </c>
      <c r="P182" s="162" t="s">
        <v>148</v>
      </c>
      <c r="Q182" s="162" t="s">
        <v>302</v>
      </c>
      <c r="R182" s="162" t="s">
        <v>150</v>
      </c>
      <c r="S182" s="162" t="s">
        <v>151</v>
      </c>
      <c r="T182" s="159">
        <v>2019</v>
      </c>
      <c r="U182" s="165">
        <v>3.3</v>
      </c>
      <c r="V182" s="165" t="e">
        <f>IF(ISNUMBER(U182),U182/VLOOKUP($S182,xRates!$A$1:$AA$267,data!$T182-xRates!$B$1+2,FALSE),U182)</f>
        <v>#REF!</v>
      </c>
      <c r="W182" s="162" t="s">
        <v>751</v>
      </c>
      <c r="Y182" s="165"/>
      <c r="AA182" s="163" t="s">
        <v>155</v>
      </c>
      <c r="AB182" s="162"/>
      <c r="AC182" s="162" t="str">
        <f t="shared" si="160"/>
        <v/>
      </c>
      <c r="AD182" s="163" t="s">
        <v>155</v>
      </c>
      <c r="AE182" s="162" t="str">
        <f t="shared" si="161"/>
        <v/>
      </c>
      <c r="AF182" s="163" t="s">
        <v>148</v>
      </c>
      <c r="AG182" s="163" t="s">
        <v>148</v>
      </c>
      <c r="AH182" s="163" t="s">
        <v>155</v>
      </c>
      <c r="AJ182" s="162"/>
      <c r="AK182" s="162" t="s">
        <v>765</v>
      </c>
      <c r="AL182" s="163" t="s">
        <v>152</v>
      </c>
      <c r="AM182" s="179">
        <v>718</v>
      </c>
      <c r="AN182" s="179">
        <f t="shared" si="162"/>
        <v>718</v>
      </c>
      <c r="AO182" s="179">
        <f t="shared" si="145"/>
        <v>4151.2</v>
      </c>
      <c r="AP182" s="163" t="str">
        <f t="shared" si="128"/>
        <v>Cost-Effective</v>
      </c>
      <c r="AQ182" s="163" t="str">
        <f t="shared" si="102"/>
        <v>Cost-Effective</v>
      </c>
      <c r="AR182" s="167">
        <f t="shared" si="100"/>
        <v>0.17296203507419541</v>
      </c>
      <c r="AS182" s="167">
        <f t="shared" si="134"/>
        <v>0.23</v>
      </c>
      <c r="AT182" s="159" t="str">
        <f t="shared" si="116"/>
        <v>Cost-Effective</v>
      </c>
      <c r="AU182" s="167">
        <f t="shared" si="135"/>
        <v>0.16</v>
      </c>
      <c r="AV182" s="162" t="str">
        <f t="shared" si="117"/>
        <v>Not Cost-Effective</v>
      </c>
      <c r="AW182" s="167">
        <f t="shared" si="136"/>
        <v>0.49571178772655361</v>
      </c>
      <c r="AX182" s="159" t="str">
        <f t="shared" si="118"/>
        <v>Cost-Effective</v>
      </c>
      <c r="AY182" s="167">
        <f t="shared" si="137"/>
        <v>0.13100557883926836</v>
      </c>
      <c r="AZ182" s="159" t="str">
        <f t="shared" si="119"/>
        <v>Not Cost-Effective</v>
      </c>
      <c r="BA182" s="167">
        <f t="shared" si="138"/>
        <v>0.46974368857197923</v>
      </c>
      <c r="BB182" s="159" t="str">
        <f t="shared" si="120"/>
        <v>Cost-Effective</v>
      </c>
      <c r="BC182" s="167">
        <f t="shared" si="139"/>
        <v>0.19464251300828678</v>
      </c>
      <c r="BD182" s="159" t="str">
        <f t="shared" si="121"/>
        <v>Cost-Effective</v>
      </c>
      <c r="BE182" s="162" t="s">
        <v>153</v>
      </c>
      <c r="BF182" s="162" t="s">
        <v>382</v>
      </c>
      <c r="BG182" s="168">
        <f t="shared" si="140"/>
        <v>1</v>
      </c>
      <c r="BH182" s="168">
        <f t="shared" si="141"/>
        <v>0</v>
      </c>
      <c r="BI182" s="163">
        <f t="shared" si="142"/>
        <v>1</v>
      </c>
      <c r="BJ182" s="163">
        <f t="shared" si="143"/>
        <v>0</v>
      </c>
      <c r="BK182" s="163">
        <f t="shared" si="122"/>
        <v>0</v>
      </c>
      <c r="BL182" s="163">
        <f t="shared" si="123"/>
        <v>0</v>
      </c>
      <c r="BM182" s="163">
        <f t="shared" si="124"/>
        <v>2</v>
      </c>
      <c r="BN182" s="163" t="s">
        <v>148</v>
      </c>
      <c r="BO182" s="162" t="s">
        <v>385</v>
      </c>
      <c r="BP182" s="162" t="s">
        <v>754</v>
      </c>
      <c r="BQ182" s="162" t="s">
        <v>156</v>
      </c>
    </row>
    <row r="183" spans="1:70">
      <c r="A183" s="159">
        <f t="shared" si="113"/>
        <v>54</v>
      </c>
      <c r="B183" s="159">
        <f t="shared" si="114"/>
        <v>8</v>
      </c>
      <c r="C183" s="160" t="str">
        <f t="shared" si="101"/>
        <v>5408</v>
      </c>
      <c r="D183" s="159" t="s">
        <v>81</v>
      </c>
      <c r="E183" s="159">
        <v>2021</v>
      </c>
      <c r="F183" s="162" t="s">
        <v>82</v>
      </c>
      <c r="G183" s="182" t="s">
        <v>301</v>
      </c>
      <c r="H183" s="163" t="str">
        <f t="shared" si="144"/>
        <v>UM</v>
      </c>
      <c r="I183" s="163" t="s">
        <v>148</v>
      </c>
      <c r="J183" s="180" t="s">
        <v>764</v>
      </c>
      <c r="K183" s="163" t="s">
        <v>166</v>
      </c>
      <c r="L183" s="163" t="s">
        <v>147</v>
      </c>
      <c r="M183" s="163" t="str">
        <f t="shared" si="115"/>
        <v>PCV10 vs NoVax</v>
      </c>
      <c r="N183" s="159" t="s">
        <v>368</v>
      </c>
      <c r="O183" s="159">
        <v>3</v>
      </c>
      <c r="P183" s="162" t="s">
        <v>148</v>
      </c>
      <c r="Q183" s="162" t="s">
        <v>149</v>
      </c>
      <c r="R183" s="162" t="s">
        <v>150</v>
      </c>
      <c r="S183" s="162" t="s">
        <v>151</v>
      </c>
      <c r="T183" s="159">
        <v>2019</v>
      </c>
      <c r="U183" s="165">
        <v>3.3</v>
      </c>
      <c r="V183" s="165" t="e">
        <f>IF(ISNUMBER(U183),U183/VLOOKUP($S183,xRates!$A$1:$AA$267,data!$T183-xRates!$B$1+2,FALSE),U183)</f>
        <v>#REF!</v>
      </c>
      <c r="W183" s="162" t="s">
        <v>751</v>
      </c>
      <c r="Y183" s="165"/>
      <c r="AA183" s="163" t="s">
        <v>155</v>
      </c>
      <c r="AB183" s="162"/>
      <c r="AC183" s="162" t="str">
        <f t="shared" si="160"/>
        <v/>
      </c>
      <c r="AD183" s="163" t="s">
        <v>155</v>
      </c>
      <c r="AE183" s="162" t="str">
        <f t="shared" si="161"/>
        <v/>
      </c>
      <c r="AF183" s="163" t="s">
        <v>148</v>
      </c>
      <c r="AG183" s="163" t="s">
        <v>148</v>
      </c>
      <c r="AH183" s="163" t="s">
        <v>155</v>
      </c>
      <c r="AJ183" s="162"/>
      <c r="AK183" s="162" t="s">
        <v>766</v>
      </c>
      <c r="AL183" s="163" t="s">
        <v>152</v>
      </c>
      <c r="AM183" s="179">
        <v>810</v>
      </c>
      <c r="AN183" s="179">
        <f t="shared" si="162"/>
        <v>810</v>
      </c>
      <c r="AO183" s="179">
        <f t="shared" si="145"/>
        <v>4151.2</v>
      </c>
      <c r="AP183" s="163" t="str">
        <f t="shared" si="128"/>
        <v>Cost-Effective</v>
      </c>
      <c r="AQ183" s="163" t="str">
        <f t="shared" si="102"/>
        <v>Cost-Effective</v>
      </c>
      <c r="AR183" s="167">
        <f t="shared" si="100"/>
        <v>0.19512430140682213</v>
      </c>
      <c r="AS183" s="167">
        <f t="shared" si="134"/>
        <v>0.23</v>
      </c>
      <c r="AT183" s="159" t="str">
        <f t="shared" si="116"/>
        <v>Cost-Effective</v>
      </c>
      <c r="AU183" s="167">
        <f t="shared" si="135"/>
        <v>0.16</v>
      </c>
      <c r="AV183" s="162" t="str">
        <f t="shared" si="117"/>
        <v>Not Cost-Effective</v>
      </c>
      <c r="AW183" s="167">
        <f t="shared" si="136"/>
        <v>0.49571178772655361</v>
      </c>
      <c r="AX183" s="159" t="str">
        <f t="shared" si="118"/>
        <v>Cost-Effective</v>
      </c>
      <c r="AY183" s="167">
        <f t="shared" si="137"/>
        <v>0.13100557883926836</v>
      </c>
      <c r="AZ183" s="159" t="str">
        <f t="shared" si="119"/>
        <v>Not Cost-Effective</v>
      </c>
      <c r="BA183" s="167">
        <f t="shared" si="138"/>
        <v>0.46974368857197923</v>
      </c>
      <c r="BB183" s="159" t="str">
        <f t="shared" si="120"/>
        <v>Cost-Effective</v>
      </c>
      <c r="BC183" s="167">
        <f t="shared" si="139"/>
        <v>0.19464251300828678</v>
      </c>
      <c r="BD183" s="159" t="str">
        <f t="shared" si="121"/>
        <v>Not Cost-Effective</v>
      </c>
      <c r="BE183" s="162" t="s">
        <v>153</v>
      </c>
      <c r="BF183" s="162" t="s">
        <v>382</v>
      </c>
      <c r="BG183" s="168">
        <f t="shared" si="140"/>
        <v>1</v>
      </c>
      <c r="BH183" s="168">
        <f t="shared" si="141"/>
        <v>0</v>
      </c>
      <c r="BI183" s="163">
        <f t="shared" si="142"/>
        <v>1</v>
      </c>
      <c r="BJ183" s="163">
        <f t="shared" si="143"/>
        <v>0</v>
      </c>
      <c r="BK183" s="163">
        <f t="shared" si="122"/>
        <v>1</v>
      </c>
      <c r="BL183" s="163">
        <f t="shared" si="123"/>
        <v>0</v>
      </c>
      <c r="BM183" s="163">
        <f t="shared" si="124"/>
        <v>3</v>
      </c>
      <c r="BN183" s="163" t="s">
        <v>148</v>
      </c>
      <c r="BO183" s="162" t="s">
        <v>385</v>
      </c>
      <c r="BP183" s="162" t="s">
        <v>754</v>
      </c>
      <c r="BQ183" s="162" t="s">
        <v>156</v>
      </c>
    </row>
    <row r="184" spans="1:70">
      <c r="A184" s="159">
        <f t="shared" si="113"/>
        <v>54</v>
      </c>
      <c r="B184" s="159">
        <f t="shared" si="114"/>
        <v>9</v>
      </c>
      <c r="C184" s="160" t="str">
        <f t="shared" si="101"/>
        <v>5409</v>
      </c>
      <c r="D184" s="159" t="s">
        <v>81</v>
      </c>
      <c r="E184" s="159">
        <v>2021</v>
      </c>
      <c r="F184" s="162" t="s">
        <v>82</v>
      </c>
      <c r="G184" s="182" t="s">
        <v>301</v>
      </c>
      <c r="H184" s="163" t="str">
        <f t="shared" si="144"/>
        <v>UM</v>
      </c>
      <c r="I184" s="163" t="s">
        <v>148</v>
      </c>
      <c r="J184" s="180" t="s">
        <v>764</v>
      </c>
      <c r="K184" s="163" t="s">
        <v>166</v>
      </c>
      <c r="L184" s="163" t="s">
        <v>147</v>
      </c>
      <c r="M184" s="163" t="str">
        <f t="shared" si="115"/>
        <v>PCV10 vs NoVax</v>
      </c>
      <c r="N184" s="159" t="s">
        <v>368</v>
      </c>
      <c r="O184" s="159">
        <v>3</v>
      </c>
      <c r="P184" s="162" t="s">
        <v>148</v>
      </c>
      <c r="Q184" s="162" t="s">
        <v>756</v>
      </c>
      <c r="R184" s="162" t="s">
        <v>150</v>
      </c>
      <c r="S184" s="162" t="s">
        <v>151</v>
      </c>
      <c r="T184" s="159">
        <v>2019</v>
      </c>
      <c r="U184" s="165">
        <v>3.3</v>
      </c>
      <c r="V184" s="165" t="e">
        <f>IF(ISNUMBER(U184),U184/VLOOKUP($S184,xRates!$A$1:$AA$267,data!$T184-xRates!$B$1+2,FALSE),U184)</f>
        <v>#REF!</v>
      </c>
      <c r="W184" s="162" t="s">
        <v>751</v>
      </c>
      <c r="Y184" s="165"/>
      <c r="AA184" s="163" t="s">
        <v>155</v>
      </c>
      <c r="AB184" s="162"/>
      <c r="AC184" s="162" t="str">
        <f t="shared" si="160"/>
        <v/>
      </c>
      <c r="AD184" s="163" t="s">
        <v>155</v>
      </c>
      <c r="AE184" s="162" t="str">
        <f t="shared" si="161"/>
        <v/>
      </c>
      <c r="AF184" s="163" t="s">
        <v>148</v>
      </c>
      <c r="AG184" s="163" t="s">
        <v>148</v>
      </c>
      <c r="AH184" s="163" t="s">
        <v>155</v>
      </c>
      <c r="AJ184" s="162"/>
      <c r="AK184" s="162" t="s">
        <v>767</v>
      </c>
      <c r="AL184" s="163" t="s">
        <v>152</v>
      </c>
      <c r="AM184" s="179">
        <v>978</v>
      </c>
      <c r="AN184" s="179">
        <f t="shared" si="162"/>
        <v>978</v>
      </c>
      <c r="AO184" s="179">
        <f t="shared" si="145"/>
        <v>4151.2</v>
      </c>
      <c r="AP184" s="163" t="str">
        <f t="shared" si="128"/>
        <v>Cost-Effective</v>
      </c>
      <c r="AQ184" s="163" t="str">
        <f t="shared" si="102"/>
        <v>Cost-Effective</v>
      </c>
      <c r="AR184" s="167">
        <f t="shared" si="100"/>
        <v>0.23559452688379265</v>
      </c>
      <c r="AS184" s="167">
        <f t="shared" si="134"/>
        <v>0.23</v>
      </c>
      <c r="AT184" s="159" t="str">
        <f t="shared" si="116"/>
        <v>Not Cost-Effective</v>
      </c>
      <c r="AU184" s="167">
        <f t="shared" si="135"/>
        <v>0.16</v>
      </c>
      <c r="AV184" s="162" t="str">
        <f t="shared" si="117"/>
        <v>Not Cost-Effective</v>
      </c>
      <c r="AW184" s="167">
        <f t="shared" si="136"/>
        <v>0.49571178772655361</v>
      </c>
      <c r="AX184" s="159" t="str">
        <f t="shared" si="118"/>
        <v>Cost-Effective</v>
      </c>
      <c r="AY184" s="167">
        <f t="shared" si="137"/>
        <v>0.13100557883926836</v>
      </c>
      <c r="AZ184" s="159" t="str">
        <f t="shared" si="119"/>
        <v>Not Cost-Effective</v>
      </c>
      <c r="BA184" s="167">
        <f t="shared" si="138"/>
        <v>0.46974368857197923</v>
      </c>
      <c r="BB184" s="159" t="str">
        <f t="shared" si="120"/>
        <v>Cost-Effective</v>
      </c>
      <c r="BC184" s="167">
        <f t="shared" si="139"/>
        <v>0.19464251300828678</v>
      </c>
      <c r="BD184" s="159" t="str">
        <f t="shared" si="121"/>
        <v>Not Cost-Effective</v>
      </c>
      <c r="BE184" s="162" t="s">
        <v>153</v>
      </c>
      <c r="BF184" s="162" t="s">
        <v>382</v>
      </c>
      <c r="BG184" s="168">
        <f t="shared" si="140"/>
        <v>1</v>
      </c>
      <c r="BH184" s="168">
        <f t="shared" si="141"/>
        <v>1</v>
      </c>
      <c r="BI184" s="163">
        <f t="shared" si="142"/>
        <v>1</v>
      </c>
      <c r="BJ184" s="163">
        <f t="shared" si="143"/>
        <v>0</v>
      </c>
      <c r="BK184" s="163">
        <f t="shared" si="122"/>
        <v>1</v>
      </c>
      <c r="BL184" s="163">
        <f t="shared" si="123"/>
        <v>0</v>
      </c>
      <c r="BM184" s="163">
        <f t="shared" si="124"/>
        <v>4</v>
      </c>
      <c r="BN184" s="163" t="s">
        <v>148</v>
      </c>
      <c r="BO184" s="162" t="s">
        <v>385</v>
      </c>
      <c r="BP184" s="162" t="s">
        <v>754</v>
      </c>
      <c r="BQ184" s="162" t="s">
        <v>156</v>
      </c>
    </row>
    <row r="185" spans="1:70">
      <c r="A185" s="159">
        <f t="shared" si="113"/>
        <v>54</v>
      </c>
      <c r="B185" s="159">
        <f t="shared" si="114"/>
        <v>10</v>
      </c>
      <c r="C185" s="160" t="str">
        <f t="shared" si="101"/>
        <v>5410</v>
      </c>
      <c r="D185" s="159" t="s">
        <v>81</v>
      </c>
      <c r="E185" s="159">
        <v>2021</v>
      </c>
      <c r="F185" s="162" t="s">
        <v>82</v>
      </c>
      <c r="G185" s="182" t="s">
        <v>301</v>
      </c>
      <c r="H185" s="163" t="str">
        <f t="shared" si="144"/>
        <v>UM</v>
      </c>
      <c r="I185" s="163" t="s">
        <v>148</v>
      </c>
      <c r="J185" s="180" t="s">
        <v>768</v>
      </c>
      <c r="K185" s="163" t="s">
        <v>166</v>
      </c>
      <c r="L185" s="163" t="s">
        <v>147</v>
      </c>
      <c r="M185" s="163" t="str">
        <f t="shared" si="115"/>
        <v>PCV10 vs NoVax</v>
      </c>
      <c r="N185" s="159" t="s">
        <v>368</v>
      </c>
      <c r="O185" s="159">
        <v>3</v>
      </c>
      <c r="P185" s="162" t="s">
        <v>148</v>
      </c>
      <c r="Q185" s="162" t="s">
        <v>302</v>
      </c>
      <c r="R185" s="162" t="s">
        <v>150</v>
      </c>
      <c r="S185" s="162" t="s">
        <v>151</v>
      </c>
      <c r="T185" s="159">
        <v>2019</v>
      </c>
      <c r="U185" s="165">
        <v>17.45</v>
      </c>
      <c r="V185" s="165" t="e">
        <f>IF(ISNUMBER(U185),U185/VLOOKUP($S185,xRates!$A$1:$AA$267,data!$T185-xRates!$B$1+2,FALSE),U185)</f>
        <v>#REF!</v>
      </c>
      <c r="W185" s="162" t="s">
        <v>759</v>
      </c>
      <c r="Y185" s="165"/>
      <c r="AA185" s="163" t="s">
        <v>155</v>
      </c>
      <c r="AB185" s="162"/>
      <c r="AC185" s="162" t="str">
        <f t="shared" si="160"/>
        <v/>
      </c>
      <c r="AD185" s="163" t="s">
        <v>155</v>
      </c>
      <c r="AE185" s="162" t="str">
        <f t="shared" si="161"/>
        <v/>
      </c>
      <c r="AF185" s="163" t="s">
        <v>148</v>
      </c>
      <c r="AG185" s="163" t="s">
        <v>148</v>
      </c>
      <c r="AH185" s="163" t="s">
        <v>155</v>
      </c>
      <c r="AJ185" s="162"/>
      <c r="AK185" s="162" t="s">
        <v>769</v>
      </c>
      <c r="AL185" s="163" t="s">
        <v>152</v>
      </c>
      <c r="AM185" s="179">
        <v>1087</v>
      </c>
      <c r="AN185" s="179">
        <f t="shared" si="162"/>
        <v>1087</v>
      </c>
      <c r="AO185" s="179">
        <f t="shared" si="145"/>
        <v>4151.2</v>
      </c>
      <c r="AP185" s="163" t="str">
        <f t="shared" si="128"/>
        <v>Cost-Effective</v>
      </c>
      <c r="AQ185" s="163" t="str">
        <f t="shared" si="102"/>
        <v>Cost-Effective</v>
      </c>
      <c r="AR185" s="167">
        <f t="shared" si="100"/>
        <v>0.26185199460396996</v>
      </c>
      <c r="AS185" s="167">
        <f t="shared" si="134"/>
        <v>0.23</v>
      </c>
      <c r="AT185" s="159" t="str">
        <f t="shared" si="116"/>
        <v>Not Cost-Effective</v>
      </c>
      <c r="AU185" s="167">
        <f t="shared" si="135"/>
        <v>0.16</v>
      </c>
      <c r="AV185" s="162" t="str">
        <f t="shared" si="117"/>
        <v>Not Cost-Effective</v>
      </c>
      <c r="AW185" s="167">
        <f t="shared" si="136"/>
        <v>0.49571178772655361</v>
      </c>
      <c r="AX185" s="159" t="str">
        <f t="shared" si="118"/>
        <v>Cost-Effective</v>
      </c>
      <c r="AY185" s="167">
        <f t="shared" si="137"/>
        <v>0.13100557883926836</v>
      </c>
      <c r="AZ185" s="159" t="str">
        <f t="shared" si="119"/>
        <v>Not Cost-Effective</v>
      </c>
      <c r="BA185" s="167">
        <f t="shared" si="138"/>
        <v>0.46974368857197923</v>
      </c>
      <c r="BB185" s="159" t="str">
        <f t="shared" si="120"/>
        <v>Cost-Effective</v>
      </c>
      <c r="BC185" s="167">
        <f t="shared" si="139"/>
        <v>0.19464251300828678</v>
      </c>
      <c r="BD185" s="159" t="str">
        <f t="shared" si="121"/>
        <v>Not Cost-Effective</v>
      </c>
      <c r="BE185" s="162" t="s">
        <v>153</v>
      </c>
      <c r="BF185" s="162" t="s">
        <v>382</v>
      </c>
      <c r="BG185" s="168">
        <f t="shared" si="140"/>
        <v>1</v>
      </c>
      <c r="BH185" s="168">
        <f t="shared" si="141"/>
        <v>1</v>
      </c>
      <c r="BI185" s="163">
        <f t="shared" si="142"/>
        <v>1</v>
      </c>
      <c r="BJ185" s="163">
        <f t="shared" si="143"/>
        <v>0</v>
      </c>
      <c r="BK185" s="163">
        <f t="shared" si="122"/>
        <v>1</v>
      </c>
      <c r="BL185" s="163">
        <f t="shared" si="123"/>
        <v>0</v>
      </c>
      <c r="BM185" s="163">
        <f t="shared" si="124"/>
        <v>4</v>
      </c>
      <c r="BN185" s="163" t="s">
        <v>148</v>
      </c>
      <c r="BO185" s="162" t="s">
        <v>385</v>
      </c>
      <c r="BP185" s="162" t="s">
        <v>754</v>
      </c>
      <c r="BQ185" s="162" t="s">
        <v>156</v>
      </c>
    </row>
    <row r="186" spans="1:70">
      <c r="A186" s="159">
        <f t="shared" si="113"/>
        <v>54</v>
      </c>
      <c r="B186" s="159">
        <f t="shared" si="114"/>
        <v>11</v>
      </c>
      <c r="C186" s="160" t="str">
        <f t="shared" si="101"/>
        <v>5411</v>
      </c>
      <c r="D186" s="159" t="s">
        <v>81</v>
      </c>
      <c r="E186" s="159">
        <v>2021</v>
      </c>
      <c r="F186" s="162" t="s">
        <v>82</v>
      </c>
      <c r="G186" s="182" t="s">
        <v>301</v>
      </c>
      <c r="H186" s="163" t="str">
        <f t="shared" si="144"/>
        <v>UM</v>
      </c>
      <c r="I186" s="163" t="s">
        <v>148</v>
      </c>
      <c r="J186" s="180" t="s">
        <v>768</v>
      </c>
      <c r="K186" s="163" t="s">
        <v>166</v>
      </c>
      <c r="L186" s="163" t="s">
        <v>147</v>
      </c>
      <c r="M186" s="163" t="str">
        <f t="shared" si="115"/>
        <v>PCV10 vs NoVax</v>
      </c>
      <c r="N186" s="159" t="s">
        <v>368</v>
      </c>
      <c r="O186" s="159">
        <v>3</v>
      </c>
      <c r="P186" s="162" t="s">
        <v>148</v>
      </c>
      <c r="Q186" s="162" t="s">
        <v>149</v>
      </c>
      <c r="R186" s="162" t="s">
        <v>150</v>
      </c>
      <c r="S186" s="162" t="s">
        <v>151</v>
      </c>
      <c r="T186" s="159">
        <v>2019</v>
      </c>
      <c r="U186" s="165">
        <v>17.45</v>
      </c>
      <c r="V186" s="165" t="e">
        <f>IF(ISNUMBER(U186),U186/VLOOKUP($S186,xRates!$A$1:$AA$267,data!$T186-xRates!$B$1+2,FALSE),U186)</f>
        <v>#REF!</v>
      </c>
      <c r="W186" s="162" t="s">
        <v>759</v>
      </c>
      <c r="Y186" s="165"/>
      <c r="AA186" s="163" t="s">
        <v>155</v>
      </c>
      <c r="AB186" s="162"/>
      <c r="AC186" s="162" t="str">
        <f t="shared" si="160"/>
        <v/>
      </c>
      <c r="AD186" s="163" t="s">
        <v>155</v>
      </c>
      <c r="AE186" s="162" t="str">
        <f t="shared" si="161"/>
        <v/>
      </c>
      <c r="AF186" s="163" t="s">
        <v>148</v>
      </c>
      <c r="AG186" s="163" t="s">
        <v>148</v>
      </c>
      <c r="AH186" s="163" t="s">
        <v>155</v>
      </c>
      <c r="AJ186" s="162"/>
      <c r="AK186" s="162" t="s">
        <v>770</v>
      </c>
      <c r="AL186" s="163" t="s">
        <v>152</v>
      </c>
      <c r="AM186" s="179">
        <v>1179</v>
      </c>
      <c r="AN186" s="179">
        <f t="shared" si="162"/>
        <v>1179</v>
      </c>
      <c r="AO186" s="179">
        <f t="shared" si="145"/>
        <v>4151.2</v>
      </c>
      <c r="AP186" s="163" t="str">
        <f t="shared" si="128"/>
        <v>Cost-Effective</v>
      </c>
      <c r="AQ186" s="163" t="str">
        <f t="shared" si="102"/>
        <v>Cost-Effective</v>
      </c>
      <c r="AR186" s="167">
        <f t="shared" si="100"/>
        <v>0.28401426093659665</v>
      </c>
      <c r="AS186" s="167">
        <f t="shared" si="134"/>
        <v>0.23</v>
      </c>
      <c r="AT186" s="159" t="str">
        <f t="shared" si="116"/>
        <v>Not Cost-Effective</v>
      </c>
      <c r="AU186" s="167">
        <f t="shared" si="135"/>
        <v>0.16</v>
      </c>
      <c r="AV186" s="162" t="str">
        <f t="shared" si="117"/>
        <v>Not Cost-Effective</v>
      </c>
      <c r="AW186" s="167">
        <f t="shared" si="136"/>
        <v>0.49571178772655361</v>
      </c>
      <c r="AX186" s="159" t="str">
        <f t="shared" si="118"/>
        <v>Cost-Effective</v>
      </c>
      <c r="AY186" s="167">
        <f t="shared" si="137"/>
        <v>0.13100557883926836</v>
      </c>
      <c r="AZ186" s="159" t="str">
        <f t="shared" si="119"/>
        <v>Not Cost-Effective</v>
      </c>
      <c r="BA186" s="167">
        <f t="shared" si="138"/>
        <v>0.46974368857197923</v>
      </c>
      <c r="BB186" s="159" t="str">
        <f t="shared" si="120"/>
        <v>Cost-Effective</v>
      </c>
      <c r="BC186" s="167">
        <f t="shared" si="139"/>
        <v>0.19464251300828678</v>
      </c>
      <c r="BD186" s="159" t="str">
        <f t="shared" si="121"/>
        <v>Not Cost-Effective</v>
      </c>
      <c r="BE186" s="162" t="s">
        <v>153</v>
      </c>
      <c r="BF186" s="162" t="s">
        <v>382</v>
      </c>
      <c r="BG186" s="168">
        <f t="shared" si="140"/>
        <v>1</v>
      </c>
      <c r="BH186" s="168">
        <f t="shared" si="141"/>
        <v>1</v>
      </c>
      <c r="BI186" s="163">
        <f t="shared" si="142"/>
        <v>1</v>
      </c>
      <c r="BJ186" s="163">
        <f t="shared" si="143"/>
        <v>0</v>
      </c>
      <c r="BK186" s="163">
        <f t="shared" si="122"/>
        <v>1</v>
      </c>
      <c r="BL186" s="163">
        <f t="shared" si="123"/>
        <v>0</v>
      </c>
      <c r="BM186" s="163">
        <f t="shared" si="124"/>
        <v>4</v>
      </c>
      <c r="BN186" s="163" t="s">
        <v>148</v>
      </c>
      <c r="BO186" s="162" t="s">
        <v>385</v>
      </c>
      <c r="BP186" s="162" t="s">
        <v>754</v>
      </c>
      <c r="BQ186" s="162" t="s">
        <v>156</v>
      </c>
    </row>
    <row r="187" spans="1:70">
      <c r="A187" s="159">
        <f t="shared" si="113"/>
        <v>54</v>
      </c>
      <c r="B187" s="159">
        <f t="shared" si="114"/>
        <v>12</v>
      </c>
      <c r="C187" s="160" t="str">
        <f t="shared" si="101"/>
        <v>5412</v>
      </c>
      <c r="D187" s="159" t="s">
        <v>81</v>
      </c>
      <c r="E187" s="159">
        <v>2021</v>
      </c>
      <c r="F187" s="162" t="s">
        <v>82</v>
      </c>
      <c r="G187" s="182" t="s">
        <v>301</v>
      </c>
      <c r="H187" s="163" t="str">
        <f t="shared" si="144"/>
        <v>UM</v>
      </c>
      <c r="I187" s="163" t="s">
        <v>148</v>
      </c>
      <c r="J187" s="180" t="s">
        <v>768</v>
      </c>
      <c r="K187" s="163" t="s">
        <v>166</v>
      </c>
      <c r="L187" s="163" t="s">
        <v>147</v>
      </c>
      <c r="M187" s="163" t="str">
        <f t="shared" si="115"/>
        <v>PCV10 vs NoVax</v>
      </c>
      <c r="N187" s="159" t="s">
        <v>368</v>
      </c>
      <c r="O187" s="159">
        <v>3</v>
      </c>
      <c r="P187" s="162" t="s">
        <v>148</v>
      </c>
      <c r="Q187" s="162" t="s">
        <v>756</v>
      </c>
      <c r="R187" s="162" t="s">
        <v>150</v>
      </c>
      <c r="S187" s="162" t="s">
        <v>151</v>
      </c>
      <c r="T187" s="159">
        <v>2019</v>
      </c>
      <c r="U187" s="165">
        <v>17.45</v>
      </c>
      <c r="V187" s="165" t="e">
        <f>IF(ISNUMBER(U187),U187/VLOOKUP($S187,xRates!$A$1:$AA$267,data!$T187-xRates!$B$1+2,FALSE),U187)</f>
        <v>#REF!</v>
      </c>
      <c r="W187" s="162" t="s">
        <v>759</v>
      </c>
      <c r="Y187" s="165"/>
      <c r="AA187" s="163" t="s">
        <v>155</v>
      </c>
      <c r="AB187" s="162"/>
      <c r="AC187" s="162" t="str">
        <f t="shared" si="160"/>
        <v/>
      </c>
      <c r="AD187" s="163" t="s">
        <v>155</v>
      </c>
      <c r="AE187" s="162" t="str">
        <f t="shared" si="161"/>
        <v/>
      </c>
      <c r="AF187" s="163" t="s">
        <v>148</v>
      </c>
      <c r="AG187" s="163" t="s">
        <v>148</v>
      </c>
      <c r="AH187" s="163" t="s">
        <v>155</v>
      </c>
      <c r="AJ187" s="162"/>
      <c r="AK187" s="162" t="s">
        <v>771</v>
      </c>
      <c r="AL187" s="163" t="s">
        <v>152</v>
      </c>
      <c r="AM187" s="179">
        <v>1248</v>
      </c>
      <c r="AN187" s="179">
        <f t="shared" si="162"/>
        <v>1248</v>
      </c>
      <c r="AO187" s="179">
        <f t="shared" si="145"/>
        <v>4151.2</v>
      </c>
      <c r="AP187" s="163" t="str">
        <f t="shared" si="128"/>
        <v>Cost-Effective</v>
      </c>
      <c r="AQ187" s="163" t="str">
        <f t="shared" si="102"/>
        <v>Cost-Effective</v>
      </c>
      <c r="AR187" s="167">
        <f t="shared" si="100"/>
        <v>0.30063596068606668</v>
      </c>
      <c r="AS187" s="167">
        <f t="shared" si="134"/>
        <v>0.23</v>
      </c>
      <c r="AT187" s="159" t="str">
        <f t="shared" si="116"/>
        <v>Not Cost-Effective</v>
      </c>
      <c r="AU187" s="167">
        <f t="shared" si="135"/>
        <v>0.16</v>
      </c>
      <c r="AV187" s="162" t="str">
        <f t="shared" si="117"/>
        <v>Not Cost-Effective</v>
      </c>
      <c r="AW187" s="167">
        <f t="shared" si="136"/>
        <v>0.49571178772655361</v>
      </c>
      <c r="AX187" s="159" t="str">
        <f t="shared" si="118"/>
        <v>Cost-Effective</v>
      </c>
      <c r="AY187" s="167">
        <f t="shared" si="137"/>
        <v>0.13100557883926836</v>
      </c>
      <c r="AZ187" s="159" t="str">
        <f t="shared" si="119"/>
        <v>Not Cost-Effective</v>
      </c>
      <c r="BA187" s="167">
        <f t="shared" si="138"/>
        <v>0.46974368857197923</v>
      </c>
      <c r="BB187" s="159" t="str">
        <f t="shared" si="120"/>
        <v>Cost-Effective</v>
      </c>
      <c r="BC187" s="167">
        <f t="shared" si="139"/>
        <v>0.19464251300828678</v>
      </c>
      <c r="BD187" s="159" t="str">
        <f t="shared" si="121"/>
        <v>Not Cost-Effective</v>
      </c>
      <c r="BE187" s="162" t="s">
        <v>153</v>
      </c>
      <c r="BF187" s="162" t="s">
        <v>382</v>
      </c>
      <c r="BG187" s="168">
        <f t="shared" si="140"/>
        <v>1</v>
      </c>
      <c r="BH187" s="168">
        <f t="shared" si="141"/>
        <v>1</v>
      </c>
      <c r="BI187" s="163">
        <f t="shared" si="142"/>
        <v>1</v>
      </c>
      <c r="BJ187" s="163">
        <f t="shared" si="143"/>
        <v>0</v>
      </c>
      <c r="BK187" s="163">
        <f t="shared" si="122"/>
        <v>1</v>
      </c>
      <c r="BL187" s="163">
        <f t="shared" si="123"/>
        <v>0</v>
      </c>
      <c r="BM187" s="163">
        <f t="shared" si="124"/>
        <v>4</v>
      </c>
      <c r="BN187" s="163" t="s">
        <v>148</v>
      </c>
      <c r="BO187" s="162" t="s">
        <v>385</v>
      </c>
      <c r="BP187" s="162" t="s">
        <v>754</v>
      </c>
      <c r="BQ187" s="162" t="s">
        <v>156</v>
      </c>
    </row>
    <row r="188" spans="1:70">
      <c r="A188" s="159">
        <f t="shared" si="113"/>
        <v>55</v>
      </c>
      <c r="B188" s="159">
        <f t="shared" si="114"/>
        <v>1</v>
      </c>
      <c r="C188" s="160" t="str">
        <f t="shared" si="101"/>
        <v>5501</v>
      </c>
      <c r="D188" s="159" t="s">
        <v>83</v>
      </c>
      <c r="E188" s="159">
        <v>2021</v>
      </c>
      <c r="F188" s="162" t="s">
        <v>84</v>
      </c>
      <c r="G188" s="182" t="s">
        <v>145</v>
      </c>
      <c r="H188" s="163" t="str">
        <f t="shared" si="144"/>
        <v>UM</v>
      </c>
      <c r="I188" s="163" t="s">
        <v>148</v>
      </c>
      <c r="J188" s="180" t="s">
        <v>772</v>
      </c>
      <c r="K188" s="163" t="s">
        <v>167</v>
      </c>
      <c r="L188" s="163" t="s">
        <v>147</v>
      </c>
      <c r="M188" s="163" t="str">
        <f t="shared" si="115"/>
        <v>PCV13 vs NoVax</v>
      </c>
      <c r="N188" s="159" t="s">
        <v>376</v>
      </c>
      <c r="O188" s="159">
        <v>4</v>
      </c>
      <c r="P188" s="162" t="s">
        <v>148</v>
      </c>
      <c r="Q188" s="162" t="s">
        <v>149</v>
      </c>
      <c r="R188" s="162" t="s">
        <v>150</v>
      </c>
      <c r="S188" s="162" t="s">
        <v>151</v>
      </c>
      <c r="T188" s="159">
        <v>2019</v>
      </c>
      <c r="U188" s="165">
        <v>81</v>
      </c>
      <c r="V188" s="165" t="e">
        <f>IF(ISNUMBER(U188),U188/VLOOKUP($S188,xRates!$A$1:$AA$267,data!$T188-xRates!$B$1+2,FALSE),U188)</f>
        <v>#REF!</v>
      </c>
      <c r="W188" s="162" t="s">
        <v>773</v>
      </c>
      <c r="Y188" s="165"/>
      <c r="AA188" s="163" t="s">
        <v>155</v>
      </c>
      <c r="AB188" s="162"/>
      <c r="AC188" s="162" t="str">
        <f t="shared" si="160"/>
        <v/>
      </c>
      <c r="AD188" s="163" t="s">
        <v>155</v>
      </c>
      <c r="AE188" s="162" t="str">
        <f t="shared" si="161"/>
        <v/>
      </c>
      <c r="AF188" s="163" t="s">
        <v>148</v>
      </c>
      <c r="AG188" s="163" t="s">
        <v>148</v>
      </c>
      <c r="AH188" s="163" t="s">
        <v>148</v>
      </c>
      <c r="AJ188" s="162" t="s">
        <v>710</v>
      </c>
      <c r="AK188" s="162" t="s">
        <v>774</v>
      </c>
      <c r="AL188" s="163" t="s">
        <v>152</v>
      </c>
      <c r="AM188" s="179">
        <v>15394</v>
      </c>
      <c r="AN188" s="179">
        <f t="shared" si="162"/>
        <v>15394</v>
      </c>
      <c r="AO188" s="179">
        <f t="shared" si="145"/>
        <v>10143.9</v>
      </c>
      <c r="AP188" s="163" t="str">
        <f t="shared" si="128"/>
        <v>Not Cost-Effective</v>
      </c>
      <c r="AQ188" s="163" t="str">
        <f t="shared" si="102"/>
        <v>Cost-Effective</v>
      </c>
      <c r="AR188" s="167">
        <f t="shared" si="100"/>
        <v>1.5175622788079537</v>
      </c>
      <c r="AS188" s="167">
        <f t="shared" si="134"/>
        <v>0.71</v>
      </c>
      <c r="AT188" s="159" t="str">
        <f t="shared" si="116"/>
        <v>Not Cost-Effective</v>
      </c>
      <c r="AU188" s="167">
        <f t="shared" si="135"/>
        <v>0.45</v>
      </c>
      <c r="AV188" s="162" t="str">
        <f t="shared" si="117"/>
        <v>Not Cost-Effective</v>
      </c>
      <c r="AW188" s="167">
        <f t="shared" si="136"/>
        <v>0.64811121873397526</v>
      </c>
      <c r="AX188" s="159" t="str">
        <f t="shared" si="118"/>
        <v>Not Cost-Effective</v>
      </c>
      <c r="AY188" s="167">
        <f t="shared" si="137"/>
        <v>0.16395077203578146</v>
      </c>
      <c r="AZ188" s="159" t="str">
        <f t="shared" si="119"/>
        <v>Not Cost-Effective</v>
      </c>
      <c r="BA188" s="167">
        <f t="shared" si="138"/>
        <v>0.90271000305602389</v>
      </c>
      <c r="BB188" s="159" t="str">
        <f t="shared" si="120"/>
        <v>Not Cost-Effective</v>
      </c>
      <c r="BC188" s="167">
        <f t="shared" si="139"/>
        <v>0.374116464081862</v>
      </c>
      <c r="BD188" s="159" t="str">
        <f t="shared" si="121"/>
        <v>Not Cost-Effective</v>
      </c>
      <c r="BE188" s="162" t="s">
        <v>161</v>
      </c>
      <c r="BF188" s="162" t="s">
        <v>382</v>
      </c>
      <c r="BG188" s="168">
        <f t="shared" si="140"/>
        <v>1</v>
      </c>
      <c r="BH188" s="168">
        <f t="shared" si="141"/>
        <v>1</v>
      </c>
      <c r="BI188" s="163">
        <f t="shared" si="142"/>
        <v>1</v>
      </c>
      <c r="BJ188" s="163">
        <f t="shared" si="143"/>
        <v>1</v>
      </c>
      <c r="BK188" s="163">
        <f t="shared" si="122"/>
        <v>1</v>
      </c>
      <c r="BL188" s="163">
        <f t="shared" si="123"/>
        <v>1</v>
      </c>
      <c r="BM188" s="163">
        <f t="shared" si="124"/>
        <v>6</v>
      </c>
      <c r="BN188" s="163" t="s">
        <v>155</v>
      </c>
      <c r="BO188" s="162" t="str">
        <f t="shared" ref="BO188:BO197" si="163">IF(BN188="No", "", "")</f>
        <v/>
      </c>
      <c r="BP188" s="162" t="s">
        <v>775</v>
      </c>
      <c r="BQ188" s="162" t="s">
        <v>177</v>
      </c>
    </row>
    <row r="189" spans="1:70">
      <c r="A189" s="159">
        <f t="shared" si="113"/>
        <v>55</v>
      </c>
      <c r="B189" s="159">
        <f t="shared" si="114"/>
        <v>2</v>
      </c>
      <c r="C189" s="160" t="str">
        <f t="shared" si="101"/>
        <v>5502</v>
      </c>
      <c r="D189" s="159" t="s">
        <v>83</v>
      </c>
      <c r="E189" s="159">
        <v>2021</v>
      </c>
      <c r="F189" s="162" t="s">
        <v>84</v>
      </c>
      <c r="G189" s="182" t="s">
        <v>145</v>
      </c>
      <c r="H189" s="163" t="str">
        <f t="shared" si="144"/>
        <v>UM</v>
      </c>
      <c r="I189" s="163" t="s">
        <v>148</v>
      </c>
      <c r="J189" s="180" t="s">
        <v>772</v>
      </c>
      <c r="K189" s="163" t="s">
        <v>167</v>
      </c>
      <c r="L189" s="163" t="s">
        <v>147</v>
      </c>
      <c r="M189" s="163" t="str">
        <f t="shared" si="115"/>
        <v>PCV13 vs NoVax</v>
      </c>
      <c r="N189" s="159" t="s">
        <v>514</v>
      </c>
      <c r="O189" s="159">
        <v>3</v>
      </c>
      <c r="P189" s="162" t="s">
        <v>148</v>
      </c>
      <c r="Q189" s="162" t="s">
        <v>149</v>
      </c>
      <c r="R189" s="162" t="s">
        <v>150</v>
      </c>
      <c r="S189" s="162" t="s">
        <v>151</v>
      </c>
      <c r="T189" s="159">
        <v>2019</v>
      </c>
      <c r="U189" s="165">
        <v>81</v>
      </c>
      <c r="V189" s="165" t="e">
        <f>IF(ISNUMBER(U189),U189/VLOOKUP($S189,xRates!$A$1:$AA$267,data!$T189-xRates!$B$1+2,FALSE),U189)</f>
        <v>#REF!</v>
      </c>
      <c r="W189" s="162" t="s">
        <v>773</v>
      </c>
      <c r="Y189" s="165"/>
      <c r="AA189" s="163" t="s">
        <v>155</v>
      </c>
      <c r="AB189" s="162"/>
      <c r="AC189" s="162" t="str">
        <f t="shared" si="160"/>
        <v/>
      </c>
      <c r="AD189" s="163" t="s">
        <v>155</v>
      </c>
      <c r="AE189" s="162" t="str">
        <f t="shared" si="161"/>
        <v/>
      </c>
      <c r="AF189" s="163" t="s">
        <v>148</v>
      </c>
      <c r="AG189" s="163" t="s">
        <v>148</v>
      </c>
      <c r="AH189" s="163" t="s">
        <v>148</v>
      </c>
      <c r="AJ189" s="162" t="s">
        <v>710</v>
      </c>
      <c r="AK189" s="162" t="s">
        <v>776</v>
      </c>
      <c r="AL189" s="163" t="s">
        <v>152</v>
      </c>
      <c r="AM189" s="179">
        <v>2292</v>
      </c>
      <c r="AN189" s="179">
        <f t="shared" si="162"/>
        <v>2292</v>
      </c>
      <c r="AO189" s="179">
        <f t="shared" si="145"/>
        <v>10143.9</v>
      </c>
      <c r="AP189" s="163" t="str">
        <f t="shared" si="128"/>
        <v>Cost-Effective</v>
      </c>
      <c r="AQ189" s="163" t="str">
        <f t="shared" si="102"/>
        <v>Cost-Effective</v>
      </c>
      <c r="AR189" s="167">
        <f t="shared" si="100"/>
        <v>0.22594859965102179</v>
      </c>
      <c r="AS189" s="167">
        <f t="shared" si="134"/>
        <v>0.71</v>
      </c>
      <c r="AT189" s="159" t="str">
        <f t="shared" si="116"/>
        <v>Cost-Effective</v>
      </c>
      <c r="AU189" s="167">
        <f t="shared" si="135"/>
        <v>0.45</v>
      </c>
      <c r="AV189" s="162" t="str">
        <f t="shared" si="117"/>
        <v>Cost-Effective</v>
      </c>
      <c r="AW189" s="167">
        <f t="shared" si="136"/>
        <v>0.64811121873397526</v>
      </c>
      <c r="AX189" s="159" t="str">
        <f t="shared" si="118"/>
        <v>Cost-Effective</v>
      </c>
      <c r="AY189" s="167">
        <f t="shared" si="137"/>
        <v>0.16395077203578146</v>
      </c>
      <c r="AZ189" s="159" t="str">
        <f t="shared" si="119"/>
        <v>Not Cost-Effective</v>
      </c>
      <c r="BA189" s="167">
        <f t="shared" si="138"/>
        <v>0.90271000305602389</v>
      </c>
      <c r="BB189" s="159" t="str">
        <f t="shared" si="120"/>
        <v>Cost-Effective</v>
      </c>
      <c r="BC189" s="167">
        <f t="shared" si="139"/>
        <v>0.374116464081862</v>
      </c>
      <c r="BD189" s="159" t="str">
        <f t="shared" si="121"/>
        <v>Cost-Effective</v>
      </c>
      <c r="BE189" s="162" t="s">
        <v>161</v>
      </c>
      <c r="BF189" s="162" t="s">
        <v>382</v>
      </c>
      <c r="BG189" s="168">
        <f t="shared" si="140"/>
        <v>0</v>
      </c>
      <c r="BH189" s="168">
        <f t="shared" si="141"/>
        <v>0</v>
      </c>
      <c r="BI189" s="163">
        <f t="shared" si="142"/>
        <v>1</v>
      </c>
      <c r="BJ189" s="163">
        <f t="shared" si="143"/>
        <v>0</v>
      </c>
      <c r="BK189" s="163">
        <f t="shared" si="122"/>
        <v>0</v>
      </c>
      <c r="BL189" s="163">
        <f t="shared" si="123"/>
        <v>0</v>
      </c>
      <c r="BM189" s="163">
        <f t="shared" si="124"/>
        <v>1</v>
      </c>
      <c r="BN189" s="163" t="s">
        <v>155</v>
      </c>
      <c r="BO189" s="162" t="str">
        <f t="shared" si="163"/>
        <v/>
      </c>
      <c r="BP189" s="162" t="s">
        <v>775</v>
      </c>
      <c r="BQ189" s="162" t="s">
        <v>177</v>
      </c>
    </row>
    <row r="190" spans="1:70">
      <c r="A190" s="159">
        <f t="shared" si="113"/>
        <v>55</v>
      </c>
      <c r="B190" s="159">
        <f t="shared" si="114"/>
        <v>3</v>
      </c>
      <c r="C190" s="160" t="str">
        <f t="shared" si="101"/>
        <v>5503</v>
      </c>
      <c r="D190" s="159" t="s">
        <v>83</v>
      </c>
      <c r="E190" s="159">
        <v>2021</v>
      </c>
      <c r="F190" s="162" t="s">
        <v>84</v>
      </c>
      <c r="G190" s="182" t="s">
        <v>145</v>
      </c>
      <c r="H190" s="163" t="str">
        <f t="shared" si="144"/>
        <v>UM</v>
      </c>
      <c r="I190" s="163" t="s">
        <v>148</v>
      </c>
      <c r="J190" s="180" t="s">
        <v>772</v>
      </c>
      <c r="K190" s="163" t="s">
        <v>167</v>
      </c>
      <c r="L190" s="163" t="s">
        <v>147</v>
      </c>
      <c r="M190" s="163" t="str">
        <f t="shared" si="115"/>
        <v>PCV13 vs NoVax</v>
      </c>
      <c r="N190" s="159" t="s">
        <v>559</v>
      </c>
      <c r="O190" s="159">
        <v>2</v>
      </c>
      <c r="P190" s="162" t="s">
        <v>148</v>
      </c>
      <c r="Q190" s="162" t="s">
        <v>149</v>
      </c>
      <c r="R190" s="162" t="s">
        <v>150</v>
      </c>
      <c r="S190" s="162" t="s">
        <v>151</v>
      </c>
      <c r="T190" s="159">
        <v>2019</v>
      </c>
      <c r="U190" s="165">
        <v>81</v>
      </c>
      <c r="V190" s="165" t="e">
        <f>IF(ISNUMBER(U190),U190/VLOOKUP($S190,xRates!$A$1:$AA$267,data!$T190-xRates!$B$1+2,FALSE),U190)</f>
        <v>#REF!</v>
      </c>
      <c r="W190" s="162" t="s">
        <v>773</v>
      </c>
      <c r="Y190" s="165"/>
      <c r="AA190" s="163" t="s">
        <v>155</v>
      </c>
      <c r="AB190" s="162"/>
      <c r="AC190" s="162" t="str">
        <f t="shared" si="160"/>
        <v/>
      </c>
      <c r="AD190" s="163" t="s">
        <v>155</v>
      </c>
      <c r="AE190" s="162" t="str">
        <f t="shared" si="161"/>
        <v/>
      </c>
      <c r="AF190" s="163" t="s">
        <v>148</v>
      </c>
      <c r="AG190" s="163" t="s">
        <v>148</v>
      </c>
      <c r="AH190" s="163" t="s">
        <v>148</v>
      </c>
      <c r="AJ190" s="162" t="s">
        <v>710</v>
      </c>
      <c r="AK190" s="162" t="s">
        <v>777</v>
      </c>
      <c r="AL190" s="163" t="s">
        <v>152</v>
      </c>
      <c r="AM190" s="179">
        <v>3445</v>
      </c>
      <c r="AN190" s="179">
        <f t="shared" si="162"/>
        <v>3445</v>
      </c>
      <c r="AO190" s="179">
        <f t="shared" si="145"/>
        <v>10143.9</v>
      </c>
      <c r="AP190" s="163" t="str">
        <f t="shared" si="128"/>
        <v>Cost-Effective</v>
      </c>
      <c r="AQ190" s="163" t="str">
        <f t="shared" si="102"/>
        <v>Cost-Effective</v>
      </c>
      <c r="AR190" s="167">
        <f t="shared" si="100"/>
        <v>0.33961296937075486</v>
      </c>
      <c r="AS190" s="167">
        <f t="shared" si="134"/>
        <v>0.71</v>
      </c>
      <c r="AT190" s="159" t="str">
        <f t="shared" si="116"/>
        <v>Cost-Effective</v>
      </c>
      <c r="AU190" s="167">
        <f t="shared" si="135"/>
        <v>0.45</v>
      </c>
      <c r="AV190" s="162" t="str">
        <f t="shared" si="117"/>
        <v>Cost-Effective</v>
      </c>
      <c r="AW190" s="167">
        <f t="shared" si="136"/>
        <v>0.64811121873397526</v>
      </c>
      <c r="AX190" s="159" t="str">
        <f t="shared" si="118"/>
        <v>Cost-Effective</v>
      </c>
      <c r="AY190" s="167">
        <f t="shared" si="137"/>
        <v>0.16395077203578146</v>
      </c>
      <c r="AZ190" s="159" t="str">
        <f t="shared" si="119"/>
        <v>Not Cost-Effective</v>
      </c>
      <c r="BA190" s="167">
        <f t="shared" si="138"/>
        <v>0.90271000305602389</v>
      </c>
      <c r="BB190" s="159" t="str">
        <f t="shared" si="120"/>
        <v>Cost-Effective</v>
      </c>
      <c r="BC190" s="167">
        <f t="shared" si="139"/>
        <v>0.374116464081862</v>
      </c>
      <c r="BD190" s="159" t="str">
        <f t="shared" si="121"/>
        <v>Cost-Effective</v>
      </c>
      <c r="BE190" s="162" t="s">
        <v>161</v>
      </c>
      <c r="BF190" s="162" t="s">
        <v>382</v>
      </c>
      <c r="BG190" s="168">
        <f t="shared" si="140"/>
        <v>0</v>
      </c>
      <c r="BH190" s="168">
        <f t="shared" si="141"/>
        <v>0</v>
      </c>
      <c r="BI190" s="163">
        <f t="shared" si="142"/>
        <v>1</v>
      </c>
      <c r="BJ190" s="163">
        <f t="shared" si="143"/>
        <v>0</v>
      </c>
      <c r="BK190" s="163">
        <f t="shared" si="122"/>
        <v>0</v>
      </c>
      <c r="BL190" s="163">
        <f t="shared" si="123"/>
        <v>0</v>
      </c>
      <c r="BM190" s="163">
        <f t="shared" si="124"/>
        <v>1</v>
      </c>
      <c r="BN190" s="163" t="s">
        <v>155</v>
      </c>
      <c r="BO190" s="162" t="str">
        <f t="shared" si="163"/>
        <v/>
      </c>
      <c r="BP190" s="162" t="s">
        <v>775</v>
      </c>
      <c r="BQ190" s="162" t="s">
        <v>177</v>
      </c>
    </row>
    <row r="191" spans="1:70">
      <c r="A191" s="159">
        <f t="shared" si="113"/>
        <v>55</v>
      </c>
      <c r="B191" s="159">
        <f t="shared" si="114"/>
        <v>4</v>
      </c>
      <c r="C191" s="160" t="str">
        <f t="shared" si="101"/>
        <v>5504</v>
      </c>
      <c r="D191" s="159" t="s">
        <v>83</v>
      </c>
      <c r="E191" s="159">
        <v>2021</v>
      </c>
      <c r="F191" s="162" t="s">
        <v>84</v>
      </c>
      <c r="G191" s="182" t="s">
        <v>145</v>
      </c>
      <c r="H191" s="163" t="str">
        <f t="shared" si="144"/>
        <v>UM</v>
      </c>
      <c r="I191" s="163" t="s">
        <v>148</v>
      </c>
      <c r="J191" s="180" t="s">
        <v>772</v>
      </c>
      <c r="K191" s="163" t="s">
        <v>167</v>
      </c>
      <c r="L191" s="163" t="s">
        <v>147</v>
      </c>
      <c r="M191" s="163" t="str">
        <f t="shared" si="115"/>
        <v>PCV13 vs NoVax</v>
      </c>
      <c r="N191" s="159" t="s">
        <v>567</v>
      </c>
      <c r="O191" s="159">
        <v>1</v>
      </c>
      <c r="P191" s="162" t="s">
        <v>148</v>
      </c>
      <c r="Q191" s="162" t="s">
        <v>149</v>
      </c>
      <c r="R191" s="162" t="s">
        <v>150</v>
      </c>
      <c r="S191" s="162" t="s">
        <v>151</v>
      </c>
      <c r="T191" s="159">
        <v>2019</v>
      </c>
      <c r="U191" s="165">
        <v>81</v>
      </c>
      <c r="V191" s="165" t="e">
        <f>IF(ISNUMBER(U191),U191/VLOOKUP($S191,xRates!$A$1:$AA$267,data!$T191-xRates!$B$1+2,FALSE),U191)</f>
        <v>#REF!</v>
      </c>
      <c r="W191" s="162" t="s">
        <v>773</v>
      </c>
      <c r="Y191" s="165"/>
      <c r="AA191" s="163" t="s">
        <v>155</v>
      </c>
      <c r="AB191" s="162"/>
      <c r="AC191" s="162" t="str">
        <f t="shared" si="160"/>
        <v/>
      </c>
      <c r="AD191" s="163" t="s">
        <v>155</v>
      </c>
      <c r="AE191" s="162" t="str">
        <f t="shared" si="161"/>
        <v/>
      </c>
      <c r="AF191" s="163" t="s">
        <v>148</v>
      </c>
      <c r="AG191" s="163" t="s">
        <v>148</v>
      </c>
      <c r="AH191" s="163" t="s">
        <v>148</v>
      </c>
      <c r="AJ191" s="162" t="s">
        <v>710</v>
      </c>
      <c r="AK191" s="162" t="s">
        <v>778</v>
      </c>
      <c r="AL191" s="163" t="s">
        <v>152</v>
      </c>
      <c r="AM191" s="179">
        <v>4417</v>
      </c>
      <c r="AN191" s="179">
        <f t="shared" si="162"/>
        <v>4417</v>
      </c>
      <c r="AO191" s="179">
        <f t="shared" si="145"/>
        <v>10143.9</v>
      </c>
      <c r="AP191" s="163" t="str">
        <f t="shared" si="128"/>
        <v>Cost-Effective</v>
      </c>
      <c r="AQ191" s="163" t="str">
        <f t="shared" si="102"/>
        <v>Cost-Effective</v>
      </c>
      <c r="AR191" s="167">
        <f t="shared" si="100"/>
        <v>0.43543410325417248</v>
      </c>
      <c r="AS191" s="167">
        <f t="shared" si="134"/>
        <v>0.71</v>
      </c>
      <c r="AT191" s="159" t="str">
        <f t="shared" si="116"/>
        <v>Cost-Effective</v>
      </c>
      <c r="AU191" s="167">
        <f t="shared" si="135"/>
        <v>0.45</v>
      </c>
      <c r="AV191" s="162" t="str">
        <f t="shared" si="117"/>
        <v>Cost-Effective</v>
      </c>
      <c r="AW191" s="167">
        <f t="shared" si="136"/>
        <v>0.64811121873397526</v>
      </c>
      <c r="AX191" s="159" t="str">
        <f t="shared" si="118"/>
        <v>Cost-Effective</v>
      </c>
      <c r="AY191" s="167">
        <f t="shared" si="137"/>
        <v>0.16395077203578146</v>
      </c>
      <c r="AZ191" s="159" t="str">
        <f t="shared" si="119"/>
        <v>Not Cost-Effective</v>
      </c>
      <c r="BA191" s="167">
        <f t="shared" si="138"/>
        <v>0.90271000305602389</v>
      </c>
      <c r="BB191" s="159" t="str">
        <f t="shared" si="120"/>
        <v>Cost-Effective</v>
      </c>
      <c r="BC191" s="167">
        <f t="shared" si="139"/>
        <v>0.374116464081862</v>
      </c>
      <c r="BD191" s="159" t="str">
        <f t="shared" si="121"/>
        <v>Not Cost-Effective</v>
      </c>
      <c r="BE191" s="162" t="s">
        <v>161</v>
      </c>
      <c r="BF191" s="162" t="s">
        <v>382</v>
      </c>
      <c r="BG191" s="168">
        <f t="shared" si="140"/>
        <v>0</v>
      </c>
      <c r="BH191" s="168">
        <f t="shared" si="141"/>
        <v>0</v>
      </c>
      <c r="BI191" s="163">
        <f t="shared" si="142"/>
        <v>1</v>
      </c>
      <c r="BJ191" s="163">
        <f t="shared" si="143"/>
        <v>0</v>
      </c>
      <c r="BK191" s="163">
        <f t="shared" si="122"/>
        <v>1</v>
      </c>
      <c r="BL191" s="163">
        <f t="shared" si="123"/>
        <v>0</v>
      </c>
      <c r="BM191" s="163">
        <f t="shared" si="124"/>
        <v>2</v>
      </c>
      <c r="BN191" s="163" t="s">
        <v>155</v>
      </c>
      <c r="BO191" s="162" t="str">
        <f t="shared" si="163"/>
        <v/>
      </c>
      <c r="BP191" s="162" t="s">
        <v>775</v>
      </c>
      <c r="BQ191" s="162" t="s">
        <v>177</v>
      </c>
    </row>
    <row r="192" spans="1:70">
      <c r="A192" s="159">
        <f t="shared" si="113"/>
        <v>56</v>
      </c>
      <c r="B192" s="159">
        <f t="shared" si="114"/>
        <v>1</v>
      </c>
      <c r="C192" s="160" t="str">
        <f t="shared" si="101"/>
        <v>5601</v>
      </c>
      <c r="D192" s="159" t="s">
        <v>304</v>
      </c>
      <c r="E192" s="159">
        <v>2020</v>
      </c>
      <c r="F192" s="162" t="s">
        <v>779</v>
      </c>
      <c r="G192" s="162" t="s">
        <v>180</v>
      </c>
      <c r="H192" s="163" t="str">
        <f t="shared" si="144"/>
        <v>UM</v>
      </c>
      <c r="I192" s="163" t="s">
        <v>148</v>
      </c>
      <c r="J192" s="162" t="s">
        <v>550</v>
      </c>
      <c r="K192" s="163" t="s">
        <v>167</v>
      </c>
      <c r="L192" s="163" t="s">
        <v>166</v>
      </c>
      <c r="M192" s="163" t="str">
        <f t="shared" si="115"/>
        <v>PCV13 vs PCV10</v>
      </c>
      <c r="N192" s="159" t="s">
        <v>368</v>
      </c>
      <c r="O192" s="159">
        <v>3</v>
      </c>
      <c r="P192" s="162" t="s">
        <v>148</v>
      </c>
      <c r="Q192" s="162" t="s">
        <v>149</v>
      </c>
      <c r="R192" s="162" t="s">
        <v>150</v>
      </c>
      <c r="S192" s="162" t="s">
        <v>151</v>
      </c>
      <c r="T192" s="159">
        <v>2018</v>
      </c>
      <c r="U192" s="159" t="s">
        <v>386</v>
      </c>
      <c r="V192" s="159" t="s">
        <v>386</v>
      </c>
      <c r="W192" s="162" t="s">
        <v>385</v>
      </c>
      <c r="X192" s="162" t="s">
        <v>386</v>
      </c>
      <c r="Y192" s="165" t="s">
        <v>386</v>
      </c>
      <c r="Z192" s="162" t="s">
        <v>618</v>
      </c>
      <c r="AA192" s="163" t="s">
        <v>148</v>
      </c>
      <c r="AB192" s="162" t="s">
        <v>417</v>
      </c>
      <c r="AC192" s="162" t="s">
        <v>148</v>
      </c>
      <c r="AD192" s="163" t="s">
        <v>155</v>
      </c>
      <c r="AE192" s="162" t="str">
        <f t="shared" si="161"/>
        <v/>
      </c>
      <c r="AF192" s="163" t="s">
        <v>148</v>
      </c>
      <c r="AG192" s="163" t="s">
        <v>148</v>
      </c>
      <c r="AH192" s="163" t="s">
        <v>148</v>
      </c>
      <c r="AJ192" s="162"/>
      <c r="AK192" s="162" t="s">
        <v>780</v>
      </c>
      <c r="AL192" s="163" t="s">
        <v>152</v>
      </c>
      <c r="AM192" s="179">
        <f>-89904777/2280</f>
        <v>-39431.919736842108</v>
      </c>
      <c r="AN192" s="179">
        <f t="shared" si="162"/>
        <v>-39431.919736842108</v>
      </c>
      <c r="AO192" s="179">
        <f t="shared" ref="AO192" si="164">VLOOKUP(G192,gdppc,T192-1958,FALSE)</f>
        <v>11074</v>
      </c>
      <c r="AP192" s="163" t="str">
        <f t="shared" si="128"/>
        <v>Cost-Saving</v>
      </c>
      <c r="AQ192" s="163" t="str">
        <f t="shared" si="102"/>
        <v>Cost-Saving</v>
      </c>
      <c r="AR192" s="167">
        <f t="shared" si="100"/>
        <v>-3.5607657338669054</v>
      </c>
      <c r="AS192" s="167">
        <f t="shared" si="134"/>
        <v>0.75</v>
      </c>
      <c r="AT192" s="159" t="str">
        <f t="shared" si="116"/>
        <v>Cost-Saving</v>
      </c>
      <c r="AU192" s="167">
        <f t="shared" si="135"/>
        <v>0.45</v>
      </c>
      <c r="AV192" s="162" t="str">
        <f t="shared" si="117"/>
        <v>Cost-Saving</v>
      </c>
      <c r="AW192" s="167">
        <f t="shared" si="136"/>
        <v>0.5771973489191532</v>
      </c>
      <c r="AX192" s="159" t="str">
        <f t="shared" si="118"/>
        <v>Cost-Saving</v>
      </c>
      <c r="AY192" s="167">
        <f t="shared" si="137"/>
        <v>0.32448707551478878</v>
      </c>
      <c r="AZ192" s="159" t="str">
        <f t="shared" si="119"/>
        <v>Cost-Saving</v>
      </c>
      <c r="BA192" s="167">
        <f t="shared" ref="BA192:BA197" si="165">IFERROR(VLOOKUP(G192,riviere,8,FALSE),".")</f>
        <v>0.68675272410416721</v>
      </c>
      <c r="BB192" s="159" t="str">
        <f t="shared" si="120"/>
        <v>Cost-Saving</v>
      </c>
      <c r="BC192" s="167">
        <f t="shared" ref="BC192:BC197" si="166">IFERROR(VLOOKUP(G192,riviere,7,FALSE),".")</f>
        <v>0.28467225411198244</v>
      </c>
      <c r="BD192" s="159" t="str">
        <f t="shared" si="121"/>
        <v>Cost-Saving</v>
      </c>
      <c r="BE192" s="162" t="s">
        <v>161</v>
      </c>
      <c r="BF192" s="162" t="s">
        <v>382</v>
      </c>
      <c r="BG192" s="168">
        <f t="shared" ref="BG192:BG197" si="167">IF(BF192="Cost-Effective",IF(AV192="Not Cost-Effective",1,0),".")</f>
        <v>0</v>
      </c>
      <c r="BH192" s="168">
        <f t="shared" ref="BH192:BH197" si="168">IF(BF192="Cost-Effective",IF(AT192="Not Cost-Effective",1,0),".")</f>
        <v>0</v>
      </c>
      <c r="BI192" s="163">
        <f t="shared" ref="BI192:BI197" si="169">IF(BF192="Cost-Effective",IF(AZ192="Not Cost-Effective",1,0),".")</f>
        <v>0</v>
      </c>
      <c r="BJ192" s="163">
        <f t="shared" ref="BJ192:BJ197" si="170">IF(BF192="Cost-Effective",IF(AX192="Not Cost-Effective",1,0),".")</f>
        <v>0</v>
      </c>
      <c r="BK192" s="163">
        <f t="shared" si="122"/>
        <v>0</v>
      </c>
      <c r="BL192" s="163">
        <f t="shared" si="123"/>
        <v>0</v>
      </c>
      <c r="BM192" s="163">
        <f t="shared" si="124"/>
        <v>0</v>
      </c>
      <c r="BN192" s="163" t="s">
        <v>155</v>
      </c>
      <c r="BO192" s="162" t="str">
        <f t="shared" si="163"/>
        <v/>
      </c>
      <c r="BP192" s="162" t="s">
        <v>383</v>
      </c>
      <c r="BQ192" s="162" t="s">
        <v>163</v>
      </c>
      <c r="BR192" s="162" t="s">
        <v>781</v>
      </c>
    </row>
    <row r="193" spans="1:70">
      <c r="A193" s="159">
        <f t="shared" si="113"/>
        <v>56</v>
      </c>
      <c r="B193" s="159">
        <f t="shared" si="114"/>
        <v>2</v>
      </c>
      <c r="C193" s="160" t="str">
        <f t="shared" si="101"/>
        <v>5602</v>
      </c>
      <c r="D193" s="159" t="s">
        <v>304</v>
      </c>
      <c r="E193" s="159">
        <v>2020</v>
      </c>
      <c r="F193" s="162" t="s">
        <v>779</v>
      </c>
      <c r="G193" s="162" t="s">
        <v>180</v>
      </c>
      <c r="H193" s="163" t="str">
        <f t="shared" si="144"/>
        <v>UM</v>
      </c>
      <c r="I193" s="163" t="s">
        <v>148</v>
      </c>
      <c r="J193" s="162" t="s">
        <v>534</v>
      </c>
      <c r="K193" s="163" t="s">
        <v>167</v>
      </c>
      <c r="L193" s="163" t="s">
        <v>147</v>
      </c>
      <c r="M193" s="163" t="str">
        <f t="shared" si="115"/>
        <v>PCV13 vs NoVax</v>
      </c>
      <c r="N193" s="159" t="s">
        <v>368</v>
      </c>
      <c r="O193" s="159">
        <v>3</v>
      </c>
      <c r="P193" s="162" t="s">
        <v>148</v>
      </c>
      <c r="Q193" s="162" t="s">
        <v>149</v>
      </c>
      <c r="R193" s="162" t="s">
        <v>150</v>
      </c>
      <c r="S193" s="162" t="s">
        <v>151</v>
      </c>
      <c r="T193" s="159">
        <v>2018</v>
      </c>
      <c r="U193" s="159" t="s">
        <v>386</v>
      </c>
      <c r="V193" s="159" t="s">
        <v>386</v>
      </c>
      <c r="W193" s="162" t="s">
        <v>385</v>
      </c>
      <c r="Y193" s="165"/>
      <c r="AA193" s="163" t="s">
        <v>148</v>
      </c>
      <c r="AB193" s="162" t="s">
        <v>417</v>
      </c>
      <c r="AC193" s="162" t="s">
        <v>148</v>
      </c>
      <c r="AD193" s="163" t="s">
        <v>155</v>
      </c>
      <c r="AE193" s="162" t="str">
        <f t="shared" si="161"/>
        <v/>
      </c>
      <c r="AF193" s="163" t="s">
        <v>148</v>
      </c>
      <c r="AG193" s="163" t="s">
        <v>148</v>
      </c>
      <c r="AH193" s="163" t="s">
        <v>148</v>
      </c>
      <c r="AJ193" s="162"/>
      <c r="AK193" s="162" t="s">
        <v>782</v>
      </c>
      <c r="AL193" s="163" t="s">
        <v>152</v>
      </c>
      <c r="AM193" s="179">
        <f>-448382729/6008</f>
        <v>-74630.946904127835</v>
      </c>
      <c r="AN193" s="179">
        <f t="shared" ref="AN193" si="171">AM193</f>
        <v>-74630.946904127835</v>
      </c>
      <c r="AO193" s="179">
        <f t="shared" ref="AO193" si="172">VLOOKUP(G193,gdppc,T193-1958,FALSE)</f>
        <v>11074</v>
      </c>
      <c r="AP193" s="163" t="str">
        <f t="shared" si="128"/>
        <v>Cost-Saving</v>
      </c>
      <c r="AQ193" s="163" t="str">
        <f t="shared" si="102"/>
        <v>Cost-Saving</v>
      </c>
      <c r="AR193" s="167">
        <f t="shared" ref="AR193:AR197" si="173">IFERROR(AN193/AO193,".")</f>
        <v>-6.7392944648842183</v>
      </c>
      <c r="AS193" s="167">
        <f t="shared" si="134"/>
        <v>0.75</v>
      </c>
      <c r="AT193" s="159" t="str">
        <f t="shared" si="116"/>
        <v>Cost-Saving</v>
      </c>
      <c r="AU193" s="167">
        <f t="shared" si="135"/>
        <v>0.45</v>
      </c>
      <c r="AV193" s="162" t="str">
        <f t="shared" si="117"/>
        <v>Cost-Saving</v>
      </c>
      <c r="AW193" s="167">
        <f t="shared" si="136"/>
        <v>0.5771973489191532</v>
      </c>
      <c r="AX193" s="159" t="str">
        <f t="shared" si="118"/>
        <v>Cost-Saving</v>
      </c>
      <c r="AY193" s="167">
        <f t="shared" si="137"/>
        <v>0.32448707551478878</v>
      </c>
      <c r="AZ193" s="159" t="str">
        <f t="shared" si="119"/>
        <v>Cost-Saving</v>
      </c>
      <c r="BA193" s="167">
        <f t="shared" si="165"/>
        <v>0.68675272410416721</v>
      </c>
      <c r="BB193" s="159" t="str">
        <f t="shared" ref="BB193:BB197" si="174">IF(AR193&lt;0,"Cost-Saving", IF(BA193=".", ".", IF(AR193&lt;BA193, "Cost-Effective", "Not Cost-Effective")))</f>
        <v>Cost-Saving</v>
      </c>
      <c r="BC193" s="167">
        <f t="shared" si="166"/>
        <v>0.28467225411198244</v>
      </c>
      <c r="BD193" s="159" t="str">
        <f t="shared" ref="BD193:BD197" si="175">IF(AR193&lt;0,"Cost-Saving", IF(BC193=".", ".", IF(AR193&lt;BC193, "Cost-Effective", "Not Cost-Effective")))</f>
        <v>Cost-Saving</v>
      </c>
      <c r="BE193" s="162" t="s">
        <v>161</v>
      </c>
      <c r="BF193" s="162" t="s">
        <v>382</v>
      </c>
      <c r="BG193" s="168">
        <f t="shared" si="167"/>
        <v>0</v>
      </c>
      <c r="BH193" s="168">
        <f t="shared" si="168"/>
        <v>0</v>
      </c>
      <c r="BI193" s="163">
        <f t="shared" si="169"/>
        <v>0</v>
      </c>
      <c r="BJ193" s="163">
        <f t="shared" si="170"/>
        <v>0</v>
      </c>
      <c r="BK193" s="163">
        <f t="shared" ref="BK193:BK197" si="176">IF(BF193="Cost-Effective",IF(BD193="Not Cost-Effective",1,0),".")</f>
        <v>0</v>
      </c>
      <c r="BL193" s="163">
        <f t="shared" ref="BL193:BL197" si="177">IF(BF193="Cost-Effective",IF(BB193="Not Cost-Effective",1,0),".")</f>
        <v>0</v>
      </c>
      <c r="BM193" s="163">
        <f t="shared" ref="BM193:BM197" si="178">SUM(BG193:BL193)</f>
        <v>0</v>
      </c>
      <c r="BN193" s="163" t="s">
        <v>155</v>
      </c>
      <c r="BO193" s="162" t="str">
        <f t="shared" si="163"/>
        <v/>
      </c>
      <c r="BP193" s="162" t="s">
        <v>383</v>
      </c>
      <c r="BQ193" s="162" t="s">
        <v>163</v>
      </c>
    </row>
    <row r="194" spans="1:70">
      <c r="A194" s="159">
        <f t="shared" si="113"/>
        <v>56</v>
      </c>
      <c r="B194" s="159">
        <f t="shared" si="114"/>
        <v>3</v>
      </c>
      <c r="C194" s="160" t="str">
        <f t="shared" ref="C194:C197" si="179">_xlfn.CONCAT(TEXT(A194,"00"),TEXT(B194,"00"))</f>
        <v>5603</v>
      </c>
      <c r="D194" s="159" t="s">
        <v>304</v>
      </c>
      <c r="E194" s="159">
        <v>2020</v>
      </c>
      <c r="F194" s="162" t="s">
        <v>779</v>
      </c>
      <c r="G194" s="162" t="s">
        <v>180</v>
      </c>
      <c r="H194" s="163" t="str">
        <f t="shared" si="144"/>
        <v>UM</v>
      </c>
      <c r="I194" s="163" t="s">
        <v>148</v>
      </c>
      <c r="J194" s="162" t="s">
        <v>550</v>
      </c>
      <c r="K194" s="163" t="s">
        <v>167</v>
      </c>
      <c r="L194" s="163" t="s">
        <v>166</v>
      </c>
      <c r="M194" s="163" t="str">
        <f t="shared" si="115"/>
        <v>PCV13 vs PCV10</v>
      </c>
      <c r="N194" s="159" t="s">
        <v>368</v>
      </c>
      <c r="O194" s="159">
        <v>3</v>
      </c>
      <c r="P194" s="162" t="s">
        <v>155</v>
      </c>
      <c r="Q194" s="162" t="s">
        <v>756</v>
      </c>
      <c r="R194" s="162" t="s">
        <v>150</v>
      </c>
      <c r="S194" s="162" t="s">
        <v>151</v>
      </c>
      <c r="T194" s="159">
        <v>2018</v>
      </c>
      <c r="U194" s="159" t="s">
        <v>386</v>
      </c>
      <c r="V194" s="159" t="s">
        <v>386</v>
      </c>
      <c r="W194" s="162" t="s">
        <v>385</v>
      </c>
      <c r="Y194" s="165"/>
      <c r="AA194" s="163" t="s">
        <v>148</v>
      </c>
      <c r="AB194" s="162" t="s">
        <v>417</v>
      </c>
      <c r="AC194" s="162" t="s">
        <v>148</v>
      </c>
      <c r="AD194" s="163" t="s">
        <v>155</v>
      </c>
      <c r="AE194" s="162" t="str">
        <f t="shared" si="161"/>
        <v/>
      </c>
      <c r="AF194" s="163" t="s">
        <v>148</v>
      </c>
      <c r="AG194" s="163" t="s">
        <v>148</v>
      </c>
      <c r="AH194" s="163" t="s">
        <v>148</v>
      </c>
      <c r="AJ194" s="162"/>
      <c r="AK194" s="162" t="s">
        <v>783</v>
      </c>
      <c r="AL194" s="163" t="s">
        <v>152</v>
      </c>
      <c r="AM194" s="179">
        <f>-60501015/2280</f>
        <v>-26535.532894736843</v>
      </c>
      <c r="AN194" s="179">
        <f t="shared" ref="AN194:AN196" si="180">AM194</f>
        <v>-26535.532894736843</v>
      </c>
      <c r="AO194" s="179">
        <f t="shared" ref="AO194:AO195" si="181">VLOOKUP(G194,gdppc,T194-1958,FALSE)</f>
        <v>11074</v>
      </c>
      <c r="AP194" s="163" t="str">
        <f t="shared" si="128"/>
        <v>Cost-Saving</v>
      </c>
      <c r="AQ194" s="163" t="str">
        <f t="shared" ref="AQ194" si="182">IF(AN194="NA", ".", IF(AN194&lt;0,"Cost-Saving",IF(AN194&lt;=AO194*3,"Cost-Effective",IF(AN194&gt;AO194*3&amp;AN194&lt;&gt;"NA","Not Cost-Effective","Missing"))))</f>
        <v>Cost-Saving</v>
      </c>
      <c r="AR194" s="167">
        <f t="shared" si="173"/>
        <v>-2.3962012727773923</v>
      </c>
      <c r="AS194" s="167">
        <f t="shared" si="134"/>
        <v>0.75</v>
      </c>
      <c r="AT194" s="159" t="str">
        <f t="shared" si="116"/>
        <v>Cost-Saving</v>
      </c>
      <c r="AU194" s="167">
        <f t="shared" si="135"/>
        <v>0.45</v>
      </c>
      <c r="AV194" s="162" t="str">
        <f t="shared" si="117"/>
        <v>Cost-Saving</v>
      </c>
      <c r="AW194" s="167">
        <f t="shared" si="136"/>
        <v>0.5771973489191532</v>
      </c>
      <c r="AX194" s="159" t="str">
        <f t="shared" si="118"/>
        <v>Cost-Saving</v>
      </c>
      <c r="AY194" s="167">
        <f t="shared" si="137"/>
        <v>0.32448707551478878</v>
      </c>
      <c r="AZ194" s="159" t="str">
        <f t="shared" si="119"/>
        <v>Cost-Saving</v>
      </c>
      <c r="BA194" s="167">
        <f t="shared" si="165"/>
        <v>0.68675272410416721</v>
      </c>
      <c r="BB194" s="159" t="str">
        <f t="shared" si="174"/>
        <v>Cost-Saving</v>
      </c>
      <c r="BC194" s="167">
        <f t="shared" si="166"/>
        <v>0.28467225411198244</v>
      </c>
      <c r="BD194" s="159" t="str">
        <f t="shared" si="175"/>
        <v>Cost-Saving</v>
      </c>
      <c r="BE194" s="162" t="s">
        <v>161</v>
      </c>
      <c r="BF194" s="162" t="s">
        <v>382</v>
      </c>
      <c r="BG194" s="168">
        <f t="shared" si="167"/>
        <v>0</v>
      </c>
      <c r="BH194" s="168">
        <f t="shared" si="168"/>
        <v>0</v>
      </c>
      <c r="BI194" s="163">
        <f t="shared" si="169"/>
        <v>0</v>
      </c>
      <c r="BJ194" s="163">
        <f t="shared" si="170"/>
        <v>0</v>
      </c>
      <c r="BK194" s="163">
        <f t="shared" si="176"/>
        <v>0</v>
      </c>
      <c r="BL194" s="163">
        <f t="shared" si="177"/>
        <v>0</v>
      </c>
      <c r="BM194" s="163">
        <f t="shared" si="178"/>
        <v>0</v>
      </c>
      <c r="BN194" s="163" t="s">
        <v>155</v>
      </c>
      <c r="BO194" s="162" t="str">
        <f t="shared" si="163"/>
        <v/>
      </c>
      <c r="BP194" s="162" t="s">
        <v>383</v>
      </c>
      <c r="BQ194" s="162" t="s">
        <v>163</v>
      </c>
    </row>
    <row r="195" spans="1:70">
      <c r="A195" s="159">
        <f t="shared" ref="A195:A197" si="183">IF(F195=F194,A194,A194+1)</f>
        <v>56</v>
      </c>
      <c r="B195" s="159">
        <f t="shared" ref="B195:B197" si="184">IF(F195=F194,B194+1,1)</f>
        <v>4</v>
      </c>
      <c r="C195" s="160" t="str">
        <f t="shared" si="179"/>
        <v>5604</v>
      </c>
      <c r="D195" s="159" t="s">
        <v>304</v>
      </c>
      <c r="E195" s="159">
        <v>2020</v>
      </c>
      <c r="F195" s="162" t="s">
        <v>779</v>
      </c>
      <c r="G195" s="162" t="s">
        <v>180</v>
      </c>
      <c r="H195" s="163" t="str">
        <f t="shared" si="144"/>
        <v>UM</v>
      </c>
      <c r="I195" s="163" t="s">
        <v>148</v>
      </c>
      <c r="J195" s="162" t="s">
        <v>550</v>
      </c>
      <c r="K195" s="163" t="s">
        <v>167</v>
      </c>
      <c r="L195" s="163" t="s">
        <v>166</v>
      </c>
      <c r="M195" s="163" t="str">
        <f t="shared" ref="M195:M197" si="185">_xlfn.CONCAT(K195, " vs ", L195)</f>
        <v>PCV13 vs PCV10</v>
      </c>
      <c r="N195" s="159" t="s">
        <v>368</v>
      </c>
      <c r="O195" s="159">
        <v>3</v>
      </c>
      <c r="P195" s="162" t="s">
        <v>155</v>
      </c>
      <c r="Q195" s="162" t="s">
        <v>149</v>
      </c>
      <c r="R195" s="162" t="s">
        <v>150</v>
      </c>
      <c r="S195" s="162" t="s">
        <v>151</v>
      </c>
      <c r="T195" s="159">
        <v>2018</v>
      </c>
      <c r="U195" s="159" t="s">
        <v>386</v>
      </c>
      <c r="V195" s="159" t="s">
        <v>386</v>
      </c>
      <c r="W195" s="162" t="s">
        <v>385</v>
      </c>
      <c r="Y195" s="165"/>
      <c r="AA195" s="163" t="s">
        <v>148</v>
      </c>
      <c r="AB195" s="162" t="s">
        <v>784</v>
      </c>
      <c r="AC195" s="162" t="s">
        <v>148</v>
      </c>
      <c r="AD195" s="163" t="s">
        <v>155</v>
      </c>
      <c r="AE195" s="162" t="str">
        <f t="shared" si="161"/>
        <v/>
      </c>
      <c r="AF195" s="163" t="s">
        <v>148</v>
      </c>
      <c r="AG195" s="163" t="s">
        <v>148</v>
      </c>
      <c r="AH195" s="163" t="s">
        <v>148</v>
      </c>
      <c r="AJ195" s="162"/>
      <c r="AK195" s="162" t="s">
        <v>785</v>
      </c>
      <c r="AL195" s="163" t="s">
        <v>152</v>
      </c>
      <c r="AM195" s="179">
        <f>-198277289/2739</f>
        <v>-72390.393939393936</v>
      </c>
      <c r="AN195" s="179">
        <f t="shared" si="180"/>
        <v>-72390.393939393936</v>
      </c>
      <c r="AO195" s="179">
        <f t="shared" si="181"/>
        <v>11074</v>
      </c>
      <c r="AP195" s="163" t="str">
        <f t="shared" si="128"/>
        <v>Cost-Saving</v>
      </c>
      <c r="AQ195" s="163" t="str">
        <f t="shared" si="102"/>
        <v>Cost-Saving</v>
      </c>
      <c r="AR195" s="167">
        <f t="shared" si="173"/>
        <v>-6.5369689307742398</v>
      </c>
      <c r="AS195" s="167">
        <f t="shared" si="134"/>
        <v>0.75</v>
      </c>
      <c r="AT195" s="159" t="str">
        <f t="shared" ref="AT195:AT197" si="186">IF(AR195&lt;0,"Cost-Saving", IF(AS195=".", ".", IF(AR195&lt;AS195, "Cost-Effective", "Not Cost-Effective")))</f>
        <v>Cost-Saving</v>
      </c>
      <c r="AU195" s="167">
        <f t="shared" si="135"/>
        <v>0.45</v>
      </c>
      <c r="AV195" s="162" t="str">
        <f t="shared" ref="AV195:AV197" si="187">IF(AR195&lt;0,"Cost-Saving", IF(AU195=".", ".", IF(AR195&lt;AU195, "Cost-Effective", "Not Cost-Effective")))</f>
        <v>Cost-Saving</v>
      </c>
      <c r="AW195" s="167">
        <f t="shared" si="136"/>
        <v>0.5771973489191532</v>
      </c>
      <c r="AX195" s="159" t="str">
        <f t="shared" ref="AX195:AX197" si="188">IF(AR195&lt;0,"Cost-Saving", IF(AW195=".", ".", IF(AR195&lt;AW195, "Cost-Effective", "Not Cost-Effective")))</f>
        <v>Cost-Saving</v>
      </c>
      <c r="AY195" s="167">
        <f t="shared" si="137"/>
        <v>0.32448707551478878</v>
      </c>
      <c r="AZ195" s="159" t="str">
        <f t="shared" ref="AZ195:AZ197" si="189">IF(AR195&lt;0,"Cost-Saving", IF(AY195=".", ".", IF(AR195&lt;AY195, "Cost-Effective", "Not Cost-Effective")))</f>
        <v>Cost-Saving</v>
      </c>
      <c r="BA195" s="167">
        <f t="shared" si="165"/>
        <v>0.68675272410416721</v>
      </c>
      <c r="BB195" s="159" t="str">
        <f t="shared" si="174"/>
        <v>Cost-Saving</v>
      </c>
      <c r="BC195" s="167">
        <f t="shared" si="166"/>
        <v>0.28467225411198244</v>
      </c>
      <c r="BD195" s="159" t="str">
        <f t="shared" si="175"/>
        <v>Cost-Saving</v>
      </c>
      <c r="BE195" s="162" t="s">
        <v>161</v>
      </c>
      <c r="BF195" s="162" t="s">
        <v>382</v>
      </c>
      <c r="BG195" s="168">
        <f t="shared" si="167"/>
        <v>0</v>
      </c>
      <c r="BH195" s="168">
        <f t="shared" si="168"/>
        <v>0</v>
      </c>
      <c r="BI195" s="163">
        <f t="shared" si="169"/>
        <v>0</v>
      </c>
      <c r="BJ195" s="163">
        <f t="shared" si="170"/>
        <v>0</v>
      </c>
      <c r="BK195" s="163">
        <f t="shared" si="176"/>
        <v>0</v>
      </c>
      <c r="BL195" s="163">
        <f t="shared" si="177"/>
        <v>0</v>
      </c>
      <c r="BM195" s="163">
        <f t="shared" si="178"/>
        <v>0</v>
      </c>
      <c r="BN195" s="163" t="s">
        <v>155</v>
      </c>
      <c r="BO195" s="162" t="str">
        <f t="shared" si="163"/>
        <v/>
      </c>
      <c r="BP195" s="162" t="s">
        <v>383</v>
      </c>
      <c r="BQ195" s="162" t="s">
        <v>163</v>
      </c>
      <c r="BR195" s="162" t="s">
        <v>786</v>
      </c>
    </row>
    <row r="196" spans="1:70">
      <c r="A196" s="159">
        <f t="shared" si="183"/>
        <v>56</v>
      </c>
      <c r="B196" s="159">
        <f t="shared" si="184"/>
        <v>5</v>
      </c>
      <c r="C196" s="160" t="str">
        <f t="shared" si="179"/>
        <v>5605</v>
      </c>
      <c r="D196" s="159" t="s">
        <v>304</v>
      </c>
      <c r="E196" s="159">
        <v>2020</v>
      </c>
      <c r="F196" s="162" t="s">
        <v>779</v>
      </c>
      <c r="G196" s="162" t="s">
        <v>180</v>
      </c>
      <c r="H196" s="163" t="str">
        <f t="shared" si="144"/>
        <v>UM</v>
      </c>
      <c r="I196" s="163" t="s">
        <v>148</v>
      </c>
      <c r="J196" s="162" t="s">
        <v>550</v>
      </c>
      <c r="K196" s="163" t="s">
        <v>167</v>
      </c>
      <c r="L196" s="163" t="s">
        <v>166</v>
      </c>
      <c r="M196" s="163" t="str">
        <f t="shared" si="185"/>
        <v>PCV13 vs PCV10</v>
      </c>
      <c r="N196" s="159" t="s">
        <v>368</v>
      </c>
      <c r="O196" s="159">
        <v>3</v>
      </c>
      <c r="P196" s="162" t="s">
        <v>155</v>
      </c>
      <c r="Q196" s="162" t="s">
        <v>149</v>
      </c>
      <c r="R196" s="162" t="s">
        <v>150</v>
      </c>
      <c r="S196" s="162" t="s">
        <v>151</v>
      </c>
      <c r="T196" s="159">
        <v>2018</v>
      </c>
      <c r="U196" s="159" t="s">
        <v>386</v>
      </c>
      <c r="V196" s="159" t="s">
        <v>386</v>
      </c>
      <c r="W196" s="162" t="s">
        <v>385</v>
      </c>
      <c r="Y196" s="165"/>
      <c r="AA196" s="163" t="s">
        <v>148</v>
      </c>
      <c r="AB196" s="162" t="s">
        <v>787</v>
      </c>
      <c r="AC196" s="162" t="s">
        <v>148</v>
      </c>
      <c r="AD196" s="163" t="s">
        <v>155</v>
      </c>
      <c r="AE196" s="162" t="str">
        <f t="shared" si="161"/>
        <v/>
      </c>
      <c r="AF196" s="163" t="s">
        <v>148</v>
      </c>
      <c r="AG196" s="163" t="s">
        <v>148</v>
      </c>
      <c r="AH196" s="163" t="s">
        <v>148</v>
      </c>
      <c r="AJ196" s="162"/>
      <c r="AK196" s="162" t="s">
        <v>788</v>
      </c>
      <c r="AL196" s="163" t="s">
        <v>152</v>
      </c>
      <c r="AM196" s="179">
        <f>-173261339/2560</f>
        <v>-67680.210546874994</v>
      </c>
      <c r="AN196" s="179">
        <f t="shared" si="180"/>
        <v>-67680.210546874994</v>
      </c>
      <c r="AO196" s="179">
        <f t="shared" ref="AO196:AO197" si="190">VLOOKUP(G196,gdppc,T196-1958,FALSE)</f>
        <v>11074</v>
      </c>
      <c r="AP196" s="163" t="str">
        <f t="shared" si="128"/>
        <v>Cost-Saving</v>
      </c>
      <c r="AQ196" s="163" t="str">
        <f t="shared" ref="AQ196:AQ197" si="191">IF(AN196="NA", ".", IF(AN196&lt;0,"Cost-Saving",IF(AN196&lt;=AO196*3,"Cost-Effective",IF(AN196&gt;AO196*3&amp;AN196&lt;&gt;"NA","Not Cost-Effective","Missing"))))</f>
        <v>Cost-Saving</v>
      </c>
      <c r="AR196" s="167">
        <f t="shared" si="173"/>
        <v>-6.1116317994288414</v>
      </c>
      <c r="AS196" s="167">
        <f t="shared" si="134"/>
        <v>0.75</v>
      </c>
      <c r="AT196" s="159" t="str">
        <f t="shared" si="186"/>
        <v>Cost-Saving</v>
      </c>
      <c r="AU196" s="167">
        <f t="shared" si="135"/>
        <v>0.45</v>
      </c>
      <c r="AV196" s="162" t="str">
        <f t="shared" si="187"/>
        <v>Cost-Saving</v>
      </c>
      <c r="AW196" s="167">
        <f t="shared" si="136"/>
        <v>0.5771973489191532</v>
      </c>
      <c r="AX196" s="159" t="str">
        <f t="shared" si="188"/>
        <v>Cost-Saving</v>
      </c>
      <c r="AY196" s="167">
        <f t="shared" si="137"/>
        <v>0.32448707551478878</v>
      </c>
      <c r="AZ196" s="159" t="str">
        <f t="shared" si="189"/>
        <v>Cost-Saving</v>
      </c>
      <c r="BA196" s="167">
        <f t="shared" si="165"/>
        <v>0.68675272410416721</v>
      </c>
      <c r="BB196" s="159" t="str">
        <f t="shared" si="174"/>
        <v>Cost-Saving</v>
      </c>
      <c r="BC196" s="167">
        <f t="shared" si="166"/>
        <v>0.28467225411198244</v>
      </c>
      <c r="BD196" s="159" t="str">
        <f t="shared" si="175"/>
        <v>Cost-Saving</v>
      </c>
      <c r="BE196" s="162" t="s">
        <v>161</v>
      </c>
      <c r="BF196" s="162" t="s">
        <v>382</v>
      </c>
      <c r="BG196" s="168">
        <f t="shared" si="167"/>
        <v>0</v>
      </c>
      <c r="BH196" s="168">
        <f t="shared" si="168"/>
        <v>0</v>
      </c>
      <c r="BI196" s="163">
        <f t="shared" si="169"/>
        <v>0</v>
      </c>
      <c r="BJ196" s="163">
        <f t="shared" si="170"/>
        <v>0</v>
      </c>
      <c r="BK196" s="163">
        <f t="shared" si="176"/>
        <v>0</v>
      </c>
      <c r="BL196" s="163">
        <f t="shared" si="177"/>
        <v>0</v>
      </c>
      <c r="BM196" s="163">
        <f t="shared" si="178"/>
        <v>0</v>
      </c>
      <c r="BN196" s="163" t="s">
        <v>155</v>
      </c>
      <c r="BO196" s="162" t="str">
        <f t="shared" si="163"/>
        <v/>
      </c>
      <c r="BP196" s="162" t="s">
        <v>383</v>
      </c>
      <c r="BQ196" s="162" t="s">
        <v>163</v>
      </c>
      <c r="BR196" s="162" t="s">
        <v>789</v>
      </c>
    </row>
    <row r="197" spans="1:70">
      <c r="A197" s="159">
        <f t="shared" si="183"/>
        <v>57</v>
      </c>
      <c r="B197" s="159">
        <f t="shared" si="184"/>
        <v>1</v>
      </c>
      <c r="C197" s="160" t="str">
        <f t="shared" si="179"/>
        <v>5701</v>
      </c>
      <c r="D197" s="159" t="s">
        <v>306</v>
      </c>
      <c r="E197" s="159">
        <v>2019</v>
      </c>
      <c r="F197" s="162" t="s">
        <v>790</v>
      </c>
      <c r="G197" s="162" t="s">
        <v>281</v>
      </c>
      <c r="H197" s="163" t="str">
        <f t="shared" si="144"/>
        <v>UM</v>
      </c>
      <c r="I197" s="163" t="s">
        <v>155</v>
      </c>
      <c r="J197" s="162" t="s">
        <v>791</v>
      </c>
      <c r="K197" s="163" t="s">
        <v>167</v>
      </c>
      <c r="L197" s="163" t="s">
        <v>166</v>
      </c>
      <c r="M197" s="163" t="str">
        <f t="shared" si="185"/>
        <v>PCV13 vs PCV10</v>
      </c>
      <c r="N197" s="159" t="s">
        <v>368</v>
      </c>
      <c r="O197" s="159">
        <v>3</v>
      </c>
      <c r="P197" s="162" t="s">
        <v>148</v>
      </c>
      <c r="Q197" s="162" t="s">
        <v>377</v>
      </c>
      <c r="R197" s="162" t="s">
        <v>150</v>
      </c>
      <c r="S197" s="162" t="s">
        <v>151</v>
      </c>
      <c r="T197" s="159">
        <v>2018</v>
      </c>
      <c r="U197" s="165">
        <v>12.85</v>
      </c>
      <c r="V197" s="165" t="e">
        <f>IF(ISNUMBER(U197),U197/VLOOKUP($S197,xRates!$A$1:$AA$267,data!$T197-xRates!$B$1+2,FALSE),U197)</f>
        <v>#REF!</v>
      </c>
      <c r="W197" s="162" t="s">
        <v>792</v>
      </c>
      <c r="X197" s="159">
        <v>14.5</v>
      </c>
      <c r="Y197" s="165">
        <v>14.5</v>
      </c>
      <c r="Z197" s="162" t="s">
        <v>792</v>
      </c>
      <c r="AA197" s="163" t="s">
        <v>148</v>
      </c>
      <c r="AB197" s="162" t="s">
        <v>710</v>
      </c>
      <c r="AC197" s="162" t="s">
        <v>386</v>
      </c>
      <c r="AD197" s="163" t="s">
        <v>148</v>
      </c>
      <c r="AE197" s="162" t="s">
        <v>385</v>
      </c>
      <c r="AF197" s="163" t="s">
        <v>148</v>
      </c>
      <c r="AG197" s="163" t="s">
        <v>148</v>
      </c>
      <c r="AH197" s="163" t="s">
        <v>148</v>
      </c>
      <c r="AJ197" s="162" t="s">
        <v>710</v>
      </c>
      <c r="AK197" s="162" t="s">
        <v>793</v>
      </c>
      <c r="AL197" s="163" t="s">
        <v>152</v>
      </c>
      <c r="AM197" s="179">
        <f>-6710744176/1307</f>
        <v>-5134463.791889824</v>
      </c>
      <c r="AN197" s="179">
        <f>AM197/xRates!X129</f>
        <v>-17705047.558240775</v>
      </c>
      <c r="AO197" s="179">
        <f t="shared" si="190"/>
        <v>10130.299999999999</v>
      </c>
      <c r="AP197" s="163" t="str">
        <f t="shared" si="128"/>
        <v>Cost-Saving</v>
      </c>
      <c r="AQ197" s="163" t="str">
        <f t="shared" si="191"/>
        <v>Cost-Saving</v>
      </c>
      <c r="AR197" s="167">
        <f t="shared" si="173"/>
        <v>-1747.7318103354073</v>
      </c>
      <c r="AS197" s="167">
        <f t="shared" si="134"/>
        <v>0.97</v>
      </c>
      <c r="AT197" s="159" t="str">
        <f t="shared" si="186"/>
        <v>Cost-Saving</v>
      </c>
      <c r="AU197" s="167">
        <f t="shared" si="135"/>
        <v>0.64</v>
      </c>
      <c r="AV197" s="162" t="str">
        <f t="shared" si="187"/>
        <v>Cost-Saving</v>
      </c>
      <c r="AW197" s="167">
        <f t="shared" si="136"/>
        <v>0.59633311243649212</v>
      </c>
      <c r="AX197" s="159" t="str">
        <f t="shared" si="188"/>
        <v>Cost-Saving</v>
      </c>
      <c r="AY197" s="167">
        <f t="shared" si="137"/>
        <v>0.21294455489286504</v>
      </c>
      <c r="AZ197" s="159" t="str">
        <f t="shared" si="189"/>
        <v>Cost-Saving</v>
      </c>
      <c r="BA197" s="167">
        <f t="shared" si="165"/>
        <v>0.87938205585264406</v>
      </c>
      <c r="BB197" s="159" t="str">
        <f t="shared" si="174"/>
        <v>Cost-Saving</v>
      </c>
      <c r="BC197" s="167">
        <f t="shared" si="166"/>
        <v>0.36446054472619938</v>
      </c>
      <c r="BD197" s="159" t="str">
        <f t="shared" si="175"/>
        <v>Cost-Saving</v>
      </c>
      <c r="BE197" s="162" t="s">
        <v>386</v>
      </c>
      <c r="BF197" s="162" t="s">
        <v>439</v>
      </c>
      <c r="BG197" s="168" t="str">
        <f t="shared" si="167"/>
        <v>.</v>
      </c>
      <c r="BH197" s="168" t="str">
        <f t="shared" si="168"/>
        <v>.</v>
      </c>
      <c r="BI197" s="163" t="str">
        <f t="shared" si="169"/>
        <v>.</v>
      </c>
      <c r="BJ197" s="163" t="str">
        <f t="shared" si="170"/>
        <v>.</v>
      </c>
      <c r="BK197" s="163" t="str">
        <f t="shared" si="176"/>
        <v>.</v>
      </c>
      <c r="BL197" s="163" t="str">
        <f t="shared" si="177"/>
        <v>.</v>
      </c>
      <c r="BM197" s="163">
        <f t="shared" si="178"/>
        <v>0</v>
      </c>
      <c r="BN197" s="163" t="s">
        <v>155</v>
      </c>
      <c r="BO197" s="162" t="str">
        <f t="shared" si="163"/>
        <v/>
      </c>
      <c r="BP197" s="162" t="s">
        <v>383</v>
      </c>
      <c r="BQ197" s="162" t="s">
        <v>163</v>
      </c>
    </row>
  </sheetData>
  <sortState xmlns:xlrd2="http://schemas.microsoft.com/office/spreadsheetml/2017/richdata2" ref="A2:BO98">
    <sortCondition ref="A2:A98"/>
  </sortState>
  <phoneticPr fontId="5" type="noConversion"/>
  <pageMargins left="0.7" right="0.7" top="0.75" bottom="0.75" header="0.3" footer="0.3"/>
  <pageSetup orientation="portrait" horizontalDpi="360" verticalDpi="360" r:id="rId1"/>
  <ignoredErrors>
    <ignoredError sqref="BK2:BK172 BK173:BK197" formula="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95135-E478-CC49-B04F-32D7447EAD9F}">
  <sheetPr codeName="Sheet15"/>
  <dimension ref="A3:G33"/>
  <sheetViews>
    <sheetView workbookViewId="0">
      <selection activeCell="D43" sqref="D43"/>
    </sheetView>
  </sheetViews>
  <sheetFormatPr baseColWidth="10" defaultColWidth="10.83203125" defaultRowHeight="15"/>
  <sheetData>
    <row r="3" spans="1:7">
      <c r="A3" s="135" t="s">
        <v>794</v>
      </c>
      <c r="B3" t="s">
        <v>795</v>
      </c>
      <c r="F3" s="135" t="s">
        <v>794</v>
      </c>
      <c r="G3" t="s">
        <v>795</v>
      </c>
    </row>
    <row r="4" spans="1:7">
      <c r="A4" t="s">
        <v>180</v>
      </c>
      <c r="B4">
        <f>18-5</f>
        <v>13</v>
      </c>
      <c r="C4" t="s">
        <v>796</v>
      </c>
      <c r="F4" t="s">
        <v>241</v>
      </c>
      <c r="G4">
        <v>17</v>
      </c>
    </row>
    <row r="5" spans="1:7">
      <c r="A5" t="s">
        <v>241</v>
      </c>
      <c r="B5">
        <v>17</v>
      </c>
      <c r="F5" t="s">
        <v>145</v>
      </c>
      <c r="G5">
        <v>16</v>
      </c>
    </row>
    <row r="6" spans="1:7">
      <c r="A6" t="s">
        <v>145</v>
      </c>
      <c r="B6">
        <v>16</v>
      </c>
      <c r="F6" t="s">
        <v>193</v>
      </c>
      <c r="G6">
        <v>16</v>
      </c>
    </row>
    <row r="7" spans="1:7">
      <c r="A7" t="s">
        <v>193</v>
      </c>
      <c r="B7">
        <v>16</v>
      </c>
      <c r="F7" t="s">
        <v>211</v>
      </c>
      <c r="G7">
        <v>15</v>
      </c>
    </row>
    <row r="8" spans="1:7">
      <c r="A8" t="s">
        <v>211</v>
      </c>
      <c r="B8">
        <v>15</v>
      </c>
      <c r="F8" t="s">
        <v>180</v>
      </c>
      <c r="G8">
        <f>18-5</f>
        <v>13</v>
      </c>
    </row>
    <row r="9" spans="1:7">
      <c r="A9" t="s">
        <v>221</v>
      </c>
      <c r="B9">
        <v>13</v>
      </c>
      <c r="F9" t="s">
        <v>221</v>
      </c>
      <c r="G9">
        <v>13</v>
      </c>
    </row>
    <row r="10" spans="1:7">
      <c r="A10" t="s">
        <v>301</v>
      </c>
      <c r="B10">
        <v>12</v>
      </c>
      <c r="F10" t="s">
        <v>301</v>
      </c>
      <c r="G10">
        <v>12</v>
      </c>
    </row>
    <row r="11" spans="1:7">
      <c r="A11" t="s">
        <v>234</v>
      </c>
      <c r="B11">
        <v>12</v>
      </c>
      <c r="F11" t="s">
        <v>234</v>
      </c>
      <c r="G11">
        <v>12</v>
      </c>
    </row>
    <row r="12" spans="1:7">
      <c r="A12" t="s">
        <v>217</v>
      </c>
      <c r="B12">
        <v>10</v>
      </c>
      <c r="F12" t="s">
        <v>217</v>
      </c>
      <c r="G12">
        <v>10</v>
      </c>
    </row>
    <row r="13" spans="1:7">
      <c r="A13" t="s">
        <v>200</v>
      </c>
      <c r="B13">
        <v>10</v>
      </c>
      <c r="F13" t="s">
        <v>200</v>
      </c>
      <c r="G13">
        <v>10</v>
      </c>
    </row>
    <row r="14" spans="1:7">
      <c r="A14" t="s">
        <v>267</v>
      </c>
      <c r="B14">
        <v>8</v>
      </c>
      <c r="F14" t="s">
        <v>797</v>
      </c>
      <c r="G14">
        <f>SUM(B14:B32)</f>
        <v>53</v>
      </c>
    </row>
    <row r="15" spans="1:7">
      <c r="A15" t="s">
        <v>616</v>
      </c>
      <c r="B15">
        <v>7</v>
      </c>
      <c r="G15">
        <f>SUM(G4:G14)</f>
        <v>187</v>
      </c>
    </row>
    <row r="16" spans="1:7">
      <c r="A16" t="s">
        <v>226</v>
      </c>
      <c r="B16">
        <v>5</v>
      </c>
    </row>
    <row r="17" spans="1:3">
      <c r="A17" t="s">
        <v>281</v>
      </c>
      <c r="B17">
        <f>5</f>
        <v>5</v>
      </c>
      <c r="C17" t="s">
        <v>796</v>
      </c>
    </row>
    <row r="18" spans="1:3">
      <c r="A18" t="s">
        <v>206</v>
      </c>
      <c r="B18">
        <v>4</v>
      </c>
    </row>
    <row r="19" spans="1:3">
      <c r="A19" t="s">
        <v>209</v>
      </c>
      <c r="B19">
        <v>3</v>
      </c>
    </row>
    <row r="20" spans="1:3">
      <c r="A20" t="s">
        <v>294</v>
      </c>
      <c r="B20">
        <v>2</v>
      </c>
    </row>
    <row r="21" spans="1:3">
      <c r="A21" t="s">
        <v>286</v>
      </c>
      <c r="B21">
        <v>2</v>
      </c>
    </row>
    <row r="22" spans="1:3">
      <c r="A22" t="s">
        <v>246</v>
      </c>
      <c r="B22">
        <v>2</v>
      </c>
    </row>
    <row r="23" spans="1:3">
      <c r="A23" t="s">
        <v>287</v>
      </c>
      <c r="B23">
        <v>2</v>
      </c>
    </row>
    <row r="24" spans="1:3">
      <c r="A24" t="s">
        <v>252</v>
      </c>
      <c r="B24">
        <v>2</v>
      </c>
    </row>
    <row r="25" spans="1:3">
      <c r="A25" t="s">
        <v>229</v>
      </c>
      <c r="B25">
        <v>2</v>
      </c>
    </row>
    <row r="26" spans="1:3">
      <c r="A26" t="s">
        <v>236</v>
      </c>
      <c r="B26">
        <v>2</v>
      </c>
    </row>
    <row r="27" spans="1:3">
      <c r="A27" t="s">
        <v>293</v>
      </c>
      <c r="B27">
        <v>2</v>
      </c>
    </row>
    <row r="28" spans="1:3">
      <c r="A28" t="s">
        <v>255</v>
      </c>
      <c r="B28">
        <v>1</v>
      </c>
    </row>
    <row r="29" spans="1:3">
      <c r="A29" t="s">
        <v>232</v>
      </c>
      <c r="B29">
        <v>1</v>
      </c>
    </row>
    <row r="30" spans="1:3">
      <c r="A30" t="s">
        <v>270</v>
      </c>
      <c r="B30">
        <v>1</v>
      </c>
    </row>
    <row r="31" spans="1:3">
      <c r="A31" t="s">
        <v>189</v>
      </c>
      <c r="B31">
        <v>1</v>
      </c>
    </row>
    <row r="32" spans="1:3">
      <c r="A32" t="s">
        <v>212</v>
      </c>
      <c r="B32">
        <v>1</v>
      </c>
    </row>
    <row r="33" spans="1:2">
      <c r="A33" t="s">
        <v>798</v>
      </c>
      <c r="B33">
        <v>192</v>
      </c>
    </row>
  </sheetData>
  <sortState xmlns:xlrd2="http://schemas.microsoft.com/office/spreadsheetml/2017/richdata2" ref="F4:G13">
    <sortCondition descending="1" ref="G4:G1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84903-9AC4-43CD-A08C-8073F0D59C0E}">
  <sheetPr codeName="Sheet4"/>
  <dimension ref="A1:F47"/>
  <sheetViews>
    <sheetView workbookViewId="0">
      <selection activeCell="A2" sqref="A2"/>
    </sheetView>
  </sheetViews>
  <sheetFormatPr baseColWidth="10" defaultColWidth="8.83203125" defaultRowHeight="14"/>
  <cols>
    <col min="1" max="1" width="7.33203125" style="57" bestFit="1" customWidth="1"/>
    <col min="2" max="2" width="12.1640625" style="56" bestFit="1" customWidth="1"/>
    <col min="3" max="3" width="15.1640625" style="57" bestFit="1" customWidth="1"/>
    <col min="4" max="5" width="8.83203125" style="56"/>
    <col min="6" max="6" width="7.33203125" style="56" bestFit="1" customWidth="1"/>
    <col min="7" max="16384" width="8.83203125" style="56"/>
  </cols>
  <sheetData>
    <row r="1" spans="1:6">
      <c r="A1" s="57" t="s">
        <v>799</v>
      </c>
      <c r="B1" s="56" t="s">
        <v>800</v>
      </c>
      <c r="C1" s="57" t="s">
        <v>801</v>
      </c>
      <c r="E1" s="56" t="s">
        <v>802</v>
      </c>
      <c r="F1" s="56" t="s">
        <v>803</v>
      </c>
    </row>
    <row r="2" spans="1:6">
      <c r="A2" s="57">
        <v>1</v>
      </c>
      <c r="B2" s="56">
        <f t="shared" ref="B2:B47" ca="1" si="0">RAND()</f>
        <v>0.64238167582499905</v>
      </c>
      <c r="C2" s="57" cm="1">
        <f t="array" aca="1" ref="C2" ca="1">INDEX(A$2:A$47,RANK(B3,B$3:B$47))</f>
        <v>4</v>
      </c>
      <c r="E2" s="56">
        <v>33</v>
      </c>
      <c r="F2" s="56" t="s">
        <v>804</v>
      </c>
    </row>
    <row r="3" spans="1:6">
      <c r="A3" s="57">
        <v>2</v>
      </c>
      <c r="B3" s="56">
        <f t="shared" ca="1" si="0"/>
        <v>0.83639013783782379</v>
      </c>
      <c r="C3" s="57" cm="1">
        <f t="array" aca="1" ref="C3" ca="1">INDEX(A$2:A$47,RANK(B4,B$3:B$47))</f>
        <v>37</v>
      </c>
      <c r="E3" s="56">
        <v>12</v>
      </c>
      <c r="F3" s="56" t="s">
        <v>805</v>
      </c>
    </row>
    <row r="4" spans="1:6">
      <c r="A4" s="57">
        <v>3</v>
      </c>
      <c r="B4" s="56">
        <f t="shared" ca="1" si="0"/>
        <v>8.7501003751107365E-2</v>
      </c>
      <c r="C4" s="57" cm="1">
        <f t="array" aca="1" ref="C4" ca="1">INDEX(A$2:A$47,RANK(B5,B$3:B$47))</f>
        <v>25</v>
      </c>
      <c r="E4" s="56">
        <v>16</v>
      </c>
      <c r="F4" s="56" t="s">
        <v>806</v>
      </c>
    </row>
    <row r="5" spans="1:6">
      <c r="A5" s="57">
        <v>4</v>
      </c>
      <c r="B5" s="56">
        <f t="shared" ca="1" si="0"/>
        <v>0.40371601735797669</v>
      </c>
      <c r="C5" s="57" cm="1">
        <f t="array" aca="1" ref="C5" ca="1">INDEX(A$2:A$47,RANK(B6,B$3:B$47))</f>
        <v>43</v>
      </c>
      <c r="E5" s="56">
        <v>35</v>
      </c>
      <c r="F5" s="56" t="s">
        <v>807</v>
      </c>
    </row>
    <row r="6" spans="1:6">
      <c r="A6" s="57">
        <v>5</v>
      </c>
      <c r="B6" s="56">
        <f t="shared" ca="1" si="0"/>
        <v>2.7969522182653916E-2</v>
      </c>
      <c r="C6" s="57" cm="1">
        <f t="array" aca="1" ref="C6" ca="1">INDEX(A$2:A$47,RANK(B7,B$3:B$47))</f>
        <v>11</v>
      </c>
      <c r="E6" s="56">
        <v>34</v>
      </c>
      <c r="F6" s="56" t="s">
        <v>808</v>
      </c>
    </row>
    <row r="7" spans="1:6">
      <c r="A7" s="57">
        <v>6</v>
      </c>
      <c r="B7" s="56">
        <f t="shared" ca="1" si="0"/>
        <v>0.76959718757493512</v>
      </c>
      <c r="C7" s="57" cm="1">
        <f t="array" aca="1" ref="C7" ca="1">INDEX(A$2:A$47,RANK(B8,B$3:B$47))</f>
        <v>7</v>
      </c>
      <c r="E7" s="56">
        <v>44</v>
      </c>
      <c r="F7" s="56" t="s">
        <v>809</v>
      </c>
    </row>
    <row r="8" spans="1:6">
      <c r="A8" s="57">
        <v>7</v>
      </c>
      <c r="B8" s="56">
        <f t="shared" ca="1" si="0"/>
        <v>0.79716477462515256</v>
      </c>
      <c r="C8" s="57" cm="1">
        <f t="array" aca="1" ref="C8" ca="1">INDEX(A$2:A$47,RANK(B9,B$3:B$47))</f>
        <v>35</v>
      </c>
      <c r="E8" s="56">
        <v>15</v>
      </c>
      <c r="F8" s="56" t="s">
        <v>810</v>
      </c>
    </row>
    <row r="9" spans="1:6">
      <c r="A9" s="57">
        <v>8</v>
      </c>
      <c r="B9" s="56">
        <f t="shared" ca="1" si="0"/>
        <v>0.13352568006843557</v>
      </c>
      <c r="C9" s="57" cm="1">
        <f t="array" aca="1" ref="C9" ca="1">INDEX(A$2:A$47,RANK(B10,B$3:B$47))</f>
        <v>2</v>
      </c>
      <c r="E9" s="56">
        <v>24</v>
      </c>
      <c r="F9" s="56" t="s">
        <v>811</v>
      </c>
    </row>
    <row r="10" spans="1:6">
      <c r="A10" s="57">
        <v>9</v>
      </c>
      <c r="B10" s="56">
        <f t="shared" ca="1" si="0"/>
        <v>0.90392121646592505</v>
      </c>
      <c r="C10" s="57" cm="1">
        <f t="array" aca="1" ref="C10" ca="1">INDEX(A$2:A$47,RANK(B11,B$3:B$47))</f>
        <v>36</v>
      </c>
      <c r="E10" s="56">
        <v>25</v>
      </c>
      <c r="F10" s="56" t="s">
        <v>812</v>
      </c>
    </row>
    <row r="11" spans="1:6">
      <c r="A11" s="57">
        <v>10</v>
      </c>
      <c r="B11" s="56">
        <f t="shared" ca="1" si="0"/>
        <v>0.11862135235041416</v>
      </c>
      <c r="C11" s="57" cm="1">
        <f t="array" aca="1" ref="C11" ca="1">INDEX(A$2:A$47,RANK(B12,B$3:B$47))</f>
        <v>16</v>
      </c>
      <c r="E11" s="56">
        <v>40</v>
      </c>
      <c r="F11" s="56" t="s">
        <v>813</v>
      </c>
    </row>
    <row r="12" spans="1:6">
      <c r="A12" s="57">
        <v>11</v>
      </c>
      <c r="B12" s="56">
        <f t="shared" ca="1" si="0"/>
        <v>0.67548647846412646</v>
      </c>
      <c r="C12" s="57" cm="1">
        <f t="array" aca="1" ref="C12" ca="1">INDEX(A$2:A$47,RANK(B13,B$3:B$47))</f>
        <v>38</v>
      </c>
    </row>
    <row r="13" spans="1:6">
      <c r="A13" s="57">
        <v>12</v>
      </c>
      <c r="B13" s="56">
        <f t="shared" ca="1" si="0"/>
        <v>8.663492769037473E-2</v>
      </c>
      <c r="C13" s="57" cm="1">
        <f t="array" aca="1" ref="C13" ca="1">INDEX(A$2:A$47,RANK(B14,B$3:B$47))</f>
        <v>12</v>
      </c>
    </row>
    <row r="14" spans="1:6">
      <c r="A14" s="57">
        <v>13</v>
      </c>
      <c r="B14" s="56">
        <f t="shared" ca="1" si="0"/>
        <v>0.75407877157466019</v>
      </c>
      <c r="C14" s="57" cm="1">
        <f t="array" aca="1" ref="C14" ca="1">INDEX(A$2:A$47,RANK(B15,B$3:B$47))</f>
        <v>42</v>
      </c>
    </row>
    <row r="15" spans="1:6">
      <c r="A15" s="57">
        <v>14</v>
      </c>
      <c r="B15" s="56">
        <f t="shared" ca="1" si="0"/>
        <v>3.743301820133027E-2</v>
      </c>
      <c r="C15" s="57" cm="1">
        <f t="array" aca="1" ref="C15" ca="1">INDEX(A$2:A$47,RANK(B16,B$3:B$47))</f>
        <v>22</v>
      </c>
    </row>
    <row r="16" spans="1:6">
      <c r="A16" s="57">
        <v>15</v>
      </c>
      <c r="B16" s="56">
        <f t="shared" ca="1" si="0"/>
        <v>0.50898079164374521</v>
      </c>
      <c r="C16" s="57" cm="1">
        <f t="array" aca="1" ref="C16" ca="1">INDEX(A$2:A$47,RANK(B17,B$3:B$47))</f>
        <v>28</v>
      </c>
    </row>
    <row r="17" spans="1:3">
      <c r="A17" s="57">
        <v>16</v>
      </c>
      <c r="B17" s="56">
        <f t="shared" ca="1" si="0"/>
        <v>0.30806911473200049</v>
      </c>
      <c r="C17" s="57" cm="1">
        <f t="array" aca="1" ref="C17" ca="1">INDEX(A$2:A$47,RANK(B18,B$3:B$47))</f>
        <v>45</v>
      </c>
    </row>
    <row r="18" spans="1:3">
      <c r="A18" s="57">
        <v>17</v>
      </c>
      <c r="B18" s="56">
        <f t="shared" ca="1" si="0"/>
        <v>6.2468310390839665E-3</v>
      </c>
      <c r="C18" s="57" cm="1">
        <f t="array" aca="1" ref="C18" ca="1">INDEX(A$2:A$47,RANK(B19,B$3:B$47))</f>
        <v>15</v>
      </c>
    </row>
    <row r="19" spans="1:3">
      <c r="A19" s="57">
        <v>18</v>
      </c>
      <c r="B19" s="56">
        <f t="shared" ca="1" si="0"/>
        <v>0.67796775604150572</v>
      </c>
      <c r="C19" s="57" cm="1">
        <f t="array" aca="1" ref="C19" ca="1">INDEX(A$2:A$47,RANK(B20,B$3:B$47))</f>
        <v>33</v>
      </c>
    </row>
    <row r="20" spans="1:3">
      <c r="A20" s="57">
        <v>19</v>
      </c>
      <c r="B20" s="56">
        <f t="shared" ca="1" si="0"/>
        <v>0.17070479279063999</v>
      </c>
      <c r="C20" s="57" cm="1">
        <f t="array" aca="1" ref="C20" ca="1">INDEX(A$2:A$47,RANK(B21,B$3:B$47))</f>
        <v>30</v>
      </c>
    </row>
    <row r="21" spans="1:3">
      <c r="A21" s="57">
        <v>20</v>
      </c>
      <c r="B21" s="56">
        <f t="shared" ca="1" si="0"/>
        <v>0.22213835478368193</v>
      </c>
      <c r="C21" s="57" cm="1">
        <f t="array" aca="1" ref="C21" ca="1">INDEX(A$2:A$47,RANK(B22,B$3:B$47))</f>
        <v>6</v>
      </c>
    </row>
    <row r="22" spans="1:3">
      <c r="A22" s="57">
        <v>21</v>
      </c>
      <c r="B22" s="56">
        <f t="shared" ca="1" si="0"/>
        <v>0.80376092469913729</v>
      </c>
      <c r="C22" s="57" cm="1">
        <f t="array" aca="1" ref="C22" ca="1">INDEX(A$2:A$47,RANK(B23,B$3:B$47))</f>
        <v>20</v>
      </c>
    </row>
    <row r="23" spans="1:3">
      <c r="A23" s="57">
        <v>22</v>
      </c>
      <c r="B23" s="56">
        <f t="shared" ca="1" si="0"/>
        <v>0.55403815250397992</v>
      </c>
      <c r="C23" s="57" cm="1">
        <f t="array" aca="1" ref="C23" ca="1">INDEX(A$2:A$47,RANK(B24,B$3:B$47))</f>
        <v>17</v>
      </c>
    </row>
    <row r="24" spans="1:3">
      <c r="A24" s="57">
        <v>23</v>
      </c>
      <c r="B24" s="56">
        <f t="shared" ca="1" si="0"/>
        <v>0.64987941746439726</v>
      </c>
      <c r="C24" s="57" cm="1">
        <f t="array" aca="1" ref="C24" ca="1">INDEX(A$2:A$47,RANK(B25,B$3:B$47))</f>
        <v>34</v>
      </c>
    </row>
    <row r="25" spans="1:3">
      <c r="A25" s="57">
        <v>24</v>
      </c>
      <c r="B25" s="56">
        <f t="shared" ca="1" si="0"/>
        <v>0.1595553294388794</v>
      </c>
      <c r="C25" s="57" cm="1">
        <f t="array" aca="1" ref="C25" ca="1">INDEX(A$2:A$47,RANK(B26,B$3:B$47))</f>
        <v>10</v>
      </c>
    </row>
    <row r="26" spans="1:3">
      <c r="A26" s="57">
        <v>25</v>
      </c>
      <c r="B26" s="56">
        <f t="shared" ca="1" si="0"/>
        <v>0.77139334347757249</v>
      </c>
      <c r="C26" s="57" cm="1">
        <f t="array" aca="1" ref="C26" ca="1">INDEX(A$2:A$47,RANK(B27,B$3:B$47))</f>
        <v>5</v>
      </c>
    </row>
    <row r="27" spans="1:3">
      <c r="A27" s="57">
        <v>26</v>
      </c>
      <c r="B27" s="56">
        <f t="shared" ca="1" si="0"/>
        <v>0.83536107896759271</v>
      </c>
      <c r="C27" s="57" cm="1">
        <f t="array" aca="1" ref="C27" ca="1">INDEX(A$2:A$47,RANK(B28,B$3:B$47))</f>
        <v>27</v>
      </c>
    </row>
    <row r="28" spans="1:3">
      <c r="A28" s="57">
        <v>27</v>
      </c>
      <c r="B28" s="56">
        <f t="shared" ca="1" si="0"/>
        <v>0.31533645693120294</v>
      </c>
      <c r="C28" s="57" cm="1">
        <f t="array" aca="1" ref="C28" ca="1">INDEX(A$2:A$47,RANK(B29,B$3:B$47))</f>
        <v>14</v>
      </c>
    </row>
    <row r="29" spans="1:3">
      <c r="A29" s="57">
        <v>28</v>
      </c>
      <c r="B29" s="56">
        <f t="shared" ca="1" si="0"/>
        <v>0.68942878945297681</v>
      </c>
      <c r="C29" s="57" cm="1">
        <f t="array" aca="1" ref="C29" ca="1">INDEX(A$2:A$47,RANK(B30,B$3:B$47))</f>
        <v>41</v>
      </c>
    </row>
    <row r="30" spans="1:3">
      <c r="A30" s="57">
        <v>29</v>
      </c>
      <c r="B30" s="56">
        <f t="shared" ca="1" si="0"/>
        <v>5.0129151708113717E-2</v>
      </c>
      <c r="C30" s="57" cm="1">
        <f t="array" aca="1" ref="C30" ca="1">INDEX(A$2:A$47,RANK(B31,B$3:B$47))</f>
        <v>32</v>
      </c>
    </row>
    <row r="31" spans="1:3">
      <c r="A31" s="57">
        <v>30</v>
      </c>
      <c r="B31" s="56">
        <f t="shared" ca="1" si="0"/>
        <v>0.17889076705194096</v>
      </c>
      <c r="C31" s="57" cm="1">
        <f t="array" aca="1" ref="C31" ca="1">INDEX(A$2:A$47,RANK(B32,B$3:B$47))</f>
        <v>3</v>
      </c>
    </row>
    <row r="32" spans="1:3">
      <c r="A32" s="57">
        <v>31</v>
      </c>
      <c r="B32" s="56">
        <f t="shared" ca="1" si="0"/>
        <v>0.8404123856800344</v>
      </c>
      <c r="C32" s="57" cm="1">
        <f t="array" aca="1" ref="C32" ca="1">INDEX(A$2:A$47,RANK(B33,B$3:B$47))</f>
        <v>19</v>
      </c>
    </row>
    <row r="33" spans="1:3">
      <c r="A33" s="57">
        <v>32</v>
      </c>
      <c r="B33" s="56">
        <f t="shared" ca="1" si="0"/>
        <v>0.59363021649563441</v>
      </c>
      <c r="C33" s="57" cm="1">
        <f t="array" aca="1" ref="C33" ca="1">INDEX(A$2:A$47,RANK(B34,B$3:B$47))</f>
        <v>39</v>
      </c>
    </row>
    <row r="34" spans="1:3">
      <c r="A34" s="57">
        <v>33</v>
      </c>
      <c r="B34" s="56">
        <f t="shared" ca="1" si="0"/>
        <v>7.677084177331206E-2</v>
      </c>
      <c r="C34" s="57" cm="1">
        <f t="array" aca="1" ref="C34" ca="1">INDEX(A$2:A$47,RANK(B35,B$3:B$47))</f>
        <v>13</v>
      </c>
    </row>
    <row r="35" spans="1:3">
      <c r="A35" s="57">
        <v>34</v>
      </c>
      <c r="B35" s="56">
        <f t="shared" ca="1" si="0"/>
        <v>0.70198966666789009</v>
      </c>
      <c r="C35" s="57" cm="1">
        <f t="array" aca="1" ref="C35" ca="1">INDEX(A$2:A$47,RANK(B36,B$3:B$47))</f>
        <v>1</v>
      </c>
    </row>
    <row r="36" spans="1:3">
      <c r="A36" s="57">
        <v>35</v>
      </c>
      <c r="B36" s="56">
        <f t="shared" ca="1" si="0"/>
        <v>0.93644597138339236</v>
      </c>
      <c r="C36" s="57" cm="1">
        <f t="array" aca="1" ref="C36" ca="1">INDEX(A$2:A$47,RANK(B37,B$3:B$47))</f>
        <v>21</v>
      </c>
    </row>
    <row r="37" spans="1:3">
      <c r="A37" s="57">
        <v>36</v>
      </c>
      <c r="B37" s="56">
        <f t="shared" ca="1" si="0"/>
        <v>0.53445850669507144</v>
      </c>
      <c r="C37" s="57" cm="1">
        <f t="array" aca="1" ref="C37" ca="1">INDEX(A$2:A$47,RANK(B38,B$3:B$47))</f>
        <v>8</v>
      </c>
    </row>
    <row r="38" spans="1:3">
      <c r="A38" s="57">
        <v>37</v>
      </c>
      <c r="B38" s="56">
        <f t="shared" ca="1" si="0"/>
        <v>0.79572032011675908</v>
      </c>
      <c r="C38" s="57" cm="1">
        <f t="array" aca="1" ref="C38" ca="1">INDEX(A$2:A$47,RANK(B39,B$3:B$47))</f>
        <v>9</v>
      </c>
    </row>
    <row r="39" spans="1:3">
      <c r="A39" s="57">
        <v>38</v>
      </c>
      <c r="B39" s="56">
        <f t="shared" ca="1" si="0"/>
        <v>0.78887292574100853</v>
      </c>
      <c r="C39" s="57" cm="1">
        <f t="array" aca="1" ref="C39" ca="1">INDEX(A$2:A$47,RANK(B40,B$3:B$47))</f>
        <v>18</v>
      </c>
    </row>
    <row r="40" spans="1:3">
      <c r="A40" s="57">
        <v>39</v>
      </c>
      <c r="B40" s="56">
        <f t="shared" ca="1" si="0"/>
        <v>0.63747939108827922</v>
      </c>
      <c r="C40" s="57" cm="1">
        <f t="array" aca="1" ref="C40" ca="1">INDEX(A$2:A$47,RANK(B41,B$3:B$47))</f>
        <v>31</v>
      </c>
    </row>
    <row r="41" spans="1:3">
      <c r="A41" s="57">
        <v>40</v>
      </c>
      <c r="B41" s="56">
        <f t="shared" ca="1" si="0"/>
        <v>0.21261589774638001</v>
      </c>
      <c r="C41" s="57" cm="1">
        <f t="array" aca="1" ref="C41" ca="1">INDEX(A$2:A$47,RANK(B42,B$3:B$47))</f>
        <v>26</v>
      </c>
    </row>
    <row r="42" spans="1:3">
      <c r="A42" s="57">
        <v>41</v>
      </c>
      <c r="B42" s="56">
        <f t="shared" ca="1" si="0"/>
        <v>0.32810558239218146</v>
      </c>
      <c r="C42" s="57" cm="1">
        <f t="array" aca="1" ref="C42" ca="1">INDEX(A$2:A$47,RANK(B43,B$3:B$47))</f>
        <v>24</v>
      </c>
    </row>
    <row r="43" spans="1:3">
      <c r="A43" s="57">
        <v>42</v>
      </c>
      <c r="B43" s="56">
        <f t="shared" ca="1" si="0"/>
        <v>0.43604766530879224</v>
      </c>
      <c r="C43" s="57" cm="1">
        <f t="array" aca="1" ref="C43" ca="1">INDEX(A$2:A$47,RANK(B44,B$3:B$47))</f>
        <v>40</v>
      </c>
    </row>
    <row r="44" spans="1:3">
      <c r="A44" s="57">
        <v>43</v>
      </c>
      <c r="B44" s="56">
        <f t="shared" ca="1" si="0"/>
        <v>6.6005268964690056E-2</v>
      </c>
      <c r="C44" s="57" cm="1">
        <f t="array" aca="1" ref="C44" ca="1">INDEX(A$2:A$47,RANK(B45,B$3:B$47))</f>
        <v>44</v>
      </c>
    </row>
    <row r="45" spans="1:3">
      <c r="A45" s="57">
        <v>44</v>
      </c>
      <c r="B45" s="56">
        <f t="shared" ca="1" si="0"/>
        <v>1.0931684418842402E-2</v>
      </c>
      <c r="C45" s="57" cm="1">
        <f t="array" aca="1" ref="C45" ca="1">INDEX(A$2:A$47,RANK(B46,B$3:B$47))</f>
        <v>23</v>
      </c>
    </row>
    <row r="46" spans="1:3">
      <c r="A46" s="57">
        <v>45</v>
      </c>
      <c r="B46" s="56">
        <f t="shared" ca="1" si="0"/>
        <v>0.5072706027278483</v>
      </c>
      <c r="C46" s="57" cm="1">
        <f t="array" aca="1" ref="C46" ca="1">INDEX(A$2:A$47,RANK(B47,B$3:B$47))</f>
        <v>29</v>
      </c>
    </row>
    <row r="47" spans="1:3">
      <c r="A47" s="57">
        <v>46</v>
      </c>
      <c r="B47" s="56">
        <f t="shared" ca="1" si="0"/>
        <v>0.25221070791832945</v>
      </c>
      <c r="C47" s="57" t="e" cm="1">
        <f t="array" ref="C47">INDEX(A$2:A$47,RANK(#REF!,B$3:B$47))</f>
        <v>#REF!</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855C-2413-964D-A899-682B8DF8E1B8}">
  <sheetPr codeName="Sheet6"/>
  <dimension ref="A1:AJ214"/>
  <sheetViews>
    <sheetView zoomScale="70" zoomScaleNormal="70" workbookViewId="0">
      <pane ySplit="1" topLeftCell="A141" activePane="bottomLeft" state="frozen"/>
      <selection activeCell="I1" sqref="I1"/>
      <selection pane="bottomLeft" activeCell="A186" sqref="A186"/>
    </sheetView>
  </sheetViews>
  <sheetFormatPr baseColWidth="10" defaultColWidth="9.1640625" defaultRowHeight="12.75" customHeight="1"/>
  <cols>
    <col min="1" max="1" width="12.33203125" style="40" bestFit="1" customWidth="1"/>
    <col min="2" max="2" width="12.1640625" style="40" bestFit="1" customWidth="1"/>
    <col min="3" max="3" width="13.83203125" style="40" bestFit="1" customWidth="1"/>
    <col min="4" max="4" width="16.33203125" style="30" bestFit="1" customWidth="1"/>
    <col min="5" max="5" width="13.33203125" style="40" bestFit="1" customWidth="1"/>
    <col min="6" max="6" width="48.33203125" style="30" customWidth="1"/>
    <col min="7" max="7" width="15.33203125" style="30" bestFit="1" customWidth="1"/>
    <col min="8" max="8" width="87.83203125" style="30" bestFit="1" customWidth="1"/>
    <col min="9" max="10" width="16.33203125" style="40" bestFit="1" customWidth="1"/>
    <col min="11" max="11" width="14" style="49" bestFit="1" customWidth="1"/>
    <col min="12" max="12" width="14.1640625" style="40" bestFit="1" customWidth="1"/>
    <col min="13" max="13" width="15.33203125" style="40" bestFit="1" customWidth="1"/>
    <col min="14" max="14" width="16.1640625" style="49" bestFit="1" customWidth="1"/>
    <col min="15" max="15" width="15.33203125" style="49" bestFit="1" customWidth="1"/>
    <col min="16" max="16" width="18" style="40" bestFit="1" customWidth="1"/>
    <col min="17" max="17" width="37.1640625" style="30" bestFit="1" customWidth="1"/>
    <col min="18" max="18" width="13.33203125" style="43" bestFit="1" customWidth="1"/>
    <col min="19" max="19" width="13.83203125" style="43" bestFit="1" customWidth="1"/>
    <col min="20" max="20" width="20.33203125" style="30" bestFit="1" customWidth="1"/>
    <col min="21" max="21" width="21.1640625" style="30" bestFit="1" customWidth="1"/>
    <col min="22" max="22" width="22.33203125" style="30" bestFit="1" customWidth="1"/>
    <col min="23" max="23" width="16.33203125" style="42" bestFit="1" customWidth="1"/>
    <col min="24" max="24" width="26.33203125" style="40" bestFit="1" customWidth="1"/>
    <col min="25" max="25" width="22.83203125" style="42" customWidth="1"/>
    <col min="26" max="26" width="26.33203125" style="40" bestFit="1" customWidth="1"/>
    <col min="27" max="27" width="22.33203125" style="42" bestFit="1" customWidth="1"/>
    <col min="28" max="28" width="25.33203125" style="40" bestFit="1" customWidth="1"/>
    <col min="29" max="29" width="21.33203125" style="30" bestFit="1" customWidth="1"/>
    <col min="30" max="30" width="25.33203125" style="40" bestFit="1" customWidth="1"/>
    <col min="31" max="31" width="21.33203125" style="30" bestFit="1" customWidth="1"/>
    <col min="32" max="32" width="17.33203125" style="30" bestFit="1" customWidth="1"/>
    <col min="33" max="33" width="16.33203125" style="30" bestFit="1" customWidth="1"/>
    <col min="34" max="34" width="63.33203125" style="30" bestFit="1" customWidth="1"/>
    <col min="35" max="35" width="12.83203125" style="30" bestFit="1" customWidth="1"/>
    <col min="36" max="36" width="11.33203125" style="30" bestFit="1" customWidth="1"/>
    <col min="37" max="16384" width="9.1640625" style="30"/>
  </cols>
  <sheetData>
    <row r="1" spans="1:35" s="37" customFormat="1" ht="12.75" customHeight="1">
      <c r="A1" s="36" t="s">
        <v>799</v>
      </c>
      <c r="B1" s="36" t="s">
        <v>814</v>
      </c>
      <c r="C1" s="36" t="s">
        <v>815</v>
      </c>
      <c r="D1" s="37" t="s">
        <v>1</v>
      </c>
      <c r="E1" s="36" t="s">
        <v>2</v>
      </c>
      <c r="F1" s="37" t="s">
        <v>3</v>
      </c>
      <c r="G1" s="37" t="s">
        <v>794</v>
      </c>
      <c r="H1" s="37" t="s">
        <v>816</v>
      </c>
      <c r="I1" s="36" t="s">
        <v>817</v>
      </c>
      <c r="J1" s="36" t="s">
        <v>818</v>
      </c>
      <c r="K1" s="52" t="s">
        <v>819</v>
      </c>
      <c r="L1" s="36" t="s">
        <v>820</v>
      </c>
      <c r="M1" s="36" t="s">
        <v>821</v>
      </c>
      <c r="N1" s="37" t="s">
        <v>822</v>
      </c>
      <c r="O1" s="37" t="s">
        <v>823</v>
      </c>
      <c r="P1" s="36" t="s">
        <v>824</v>
      </c>
      <c r="Q1" s="37" t="s">
        <v>825</v>
      </c>
      <c r="R1" s="37" t="s">
        <v>826</v>
      </c>
      <c r="S1" s="37" t="s">
        <v>827</v>
      </c>
      <c r="T1" s="38" t="s">
        <v>828</v>
      </c>
      <c r="U1" s="37" t="s">
        <v>829</v>
      </c>
      <c r="V1" s="37" t="s">
        <v>830</v>
      </c>
      <c r="W1" s="37" t="s">
        <v>831</v>
      </c>
      <c r="X1" s="54" t="s">
        <v>832</v>
      </c>
      <c r="Y1" s="37" t="s">
        <v>833</v>
      </c>
      <c r="Z1" s="54" t="s">
        <v>834</v>
      </c>
      <c r="AA1" s="37" t="s">
        <v>835</v>
      </c>
      <c r="AB1" s="54" t="s">
        <v>836</v>
      </c>
      <c r="AC1" s="37" t="s">
        <v>837</v>
      </c>
      <c r="AD1" s="54" t="s">
        <v>838</v>
      </c>
      <c r="AE1" s="37" t="s">
        <v>839</v>
      </c>
      <c r="AF1" s="37" t="s">
        <v>840</v>
      </c>
      <c r="AG1" s="37" t="s">
        <v>841</v>
      </c>
      <c r="AH1" s="37" t="s">
        <v>842</v>
      </c>
      <c r="AI1" s="37" t="s">
        <v>843</v>
      </c>
    </row>
    <row r="2" spans="1:35" ht="12.75" customHeight="1">
      <c r="A2" s="40">
        <v>1</v>
      </c>
      <c r="B2" s="40">
        <v>1</v>
      </c>
      <c r="C2" s="51" t="str">
        <f t="shared" ref="C2:C65" si="0">_xlfn.CONCAT(TEXT(A2,"00"),TEXT(B2,"00"))</f>
        <v>0101</v>
      </c>
      <c r="D2" s="30" t="s">
        <v>143</v>
      </c>
      <c r="E2" s="33">
        <v>2014</v>
      </c>
      <c r="F2" s="30" t="s">
        <v>366</v>
      </c>
      <c r="G2" s="30" t="s">
        <v>145</v>
      </c>
      <c r="H2" s="30" t="s">
        <v>844</v>
      </c>
      <c r="I2" s="40" t="s">
        <v>146</v>
      </c>
      <c r="J2" s="40" t="s">
        <v>147</v>
      </c>
      <c r="K2" s="49" t="s">
        <v>368</v>
      </c>
      <c r="L2" s="40">
        <v>3</v>
      </c>
      <c r="M2" s="40" t="s">
        <v>155</v>
      </c>
      <c r="N2" s="31" t="s">
        <v>149</v>
      </c>
      <c r="O2" s="30" t="s">
        <v>845</v>
      </c>
      <c r="P2" s="33">
        <v>2011</v>
      </c>
      <c r="Q2" s="30" t="s">
        <v>846</v>
      </c>
      <c r="R2" s="35">
        <v>530354</v>
      </c>
      <c r="S2" s="32">
        <v>530354</v>
      </c>
      <c r="T2" s="32">
        <f t="shared" ref="T2:T65" si="1">VLOOKUP(G2,gdppc,P2-1958,FALSE)</f>
        <v>5614.4</v>
      </c>
      <c r="U2" s="30" t="str">
        <f t="shared" ref="U2:U65" si="2">IF(S2&lt;T2,"Cost-Effective","Not Cost-Effective")</f>
        <v>Not Cost-Effective</v>
      </c>
      <c r="V2" s="30" t="str">
        <f t="shared" ref="V2:V65" si="3">IF(S2&lt;T2*3,"Cost-Effective","Not Cost-Effective")</f>
        <v>Not Cost-Effective</v>
      </c>
      <c r="W2" s="41">
        <f t="shared" ref="W2:W65" si="4">S2/T2</f>
        <v>94.463166144200628</v>
      </c>
      <c r="X2" s="55">
        <f t="shared" ref="X2:X65" si="5">IFERROR(VLOOKUP(G2,ochalek,11,FALSE),0)</f>
        <v>0.71</v>
      </c>
      <c r="Y2" s="30" t="str">
        <f t="shared" ref="Y2:Y65" si="6">IF( W2&lt;X2, "Cost-Effective", IF( W2-X2=W2, "No Threshold", "Not Cost-Effective"))</f>
        <v>Not Cost-Effective</v>
      </c>
      <c r="Z2" s="55">
        <f t="shared" ref="Z2:Z65" si="7">IFERROR(VLOOKUP(G2,ochalek,10,FALSE),0)</f>
        <v>0.45</v>
      </c>
      <c r="AA2" s="30" t="str">
        <f>IF( W2&lt;Z2, "Cost-Effective", IF( W2-Z2=W2, "No Threshold", "Not Cost-Effective"))</f>
        <v>Not Cost-Effective</v>
      </c>
      <c r="AB2" s="55">
        <f t="shared" ref="AB2:AB65" si="8">IFERROR(VLOOKUP(G2,woods,6,FALSE),0)</f>
        <v>0.64811121873397526</v>
      </c>
      <c r="AC2" s="30" t="str">
        <f t="shared" ref="AC2:AC65" si="9">IF( W2&lt;AB2, "Cost-Effective", IF( W2-AB2=W2, "No Threshold", "Not Cost-Effective"))</f>
        <v>Not Cost-Effective</v>
      </c>
      <c r="AD2" s="55">
        <f t="shared" ref="AD2:AD65" si="10">IFERROR(VLOOKUP(G2,woods,5,FALSE),0)</f>
        <v>0.16395077203578146</v>
      </c>
      <c r="AE2" s="30" t="str">
        <f>IF( W2&lt;AD2, "Cost-Effective", IF( W2-AD2=W2, "No Threshold", "Not Cost-Effective"))</f>
        <v>Not Cost-Effective</v>
      </c>
      <c r="AF2" s="30" t="s">
        <v>161</v>
      </c>
      <c r="AG2" s="30" t="s">
        <v>371</v>
      </c>
      <c r="AI2" s="30" t="s">
        <v>847</v>
      </c>
    </row>
    <row r="3" spans="1:35" ht="12.75" customHeight="1">
      <c r="A3" s="40">
        <f t="shared" ref="A3:A66" si="11">IF(F3=F2,A2,A2+1)</f>
        <v>1</v>
      </c>
      <c r="B3" s="40">
        <f t="shared" ref="B3:B66" si="12">IF(F3=F2,B2+1,1)</f>
        <v>2</v>
      </c>
      <c r="C3" s="51" t="str">
        <f t="shared" si="0"/>
        <v>0102</v>
      </c>
      <c r="D3" s="30" t="s">
        <v>143</v>
      </c>
      <c r="E3" s="33">
        <v>2014</v>
      </c>
      <c r="F3" s="30" t="s">
        <v>366</v>
      </c>
      <c r="G3" s="30" t="s">
        <v>145</v>
      </c>
      <c r="H3" s="30" t="s">
        <v>844</v>
      </c>
      <c r="I3" s="40" t="s">
        <v>146</v>
      </c>
      <c r="J3" s="40" t="s">
        <v>147</v>
      </c>
      <c r="K3" s="49" t="s">
        <v>368</v>
      </c>
      <c r="L3" s="40">
        <v>3</v>
      </c>
      <c r="M3" s="40" t="s">
        <v>148</v>
      </c>
      <c r="N3" s="31" t="s">
        <v>149</v>
      </c>
      <c r="O3" s="30" t="s">
        <v>845</v>
      </c>
      <c r="P3" s="33">
        <v>2011</v>
      </c>
      <c r="Q3" s="30" t="s">
        <v>848</v>
      </c>
      <c r="R3" s="35">
        <v>95319</v>
      </c>
      <c r="S3" s="32">
        <v>95319</v>
      </c>
      <c r="T3" s="32">
        <f t="shared" si="1"/>
        <v>5614.4</v>
      </c>
      <c r="U3" s="30" t="str">
        <f t="shared" si="2"/>
        <v>Not Cost-Effective</v>
      </c>
      <c r="V3" s="30" t="str">
        <f t="shared" si="3"/>
        <v>Not Cost-Effective</v>
      </c>
      <c r="W3" s="41">
        <f t="shared" si="4"/>
        <v>16.977593331433457</v>
      </c>
      <c r="X3" s="55">
        <f t="shared" si="5"/>
        <v>0.71</v>
      </c>
      <c r="Y3" s="30" t="str">
        <f t="shared" si="6"/>
        <v>Not Cost-Effective</v>
      </c>
      <c r="Z3" s="55">
        <f t="shared" si="7"/>
        <v>0.45</v>
      </c>
      <c r="AA3" s="30" t="str">
        <f t="shared" ref="AA3:AA66" si="13">IF( W3&lt;Z3, "Cost-Effective", IF( W3-Z3=W3, "No Threshold", "Not Cost-Effective"))</f>
        <v>Not Cost-Effective</v>
      </c>
      <c r="AB3" s="55">
        <f t="shared" si="8"/>
        <v>0.64811121873397526</v>
      </c>
      <c r="AC3" s="30" t="str">
        <f t="shared" si="9"/>
        <v>Not Cost-Effective</v>
      </c>
      <c r="AD3" s="55">
        <f t="shared" si="10"/>
        <v>0.16395077203578146</v>
      </c>
      <c r="AE3" s="30" t="str">
        <f t="shared" ref="AE3:AE66" si="14">IF( W3&lt;AD3, "Cost-Effective", IF( W3-AD3=W3, "No Threshold", "Not Cost-Effective"))</f>
        <v>Not Cost-Effective</v>
      </c>
      <c r="AF3" s="30" t="s">
        <v>161</v>
      </c>
      <c r="AG3" s="30" t="s">
        <v>371</v>
      </c>
    </row>
    <row r="4" spans="1:35" ht="12.75" customHeight="1">
      <c r="A4" s="40">
        <f t="shared" si="11"/>
        <v>2</v>
      </c>
      <c r="B4" s="40">
        <f t="shared" si="12"/>
        <v>1</v>
      </c>
      <c r="C4" s="51" t="str">
        <f t="shared" si="0"/>
        <v>0201</v>
      </c>
      <c r="D4" s="30" t="s">
        <v>157</v>
      </c>
      <c r="E4" s="33">
        <v>2015</v>
      </c>
      <c r="F4" s="30" t="s">
        <v>375</v>
      </c>
      <c r="G4" s="30" t="s">
        <v>145</v>
      </c>
      <c r="H4" s="30" t="s">
        <v>844</v>
      </c>
      <c r="I4" s="40" t="s">
        <v>146</v>
      </c>
      <c r="J4" s="40" t="s">
        <v>147</v>
      </c>
      <c r="K4" s="49" t="s">
        <v>376</v>
      </c>
      <c r="L4" s="40">
        <v>4</v>
      </c>
      <c r="M4" s="40" t="s">
        <v>148</v>
      </c>
      <c r="N4" s="31" t="s">
        <v>377</v>
      </c>
      <c r="O4" s="30" t="s">
        <v>845</v>
      </c>
      <c r="P4" s="33">
        <v>2011</v>
      </c>
      <c r="Q4" s="30" t="s">
        <v>849</v>
      </c>
      <c r="R4" s="35">
        <v>2125</v>
      </c>
      <c r="S4" s="32">
        <v>2125</v>
      </c>
      <c r="T4" s="32">
        <f t="shared" si="1"/>
        <v>5614.4</v>
      </c>
      <c r="U4" s="30" t="str">
        <f t="shared" si="2"/>
        <v>Cost-Effective</v>
      </c>
      <c r="V4" s="30" t="str">
        <f t="shared" si="3"/>
        <v>Cost-Effective</v>
      </c>
      <c r="W4" s="41">
        <f t="shared" si="4"/>
        <v>0.37849102308349958</v>
      </c>
      <c r="X4" s="55">
        <f t="shared" si="5"/>
        <v>0.71</v>
      </c>
      <c r="Y4" s="30" t="str">
        <f t="shared" si="6"/>
        <v>Cost-Effective</v>
      </c>
      <c r="Z4" s="55">
        <f t="shared" si="7"/>
        <v>0.45</v>
      </c>
      <c r="AA4" s="30" t="str">
        <f t="shared" si="13"/>
        <v>Cost-Effective</v>
      </c>
      <c r="AB4" s="55">
        <f t="shared" si="8"/>
        <v>0.64811121873397526</v>
      </c>
      <c r="AC4" s="30" t="str">
        <f t="shared" si="9"/>
        <v>Cost-Effective</v>
      </c>
      <c r="AD4" s="55">
        <f t="shared" si="10"/>
        <v>0.16395077203578146</v>
      </c>
      <c r="AE4" s="30" t="str">
        <f t="shared" si="14"/>
        <v>Not Cost-Effective</v>
      </c>
      <c r="AF4" s="30" t="s">
        <v>161</v>
      </c>
      <c r="AG4" s="30" t="s">
        <v>382</v>
      </c>
    </row>
    <row r="5" spans="1:35" ht="12.75" customHeight="1">
      <c r="A5" s="40">
        <f t="shared" si="11"/>
        <v>3</v>
      </c>
      <c r="B5" s="40">
        <f t="shared" si="12"/>
        <v>1</v>
      </c>
      <c r="C5" s="51" t="str">
        <f t="shared" si="0"/>
        <v>0301</v>
      </c>
      <c r="D5" s="30" t="s">
        <v>164</v>
      </c>
      <c r="E5" s="33">
        <v>2016</v>
      </c>
      <c r="F5" s="30" t="s">
        <v>384</v>
      </c>
      <c r="G5" s="30" t="s">
        <v>145</v>
      </c>
      <c r="H5" s="30" t="s">
        <v>844</v>
      </c>
      <c r="I5" s="40" t="s">
        <v>146</v>
      </c>
      <c r="J5" s="40" t="s">
        <v>147</v>
      </c>
      <c r="K5" s="49" t="s">
        <v>385</v>
      </c>
      <c r="L5" s="40">
        <v>0</v>
      </c>
      <c r="M5" s="40" t="s">
        <v>155</v>
      </c>
      <c r="N5" s="31" t="s">
        <v>149</v>
      </c>
      <c r="O5" s="30" t="s">
        <v>845</v>
      </c>
      <c r="P5" s="33">
        <v>2014</v>
      </c>
      <c r="Q5" s="30" t="s">
        <v>850</v>
      </c>
      <c r="R5" s="35">
        <v>18224</v>
      </c>
      <c r="S5" s="32">
        <v>18224</v>
      </c>
      <c r="T5" s="32">
        <f t="shared" si="1"/>
        <v>7636.1</v>
      </c>
      <c r="U5" s="30" t="str">
        <f t="shared" si="2"/>
        <v>Not Cost-Effective</v>
      </c>
      <c r="V5" s="30" t="str">
        <f t="shared" si="3"/>
        <v>Cost-Effective</v>
      </c>
      <c r="W5" s="41">
        <f t="shared" si="4"/>
        <v>2.3865585835701468</v>
      </c>
      <c r="X5" s="55">
        <f t="shared" si="5"/>
        <v>0.71</v>
      </c>
      <c r="Y5" s="30" t="str">
        <f t="shared" si="6"/>
        <v>Not Cost-Effective</v>
      </c>
      <c r="Z5" s="55">
        <f t="shared" si="7"/>
        <v>0.45</v>
      </c>
      <c r="AA5" s="30" t="str">
        <f t="shared" si="13"/>
        <v>Not Cost-Effective</v>
      </c>
      <c r="AB5" s="55">
        <f t="shared" si="8"/>
        <v>0.64811121873397526</v>
      </c>
      <c r="AC5" s="30" t="str">
        <f t="shared" si="9"/>
        <v>Not Cost-Effective</v>
      </c>
      <c r="AD5" s="55">
        <f t="shared" si="10"/>
        <v>0.16395077203578146</v>
      </c>
      <c r="AE5" s="30" t="str">
        <f t="shared" si="14"/>
        <v>Not Cost-Effective</v>
      </c>
      <c r="AF5" s="30" t="s">
        <v>161</v>
      </c>
      <c r="AG5" s="30" t="s">
        <v>382</v>
      </c>
    </row>
    <row r="6" spans="1:35" ht="12.75" customHeight="1">
      <c r="A6" s="40">
        <f t="shared" si="11"/>
        <v>3</v>
      </c>
      <c r="B6" s="40">
        <f t="shared" si="12"/>
        <v>2</v>
      </c>
      <c r="C6" s="51" t="str">
        <f t="shared" si="0"/>
        <v>0302</v>
      </c>
      <c r="D6" s="30" t="s">
        <v>164</v>
      </c>
      <c r="E6" s="33">
        <v>2016</v>
      </c>
      <c r="F6" s="30" t="s">
        <v>384</v>
      </c>
      <c r="G6" s="30" t="s">
        <v>145</v>
      </c>
      <c r="H6" s="30" t="s">
        <v>851</v>
      </c>
      <c r="I6" s="40" t="s">
        <v>166</v>
      </c>
      <c r="J6" s="40" t="s">
        <v>147</v>
      </c>
      <c r="K6" s="49" t="s">
        <v>385</v>
      </c>
      <c r="L6" s="40">
        <v>0</v>
      </c>
      <c r="M6" s="40" t="s">
        <v>155</v>
      </c>
      <c r="N6" s="31" t="s">
        <v>149</v>
      </c>
      <c r="O6" s="30" t="s">
        <v>845</v>
      </c>
      <c r="P6" s="33">
        <v>2014</v>
      </c>
      <c r="Q6" s="30" t="s">
        <v>852</v>
      </c>
      <c r="R6" s="35">
        <v>16664</v>
      </c>
      <c r="S6" s="32">
        <v>16664</v>
      </c>
      <c r="T6" s="32">
        <f t="shared" si="1"/>
        <v>7636.1</v>
      </c>
      <c r="U6" s="30" t="str">
        <f t="shared" si="2"/>
        <v>Not Cost-Effective</v>
      </c>
      <c r="V6" s="30" t="str">
        <f t="shared" si="3"/>
        <v>Cost-Effective</v>
      </c>
      <c r="W6" s="41">
        <f t="shared" si="4"/>
        <v>2.1822658163198492</v>
      </c>
      <c r="X6" s="55">
        <f t="shared" si="5"/>
        <v>0.71</v>
      </c>
      <c r="Y6" s="30" t="str">
        <f t="shared" si="6"/>
        <v>Not Cost-Effective</v>
      </c>
      <c r="Z6" s="55">
        <f t="shared" si="7"/>
        <v>0.45</v>
      </c>
      <c r="AA6" s="30" t="str">
        <f t="shared" si="13"/>
        <v>Not Cost-Effective</v>
      </c>
      <c r="AB6" s="55">
        <f t="shared" si="8"/>
        <v>0.64811121873397526</v>
      </c>
      <c r="AC6" s="30" t="str">
        <f t="shared" si="9"/>
        <v>Not Cost-Effective</v>
      </c>
      <c r="AD6" s="55">
        <f t="shared" si="10"/>
        <v>0.16395077203578146</v>
      </c>
      <c r="AE6" s="30" t="str">
        <f t="shared" si="14"/>
        <v>Not Cost-Effective</v>
      </c>
      <c r="AF6" s="30" t="s">
        <v>161</v>
      </c>
      <c r="AG6" s="30" t="s">
        <v>382</v>
      </c>
    </row>
    <row r="7" spans="1:35" ht="12.75" customHeight="1">
      <c r="A7" s="40">
        <f t="shared" si="11"/>
        <v>3</v>
      </c>
      <c r="B7" s="40">
        <f t="shared" si="12"/>
        <v>3</v>
      </c>
      <c r="C7" s="51" t="str">
        <f t="shared" si="0"/>
        <v>0303</v>
      </c>
      <c r="D7" s="30" t="s">
        <v>164</v>
      </c>
      <c r="E7" s="33">
        <v>2016</v>
      </c>
      <c r="F7" s="30" t="s">
        <v>384</v>
      </c>
      <c r="G7" s="30" t="s">
        <v>145</v>
      </c>
      <c r="H7" s="30" t="s">
        <v>853</v>
      </c>
      <c r="I7" s="40" t="s">
        <v>167</v>
      </c>
      <c r="J7" s="40" t="s">
        <v>147</v>
      </c>
      <c r="K7" s="49" t="s">
        <v>385</v>
      </c>
      <c r="L7" s="40">
        <v>0</v>
      </c>
      <c r="M7" s="40" t="s">
        <v>155</v>
      </c>
      <c r="N7" s="31" t="s">
        <v>149</v>
      </c>
      <c r="O7" s="30" t="s">
        <v>845</v>
      </c>
      <c r="P7" s="33">
        <v>2014</v>
      </c>
      <c r="Q7" s="30" t="s">
        <v>854</v>
      </c>
      <c r="R7" s="35">
        <v>11436</v>
      </c>
      <c r="S7" s="32">
        <v>11436</v>
      </c>
      <c r="T7" s="32">
        <f t="shared" si="1"/>
        <v>7636.1</v>
      </c>
      <c r="U7" s="30" t="str">
        <f t="shared" si="2"/>
        <v>Not Cost-Effective</v>
      </c>
      <c r="V7" s="30" t="str">
        <f t="shared" si="3"/>
        <v>Cost-Effective</v>
      </c>
      <c r="W7" s="41">
        <f t="shared" si="4"/>
        <v>1.497623132227184</v>
      </c>
      <c r="X7" s="55">
        <f t="shared" si="5"/>
        <v>0.71</v>
      </c>
      <c r="Y7" s="30" t="str">
        <f t="shared" si="6"/>
        <v>Not Cost-Effective</v>
      </c>
      <c r="Z7" s="55">
        <f t="shared" si="7"/>
        <v>0.45</v>
      </c>
      <c r="AA7" s="30" t="str">
        <f t="shared" si="13"/>
        <v>Not Cost-Effective</v>
      </c>
      <c r="AB7" s="55">
        <f t="shared" si="8"/>
        <v>0.64811121873397526</v>
      </c>
      <c r="AC7" s="30" t="str">
        <f t="shared" si="9"/>
        <v>Not Cost-Effective</v>
      </c>
      <c r="AD7" s="55">
        <f t="shared" si="10"/>
        <v>0.16395077203578146</v>
      </c>
      <c r="AE7" s="30" t="str">
        <f t="shared" si="14"/>
        <v>Not Cost-Effective</v>
      </c>
      <c r="AF7" s="30" t="s">
        <v>161</v>
      </c>
      <c r="AG7" s="30" t="s">
        <v>382</v>
      </c>
    </row>
    <row r="8" spans="1:35" ht="12.75" customHeight="1">
      <c r="A8" s="40">
        <f t="shared" si="11"/>
        <v>4</v>
      </c>
      <c r="B8" s="40">
        <f t="shared" si="12"/>
        <v>1</v>
      </c>
      <c r="C8" s="51" t="str">
        <f t="shared" si="0"/>
        <v>0401</v>
      </c>
      <c r="D8" s="30" t="s">
        <v>168</v>
      </c>
      <c r="E8" s="33">
        <v>2016</v>
      </c>
      <c r="F8" s="30" t="s">
        <v>395</v>
      </c>
      <c r="G8" s="30" t="s">
        <v>145</v>
      </c>
      <c r="H8" s="30" t="s">
        <v>844</v>
      </c>
      <c r="I8" s="40" t="s">
        <v>146</v>
      </c>
      <c r="J8" s="40" t="s">
        <v>147</v>
      </c>
      <c r="K8" s="49" t="s">
        <v>396</v>
      </c>
      <c r="L8" s="40">
        <v>4</v>
      </c>
      <c r="M8" s="40" t="s">
        <v>148</v>
      </c>
      <c r="N8" s="31" t="s">
        <v>149</v>
      </c>
      <c r="O8" s="30" t="s">
        <v>845</v>
      </c>
      <c r="P8" s="33">
        <v>2015</v>
      </c>
      <c r="Q8" s="30" t="s">
        <v>855</v>
      </c>
      <c r="R8" s="35">
        <v>104094</v>
      </c>
      <c r="S8" s="32">
        <v>104094</v>
      </c>
      <c r="T8" s="32">
        <f t="shared" si="1"/>
        <v>8016.4</v>
      </c>
      <c r="U8" s="30" t="str">
        <f t="shared" si="2"/>
        <v>Not Cost-Effective</v>
      </c>
      <c r="V8" s="30" t="str">
        <f t="shared" si="3"/>
        <v>Not Cost-Effective</v>
      </c>
      <c r="W8" s="41">
        <f t="shared" si="4"/>
        <v>12.985130482510854</v>
      </c>
      <c r="X8" s="55">
        <f t="shared" si="5"/>
        <v>0.71</v>
      </c>
      <c r="Y8" s="30" t="str">
        <f t="shared" si="6"/>
        <v>Not Cost-Effective</v>
      </c>
      <c r="Z8" s="55">
        <f t="shared" si="7"/>
        <v>0.45</v>
      </c>
      <c r="AA8" s="30" t="str">
        <f t="shared" si="13"/>
        <v>Not Cost-Effective</v>
      </c>
      <c r="AB8" s="55">
        <f t="shared" si="8"/>
        <v>0.64811121873397526</v>
      </c>
      <c r="AC8" s="30" t="str">
        <f t="shared" si="9"/>
        <v>Not Cost-Effective</v>
      </c>
      <c r="AD8" s="55">
        <f t="shared" si="10"/>
        <v>0.16395077203578146</v>
      </c>
      <c r="AE8" s="30" t="str">
        <f t="shared" si="14"/>
        <v>Not Cost-Effective</v>
      </c>
      <c r="AF8" s="30" t="s">
        <v>161</v>
      </c>
      <c r="AG8" s="30" t="s">
        <v>371</v>
      </c>
    </row>
    <row r="9" spans="1:35" ht="12.75" customHeight="1">
      <c r="A9" s="40">
        <f t="shared" si="11"/>
        <v>4</v>
      </c>
      <c r="B9" s="40">
        <f t="shared" si="12"/>
        <v>2</v>
      </c>
      <c r="C9" s="51" t="str">
        <f t="shared" si="0"/>
        <v>0402</v>
      </c>
      <c r="D9" s="30" t="s">
        <v>168</v>
      </c>
      <c r="E9" s="33">
        <v>2016</v>
      </c>
      <c r="F9" s="30" t="s">
        <v>395</v>
      </c>
      <c r="G9" s="30" t="s">
        <v>145</v>
      </c>
      <c r="H9" s="30" t="s">
        <v>853</v>
      </c>
      <c r="I9" s="40" t="s">
        <v>167</v>
      </c>
      <c r="J9" s="40" t="s">
        <v>147</v>
      </c>
      <c r="K9" s="49" t="s">
        <v>400</v>
      </c>
      <c r="L9" s="40">
        <v>4</v>
      </c>
      <c r="M9" s="40" t="s">
        <v>148</v>
      </c>
      <c r="N9" s="31" t="s">
        <v>149</v>
      </c>
      <c r="O9" s="30" t="s">
        <v>845</v>
      </c>
      <c r="P9" s="33">
        <v>2015</v>
      </c>
      <c r="Q9" s="30" t="s">
        <v>856</v>
      </c>
      <c r="R9" s="35">
        <v>29460</v>
      </c>
      <c r="S9" s="32">
        <v>29460</v>
      </c>
      <c r="T9" s="32">
        <f t="shared" si="1"/>
        <v>8016.4</v>
      </c>
      <c r="U9" s="30" t="str">
        <f t="shared" si="2"/>
        <v>Not Cost-Effective</v>
      </c>
      <c r="V9" s="30" t="str">
        <f t="shared" si="3"/>
        <v>Not Cost-Effective</v>
      </c>
      <c r="W9" s="41">
        <f t="shared" si="4"/>
        <v>3.6749663190459558</v>
      </c>
      <c r="X9" s="55">
        <f t="shared" si="5"/>
        <v>0.71</v>
      </c>
      <c r="Y9" s="30" t="str">
        <f t="shared" si="6"/>
        <v>Not Cost-Effective</v>
      </c>
      <c r="Z9" s="55">
        <f t="shared" si="7"/>
        <v>0.45</v>
      </c>
      <c r="AA9" s="30" t="str">
        <f t="shared" si="13"/>
        <v>Not Cost-Effective</v>
      </c>
      <c r="AB9" s="55">
        <f t="shared" si="8"/>
        <v>0.64811121873397526</v>
      </c>
      <c r="AC9" s="30" t="str">
        <f t="shared" si="9"/>
        <v>Not Cost-Effective</v>
      </c>
      <c r="AD9" s="55">
        <f t="shared" si="10"/>
        <v>0.16395077203578146</v>
      </c>
      <c r="AE9" s="30" t="str">
        <f t="shared" si="14"/>
        <v>Not Cost-Effective</v>
      </c>
      <c r="AF9" s="30" t="s">
        <v>161</v>
      </c>
      <c r="AG9" s="30" t="s">
        <v>371</v>
      </c>
    </row>
    <row r="10" spans="1:35" ht="12.75" customHeight="1">
      <c r="A10" s="40">
        <f t="shared" si="11"/>
        <v>5</v>
      </c>
      <c r="B10" s="40">
        <f t="shared" si="12"/>
        <v>1</v>
      </c>
      <c r="C10" s="51" t="str">
        <f t="shared" si="0"/>
        <v>0501</v>
      </c>
      <c r="D10" s="30" t="s">
        <v>171</v>
      </c>
      <c r="E10" s="33">
        <v>2018</v>
      </c>
      <c r="F10" s="30" t="s">
        <v>402</v>
      </c>
      <c r="G10" s="30" t="s">
        <v>145</v>
      </c>
      <c r="H10" s="30" t="s">
        <v>853</v>
      </c>
      <c r="I10" s="40" t="s">
        <v>167</v>
      </c>
      <c r="J10" s="40" t="s">
        <v>147</v>
      </c>
      <c r="K10" s="49" t="s">
        <v>403</v>
      </c>
      <c r="L10" s="40">
        <v>4</v>
      </c>
      <c r="M10" s="40" t="s">
        <v>155</v>
      </c>
      <c r="N10" s="31" t="s">
        <v>377</v>
      </c>
      <c r="O10" s="30" t="s">
        <v>857</v>
      </c>
      <c r="P10" s="33">
        <v>2015</v>
      </c>
      <c r="Q10" s="30" t="s">
        <v>858</v>
      </c>
      <c r="R10" s="35">
        <v>79304</v>
      </c>
      <c r="S10" s="32">
        <f>R10/xRates!$U$43</f>
        <v>372.80932681459194</v>
      </c>
      <c r="T10" s="32">
        <f t="shared" si="1"/>
        <v>8016.4</v>
      </c>
      <c r="U10" s="30" t="str">
        <f t="shared" si="2"/>
        <v>Cost-Effective</v>
      </c>
      <c r="V10" s="30" t="str">
        <f t="shared" si="3"/>
        <v>Cost-Effective</v>
      </c>
      <c r="W10" s="41">
        <f t="shared" si="4"/>
        <v>4.6505828902573716E-2</v>
      </c>
      <c r="X10" s="55">
        <f t="shared" si="5"/>
        <v>0.71</v>
      </c>
      <c r="Y10" s="30" t="str">
        <f t="shared" si="6"/>
        <v>Cost-Effective</v>
      </c>
      <c r="Z10" s="55">
        <f t="shared" si="7"/>
        <v>0.45</v>
      </c>
      <c r="AA10" s="30" t="str">
        <f t="shared" si="13"/>
        <v>Cost-Effective</v>
      </c>
      <c r="AB10" s="55">
        <f t="shared" si="8"/>
        <v>0.64811121873397526</v>
      </c>
      <c r="AC10" s="30" t="str">
        <f t="shared" si="9"/>
        <v>Cost-Effective</v>
      </c>
      <c r="AD10" s="55">
        <f t="shared" si="10"/>
        <v>0.16395077203578146</v>
      </c>
      <c r="AE10" s="30" t="str">
        <f t="shared" si="14"/>
        <v>Cost-Effective</v>
      </c>
      <c r="AF10" s="30" t="s">
        <v>173</v>
      </c>
      <c r="AG10" s="30" t="s">
        <v>382</v>
      </c>
    </row>
    <row r="11" spans="1:35" ht="12.75" customHeight="1">
      <c r="A11" s="40">
        <f t="shared" si="11"/>
        <v>5</v>
      </c>
      <c r="B11" s="40">
        <f t="shared" si="12"/>
        <v>2</v>
      </c>
      <c r="C11" s="51" t="str">
        <f t="shared" si="0"/>
        <v>0502</v>
      </c>
      <c r="D11" s="30" t="s">
        <v>171</v>
      </c>
      <c r="E11" s="33">
        <v>2018</v>
      </c>
      <c r="F11" s="30" t="s">
        <v>402</v>
      </c>
      <c r="G11" s="30" t="s">
        <v>145</v>
      </c>
      <c r="H11" s="30" t="s">
        <v>853</v>
      </c>
      <c r="I11" s="40" t="s">
        <v>167</v>
      </c>
      <c r="J11" s="40" t="s">
        <v>147</v>
      </c>
      <c r="K11" s="49" t="s">
        <v>403</v>
      </c>
      <c r="L11" s="40">
        <v>4</v>
      </c>
      <c r="M11" s="40" t="s">
        <v>148</v>
      </c>
      <c r="N11" s="31" t="s">
        <v>377</v>
      </c>
      <c r="O11" s="30" t="s">
        <v>857</v>
      </c>
      <c r="P11" s="33">
        <v>2015</v>
      </c>
      <c r="Q11" s="30" t="s">
        <v>859</v>
      </c>
      <c r="R11" s="35">
        <v>76551</v>
      </c>
      <c r="S11" s="32">
        <f>R11/xRates!$U$43</f>
        <v>359.86743136517487</v>
      </c>
      <c r="T11" s="32">
        <f t="shared" si="1"/>
        <v>8016.4</v>
      </c>
      <c r="U11" s="30" t="str">
        <f t="shared" si="2"/>
        <v>Cost-Effective</v>
      </c>
      <c r="V11" s="30" t="str">
        <f t="shared" si="3"/>
        <v>Cost-Effective</v>
      </c>
      <c r="W11" s="41">
        <f t="shared" si="4"/>
        <v>4.4891401547474535E-2</v>
      </c>
      <c r="X11" s="55">
        <f t="shared" si="5"/>
        <v>0.71</v>
      </c>
      <c r="Y11" s="30" t="str">
        <f t="shared" si="6"/>
        <v>Cost-Effective</v>
      </c>
      <c r="Z11" s="55">
        <f t="shared" si="7"/>
        <v>0.45</v>
      </c>
      <c r="AA11" s="30" t="str">
        <f t="shared" si="13"/>
        <v>Cost-Effective</v>
      </c>
      <c r="AB11" s="55">
        <f t="shared" si="8"/>
        <v>0.64811121873397526</v>
      </c>
      <c r="AC11" s="30" t="str">
        <f t="shared" si="9"/>
        <v>Cost-Effective</v>
      </c>
      <c r="AD11" s="55">
        <f t="shared" si="10"/>
        <v>0.16395077203578146</v>
      </c>
      <c r="AE11" s="30" t="str">
        <f t="shared" si="14"/>
        <v>Cost-Effective</v>
      </c>
      <c r="AF11" s="30" t="s">
        <v>173</v>
      </c>
      <c r="AG11" s="30" t="s">
        <v>382</v>
      </c>
    </row>
    <row r="12" spans="1:35" ht="12.75" customHeight="1">
      <c r="A12" s="40">
        <f t="shared" si="11"/>
        <v>5</v>
      </c>
      <c r="B12" s="40">
        <f t="shared" si="12"/>
        <v>3</v>
      </c>
      <c r="C12" s="51" t="str">
        <f t="shared" si="0"/>
        <v>0503</v>
      </c>
      <c r="D12" s="30" t="s">
        <v>171</v>
      </c>
      <c r="E12" s="33">
        <v>2018</v>
      </c>
      <c r="F12" s="30" t="s">
        <v>402</v>
      </c>
      <c r="G12" s="30" t="s">
        <v>145</v>
      </c>
      <c r="H12" s="30" t="s">
        <v>853</v>
      </c>
      <c r="I12" s="40" t="s">
        <v>167</v>
      </c>
      <c r="J12" s="40" t="s">
        <v>147</v>
      </c>
      <c r="K12" s="49" t="s">
        <v>403</v>
      </c>
      <c r="L12" s="40">
        <v>4</v>
      </c>
      <c r="M12" s="40" t="s">
        <v>148</v>
      </c>
      <c r="N12" s="31" t="s">
        <v>377</v>
      </c>
      <c r="O12" s="30" t="s">
        <v>857</v>
      </c>
      <c r="P12" s="33">
        <v>2015</v>
      </c>
      <c r="Q12" s="30" t="s">
        <v>860</v>
      </c>
      <c r="R12" s="35">
        <v>3777</v>
      </c>
      <c r="S12" s="32">
        <f>R12/xRates!$U$43</f>
        <v>17.755735238811582</v>
      </c>
      <c r="T12" s="32">
        <f t="shared" si="1"/>
        <v>8016.4</v>
      </c>
      <c r="U12" s="30" t="str">
        <f t="shared" si="2"/>
        <v>Cost-Effective</v>
      </c>
      <c r="V12" s="30" t="str">
        <f t="shared" si="3"/>
        <v>Cost-Effective</v>
      </c>
      <c r="W12" s="41">
        <f t="shared" si="4"/>
        <v>2.2149263059243031E-3</v>
      </c>
      <c r="X12" s="55">
        <f t="shared" si="5"/>
        <v>0.71</v>
      </c>
      <c r="Y12" s="30" t="str">
        <f t="shared" si="6"/>
        <v>Cost-Effective</v>
      </c>
      <c r="Z12" s="55">
        <f t="shared" si="7"/>
        <v>0.45</v>
      </c>
      <c r="AA12" s="30" t="str">
        <f t="shared" si="13"/>
        <v>Cost-Effective</v>
      </c>
      <c r="AB12" s="55">
        <f t="shared" si="8"/>
        <v>0.64811121873397526</v>
      </c>
      <c r="AC12" s="30" t="str">
        <f t="shared" si="9"/>
        <v>Cost-Effective</v>
      </c>
      <c r="AD12" s="55">
        <f t="shared" si="10"/>
        <v>0.16395077203578146</v>
      </c>
      <c r="AE12" s="30" t="str">
        <f t="shared" si="14"/>
        <v>Cost-Effective</v>
      </c>
      <c r="AF12" s="30" t="s">
        <v>173</v>
      </c>
      <c r="AG12" s="30" t="s">
        <v>382</v>
      </c>
    </row>
    <row r="13" spans="1:35" ht="12.75" customHeight="1">
      <c r="A13" s="40">
        <f t="shared" si="11"/>
        <v>6</v>
      </c>
      <c r="B13" s="40">
        <f t="shared" si="12"/>
        <v>1</v>
      </c>
      <c r="C13" s="51" t="str">
        <f t="shared" si="0"/>
        <v>0601</v>
      </c>
      <c r="D13" s="30" t="s">
        <v>174</v>
      </c>
      <c r="E13" s="33">
        <v>2018</v>
      </c>
      <c r="F13" s="30" t="s">
        <v>411</v>
      </c>
      <c r="G13" s="30" t="s">
        <v>145</v>
      </c>
      <c r="H13" s="30" t="s">
        <v>853</v>
      </c>
      <c r="I13" s="40" t="s">
        <v>167</v>
      </c>
      <c r="J13" s="40" t="s">
        <v>147</v>
      </c>
      <c r="K13" s="49" t="s">
        <v>403</v>
      </c>
      <c r="L13" s="40">
        <v>4</v>
      </c>
      <c r="M13" s="40" t="s">
        <v>148</v>
      </c>
      <c r="N13" s="31" t="s">
        <v>377</v>
      </c>
      <c r="O13" s="30" t="s">
        <v>845</v>
      </c>
      <c r="P13" s="33">
        <v>2016</v>
      </c>
      <c r="Q13" s="30" t="s">
        <v>861</v>
      </c>
      <c r="R13" s="35">
        <v>20709</v>
      </c>
      <c r="S13" s="32">
        <v>20709</v>
      </c>
      <c r="T13" s="32">
        <f t="shared" si="1"/>
        <v>8094.4</v>
      </c>
      <c r="U13" s="30" t="str">
        <f t="shared" si="2"/>
        <v>Not Cost-Effective</v>
      </c>
      <c r="V13" s="30" t="str">
        <f t="shared" si="3"/>
        <v>Cost-Effective</v>
      </c>
      <c r="W13" s="41">
        <f t="shared" si="4"/>
        <v>2.5584354615536666</v>
      </c>
      <c r="X13" s="55">
        <f t="shared" si="5"/>
        <v>0.71</v>
      </c>
      <c r="Y13" s="30" t="str">
        <f t="shared" si="6"/>
        <v>Not Cost-Effective</v>
      </c>
      <c r="Z13" s="55">
        <f t="shared" si="7"/>
        <v>0.45</v>
      </c>
      <c r="AA13" s="30" t="str">
        <f t="shared" si="13"/>
        <v>Not Cost-Effective</v>
      </c>
      <c r="AB13" s="55">
        <f t="shared" si="8"/>
        <v>0.64811121873397526</v>
      </c>
      <c r="AC13" s="30" t="str">
        <f t="shared" si="9"/>
        <v>Not Cost-Effective</v>
      </c>
      <c r="AD13" s="55">
        <f t="shared" si="10"/>
        <v>0.16395077203578146</v>
      </c>
      <c r="AE13" s="30" t="str">
        <f t="shared" si="14"/>
        <v>Not Cost-Effective</v>
      </c>
      <c r="AF13" s="30" t="s">
        <v>176</v>
      </c>
      <c r="AG13" s="30" t="s">
        <v>382</v>
      </c>
    </row>
    <row r="14" spans="1:35" ht="12.75" customHeight="1">
      <c r="A14" s="40">
        <f t="shared" si="11"/>
        <v>6</v>
      </c>
      <c r="B14" s="40">
        <f t="shared" si="12"/>
        <v>2</v>
      </c>
      <c r="C14" s="51" t="str">
        <f t="shared" si="0"/>
        <v>0602</v>
      </c>
      <c r="D14" s="30" t="s">
        <v>174</v>
      </c>
      <c r="E14" s="33">
        <v>2018</v>
      </c>
      <c r="F14" s="30" t="s">
        <v>411</v>
      </c>
      <c r="G14" s="30" t="s">
        <v>145</v>
      </c>
      <c r="H14" s="30" t="s">
        <v>853</v>
      </c>
      <c r="I14" s="40" t="s">
        <v>167</v>
      </c>
      <c r="J14" s="40" t="s">
        <v>147</v>
      </c>
      <c r="K14" s="49" t="s">
        <v>403</v>
      </c>
      <c r="L14" s="40">
        <v>4</v>
      </c>
      <c r="M14" s="40" t="s">
        <v>155</v>
      </c>
      <c r="N14" s="31" t="s">
        <v>149</v>
      </c>
      <c r="O14" s="30" t="s">
        <v>845</v>
      </c>
      <c r="P14" s="33">
        <v>2016</v>
      </c>
      <c r="Q14" s="30" t="s">
        <v>862</v>
      </c>
      <c r="R14" s="35">
        <v>18483</v>
      </c>
      <c r="S14" s="32">
        <v>18483</v>
      </c>
      <c r="T14" s="32">
        <f t="shared" si="1"/>
        <v>8094.4</v>
      </c>
      <c r="U14" s="30" t="str">
        <f t="shared" si="2"/>
        <v>Not Cost-Effective</v>
      </c>
      <c r="V14" s="30" t="str">
        <f t="shared" si="3"/>
        <v>Cost-Effective</v>
      </c>
      <c r="W14" s="41">
        <f t="shared" si="4"/>
        <v>2.2834305198655862</v>
      </c>
      <c r="X14" s="55">
        <f t="shared" si="5"/>
        <v>0.71</v>
      </c>
      <c r="Y14" s="30" t="str">
        <f t="shared" si="6"/>
        <v>Not Cost-Effective</v>
      </c>
      <c r="Z14" s="55">
        <f t="shared" si="7"/>
        <v>0.45</v>
      </c>
      <c r="AA14" s="30" t="str">
        <f t="shared" si="13"/>
        <v>Not Cost-Effective</v>
      </c>
      <c r="AB14" s="55">
        <f t="shared" si="8"/>
        <v>0.64811121873397526</v>
      </c>
      <c r="AC14" s="30" t="str">
        <f t="shared" si="9"/>
        <v>Not Cost-Effective</v>
      </c>
      <c r="AD14" s="55">
        <f t="shared" si="10"/>
        <v>0.16395077203578146</v>
      </c>
      <c r="AE14" s="30" t="str">
        <f t="shared" si="14"/>
        <v>Not Cost-Effective</v>
      </c>
      <c r="AF14" s="30" t="s">
        <v>176</v>
      </c>
      <c r="AG14" s="30" t="s">
        <v>382</v>
      </c>
    </row>
    <row r="15" spans="1:35" ht="12.75" customHeight="1">
      <c r="A15" s="40">
        <f t="shared" si="11"/>
        <v>7</v>
      </c>
      <c r="B15" s="40">
        <f t="shared" si="12"/>
        <v>1</v>
      </c>
      <c r="C15" s="51" t="str">
        <f t="shared" si="0"/>
        <v>0701</v>
      </c>
      <c r="D15" s="30" t="s">
        <v>178</v>
      </c>
      <c r="E15" s="33">
        <v>2011</v>
      </c>
      <c r="F15" s="30" t="s">
        <v>415</v>
      </c>
      <c r="G15" s="30" t="s">
        <v>180</v>
      </c>
      <c r="H15" s="30" t="s">
        <v>844</v>
      </c>
      <c r="I15" s="40" t="s">
        <v>146</v>
      </c>
      <c r="J15" s="40" t="s">
        <v>147</v>
      </c>
      <c r="K15" s="49" t="s">
        <v>400</v>
      </c>
      <c r="L15" s="40">
        <v>4</v>
      </c>
      <c r="M15" s="40" t="s">
        <v>148</v>
      </c>
      <c r="N15" s="31" t="s">
        <v>377</v>
      </c>
      <c r="O15" s="30" t="s">
        <v>845</v>
      </c>
      <c r="P15" s="33">
        <v>2007</v>
      </c>
      <c r="Q15" s="30" t="s">
        <v>863</v>
      </c>
      <c r="R15" s="35">
        <v>10261</v>
      </c>
      <c r="S15" s="32">
        <v>10261</v>
      </c>
      <c r="T15" s="32">
        <f t="shared" si="1"/>
        <v>7144</v>
      </c>
      <c r="U15" s="30" t="str">
        <f t="shared" si="2"/>
        <v>Not Cost-Effective</v>
      </c>
      <c r="V15" s="30" t="str">
        <f t="shared" si="3"/>
        <v>Cost-Effective</v>
      </c>
      <c r="W15" s="41">
        <f t="shared" si="4"/>
        <v>1.4363101903695408</v>
      </c>
      <c r="X15" s="55">
        <f t="shared" si="5"/>
        <v>0.75</v>
      </c>
      <c r="Y15" s="30" t="str">
        <f t="shared" si="6"/>
        <v>Not Cost-Effective</v>
      </c>
      <c r="Z15" s="55">
        <f t="shared" si="7"/>
        <v>0.45</v>
      </c>
      <c r="AA15" s="30" t="str">
        <f t="shared" si="13"/>
        <v>Not Cost-Effective</v>
      </c>
      <c r="AB15" s="55">
        <f t="shared" si="8"/>
        <v>0.5771973489191532</v>
      </c>
      <c r="AC15" s="30" t="str">
        <f t="shared" si="9"/>
        <v>Not Cost-Effective</v>
      </c>
      <c r="AD15" s="55">
        <f t="shared" si="10"/>
        <v>0.32448707551478878</v>
      </c>
      <c r="AE15" s="30" t="str">
        <f t="shared" si="14"/>
        <v>Not Cost-Effective</v>
      </c>
      <c r="AF15" s="30" t="s">
        <v>161</v>
      </c>
      <c r="AG15" s="30" t="s">
        <v>382</v>
      </c>
    </row>
    <row r="16" spans="1:35" ht="12.75" customHeight="1">
      <c r="A16" s="40">
        <f t="shared" si="11"/>
        <v>8</v>
      </c>
      <c r="B16" s="40">
        <f t="shared" si="12"/>
        <v>1</v>
      </c>
      <c r="C16" s="51" t="str">
        <f t="shared" si="0"/>
        <v>0801</v>
      </c>
      <c r="D16" s="30" t="s">
        <v>178</v>
      </c>
      <c r="E16" s="33">
        <v>2014</v>
      </c>
      <c r="F16" s="30" t="s">
        <v>419</v>
      </c>
      <c r="G16" s="30" t="s">
        <v>180</v>
      </c>
      <c r="H16" s="30" t="s">
        <v>851</v>
      </c>
      <c r="I16" s="40" t="s">
        <v>166</v>
      </c>
      <c r="J16" s="40" t="s">
        <v>147</v>
      </c>
      <c r="K16" s="49" t="s">
        <v>403</v>
      </c>
      <c r="L16" s="40">
        <v>4</v>
      </c>
      <c r="M16" s="40" t="s">
        <v>148</v>
      </c>
      <c r="N16" s="31" t="s">
        <v>377</v>
      </c>
      <c r="O16" s="30" t="s">
        <v>845</v>
      </c>
      <c r="P16" s="33">
        <v>2010</v>
      </c>
      <c r="Q16" s="30" t="s">
        <v>864</v>
      </c>
      <c r="R16" s="35">
        <v>9406</v>
      </c>
      <c r="S16" s="32">
        <v>9046</v>
      </c>
      <c r="T16" s="32">
        <f t="shared" si="1"/>
        <v>8880.1</v>
      </c>
      <c r="U16" s="30" t="str">
        <f t="shared" si="2"/>
        <v>Not Cost-Effective</v>
      </c>
      <c r="V16" s="30" t="str">
        <f t="shared" si="3"/>
        <v>Cost-Effective</v>
      </c>
      <c r="W16" s="41">
        <f t="shared" si="4"/>
        <v>1.0186822220470491</v>
      </c>
      <c r="X16" s="55">
        <f t="shared" si="5"/>
        <v>0.75</v>
      </c>
      <c r="Y16" s="30" t="str">
        <f t="shared" si="6"/>
        <v>Not Cost-Effective</v>
      </c>
      <c r="Z16" s="55">
        <f t="shared" si="7"/>
        <v>0.45</v>
      </c>
      <c r="AA16" s="30" t="str">
        <f t="shared" si="13"/>
        <v>Not Cost-Effective</v>
      </c>
      <c r="AB16" s="55">
        <f t="shared" si="8"/>
        <v>0.5771973489191532</v>
      </c>
      <c r="AC16" s="30" t="str">
        <f t="shared" si="9"/>
        <v>Not Cost-Effective</v>
      </c>
      <c r="AD16" s="55">
        <f t="shared" si="10"/>
        <v>0.32448707551478878</v>
      </c>
      <c r="AE16" s="30" t="str">
        <f t="shared" si="14"/>
        <v>Not Cost-Effective</v>
      </c>
      <c r="AF16" s="30" t="s">
        <v>161</v>
      </c>
      <c r="AG16" s="30" t="s">
        <v>382</v>
      </c>
    </row>
    <row r="17" spans="1:36" s="64" customFormat="1" ht="12.75" customHeight="1">
      <c r="A17" s="63">
        <f t="shared" si="11"/>
        <v>8</v>
      </c>
      <c r="B17" s="63">
        <f t="shared" si="12"/>
        <v>2</v>
      </c>
      <c r="C17" s="71" t="str">
        <f t="shared" si="0"/>
        <v>0802</v>
      </c>
      <c r="D17" s="64" t="s">
        <v>178</v>
      </c>
      <c r="E17" s="72">
        <v>2014</v>
      </c>
      <c r="F17" s="64" t="s">
        <v>419</v>
      </c>
      <c r="G17" s="64" t="s">
        <v>180</v>
      </c>
      <c r="H17" s="64" t="s">
        <v>865</v>
      </c>
      <c r="I17" s="63" t="s">
        <v>167</v>
      </c>
      <c r="J17" s="63" t="s">
        <v>166</v>
      </c>
      <c r="K17" s="65" t="s">
        <v>403</v>
      </c>
      <c r="L17" s="63">
        <v>4</v>
      </c>
      <c r="M17" s="63" t="s">
        <v>148</v>
      </c>
      <c r="N17" s="73" t="s">
        <v>377</v>
      </c>
      <c r="O17" s="64" t="s">
        <v>845</v>
      </c>
      <c r="P17" s="72">
        <v>2010</v>
      </c>
      <c r="Q17" s="64" t="s">
        <v>866</v>
      </c>
      <c r="R17" s="66">
        <v>61061.49</v>
      </c>
      <c r="S17" s="74">
        <f>R17</f>
        <v>61061.49</v>
      </c>
      <c r="T17" s="74">
        <f t="shared" si="1"/>
        <v>8880.1</v>
      </c>
      <c r="U17" s="64" t="str">
        <f t="shared" si="2"/>
        <v>Not Cost-Effective</v>
      </c>
      <c r="V17" s="64" t="str">
        <f t="shared" si="3"/>
        <v>Not Cost-Effective</v>
      </c>
      <c r="W17" s="75">
        <f t="shared" si="4"/>
        <v>6.8762164840486024</v>
      </c>
      <c r="X17" s="76">
        <f t="shared" si="5"/>
        <v>0.75</v>
      </c>
      <c r="Y17" s="64" t="str">
        <f t="shared" si="6"/>
        <v>Not Cost-Effective</v>
      </c>
      <c r="Z17" s="76">
        <f t="shared" si="7"/>
        <v>0.45</v>
      </c>
      <c r="AA17" s="64" t="str">
        <f t="shared" si="13"/>
        <v>Not Cost-Effective</v>
      </c>
      <c r="AB17" s="76">
        <f t="shared" si="8"/>
        <v>0.5771973489191532</v>
      </c>
      <c r="AC17" s="64" t="str">
        <f t="shared" si="9"/>
        <v>Not Cost-Effective</v>
      </c>
      <c r="AD17" s="76">
        <f t="shared" si="10"/>
        <v>0.32448707551478878</v>
      </c>
      <c r="AE17" s="64" t="str">
        <f t="shared" si="14"/>
        <v>Not Cost-Effective</v>
      </c>
      <c r="AF17" s="64" t="s">
        <v>161</v>
      </c>
      <c r="AG17" s="64" t="s">
        <v>382</v>
      </c>
      <c r="AH17" s="64" t="s">
        <v>867</v>
      </c>
      <c r="AJ17" s="64" t="s">
        <v>868</v>
      </c>
    </row>
    <row r="18" spans="1:36" ht="12.75" customHeight="1">
      <c r="A18" s="40">
        <f t="shared" si="11"/>
        <v>9</v>
      </c>
      <c r="B18" s="40">
        <f t="shared" si="12"/>
        <v>1</v>
      </c>
      <c r="C18" s="51" t="str">
        <f t="shared" si="0"/>
        <v>0901</v>
      </c>
      <c r="D18" s="30" t="s">
        <v>83</v>
      </c>
      <c r="E18" s="33">
        <v>2017</v>
      </c>
      <c r="F18" s="30" t="s">
        <v>425</v>
      </c>
      <c r="G18" s="30" t="s">
        <v>180</v>
      </c>
      <c r="H18" s="30" t="s">
        <v>851</v>
      </c>
      <c r="I18" s="40" t="s">
        <v>166</v>
      </c>
      <c r="J18" s="40" t="s">
        <v>147</v>
      </c>
      <c r="K18" s="49" t="s">
        <v>368</v>
      </c>
      <c r="L18" s="40">
        <v>3</v>
      </c>
      <c r="M18" s="40" t="s">
        <v>155</v>
      </c>
      <c r="N18" s="31" t="s">
        <v>377</v>
      </c>
      <c r="O18" s="30" t="s">
        <v>845</v>
      </c>
      <c r="P18" s="33">
        <v>2014</v>
      </c>
      <c r="Q18" s="30" t="s">
        <v>869</v>
      </c>
      <c r="R18" s="35">
        <v>28497</v>
      </c>
      <c r="S18" s="32">
        <v>28497</v>
      </c>
      <c r="T18" s="32">
        <f t="shared" si="1"/>
        <v>11045.6</v>
      </c>
      <c r="U18" s="30" t="str">
        <f t="shared" si="2"/>
        <v>Not Cost-Effective</v>
      </c>
      <c r="V18" s="30" t="str">
        <f t="shared" si="3"/>
        <v>Cost-Effective</v>
      </c>
      <c r="W18" s="41">
        <f t="shared" si="4"/>
        <v>2.5799413341058881</v>
      </c>
      <c r="X18" s="55">
        <f t="shared" si="5"/>
        <v>0.75</v>
      </c>
      <c r="Y18" s="30" t="str">
        <f t="shared" si="6"/>
        <v>Not Cost-Effective</v>
      </c>
      <c r="Z18" s="55">
        <f t="shared" si="7"/>
        <v>0.45</v>
      </c>
      <c r="AA18" s="30" t="str">
        <f t="shared" si="13"/>
        <v>Not Cost-Effective</v>
      </c>
      <c r="AB18" s="55">
        <f t="shared" si="8"/>
        <v>0.5771973489191532</v>
      </c>
      <c r="AC18" s="30" t="str">
        <f t="shared" si="9"/>
        <v>Not Cost-Effective</v>
      </c>
      <c r="AD18" s="55">
        <f t="shared" si="10"/>
        <v>0.32448707551478878</v>
      </c>
      <c r="AE18" s="30" t="str">
        <f t="shared" si="14"/>
        <v>Not Cost-Effective</v>
      </c>
      <c r="AF18" s="30" t="s">
        <v>161</v>
      </c>
      <c r="AG18" s="30" t="s">
        <v>382</v>
      </c>
    </row>
    <row r="19" spans="1:36" s="64" customFormat="1" ht="12.75" customHeight="1">
      <c r="A19" s="63">
        <f t="shared" si="11"/>
        <v>9</v>
      </c>
      <c r="B19" s="63">
        <f t="shared" si="12"/>
        <v>2</v>
      </c>
      <c r="C19" s="71" t="str">
        <f t="shared" si="0"/>
        <v>0902</v>
      </c>
      <c r="D19" s="64" t="s">
        <v>83</v>
      </c>
      <c r="E19" s="72">
        <v>2017</v>
      </c>
      <c r="F19" s="64" t="s">
        <v>425</v>
      </c>
      <c r="G19" s="64" t="s">
        <v>180</v>
      </c>
      <c r="H19" s="64" t="s">
        <v>865</v>
      </c>
      <c r="I19" s="63" t="s">
        <v>167</v>
      </c>
      <c r="J19" s="63" t="s">
        <v>166</v>
      </c>
      <c r="K19" s="65" t="s">
        <v>368</v>
      </c>
      <c r="L19" s="63">
        <v>3</v>
      </c>
      <c r="M19" s="63" t="s">
        <v>155</v>
      </c>
      <c r="N19" s="73" t="s">
        <v>377</v>
      </c>
      <c r="O19" s="64" t="s">
        <v>845</v>
      </c>
      <c r="P19" s="72">
        <v>2014</v>
      </c>
      <c r="Q19" s="64" t="s">
        <v>870</v>
      </c>
      <c r="R19" s="66">
        <v>44907.6</v>
      </c>
      <c r="S19" s="74">
        <f>R19</f>
        <v>44907.6</v>
      </c>
      <c r="T19" s="74">
        <f t="shared" si="1"/>
        <v>11045.6</v>
      </c>
      <c r="U19" s="64" t="str">
        <f t="shared" si="2"/>
        <v>Not Cost-Effective</v>
      </c>
      <c r="V19" s="64" t="str">
        <f t="shared" si="3"/>
        <v>Not Cost-Effective</v>
      </c>
      <c r="W19" s="75">
        <f t="shared" si="4"/>
        <v>4.0656551024842464</v>
      </c>
      <c r="X19" s="76">
        <f t="shared" si="5"/>
        <v>0.75</v>
      </c>
      <c r="Y19" s="64" t="str">
        <f t="shared" si="6"/>
        <v>Not Cost-Effective</v>
      </c>
      <c r="Z19" s="76">
        <f t="shared" si="7"/>
        <v>0.45</v>
      </c>
      <c r="AA19" s="64" t="str">
        <f t="shared" si="13"/>
        <v>Not Cost-Effective</v>
      </c>
      <c r="AB19" s="76">
        <f t="shared" si="8"/>
        <v>0.5771973489191532</v>
      </c>
      <c r="AC19" s="64" t="str">
        <f t="shared" si="9"/>
        <v>Not Cost-Effective</v>
      </c>
      <c r="AD19" s="76">
        <f t="shared" si="10"/>
        <v>0.32448707551478878</v>
      </c>
      <c r="AE19" s="64" t="str">
        <f t="shared" si="14"/>
        <v>Not Cost-Effective</v>
      </c>
      <c r="AF19" s="64" t="s">
        <v>161</v>
      </c>
      <c r="AG19" s="64" t="s">
        <v>382</v>
      </c>
      <c r="AH19" s="64" t="s">
        <v>867</v>
      </c>
      <c r="AJ19" s="64" t="s">
        <v>868</v>
      </c>
    </row>
    <row r="20" spans="1:36" ht="12.75" customHeight="1">
      <c r="A20" s="40">
        <f t="shared" si="11"/>
        <v>10</v>
      </c>
      <c r="B20" s="40">
        <f t="shared" si="12"/>
        <v>1</v>
      </c>
      <c r="C20" s="51" t="str">
        <f t="shared" si="0"/>
        <v>1001</v>
      </c>
      <c r="D20" s="30" t="s">
        <v>184</v>
      </c>
      <c r="E20" s="33">
        <v>2016</v>
      </c>
      <c r="F20" s="30" t="s">
        <v>430</v>
      </c>
      <c r="G20" s="30" t="s">
        <v>180</v>
      </c>
      <c r="H20" s="30" t="s">
        <v>851</v>
      </c>
      <c r="I20" s="40" t="s">
        <v>166</v>
      </c>
      <c r="J20" s="40" t="s">
        <v>147</v>
      </c>
      <c r="K20" s="49" t="s">
        <v>403</v>
      </c>
      <c r="L20" s="40">
        <v>4</v>
      </c>
      <c r="M20" s="40" t="s">
        <v>148</v>
      </c>
      <c r="N20" s="31" t="s">
        <v>377</v>
      </c>
      <c r="O20" s="30" t="s">
        <v>845</v>
      </c>
      <c r="P20" s="33">
        <v>2014</v>
      </c>
      <c r="Q20" s="30" t="s">
        <v>871</v>
      </c>
      <c r="R20" s="35">
        <v>21438</v>
      </c>
      <c r="S20" s="32">
        <v>21438</v>
      </c>
      <c r="T20" s="32">
        <f t="shared" si="1"/>
        <v>11045.6</v>
      </c>
      <c r="U20" s="30" t="str">
        <f t="shared" si="2"/>
        <v>Not Cost-Effective</v>
      </c>
      <c r="V20" s="30" t="str">
        <f t="shared" si="3"/>
        <v>Cost-Effective</v>
      </c>
      <c r="W20" s="41">
        <f t="shared" si="4"/>
        <v>1.9408633301948286</v>
      </c>
      <c r="X20" s="55">
        <f t="shared" si="5"/>
        <v>0.75</v>
      </c>
      <c r="Y20" s="30" t="str">
        <f t="shared" si="6"/>
        <v>Not Cost-Effective</v>
      </c>
      <c r="Z20" s="55">
        <f t="shared" si="7"/>
        <v>0.45</v>
      </c>
      <c r="AA20" s="30" t="str">
        <f t="shared" si="13"/>
        <v>Not Cost-Effective</v>
      </c>
      <c r="AB20" s="55">
        <f t="shared" si="8"/>
        <v>0.5771973489191532</v>
      </c>
      <c r="AC20" s="30" t="str">
        <f t="shared" si="9"/>
        <v>Not Cost-Effective</v>
      </c>
      <c r="AD20" s="55">
        <f t="shared" si="10"/>
        <v>0.32448707551478878</v>
      </c>
      <c r="AE20" s="30" t="str">
        <f t="shared" si="14"/>
        <v>Not Cost-Effective</v>
      </c>
      <c r="AF20" s="30" t="s">
        <v>176</v>
      </c>
      <c r="AG20" s="30" t="s">
        <v>371</v>
      </c>
    </row>
    <row r="21" spans="1:36" ht="12.75" customHeight="1">
      <c r="A21" s="40">
        <f t="shared" si="11"/>
        <v>10</v>
      </c>
      <c r="B21" s="40">
        <f t="shared" si="12"/>
        <v>2</v>
      </c>
      <c r="C21" s="51" t="str">
        <f t="shared" si="0"/>
        <v>1002</v>
      </c>
      <c r="D21" s="30" t="s">
        <v>184</v>
      </c>
      <c r="E21" s="33">
        <v>2016</v>
      </c>
      <c r="F21" s="30" t="s">
        <v>430</v>
      </c>
      <c r="G21" s="30" t="s">
        <v>180</v>
      </c>
      <c r="H21" s="30" t="s">
        <v>851</v>
      </c>
      <c r="I21" s="40" t="s">
        <v>166</v>
      </c>
      <c r="J21" s="40" t="s">
        <v>147</v>
      </c>
      <c r="K21" s="49" t="s">
        <v>403</v>
      </c>
      <c r="L21" s="40">
        <v>4</v>
      </c>
      <c r="M21" s="40" t="s">
        <v>148</v>
      </c>
      <c r="N21" s="31" t="s">
        <v>149</v>
      </c>
      <c r="O21" s="30" t="s">
        <v>845</v>
      </c>
      <c r="P21" s="33">
        <v>2014</v>
      </c>
      <c r="Q21" s="30" t="s">
        <v>872</v>
      </c>
      <c r="R21" s="35">
        <v>20667</v>
      </c>
      <c r="S21" s="32">
        <v>20667</v>
      </c>
      <c r="T21" s="32">
        <f t="shared" si="1"/>
        <v>11045.6</v>
      </c>
      <c r="U21" s="30" t="str">
        <f t="shared" si="2"/>
        <v>Not Cost-Effective</v>
      </c>
      <c r="V21" s="30" t="str">
        <f t="shared" si="3"/>
        <v>Cost-Effective</v>
      </c>
      <c r="W21" s="41">
        <f t="shared" si="4"/>
        <v>1.8710617802563916</v>
      </c>
      <c r="X21" s="55">
        <f t="shared" si="5"/>
        <v>0.75</v>
      </c>
      <c r="Y21" s="30" t="str">
        <f t="shared" si="6"/>
        <v>Not Cost-Effective</v>
      </c>
      <c r="Z21" s="55">
        <f t="shared" si="7"/>
        <v>0.45</v>
      </c>
      <c r="AA21" s="30" t="str">
        <f t="shared" si="13"/>
        <v>Not Cost-Effective</v>
      </c>
      <c r="AB21" s="55">
        <f t="shared" si="8"/>
        <v>0.5771973489191532</v>
      </c>
      <c r="AC21" s="30" t="str">
        <f t="shared" si="9"/>
        <v>Not Cost-Effective</v>
      </c>
      <c r="AD21" s="55">
        <f t="shared" si="10"/>
        <v>0.32448707551478878</v>
      </c>
      <c r="AE21" s="30" t="str">
        <f t="shared" si="14"/>
        <v>Not Cost-Effective</v>
      </c>
      <c r="AF21" s="30" t="s">
        <v>176</v>
      </c>
      <c r="AG21" s="30" t="s">
        <v>371</v>
      </c>
    </row>
    <row r="22" spans="1:36" ht="12.75" customHeight="1">
      <c r="A22" s="40">
        <f t="shared" si="11"/>
        <v>10</v>
      </c>
      <c r="B22" s="40">
        <f t="shared" si="12"/>
        <v>3</v>
      </c>
      <c r="C22" s="51" t="str">
        <f t="shared" si="0"/>
        <v>1003</v>
      </c>
      <c r="D22" s="30" t="s">
        <v>184</v>
      </c>
      <c r="E22" s="33">
        <v>2016</v>
      </c>
      <c r="F22" s="30" t="s">
        <v>430</v>
      </c>
      <c r="G22" s="30" t="s">
        <v>180</v>
      </c>
      <c r="H22" s="30" t="s">
        <v>853</v>
      </c>
      <c r="I22" s="40" t="s">
        <v>167</v>
      </c>
      <c r="J22" s="40" t="s">
        <v>147</v>
      </c>
      <c r="K22" s="49" t="s">
        <v>403</v>
      </c>
      <c r="L22" s="40">
        <v>4</v>
      </c>
      <c r="M22" s="40" t="s">
        <v>148</v>
      </c>
      <c r="N22" s="31" t="s">
        <v>377</v>
      </c>
      <c r="O22" s="30" t="s">
        <v>845</v>
      </c>
      <c r="P22" s="33">
        <v>2014</v>
      </c>
      <c r="Q22" s="30" t="s">
        <v>873</v>
      </c>
      <c r="R22" s="35">
        <v>6389</v>
      </c>
      <c r="S22" s="32">
        <v>6389</v>
      </c>
      <c r="T22" s="32">
        <f t="shared" si="1"/>
        <v>11045.6</v>
      </c>
      <c r="U22" s="30" t="str">
        <f t="shared" si="2"/>
        <v>Cost-Effective</v>
      </c>
      <c r="V22" s="30" t="str">
        <f t="shared" si="3"/>
        <v>Cost-Effective</v>
      </c>
      <c r="W22" s="41">
        <f t="shared" si="4"/>
        <v>0.57842036648077055</v>
      </c>
      <c r="X22" s="55">
        <f t="shared" si="5"/>
        <v>0.75</v>
      </c>
      <c r="Y22" s="30" t="str">
        <f t="shared" si="6"/>
        <v>Cost-Effective</v>
      </c>
      <c r="Z22" s="55">
        <f t="shared" si="7"/>
        <v>0.45</v>
      </c>
      <c r="AA22" s="30" t="str">
        <f t="shared" si="13"/>
        <v>Not Cost-Effective</v>
      </c>
      <c r="AB22" s="55">
        <f t="shared" si="8"/>
        <v>0.5771973489191532</v>
      </c>
      <c r="AC22" s="30" t="str">
        <f t="shared" si="9"/>
        <v>Not Cost-Effective</v>
      </c>
      <c r="AD22" s="55">
        <f t="shared" si="10"/>
        <v>0.32448707551478878</v>
      </c>
      <c r="AE22" s="30" t="str">
        <f t="shared" si="14"/>
        <v>Not Cost-Effective</v>
      </c>
      <c r="AF22" s="30" t="s">
        <v>176</v>
      </c>
      <c r="AG22" s="30" t="s">
        <v>382</v>
      </c>
    </row>
    <row r="23" spans="1:36" ht="12.75" customHeight="1">
      <c r="A23" s="40">
        <f t="shared" si="11"/>
        <v>10</v>
      </c>
      <c r="B23" s="40">
        <f t="shared" si="12"/>
        <v>4</v>
      </c>
      <c r="C23" s="51" t="str">
        <f t="shared" si="0"/>
        <v>1004</v>
      </c>
      <c r="D23" s="30" t="s">
        <v>184</v>
      </c>
      <c r="E23" s="33">
        <v>2016</v>
      </c>
      <c r="F23" s="30" t="s">
        <v>430</v>
      </c>
      <c r="G23" s="30" t="s">
        <v>180</v>
      </c>
      <c r="H23" s="30" t="s">
        <v>853</v>
      </c>
      <c r="I23" s="40" t="s">
        <v>167</v>
      </c>
      <c r="J23" s="40" t="s">
        <v>147</v>
      </c>
      <c r="K23" s="49" t="s">
        <v>403</v>
      </c>
      <c r="L23" s="40">
        <v>4</v>
      </c>
      <c r="M23" s="40" t="s">
        <v>148</v>
      </c>
      <c r="N23" s="31" t="s">
        <v>149</v>
      </c>
      <c r="O23" s="30" t="s">
        <v>845</v>
      </c>
      <c r="P23" s="33">
        <v>2014</v>
      </c>
      <c r="Q23" s="30" t="s">
        <v>874</v>
      </c>
      <c r="R23" s="35">
        <v>4883</v>
      </c>
      <c r="S23" s="32">
        <v>4883</v>
      </c>
      <c r="T23" s="32">
        <f t="shared" si="1"/>
        <v>11045.6</v>
      </c>
      <c r="U23" s="30" t="str">
        <f t="shared" si="2"/>
        <v>Cost-Effective</v>
      </c>
      <c r="V23" s="30" t="str">
        <f t="shared" si="3"/>
        <v>Cost-Effective</v>
      </c>
      <c r="W23" s="41">
        <f t="shared" si="4"/>
        <v>0.44207648294343449</v>
      </c>
      <c r="X23" s="55">
        <f t="shared" si="5"/>
        <v>0.75</v>
      </c>
      <c r="Y23" s="30" t="str">
        <f t="shared" si="6"/>
        <v>Cost-Effective</v>
      </c>
      <c r="Z23" s="55">
        <f t="shared" si="7"/>
        <v>0.45</v>
      </c>
      <c r="AA23" s="30" t="str">
        <f t="shared" si="13"/>
        <v>Cost-Effective</v>
      </c>
      <c r="AB23" s="55">
        <f t="shared" si="8"/>
        <v>0.5771973489191532</v>
      </c>
      <c r="AC23" s="30" t="str">
        <f t="shared" si="9"/>
        <v>Cost-Effective</v>
      </c>
      <c r="AD23" s="55">
        <f t="shared" si="10"/>
        <v>0.32448707551478878</v>
      </c>
      <c r="AE23" s="30" t="str">
        <f t="shared" si="14"/>
        <v>Not Cost-Effective</v>
      </c>
      <c r="AF23" s="30" t="s">
        <v>176</v>
      </c>
      <c r="AG23" s="30" t="s">
        <v>382</v>
      </c>
    </row>
    <row r="24" spans="1:36" ht="12.75" customHeight="1">
      <c r="A24" s="40">
        <f t="shared" si="11"/>
        <v>10</v>
      </c>
      <c r="B24" s="40">
        <f t="shared" si="12"/>
        <v>5</v>
      </c>
      <c r="C24" s="51" t="str">
        <f t="shared" si="0"/>
        <v>1005</v>
      </c>
      <c r="D24" s="30" t="s">
        <v>184</v>
      </c>
      <c r="E24" s="33">
        <v>2016</v>
      </c>
      <c r="F24" s="30" t="s">
        <v>430</v>
      </c>
      <c r="G24" s="30" t="s">
        <v>180</v>
      </c>
      <c r="H24" s="30" t="s">
        <v>875</v>
      </c>
      <c r="I24" s="40" t="s">
        <v>167</v>
      </c>
      <c r="J24" s="40" t="s">
        <v>166</v>
      </c>
      <c r="K24" s="49" t="s">
        <v>403</v>
      </c>
      <c r="L24" s="40">
        <v>4</v>
      </c>
      <c r="M24" s="40" t="s">
        <v>148</v>
      </c>
      <c r="N24" s="31" t="s">
        <v>377</v>
      </c>
      <c r="O24" s="30" t="s">
        <v>845</v>
      </c>
      <c r="P24" s="33">
        <v>2014</v>
      </c>
      <c r="Q24" s="30" t="s">
        <v>876</v>
      </c>
      <c r="R24" s="121">
        <v>-3059</v>
      </c>
      <c r="S24" s="122">
        <v>-3059</v>
      </c>
      <c r="T24" s="32">
        <f t="shared" si="1"/>
        <v>11045.6</v>
      </c>
      <c r="U24" s="30" t="str">
        <f t="shared" si="2"/>
        <v>Cost-Effective</v>
      </c>
      <c r="V24" s="30" t="str">
        <f t="shared" si="3"/>
        <v>Cost-Effective</v>
      </c>
      <c r="W24" s="41">
        <f t="shared" si="4"/>
        <v>-0.27694285507351341</v>
      </c>
      <c r="X24" s="55">
        <f t="shared" si="5"/>
        <v>0.75</v>
      </c>
      <c r="Y24" s="30" t="str">
        <f t="shared" si="6"/>
        <v>Cost-Effective</v>
      </c>
      <c r="Z24" s="55">
        <f t="shared" si="7"/>
        <v>0.45</v>
      </c>
      <c r="AA24" s="30" t="str">
        <f t="shared" si="13"/>
        <v>Cost-Effective</v>
      </c>
      <c r="AB24" s="55">
        <f t="shared" si="8"/>
        <v>0.5771973489191532</v>
      </c>
      <c r="AC24" s="30" t="str">
        <f t="shared" si="9"/>
        <v>Cost-Effective</v>
      </c>
      <c r="AD24" s="55">
        <f t="shared" si="10"/>
        <v>0.32448707551478878</v>
      </c>
      <c r="AE24" s="30" t="str">
        <f t="shared" si="14"/>
        <v>Cost-Effective</v>
      </c>
      <c r="AF24" s="30" t="s">
        <v>176</v>
      </c>
      <c r="AG24" s="30" t="s">
        <v>439</v>
      </c>
    </row>
    <row r="25" spans="1:36" ht="12.75" customHeight="1">
      <c r="A25" s="40">
        <f t="shared" si="11"/>
        <v>10</v>
      </c>
      <c r="B25" s="40">
        <f t="shared" si="12"/>
        <v>6</v>
      </c>
      <c r="C25" s="51" t="str">
        <f t="shared" si="0"/>
        <v>1006</v>
      </c>
      <c r="D25" s="30" t="s">
        <v>184</v>
      </c>
      <c r="E25" s="33">
        <v>2016</v>
      </c>
      <c r="F25" s="30" t="s">
        <v>430</v>
      </c>
      <c r="G25" s="30" t="s">
        <v>180</v>
      </c>
      <c r="H25" s="30" t="s">
        <v>875</v>
      </c>
      <c r="I25" s="40" t="s">
        <v>167</v>
      </c>
      <c r="J25" s="40" t="s">
        <v>166</v>
      </c>
      <c r="K25" s="49" t="s">
        <v>403</v>
      </c>
      <c r="L25" s="40">
        <v>4</v>
      </c>
      <c r="M25" s="40" t="s">
        <v>148</v>
      </c>
      <c r="N25" s="31" t="s">
        <v>149</v>
      </c>
      <c r="O25" s="30" t="s">
        <v>845</v>
      </c>
      <c r="P25" s="33">
        <v>2014</v>
      </c>
      <c r="Q25" s="30" t="s">
        <v>877</v>
      </c>
      <c r="R25" s="121">
        <v>-5027</v>
      </c>
      <c r="S25" s="122">
        <v>-5027</v>
      </c>
      <c r="T25" s="32">
        <f t="shared" si="1"/>
        <v>11045.6</v>
      </c>
      <c r="U25" s="30" t="str">
        <f t="shared" si="2"/>
        <v>Cost-Effective</v>
      </c>
      <c r="V25" s="30" t="str">
        <f t="shared" si="3"/>
        <v>Cost-Effective</v>
      </c>
      <c r="W25" s="41">
        <f t="shared" si="4"/>
        <v>-0.45511334830158612</v>
      </c>
      <c r="X25" s="55">
        <f t="shared" si="5"/>
        <v>0.75</v>
      </c>
      <c r="Y25" s="30" t="str">
        <f t="shared" si="6"/>
        <v>Cost-Effective</v>
      </c>
      <c r="Z25" s="55">
        <f t="shared" si="7"/>
        <v>0.45</v>
      </c>
      <c r="AA25" s="30" t="str">
        <f t="shared" si="13"/>
        <v>Cost-Effective</v>
      </c>
      <c r="AB25" s="55">
        <f t="shared" si="8"/>
        <v>0.5771973489191532</v>
      </c>
      <c r="AC25" s="30" t="str">
        <f t="shared" si="9"/>
        <v>Cost-Effective</v>
      </c>
      <c r="AD25" s="55">
        <f t="shared" si="10"/>
        <v>0.32448707551478878</v>
      </c>
      <c r="AE25" s="30" t="str">
        <f t="shared" si="14"/>
        <v>Cost-Effective</v>
      </c>
      <c r="AF25" s="30" t="s">
        <v>176</v>
      </c>
      <c r="AG25" s="30" t="s">
        <v>439</v>
      </c>
    </row>
    <row r="26" spans="1:36" ht="12.75" customHeight="1">
      <c r="A26" s="40">
        <f t="shared" si="11"/>
        <v>10</v>
      </c>
      <c r="B26" s="40">
        <f t="shared" si="12"/>
        <v>7</v>
      </c>
      <c r="C26" s="51" t="str">
        <f t="shared" si="0"/>
        <v>1007</v>
      </c>
      <c r="D26" s="30" t="s">
        <v>184</v>
      </c>
      <c r="E26" s="33">
        <v>2016</v>
      </c>
      <c r="F26" s="30" t="s">
        <v>430</v>
      </c>
      <c r="G26" s="30" t="s">
        <v>180</v>
      </c>
      <c r="H26" s="30" t="s">
        <v>853</v>
      </c>
      <c r="I26" s="40" t="s">
        <v>167</v>
      </c>
      <c r="J26" s="40" t="s">
        <v>147</v>
      </c>
      <c r="K26" s="49" t="s">
        <v>403</v>
      </c>
      <c r="L26" s="40">
        <v>4</v>
      </c>
      <c r="M26" s="40" t="s">
        <v>155</v>
      </c>
      <c r="N26" s="31" t="s">
        <v>377</v>
      </c>
      <c r="O26" s="30" t="s">
        <v>845</v>
      </c>
      <c r="P26" s="33">
        <v>2014</v>
      </c>
      <c r="Q26" s="30" t="s">
        <v>878</v>
      </c>
      <c r="R26" s="35">
        <v>15752</v>
      </c>
      <c r="S26" s="32">
        <v>15752</v>
      </c>
      <c r="T26" s="32">
        <f t="shared" si="1"/>
        <v>11045.6</v>
      </c>
      <c r="U26" s="30" t="str">
        <f t="shared" si="2"/>
        <v>Not Cost-Effective</v>
      </c>
      <c r="V26" s="30" t="str">
        <f t="shared" si="3"/>
        <v>Cost-Effective</v>
      </c>
      <c r="W26" s="41">
        <f t="shared" si="4"/>
        <v>1.4260882161222568</v>
      </c>
      <c r="X26" s="55">
        <f t="shared" si="5"/>
        <v>0.75</v>
      </c>
      <c r="Y26" s="30" t="str">
        <f t="shared" si="6"/>
        <v>Not Cost-Effective</v>
      </c>
      <c r="Z26" s="55">
        <f t="shared" si="7"/>
        <v>0.45</v>
      </c>
      <c r="AA26" s="30" t="str">
        <f t="shared" si="13"/>
        <v>Not Cost-Effective</v>
      </c>
      <c r="AB26" s="55">
        <f t="shared" si="8"/>
        <v>0.5771973489191532</v>
      </c>
      <c r="AC26" s="30" t="str">
        <f t="shared" si="9"/>
        <v>Not Cost-Effective</v>
      </c>
      <c r="AD26" s="55">
        <f t="shared" si="10"/>
        <v>0.32448707551478878</v>
      </c>
      <c r="AE26" s="30" t="str">
        <f t="shared" si="14"/>
        <v>Not Cost-Effective</v>
      </c>
      <c r="AF26" s="30" t="s">
        <v>176</v>
      </c>
      <c r="AG26" s="30" t="s">
        <v>371</v>
      </c>
    </row>
    <row r="27" spans="1:36" ht="12.75" customHeight="1">
      <c r="A27" s="40">
        <f t="shared" si="11"/>
        <v>10</v>
      </c>
      <c r="B27" s="40">
        <f t="shared" si="12"/>
        <v>8</v>
      </c>
      <c r="C27" s="51" t="str">
        <f t="shared" si="0"/>
        <v>1008</v>
      </c>
      <c r="D27" s="30" t="s">
        <v>184</v>
      </c>
      <c r="E27" s="33">
        <v>2016</v>
      </c>
      <c r="F27" s="30" t="s">
        <v>430</v>
      </c>
      <c r="G27" s="30" t="s">
        <v>180</v>
      </c>
      <c r="H27" s="30" t="s">
        <v>853</v>
      </c>
      <c r="I27" s="40" t="s">
        <v>167</v>
      </c>
      <c r="J27" s="40" t="s">
        <v>147</v>
      </c>
      <c r="K27" s="49" t="s">
        <v>403</v>
      </c>
      <c r="L27" s="40">
        <v>4</v>
      </c>
      <c r="M27" s="40" t="s">
        <v>155</v>
      </c>
      <c r="N27" s="31" t="s">
        <v>149</v>
      </c>
      <c r="O27" s="30" t="s">
        <v>845</v>
      </c>
      <c r="P27" s="33">
        <v>2014</v>
      </c>
      <c r="Q27" s="30" t="s">
        <v>879</v>
      </c>
      <c r="R27" s="35">
        <v>14981</v>
      </c>
      <c r="S27" s="32">
        <v>14981</v>
      </c>
      <c r="T27" s="32">
        <f t="shared" si="1"/>
        <v>11045.6</v>
      </c>
      <c r="U27" s="30" t="str">
        <f t="shared" si="2"/>
        <v>Not Cost-Effective</v>
      </c>
      <c r="V27" s="30" t="str">
        <f t="shared" si="3"/>
        <v>Cost-Effective</v>
      </c>
      <c r="W27" s="41">
        <f t="shared" si="4"/>
        <v>1.3562866661838198</v>
      </c>
      <c r="X27" s="55">
        <f t="shared" si="5"/>
        <v>0.75</v>
      </c>
      <c r="Y27" s="30" t="str">
        <f t="shared" si="6"/>
        <v>Not Cost-Effective</v>
      </c>
      <c r="Z27" s="55">
        <f t="shared" si="7"/>
        <v>0.45</v>
      </c>
      <c r="AA27" s="30" t="str">
        <f t="shared" si="13"/>
        <v>Not Cost-Effective</v>
      </c>
      <c r="AB27" s="55">
        <f t="shared" si="8"/>
        <v>0.5771973489191532</v>
      </c>
      <c r="AC27" s="30" t="str">
        <f t="shared" si="9"/>
        <v>Not Cost-Effective</v>
      </c>
      <c r="AD27" s="55">
        <f t="shared" si="10"/>
        <v>0.32448707551478878</v>
      </c>
      <c r="AE27" s="30" t="str">
        <f t="shared" si="14"/>
        <v>Not Cost-Effective</v>
      </c>
      <c r="AF27" s="30" t="s">
        <v>176</v>
      </c>
      <c r="AG27" s="30" t="s">
        <v>371</v>
      </c>
    </row>
    <row r="28" spans="1:36" ht="12.75" customHeight="1">
      <c r="A28" s="40">
        <f t="shared" si="11"/>
        <v>11</v>
      </c>
      <c r="B28" s="40">
        <f t="shared" si="12"/>
        <v>1</v>
      </c>
      <c r="C28" s="51" t="str">
        <f t="shared" si="0"/>
        <v>1101</v>
      </c>
      <c r="D28" s="30" t="s">
        <v>187</v>
      </c>
      <c r="E28" s="33">
        <v>2019</v>
      </c>
      <c r="F28" s="30" t="s">
        <v>443</v>
      </c>
      <c r="G28" s="30" t="s">
        <v>189</v>
      </c>
      <c r="H28" s="30" t="s">
        <v>853</v>
      </c>
      <c r="I28" s="40" t="s">
        <v>167</v>
      </c>
      <c r="J28" s="40" t="s">
        <v>147</v>
      </c>
      <c r="K28" s="49" t="s">
        <v>368</v>
      </c>
      <c r="L28" s="40">
        <v>3</v>
      </c>
      <c r="M28" s="40" t="s">
        <v>155</v>
      </c>
      <c r="N28" s="30" t="s">
        <v>377</v>
      </c>
      <c r="O28" s="30" t="s">
        <v>845</v>
      </c>
      <c r="P28" s="33">
        <v>2017</v>
      </c>
      <c r="Q28" s="30" t="s">
        <v>880</v>
      </c>
      <c r="R28" s="35">
        <v>467</v>
      </c>
      <c r="S28" s="32">
        <v>467</v>
      </c>
      <c r="T28" s="32">
        <f t="shared" si="1"/>
        <v>1958</v>
      </c>
      <c r="U28" s="30" t="str">
        <f t="shared" si="2"/>
        <v>Cost-Effective</v>
      </c>
      <c r="V28" s="30" t="str">
        <f t="shared" si="3"/>
        <v>Cost-Effective</v>
      </c>
      <c r="W28" s="41">
        <f t="shared" si="4"/>
        <v>0.23850868232890704</v>
      </c>
      <c r="X28" s="55">
        <f t="shared" si="5"/>
        <v>0.23</v>
      </c>
      <c r="Y28" s="30" t="str">
        <f t="shared" si="6"/>
        <v>Not Cost-Effective</v>
      </c>
      <c r="Z28" s="55">
        <f t="shared" si="7"/>
        <v>0.17</v>
      </c>
      <c r="AA28" s="30" t="str">
        <f t="shared" si="13"/>
        <v>Not Cost-Effective</v>
      </c>
      <c r="AB28" s="55">
        <f t="shared" si="8"/>
        <v>0.53542869063347476</v>
      </c>
      <c r="AC28" s="30" t="str">
        <f t="shared" si="9"/>
        <v>Cost-Effective</v>
      </c>
      <c r="AD28" s="55">
        <f t="shared" si="10"/>
        <v>7.9966622627077405E-2</v>
      </c>
      <c r="AE28" s="30" t="str">
        <f t="shared" si="14"/>
        <v>Not Cost-Effective</v>
      </c>
      <c r="AF28" s="30" t="s">
        <v>176</v>
      </c>
      <c r="AG28" s="30" t="s">
        <v>382</v>
      </c>
    </row>
    <row r="29" spans="1:36" ht="12.75" customHeight="1">
      <c r="A29" s="40">
        <f t="shared" si="11"/>
        <v>12</v>
      </c>
      <c r="B29" s="40">
        <f t="shared" si="12"/>
        <v>1</v>
      </c>
      <c r="C29" s="51" t="str">
        <f t="shared" si="0"/>
        <v>1201</v>
      </c>
      <c r="D29" s="30" t="s">
        <v>191</v>
      </c>
      <c r="E29" s="33">
        <v>2019</v>
      </c>
      <c r="F29" s="30" t="s">
        <v>447</v>
      </c>
      <c r="G29" s="30" t="s">
        <v>193</v>
      </c>
      <c r="H29" s="30" t="s">
        <v>851</v>
      </c>
      <c r="I29" s="40" t="s">
        <v>166</v>
      </c>
      <c r="J29" s="40" t="s">
        <v>147</v>
      </c>
      <c r="K29" s="49" t="s">
        <v>403</v>
      </c>
      <c r="L29" s="40">
        <v>4</v>
      </c>
      <c r="M29" s="40" t="s">
        <v>148</v>
      </c>
      <c r="N29" s="30" t="s">
        <v>149</v>
      </c>
      <c r="O29" s="30" t="s">
        <v>194</v>
      </c>
      <c r="P29" s="33">
        <v>2018</v>
      </c>
      <c r="Q29" s="30" t="s">
        <v>450</v>
      </c>
      <c r="R29" s="35">
        <v>-46918</v>
      </c>
      <c r="S29" s="32" t="e">
        <f>R29/xRates!$X$194</f>
        <v>#DIV/0!</v>
      </c>
      <c r="T29" s="32">
        <f t="shared" si="1"/>
        <v>7124.6</v>
      </c>
      <c r="U29" s="30" t="e">
        <f t="shared" si="2"/>
        <v>#DIV/0!</v>
      </c>
      <c r="V29" s="30" t="e">
        <f t="shared" si="3"/>
        <v>#DIV/0!</v>
      </c>
      <c r="W29" s="41" t="e">
        <f t="shared" si="4"/>
        <v>#DIV/0!</v>
      </c>
      <c r="X29" s="55">
        <f t="shared" si="5"/>
        <v>1.1200000000000001</v>
      </c>
      <c r="Y29" s="30" t="e">
        <f t="shared" si="6"/>
        <v>#DIV/0!</v>
      </c>
      <c r="Z29" s="55">
        <f t="shared" si="7"/>
        <v>0.7</v>
      </c>
      <c r="AA29" s="30" t="e">
        <f t="shared" si="13"/>
        <v>#DIV/0!</v>
      </c>
      <c r="AB29" s="55">
        <f t="shared" si="8"/>
        <v>0.65269570111403552</v>
      </c>
      <c r="AC29" s="30" t="e">
        <f t="shared" si="9"/>
        <v>#DIV/0!</v>
      </c>
      <c r="AD29" s="55">
        <f t="shared" si="10"/>
        <v>0.19549419807650922</v>
      </c>
      <c r="AE29" s="30" t="e">
        <f t="shared" si="14"/>
        <v>#DIV/0!</v>
      </c>
      <c r="AF29" s="30" t="s">
        <v>195</v>
      </c>
      <c r="AG29" s="30" t="s">
        <v>439</v>
      </c>
      <c r="AH29" s="30" t="s">
        <v>451</v>
      </c>
    </row>
    <row r="30" spans="1:36" ht="12.75" customHeight="1">
      <c r="A30" s="40">
        <f t="shared" si="11"/>
        <v>12</v>
      </c>
      <c r="B30" s="40">
        <f t="shared" si="12"/>
        <v>2</v>
      </c>
      <c r="C30" s="51" t="str">
        <f t="shared" si="0"/>
        <v>1202</v>
      </c>
      <c r="D30" s="30" t="s">
        <v>191</v>
      </c>
      <c r="E30" s="33">
        <v>2019</v>
      </c>
      <c r="F30" s="30" t="s">
        <v>447</v>
      </c>
      <c r="G30" s="30" t="s">
        <v>193</v>
      </c>
      <c r="H30" s="30" t="s">
        <v>851</v>
      </c>
      <c r="I30" s="40" t="s">
        <v>166</v>
      </c>
      <c r="J30" s="40" t="s">
        <v>147</v>
      </c>
      <c r="K30" s="49" t="s">
        <v>368</v>
      </c>
      <c r="L30" s="40">
        <v>3</v>
      </c>
      <c r="M30" s="40" t="s">
        <v>148</v>
      </c>
      <c r="N30" s="30" t="s">
        <v>149</v>
      </c>
      <c r="O30" s="30" t="s">
        <v>194</v>
      </c>
      <c r="P30" s="33">
        <v>2018</v>
      </c>
      <c r="Q30" s="30" t="s">
        <v>452</v>
      </c>
      <c r="R30" s="35">
        <v>-70854</v>
      </c>
      <c r="S30" s="32" t="e">
        <f>R30/xRates!$X$194</f>
        <v>#DIV/0!</v>
      </c>
      <c r="T30" s="32">
        <f t="shared" si="1"/>
        <v>7124.6</v>
      </c>
      <c r="U30" s="30" t="e">
        <f t="shared" si="2"/>
        <v>#DIV/0!</v>
      </c>
      <c r="V30" s="30" t="e">
        <f t="shared" si="3"/>
        <v>#DIV/0!</v>
      </c>
      <c r="W30" s="41" t="e">
        <f t="shared" si="4"/>
        <v>#DIV/0!</v>
      </c>
      <c r="X30" s="55">
        <f t="shared" si="5"/>
        <v>1.1200000000000001</v>
      </c>
      <c r="Y30" s="30" t="e">
        <f t="shared" si="6"/>
        <v>#DIV/0!</v>
      </c>
      <c r="Z30" s="55">
        <f t="shared" si="7"/>
        <v>0.7</v>
      </c>
      <c r="AA30" s="30" t="e">
        <f t="shared" si="13"/>
        <v>#DIV/0!</v>
      </c>
      <c r="AB30" s="55">
        <f t="shared" si="8"/>
        <v>0.65269570111403552</v>
      </c>
      <c r="AC30" s="30" t="e">
        <f t="shared" si="9"/>
        <v>#DIV/0!</v>
      </c>
      <c r="AD30" s="55">
        <f t="shared" si="10"/>
        <v>0.19549419807650922</v>
      </c>
      <c r="AE30" s="30" t="e">
        <f t="shared" si="14"/>
        <v>#DIV/0!</v>
      </c>
      <c r="AF30" s="30" t="s">
        <v>195</v>
      </c>
      <c r="AG30" s="30" t="s">
        <v>439</v>
      </c>
    </row>
    <row r="31" spans="1:36" ht="12.75" customHeight="1">
      <c r="A31" s="40">
        <f t="shared" si="11"/>
        <v>12</v>
      </c>
      <c r="B31" s="40">
        <f t="shared" si="12"/>
        <v>3</v>
      </c>
      <c r="C31" s="51" t="str">
        <f t="shared" si="0"/>
        <v>1203</v>
      </c>
      <c r="D31" s="30" t="s">
        <v>191</v>
      </c>
      <c r="E31" s="33">
        <v>2019</v>
      </c>
      <c r="F31" s="30" t="s">
        <v>447</v>
      </c>
      <c r="G31" s="30" t="s">
        <v>193</v>
      </c>
      <c r="H31" s="30" t="s">
        <v>853</v>
      </c>
      <c r="I31" s="40" t="s">
        <v>167</v>
      </c>
      <c r="J31" s="40" t="s">
        <v>147</v>
      </c>
      <c r="K31" s="49" t="s">
        <v>403</v>
      </c>
      <c r="L31" s="40">
        <v>4</v>
      </c>
      <c r="M31" s="40" t="s">
        <v>148</v>
      </c>
      <c r="N31" s="30" t="s">
        <v>149</v>
      </c>
      <c r="O31" s="30" t="s">
        <v>194</v>
      </c>
      <c r="P31" s="33">
        <v>2018</v>
      </c>
      <c r="Q31" s="30" t="s">
        <v>453</v>
      </c>
      <c r="R31" s="35">
        <v>-84770</v>
      </c>
      <c r="S31" s="32" t="e">
        <f>R31/xRates!$X$194</f>
        <v>#DIV/0!</v>
      </c>
      <c r="T31" s="32">
        <f t="shared" si="1"/>
        <v>7124.6</v>
      </c>
      <c r="U31" s="30" t="e">
        <f t="shared" si="2"/>
        <v>#DIV/0!</v>
      </c>
      <c r="V31" s="30" t="e">
        <f t="shared" si="3"/>
        <v>#DIV/0!</v>
      </c>
      <c r="W31" s="41" t="e">
        <f t="shared" si="4"/>
        <v>#DIV/0!</v>
      </c>
      <c r="X31" s="55">
        <f t="shared" si="5"/>
        <v>1.1200000000000001</v>
      </c>
      <c r="Y31" s="30" t="e">
        <f t="shared" si="6"/>
        <v>#DIV/0!</v>
      </c>
      <c r="Z31" s="55">
        <f t="shared" si="7"/>
        <v>0.7</v>
      </c>
      <c r="AA31" s="30" t="e">
        <f t="shared" si="13"/>
        <v>#DIV/0!</v>
      </c>
      <c r="AB31" s="55">
        <f t="shared" si="8"/>
        <v>0.65269570111403552</v>
      </c>
      <c r="AC31" s="30" t="e">
        <f t="shared" si="9"/>
        <v>#DIV/0!</v>
      </c>
      <c r="AD31" s="55">
        <f t="shared" si="10"/>
        <v>0.19549419807650922</v>
      </c>
      <c r="AE31" s="30" t="e">
        <f t="shared" si="14"/>
        <v>#DIV/0!</v>
      </c>
      <c r="AF31" s="30" t="s">
        <v>195</v>
      </c>
      <c r="AG31" s="30" t="s">
        <v>439</v>
      </c>
    </row>
    <row r="32" spans="1:36" ht="12.75" customHeight="1">
      <c r="A32" s="40">
        <f t="shared" si="11"/>
        <v>12</v>
      </c>
      <c r="B32" s="40">
        <f t="shared" si="12"/>
        <v>4</v>
      </c>
      <c r="C32" s="51" t="str">
        <f t="shared" si="0"/>
        <v>1204</v>
      </c>
      <c r="D32" s="30" t="s">
        <v>191</v>
      </c>
      <c r="E32" s="33">
        <v>2019</v>
      </c>
      <c r="F32" s="30" t="s">
        <v>447</v>
      </c>
      <c r="G32" s="30" t="s">
        <v>193</v>
      </c>
      <c r="H32" s="30" t="s">
        <v>853</v>
      </c>
      <c r="I32" s="40" t="s">
        <v>167</v>
      </c>
      <c r="J32" s="40" t="s">
        <v>147</v>
      </c>
      <c r="K32" s="49" t="s">
        <v>368</v>
      </c>
      <c r="L32" s="40">
        <v>3</v>
      </c>
      <c r="M32" s="40" t="s">
        <v>148</v>
      </c>
      <c r="N32" s="30" t="s">
        <v>149</v>
      </c>
      <c r="O32" s="30" t="s">
        <v>194</v>
      </c>
      <c r="P32" s="33">
        <v>2018</v>
      </c>
      <c r="Q32" s="30" t="s">
        <v>454</v>
      </c>
      <c r="R32" s="35">
        <v>-99394</v>
      </c>
      <c r="S32" s="32" t="e">
        <f>R32/xRates!$X$194</f>
        <v>#DIV/0!</v>
      </c>
      <c r="T32" s="32">
        <f t="shared" si="1"/>
        <v>7124.6</v>
      </c>
      <c r="U32" s="30" t="e">
        <f t="shared" si="2"/>
        <v>#DIV/0!</v>
      </c>
      <c r="V32" s="30" t="e">
        <f t="shared" si="3"/>
        <v>#DIV/0!</v>
      </c>
      <c r="W32" s="41" t="e">
        <f t="shared" si="4"/>
        <v>#DIV/0!</v>
      </c>
      <c r="X32" s="55">
        <f t="shared" si="5"/>
        <v>1.1200000000000001</v>
      </c>
      <c r="Y32" s="30" t="e">
        <f t="shared" si="6"/>
        <v>#DIV/0!</v>
      </c>
      <c r="Z32" s="55">
        <f t="shared" si="7"/>
        <v>0.7</v>
      </c>
      <c r="AA32" s="30" t="e">
        <f t="shared" si="13"/>
        <v>#DIV/0!</v>
      </c>
      <c r="AB32" s="55">
        <f t="shared" si="8"/>
        <v>0.65269570111403552</v>
      </c>
      <c r="AC32" s="30" t="e">
        <f t="shared" si="9"/>
        <v>#DIV/0!</v>
      </c>
      <c r="AD32" s="55">
        <f t="shared" si="10"/>
        <v>0.19549419807650922</v>
      </c>
      <c r="AE32" s="30" t="e">
        <f t="shared" si="14"/>
        <v>#DIV/0!</v>
      </c>
      <c r="AF32" s="30" t="s">
        <v>195</v>
      </c>
      <c r="AG32" s="30" t="s">
        <v>439</v>
      </c>
    </row>
    <row r="33" spans="1:33" ht="12.75" customHeight="1">
      <c r="A33" s="40">
        <f t="shared" si="11"/>
        <v>12</v>
      </c>
      <c r="B33" s="40">
        <f t="shared" si="12"/>
        <v>5</v>
      </c>
      <c r="C33" s="51" t="str">
        <f t="shared" si="0"/>
        <v>1205</v>
      </c>
      <c r="D33" s="30" t="s">
        <v>191</v>
      </c>
      <c r="E33" s="33">
        <v>2019</v>
      </c>
      <c r="F33" s="30" t="s">
        <v>447</v>
      </c>
      <c r="G33" s="30" t="s">
        <v>193</v>
      </c>
      <c r="H33" s="30" t="s">
        <v>851</v>
      </c>
      <c r="I33" s="40" t="s">
        <v>166</v>
      </c>
      <c r="J33" s="40" t="s">
        <v>147</v>
      </c>
      <c r="K33" s="49" t="s">
        <v>403</v>
      </c>
      <c r="L33" s="40">
        <v>4</v>
      </c>
      <c r="M33" s="40" t="s">
        <v>155</v>
      </c>
      <c r="N33" s="30" t="s">
        <v>149</v>
      </c>
      <c r="O33" s="30" t="s">
        <v>194</v>
      </c>
      <c r="P33" s="33">
        <v>2018</v>
      </c>
      <c r="Q33" s="30" t="s">
        <v>455</v>
      </c>
      <c r="R33" s="35">
        <v>215948</v>
      </c>
      <c r="S33" s="32" t="e">
        <f>R33/xRates!$X$194</f>
        <v>#DIV/0!</v>
      </c>
      <c r="T33" s="32">
        <f t="shared" si="1"/>
        <v>7124.6</v>
      </c>
      <c r="U33" s="30" t="e">
        <f t="shared" si="2"/>
        <v>#DIV/0!</v>
      </c>
      <c r="V33" s="30" t="e">
        <f t="shared" si="3"/>
        <v>#DIV/0!</v>
      </c>
      <c r="W33" s="41" t="e">
        <f t="shared" si="4"/>
        <v>#DIV/0!</v>
      </c>
      <c r="X33" s="55">
        <f t="shared" si="5"/>
        <v>1.1200000000000001</v>
      </c>
      <c r="Y33" s="30" t="e">
        <f t="shared" si="6"/>
        <v>#DIV/0!</v>
      </c>
      <c r="Z33" s="55">
        <f t="shared" si="7"/>
        <v>0.7</v>
      </c>
      <c r="AA33" s="30" t="e">
        <f t="shared" si="13"/>
        <v>#DIV/0!</v>
      </c>
      <c r="AB33" s="55">
        <f t="shared" si="8"/>
        <v>0.65269570111403552</v>
      </c>
      <c r="AC33" s="30" t="e">
        <f t="shared" si="9"/>
        <v>#DIV/0!</v>
      </c>
      <c r="AD33" s="55">
        <f t="shared" si="10"/>
        <v>0.19549419807650922</v>
      </c>
      <c r="AE33" s="30" t="e">
        <f t="shared" si="14"/>
        <v>#DIV/0!</v>
      </c>
      <c r="AF33" s="30" t="s">
        <v>195</v>
      </c>
      <c r="AG33" s="30" t="s">
        <v>371</v>
      </c>
    </row>
    <row r="34" spans="1:33" ht="12.75" customHeight="1">
      <c r="A34" s="40">
        <f t="shared" si="11"/>
        <v>12</v>
      </c>
      <c r="B34" s="40">
        <f t="shared" si="12"/>
        <v>6</v>
      </c>
      <c r="C34" s="51" t="str">
        <f t="shared" si="0"/>
        <v>1206</v>
      </c>
      <c r="D34" s="30" t="s">
        <v>191</v>
      </c>
      <c r="E34" s="33">
        <v>2019</v>
      </c>
      <c r="F34" s="30" t="s">
        <v>447</v>
      </c>
      <c r="G34" s="30" t="s">
        <v>193</v>
      </c>
      <c r="H34" s="30" t="s">
        <v>851</v>
      </c>
      <c r="I34" s="40" t="s">
        <v>166</v>
      </c>
      <c r="J34" s="40" t="s">
        <v>147</v>
      </c>
      <c r="K34" s="49" t="s">
        <v>368</v>
      </c>
      <c r="L34" s="40">
        <v>3</v>
      </c>
      <c r="M34" s="40" t="s">
        <v>155</v>
      </c>
      <c r="N34" s="30" t="s">
        <v>149</v>
      </c>
      <c r="O34" s="30" t="s">
        <v>194</v>
      </c>
      <c r="P34" s="33">
        <v>2018</v>
      </c>
      <c r="Q34" s="30" t="s">
        <v>457</v>
      </c>
      <c r="R34" s="35">
        <v>170437</v>
      </c>
      <c r="S34" s="32" t="e">
        <f>R34/xRates!$X$194</f>
        <v>#DIV/0!</v>
      </c>
      <c r="T34" s="32">
        <f t="shared" si="1"/>
        <v>7124.6</v>
      </c>
      <c r="U34" s="30" t="e">
        <f t="shared" si="2"/>
        <v>#DIV/0!</v>
      </c>
      <c r="V34" s="30" t="e">
        <f t="shared" si="3"/>
        <v>#DIV/0!</v>
      </c>
      <c r="W34" s="41" t="e">
        <f t="shared" si="4"/>
        <v>#DIV/0!</v>
      </c>
      <c r="X34" s="55">
        <f t="shared" si="5"/>
        <v>1.1200000000000001</v>
      </c>
      <c r="Y34" s="30" t="e">
        <f t="shared" si="6"/>
        <v>#DIV/0!</v>
      </c>
      <c r="Z34" s="55">
        <f t="shared" si="7"/>
        <v>0.7</v>
      </c>
      <c r="AA34" s="30" t="e">
        <f t="shared" si="13"/>
        <v>#DIV/0!</v>
      </c>
      <c r="AB34" s="55">
        <f t="shared" si="8"/>
        <v>0.65269570111403552</v>
      </c>
      <c r="AC34" s="30" t="e">
        <f t="shared" si="9"/>
        <v>#DIV/0!</v>
      </c>
      <c r="AD34" s="55">
        <f t="shared" si="10"/>
        <v>0.19549419807650922</v>
      </c>
      <c r="AE34" s="30" t="e">
        <f t="shared" si="14"/>
        <v>#DIV/0!</v>
      </c>
      <c r="AF34" s="30" t="s">
        <v>195</v>
      </c>
      <c r="AG34" s="30" t="s">
        <v>371</v>
      </c>
    </row>
    <row r="35" spans="1:33" ht="12.75" customHeight="1">
      <c r="A35" s="40">
        <f t="shared" si="11"/>
        <v>12</v>
      </c>
      <c r="B35" s="40">
        <f t="shared" si="12"/>
        <v>7</v>
      </c>
      <c r="C35" s="51" t="str">
        <f t="shared" si="0"/>
        <v>1207</v>
      </c>
      <c r="D35" s="30" t="s">
        <v>191</v>
      </c>
      <c r="E35" s="33">
        <v>2019</v>
      </c>
      <c r="F35" s="30" t="s">
        <v>447</v>
      </c>
      <c r="G35" s="30" t="s">
        <v>193</v>
      </c>
      <c r="H35" s="30" t="s">
        <v>853</v>
      </c>
      <c r="I35" s="40" t="s">
        <v>167</v>
      </c>
      <c r="J35" s="40" t="s">
        <v>147</v>
      </c>
      <c r="K35" s="49" t="s">
        <v>403</v>
      </c>
      <c r="L35" s="40">
        <v>4</v>
      </c>
      <c r="M35" s="40" t="s">
        <v>155</v>
      </c>
      <c r="N35" s="30" t="s">
        <v>149</v>
      </c>
      <c r="O35" s="30" t="s">
        <v>194</v>
      </c>
      <c r="P35" s="33">
        <v>2018</v>
      </c>
      <c r="Q35" s="30" t="s">
        <v>459</v>
      </c>
      <c r="R35" s="35">
        <v>97269</v>
      </c>
      <c r="S35" s="32" t="e">
        <f>R35/xRates!$X$194</f>
        <v>#DIV/0!</v>
      </c>
      <c r="T35" s="32">
        <f t="shared" si="1"/>
        <v>7124.6</v>
      </c>
      <c r="U35" s="30" t="e">
        <f t="shared" si="2"/>
        <v>#DIV/0!</v>
      </c>
      <c r="V35" s="30" t="e">
        <f t="shared" si="3"/>
        <v>#DIV/0!</v>
      </c>
      <c r="W35" s="41" t="e">
        <f t="shared" si="4"/>
        <v>#DIV/0!</v>
      </c>
      <c r="X35" s="55">
        <f t="shared" si="5"/>
        <v>1.1200000000000001</v>
      </c>
      <c r="Y35" s="30" t="e">
        <f t="shared" si="6"/>
        <v>#DIV/0!</v>
      </c>
      <c r="Z35" s="55">
        <f t="shared" si="7"/>
        <v>0.7</v>
      </c>
      <c r="AA35" s="30" t="e">
        <f t="shared" si="13"/>
        <v>#DIV/0!</v>
      </c>
      <c r="AB35" s="55">
        <f t="shared" si="8"/>
        <v>0.65269570111403552</v>
      </c>
      <c r="AC35" s="30" t="e">
        <f t="shared" si="9"/>
        <v>#DIV/0!</v>
      </c>
      <c r="AD35" s="55">
        <f t="shared" si="10"/>
        <v>0.19549419807650922</v>
      </c>
      <c r="AE35" s="30" t="e">
        <f t="shared" si="14"/>
        <v>#DIV/0!</v>
      </c>
      <c r="AF35" s="30" t="s">
        <v>195</v>
      </c>
      <c r="AG35" s="30" t="s">
        <v>382</v>
      </c>
    </row>
    <row r="36" spans="1:33" ht="12.75" customHeight="1">
      <c r="A36" s="40">
        <f t="shared" si="11"/>
        <v>12</v>
      </c>
      <c r="B36" s="40">
        <f t="shared" si="12"/>
        <v>8</v>
      </c>
      <c r="C36" s="51" t="str">
        <f t="shared" si="0"/>
        <v>1208</v>
      </c>
      <c r="D36" s="30" t="s">
        <v>191</v>
      </c>
      <c r="E36" s="33">
        <v>2019</v>
      </c>
      <c r="F36" s="30" t="s">
        <v>447</v>
      </c>
      <c r="G36" s="30" t="s">
        <v>193</v>
      </c>
      <c r="H36" s="30" t="s">
        <v>853</v>
      </c>
      <c r="I36" s="40" t="s">
        <v>167</v>
      </c>
      <c r="J36" s="40" t="s">
        <v>147</v>
      </c>
      <c r="K36" s="49" t="s">
        <v>368</v>
      </c>
      <c r="L36" s="40">
        <v>3</v>
      </c>
      <c r="M36" s="40" t="s">
        <v>155</v>
      </c>
      <c r="N36" s="30" t="s">
        <v>149</v>
      </c>
      <c r="O36" s="30" t="s">
        <v>194</v>
      </c>
      <c r="P36" s="33">
        <v>2018</v>
      </c>
      <c r="Q36" s="30" t="s">
        <v>461</v>
      </c>
      <c r="R36" s="35">
        <v>73674</v>
      </c>
      <c r="S36" s="32" t="e">
        <f>R36/xRates!$X$194</f>
        <v>#DIV/0!</v>
      </c>
      <c r="T36" s="32">
        <f t="shared" si="1"/>
        <v>7124.6</v>
      </c>
      <c r="U36" s="30" t="e">
        <f t="shared" si="2"/>
        <v>#DIV/0!</v>
      </c>
      <c r="V36" s="30" t="e">
        <f t="shared" si="3"/>
        <v>#DIV/0!</v>
      </c>
      <c r="W36" s="41" t="e">
        <f t="shared" si="4"/>
        <v>#DIV/0!</v>
      </c>
      <c r="X36" s="55">
        <f t="shared" si="5"/>
        <v>1.1200000000000001</v>
      </c>
      <c r="Y36" s="30" t="e">
        <f t="shared" si="6"/>
        <v>#DIV/0!</v>
      </c>
      <c r="Z36" s="55">
        <f t="shared" si="7"/>
        <v>0.7</v>
      </c>
      <c r="AA36" s="30" t="e">
        <f t="shared" si="13"/>
        <v>#DIV/0!</v>
      </c>
      <c r="AB36" s="55">
        <f t="shared" si="8"/>
        <v>0.65269570111403552</v>
      </c>
      <c r="AC36" s="30" t="e">
        <f t="shared" si="9"/>
        <v>#DIV/0!</v>
      </c>
      <c r="AD36" s="55">
        <f t="shared" si="10"/>
        <v>0.19549419807650922</v>
      </c>
      <c r="AE36" s="30" t="e">
        <f t="shared" si="14"/>
        <v>#DIV/0!</v>
      </c>
      <c r="AF36" s="30" t="s">
        <v>195</v>
      </c>
      <c r="AG36" s="30" t="s">
        <v>382</v>
      </c>
    </row>
    <row r="37" spans="1:33" ht="12.75" customHeight="1">
      <c r="A37" s="40">
        <f t="shared" si="11"/>
        <v>13</v>
      </c>
      <c r="B37" s="40">
        <f t="shared" si="12"/>
        <v>1</v>
      </c>
      <c r="C37" s="51" t="str">
        <f t="shared" si="0"/>
        <v>1301</v>
      </c>
      <c r="D37" s="30" t="s">
        <v>196</v>
      </c>
      <c r="E37" s="33">
        <v>2013</v>
      </c>
      <c r="F37" s="30" t="s">
        <v>463</v>
      </c>
      <c r="G37" s="30" t="s">
        <v>193</v>
      </c>
      <c r="H37" s="30" t="s">
        <v>851</v>
      </c>
      <c r="I37" s="40" t="s">
        <v>166</v>
      </c>
      <c r="J37" s="40" t="s">
        <v>147</v>
      </c>
      <c r="K37" s="49" t="s">
        <v>368</v>
      </c>
      <c r="L37" s="40">
        <v>3</v>
      </c>
      <c r="M37" s="40" t="s">
        <v>148</v>
      </c>
      <c r="N37" s="30" t="s">
        <v>149</v>
      </c>
      <c r="O37" s="30" t="s">
        <v>194</v>
      </c>
      <c r="P37" s="33">
        <v>2010</v>
      </c>
      <c r="Q37" s="30" t="s">
        <v>465</v>
      </c>
      <c r="R37" s="35">
        <v>519399</v>
      </c>
      <c r="S37" s="32" t="e">
        <f>R37/xRates!$P$194</f>
        <v>#DIV/0!</v>
      </c>
      <c r="T37" s="32">
        <f t="shared" si="1"/>
        <v>4996.3999999999996</v>
      </c>
      <c r="U37" s="30" t="e">
        <f t="shared" si="2"/>
        <v>#DIV/0!</v>
      </c>
      <c r="V37" s="30" t="e">
        <f t="shared" si="3"/>
        <v>#DIV/0!</v>
      </c>
      <c r="W37" s="41" t="e">
        <f t="shared" si="4"/>
        <v>#DIV/0!</v>
      </c>
      <c r="X37" s="55">
        <f t="shared" si="5"/>
        <v>1.1200000000000001</v>
      </c>
      <c r="Y37" s="30" t="e">
        <f t="shared" si="6"/>
        <v>#DIV/0!</v>
      </c>
      <c r="Z37" s="55">
        <f t="shared" si="7"/>
        <v>0.7</v>
      </c>
      <c r="AA37" s="30" t="e">
        <f t="shared" si="13"/>
        <v>#DIV/0!</v>
      </c>
      <c r="AB37" s="55">
        <f t="shared" si="8"/>
        <v>0.65269570111403552</v>
      </c>
      <c r="AC37" s="30" t="e">
        <f t="shared" si="9"/>
        <v>#DIV/0!</v>
      </c>
      <c r="AD37" s="55">
        <f t="shared" si="10"/>
        <v>0.19549419807650922</v>
      </c>
      <c r="AE37" s="30" t="e">
        <f t="shared" si="14"/>
        <v>#DIV/0!</v>
      </c>
      <c r="AF37" s="30" t="s">
        <v>198</v>
      </c>
      <c r="AG37" s="30" t="s">
        <v>371</v>
      </c>
    </row>
    <row r="38" spans="1:33" ht="12.75" customHeight="1">
      <c r="A38" s="40">
        <f t="shared" si="11"/>
        <v>13</v>
      </c>
      <c r="B38" s="40">
        <f t="shared" si="12"/>
        <v>2</v>
      </c>
      <c r="C38" s="51" t="str">
        <f t="shared" si="0"/>
        <v>1302</v>
      </c>
      <c r="D38" s="30" t="s">
        <v>196</v>
      </c>
      <c r="E38" s="33">
        <v>2013</v>
      </c>
      <c r="F38" s="30" t="s">
        <v>463</v>
      </c>
      <c r="G38" s="30" t="s">
        <v>193</v>
      </c>
      <c r="H38" s="30" t="s">
        <v>851</v>
      </c>
      <c r="I38" s="40" t="s">
        <v>166</v>
      </c>
      <c r="J38" s="40" t="s">
        <v>147</v>
      </c>
      <c r="K38" s="49" t="s">
        <v>403</v>
      </c>
      <c r="L38" s="40">
        <v>4</v>
      </c>
      <c r="M38" s="40" t="s">
        <v>148</v>
      </c>
      <c r="N38" s="30" t="s">
        <v>149</v>
      </c>
      <c r="O38" s="30" t="s">
        <v>194</v>
      </c>
      <c r="P38" s="33">
        <v>2010</v>
      </c>
      <c r="Q38" s="30" t="s">
        <v>467</v>
      </c>
      <c r="R38" s="35">
        <v>650087</v>
      </c>
      <c r="S38" s="32" t="e">
        <f>R38/xRates!$P$194</f>
        <v>#DIV/0!</v>
      </c>
      <c r="T38" s="32">
        <f t="shared" si="1"/>
        <v>4996.3999999999996</v>
      </c>
      <c r="U38" s="30" t="e">
        <f t="shared" si="2"/>
        <v>#DIV/0!</v>
      </c>
      <c r="V38" s="30" t="e">
        <f t="shared" si="3"/>
        <v>#DIV/0!</v>
      </c>
      <c r="W38" s="41" t="e">
        <f t="shared" si="4"/>
        <v>#DIV/0!</v>
      </c>
      <c r="X38" s="55">
        <f t="shared" si="5"/>
        <v>1.1200000000000001</v>
      </c>
      <c r="Y38" s="30" t="e">
        <f t="shared" si="6"/>
        <v>#DIV/0!</v>
      </c>
      <c r="Z38" s="55">
        <f t="shared" si="7"/>
        <v>0.7</v>
      </c>
      <c r="AA38" s="30" t="e">
        <f t="shared" si="13"/>
        <v>#DIV/0!</v>
      </c>
      <c r="AB38" s="55">
        <f t="shared" si="8"/>
        <v>0.65269570111403552</v>
      </c>
      <c r="AC38" s="30" t="e">
        <f t="shared" si="9"/>
        <v>#DIV/0!</v>
      </c>
      <c r="AD38" s="55">
        <f t="shared" si="10"/>
        <v>0.19549419807650922</v>
      </c>
      <c r="AE38" s="30" t="e">
        <f t="shared" si="14"/>
        <v>#DIV/0!</v>
      </c>
      <c r="AF38" s="30" t="s">
        <v>198</v>
      </c>
      <c r="AG38" s="30" t="s">
        <v>371</v>
      </c>
    </row>
    <row r="39" spans="1:33" ht="12.75" customHeight="1">
      <c r="A39" s="40">
        <f t="shared" si="11"/>
        <v>13</v>
      </c>
      <c r="B39" s="40">
        <f t="shared" si="12"/>
        <v>3</v>
      </c>
      <c r="C39" s="51" t="str">
        <f t="shared" si="0"/>
        <v>1303</v>
      </c>
      <c r="D39" s="30" t="s">
        <v>196</v>
      </c>
      <c r="E39" s="33">
        <v>2013</v>
      </c>
      <c r="F39" s="30" t="s">
        <v>463</v>
      </c>
      <c r="G39" s="30" t="s">
        <v>193</v>
      </c>
      <c r="H39" s="30" t="s">
        <v>851</v>
      </c>
      <c r="I39" s="40" t="s">
        <v>166</v>
      </c>
      <c r="J39" s="40" t="s">
        <v>147</v>
      </c>
      <c r="K39" s="49" t="s">
        <v>368</v>
      </c>
      <c r="L39" s="40">
        <v>3</v>
      </c>
      <c r="M39" s="40" t="s">
        <v>155</v>
      </c>
      <c r="N39" s="30" t="s">
        <v>149</v>
      </c>
      <c r="O39" s="30" t="s">
        <v>194</v>
      </c>
      <c r="P39" s="33">
        <v>2010</v>
      </c>
      <c r="Q39" s="30" t="s">
        <v>468</v>
      </c>
      <c r="R39" s="35">
        <v>1368072</v>
      </c>
      <c r="S39" s="32" t="e">
        <f>R39/xRates!$P$194</f>
        <v>#DIV/0!</v>
      </c>
      <c r="T39" s="32">
        <f t="shared" si="1"/>
        <v>4996.3999999999996</v>
      </c>
      <c r="U39" s="30" t="e">
        <f t="shared" si="2"/>
        <v>#DIV/0!</v>
      </c>
      <c r="V39" s="30" t="e">
        <f t="shared" si="3"/>
        <v>#DIV/0!</v>
      </c>
      <c r="W39" s="41" t="e">
        <f t="shared" si="4"/>
        <v>#DIV/0!</v>
      </c>
      <c r="X39" s="55">
        <f t="shared" si="5"/>
        <v>1.1200000000000001</v>
      </c>
      <c r="Y39" s="30" t="e">
        <f t="shared" si="6"/>
        <v>#DIV/0!</v>
      </c>
      <c r="Z39" s="55">
        <f t="shared" si="7"/>
        <v>0.7</v>
      </c>
      <c r="AA39" s="30" t="e">
        <f t="shared" si="13"/>
        <v>#DIV/0!</v>
      </c>
      <c r="AB39" s="55">
        <f t="shared" si="8"/>
        <v>0.65269570111403552</v>
      </c>
      <c r="AC39" s="30" t="e">
        <f t="shared" si="9"/>
        <v>#DIV/0!</v>
      </c>
      <c r="AD39" s="55">
        <f t="shared" si="10"/>
        <v>0.19549419807650922</v>
      </c>
      <c r="AE39" s="30" t="e">
        <f t="shared" si="14"/>
        <v>#DIV/0!</v>
      </c>
      <c r="AF39" s="30" t="s">
        <v>198</v>
      </c>
      <c r="AG39" s="30" t="s">
        <v>371</v>
      </c>
    </row>
    <row r="40" spans="1:33" ht="12.75" customHeight="1">
      <c r="A40" s="40">
        <f t="shared" si="11"/>
        <v>13</v>
      </c>
      <c r="B40" s="40">
        <f t="shared" si="12"/>
        <v>4</v>
      </c>
      <c r="C40" s="51" t="str">
        <f t="shared" si="0"/>
        <v>1304</v>
      </c>
      <c r="D40" s="30" t="s">
        <v>196</v>
      </c>
      <c r="E40" s="33">
        <v>2013</v>
      </c>
      <c r="F40" s="30" t="s">
        <v>463</v>
      </c>
      <c r="G40" s="30" t="s">
        <v>193</v>
      </c>
      <c r="H40" s="30" t="s">
        <v>851</v>
      </c>
      <c r="I40" s="40" t="s">
        <v>166</v>
      </c>
      <c r="J40" s="40" t="s">
        <v>147</v>
      </c>
      <c r="K40" s="49" t="s">
        <v>403</v>
      </c>
      <c r="L40" s="40">
        <v>4</v>
      </c>
      <c r="M40" s="40" t="s">
        <v>155</v>
      </c>
      <c r="N40" s="30" t="s">
        <v>149</v>
      </c>
      <c r="O40" s="30" t="s">
        <v>194</v>
      </c>
      <c r="P40" s="33">
        <v>2010</v>
      </c>
      <c r="Q40" s="30" t="s">
        <v>469</v>
      </c>
      <c r="R40" s="35">
        <v>1677379</v>
      </c>
      <c r="S40" s="32" t="e">
        <f>R40/xRates!$P$194</f>
        <v>#DIV/0!</v>
      </c>
      <c r="T40" s="32">
        <f t="shared" si="1"/>
        <v>4996.3999999999996</v>
      </c>
      <c r="U40" s="30" t="e">
        <f t="shared" si="2"/>
        <v>#DIV/0!</v>
      </c>
      <c r="V40" s="30" t="e">
        <f t="shared" si="3"/>
        <v>#DIV/0!</v>
      </c>
      <c r="W40" s="41" t="e">
        <f t="shared" si="4"/>
        <v>#DIV/0!</v>
      </c>
      <c r="X40" s="55">
        <f t="shared" si="5"/>
        <v>1.1200000000000001</v>
      </c>
      <c r="Y40" s="30" t="e">
        <f t="shared" si="6"/>
        <v>#DIV/0!</v>
      </c>
      <c r="Z40" s="55">
        <f t="shared" si="7"/>
        <v>0.7</v>
      </c>
      <c r="AA40" s="30" t="e">
        <f t="shared" si="13"/>
        <v>#DIV/0!</v>
      </c>
      <c r="AB40" s="55">
        <f t="shared" si="8"/>
        <v>0.65269570111403552</v>
      </c>
      <c r="AC40" s="30" t="e">
        <f t="shared" si="9"/>
        <v>#DIV/0!</v>
      </c>
      <c r="AD40" s="55">
        <f t="shared" si="10"/>
        <v>0.19549419807650922</v>
      </c>
      <c r="AE40" s="30" t="e">
        <f t="shared" si="14"/>
        <v>#DIV/0!</v>
      </c>
      <c r="AF40" s="30" t="s">
        <v>198</v>
      </c>
      <c r="AG40" s="30" t="s">
        <v>371</v>
      </c>
    </row>
    <row r="41" spans="1:33" ht="12.75" customHeight="1">
      <c r="A41" s="40">
        <f t="shared" si="11"/>
        <v>13</v>
      </c>
      <c r="B41" s="40">
        <f t="shared" si="12"/>
        <v>5</v>
      </c>
      <c r="C41" s="51" t="str">
        <f t="shared" si="0"/>
        <v>1305</v>
      </c>
      <c r="D41" s="30" t="s">
        <v>196</v>
      </c>
      <c r="E41" s="33">
        <v>2013</v>
      </c>
      <c r="F41" s="30" t="s">
        <v>463</v>
      </c>
      <c r="G41" s="30" t="s">
        <v>193</v>
      </c>
      <c r="H41" s="30" t="s">
        <v>853</v>
      </c>
      <c r="I41" s="40" t="s">
        <v>167</v>
      </c>
      <c r="J41" s="40" t="s">
        <v>147</v>
      </c>
      <c r="K41" s="49" t="s">
        <v>368</v>
      </c>
      <c r="L41" s="40">
        <v>3</v>
      </c>
      <c r="M41" s="40" t="s">
        <v>148</v>
      </c>
      <c r="N41" s="30" t="s">
        <v>149</v>
      </c>
      <c r="O41" s="30" t="s">
        <v>194</v>
      </c>
      <c r="P41" s="33">
        <v>2010</v>
      </c>
      <c r="Q41" s="30" t="s">
        <v>470</v>
      </c>
      <c r="R41" s="35">
        <v>527378</v>
      </c>
      <c r="S41" s="32" t="e">
        <f>R41/xRates!$P$194</f>
        <v>#DIV/0!</v>
      </c>
      <c r="T41" s="32">
        <f t="shared" si="1"/>
        <v>4996.3999999999996</v>
      </c>
      <c r="U41" s="30" t="e">
        <f t="shared" si="2"/>
        <v>#DIV/0!</v>
      </c>
      <c r="V41" s="30" t="e">
        <f t="shared" si="3"/>
        <v>#DIV/0!</v>
      </c>
      <c r="W41" s="41" t="e">
        <f t="shared" si="4"/>
        <v>#DIV/0!</v>
      </c>
      <c r="X41" s="55">
        <f t="shared" si="5"/>
        <v>1.1200000000000001</v>
      </c>
      <c r="Y41" s="30" t="e">
        <f t="shared" si="6"/>
        <v>#DIV/0!</v>
      </c>
      <c r="Z41" s="55">
        <f t="shared" si="7"/>
        <v>0.7</v>
      </c>
      <c r="AA41" s="30" t="e">
        <f t="shared" si="13"/>
        <v>#DIV/0!</v>
      </c>
      <c r="AB41" s="55">
        <f t="shared" si="8"/>
        <v>0.65269570111403552</v>
      </c>
      <c r="AC41" s="30" t="e">
        <f t="shared" si="9"/>
        <v>#DIV/0!</v>
      </c>
      <c r="AD41" s="55">
        <f t="shared" si="10"/>
        <v>0.19549419807650922</v>
      </c>
      <c r="AE41" s="30" t="e">
        <f t="shared" si="14"/>
        <v>#DIV/0!</v>
      </c>
      <c r="AF41" s="30" t="s">
        <v>198</v>
      </c>
      <c r="AG41" s="30" t="s">
        <v>371</v>
      </c>
    </row>
    <row r="42" spans="1:33" ht="12.75" customHeight="1">
      <c r="A42" s="40">
        <f t="shared" si="11"/>
        <v>13</v>
      </c>
      <c r="B42" s="40">
        <f t="shared" si="12"/>
        <v>6</v>
      </c>
      <c r="C42" s="51" t="str">
        <f t="shared" si="0"/>
        <v>1306</v>
      </c>
      <c r="D42" s="30" t="s">
        <v>196</v>
      </c>
      <c r="E42" s="33">
        <v>2013</v>
      </c>
      <c r="F42" s="30" t="s">
        <v>463</v>
      </c>
      <c r="G42" s="30" t="s">
        <v>193</v>
      </c>
      <c r="H42" s="30" t="s">
        <v>853</v>
      </c>
      <c r="I42" s="40" t="s">
        <v>167</v>
      </c>
      <c r="J42" s="40" t="s">
        <v>147</v>
      </c>
      <c r="K42" s="49" t="s">
        <v>403</v>
      </c>
      <c r="L42" s="40">
        <v>4</v>
      </c>
      <c r="M42" s="40" t="s">
        <v>148</v>
      </c>
      <c r="N42" s="30" t="s">
        <v>149</v>
      </c>
      <c r="O42" s="30" t="s">
        <v>194</v>
      </c>
      <c r="P42" s="33">
        <v>2010</v>
      </c>
      <c r="Q42" s="30" t="s">
        <v>471</v>
      </c>
      <c r="R42" s="35">
        <v>660662</v>
      </c>
      <c r="S42" s="32" t="e">
        <f>R42/xRates!$P$194</f>
        <v>#DIV/0!</v>
      </c>
      <c r="T42" s="32">
        <f t="shared" si="1"/>
        <v>4996.3999999999996</v>
      </c>
      <c r="U42" s="30" t="e">
        <f t="shared" si="2"/>
        <v>#DIV/0!</v>
      </c>
      <c r="V42" s="30" t="e">
        <f t="shared" si="3"/>
        <v>#DIV/0!</v>
      </c>
      <c r="W42" s="41" t="e">
        <f t="shared" si="4"/>
        <v>#DIV/0!</v>
      </c>
      <c r="X42" s="55">
        <f t="shared" si="5"/>
        <v>1.1200000000000001</v>
      </c>
      <c r="Y42" s="30" t="e">
        <f t="shared" si="6"/>
        <v>#DIV/0!</v>
      </c>
      <c r="Z42" s="55">
        <f t="shared" si="7"/>
        <v>0.7</v>
      </c>
      <c r="AA42" s="30" t="e">
        <f t="shared" si="13"/>
        <v>#DIV/0!</v>
      </c>
      <c r="AB42" s="55">
        <f t="shared" si="8"/>
        <v>0.65269570111403552</v>
      </c>
      <c r="AC42" s="30" t="e">
        <f t="shared" si="9"/>
        <v>#DIV/0!</v>
      </c>
      <c r="AD42" s="55">
        <f t="shared" si="10"/>
        <v>0.19549419807650922</v>
      </c>
      <c r="AE42" s="30" t="e">
        <f t="shared" si="14"/>
        <v>#DIV/0!</v>
      </c>
      <c r="AF42" s="30" t="s">
        <v>198</v>
      </c>
      <c r="AG42" s="30" t="s">
        <v>371</v>
      </c>
    </row>
    <row r="43" spans="1:33" ht="12.75" customHeight="1">
      <c r="A43" s="40">
        <f t="shared" si="11"/>
        <v>13</v>
      </c>
      <c r="B43" s="40">
        <f t="shared" si="12"/>
        <v>7</v>
      </c>
      <c r="C43" s="51" t="str">
        <f t="shared" si="0"/>
        <v>1307</v>
      </c>
      <c r="D43" s="30" t="s">
        <v>196</v>
      </c>
      <c r="E43" s="33">
        <v>2013</v>
      </c>
      <c r="F43" s="30" t="s">
        <v>463</v>
      </c>
      <c r="G43" s="30" t="s">
        <v>193</v>
      </c>
      <c r="H43" s="30" t="s">
        <v>853</v>
      </c>
      <c r="I43" s="40" t="s">
        <v>167</v>
      </c>
      <c r="J43" s="40" t="s">
        <v>147</v>
      </c>
      <c r="K43" s="49" t="s">
        <v>368</v>
      </c>
      <c r="L43" s="40">
        <v>3</v>
      </c>
      <c r="M43" s="40" t="s">
        <v>155</v>
      </c>
      <c r="N43" s="30" t="s">
        <v>149</v>
      </c>
      <c r="O43" s="30" t="s">
        <v>194</v>
      </c>
      <c r="P43" s="33">
        <v>2010</v>
      </c>
      <c r="Q43" s="30" t="s">
        <v>472</v>
      </c>
      <c r="R43" s="35">
        <v>1490305</v>
      </c>
      <c r="S43" s="32" t="e">
        <f>R43/xRates!$P$194</f>
        <v>#DIV/0!</v>
      </c>
      <c r="T43" s="32">
        <f t="shared" si="1"/>
        <v>4996.3999999999996</v>
      </c>
      <c r="U43" s="30" t="e">
        <f t="shared" si="2"/>
        <v>#DIV/0!</v>
      </c>
      <c r="V43" s="30" t="e">
        <f t="shared" si="3"/>
        <v>#DIV/0!</v>
      </c>
      <c r="W43" s="41" t="e">
        <f t="shared" si="4"/>
        <v>#DIV/0!</v>
      </c>
      <c r="X43" s="55">
        <f t="shared" si="5"/>
        <v>1.1200000000000001</v>
      </c>
      <c r="Y43" s="30" t="e">
        <f t="shared" si="6"/>
        <v>#DIV/0!</v>
      </c>
      <c r="Z43" s="55">
        <f t="shared" si="7"/>
        <v>0.7</v>
      </c>
      <c r="AA43" s="30" t="e">
        <f t="shared" si="13"/>
        <v>#DIV/0!</v>
      </c>
      <c r="AB43" s="55">
        <f t="shared" si="8"/>
        <v>0.65269570111403552</v>
      </c>
      <c r="AC43" s="30" t="e">
        <f t="shared" si="9"/>
        <v>#DIV/0!</v>
      </c>
      <c r="AD43" s="55">
        <f t="shared" si="10"/>
        <v>0.19549419807650922</v>
      </c>
      <c r="AE43" s="30" t="e">
        <f t="shared" si="14"/>
        <v>#DIV/0!</v>
      </c>
      <c r="AF43" s="30" t="s">
        <v>198</v>
      </c>
      <c r="AG43" s="30" t="s">
        <v>371</v>
      </c>
    </row>
    <row r="44" spans="1:33" ht="12.75" customHeight="1">
      <c r="A44" s="40">
        <f t="shared" si="11"/>
        <v>13</v>
      </c>
      <c r="B44" s="40">
        <f t="shared" si="12"/>
        <v>8</v>
      </c>
      <c r="C44" s="51" t="str">
        <f t="shared" si="0"/>
        <v>1308</v>
      </c>
      <c r="D44" s="30" t="s">
        <v>196</v>
      </c>
      <c r="E44" s="33">
        <v>2013</v>
      </c>
      <c r="F44" s="30" t="s">
        <v>463</v>
      </c>
      <c r="G44" s="30" t="s">
        <v>193</v>
      </c>
      <c r="H44" s="30" t="s">
        <v>853</v>
      </c>
      <c r="I44" s="40" t="s">
        <v>167</v>
      </c>
      <c r="J44" s="40" t="s">
        <v>147</v>
      </c>
      <c r="K44" s="49" t="s">
        <v>403</v>
      </c>
      <c r="L44" s="40">
        <v>4</v>
      </c>
      <c r="M44" s="40" t="s">
        <v>155</v>
      </c>
      <c r="N44" s="30" t="s">
        <v>149</v>
      </c>
      <c r="O44" s="30" t="s">
        <v>194</v>
      </c>
      <c r="P44" s="33">
        <v>2010</v>
      </c>
      <c r="Q44" s="30" t="s">
        <v>473</v>
      </c>
      <c r="R44" s="35">
        <v>1830716</v>
      </c>
      <c r="S44" s="32" t="e">
        <f>R44/xRates!$P$194</f>
        <v>#DIV/0!</v>
      </c>
      <c r="T44" s="32">
        <f t="shared" si="1"/>
        <v>4996.3999999999996</v>
      </c>
      <c r="U44" s="30" t="e">
        <f t="shared" si="2"/>
        <v>#DIV/0!</v>
      </c>
      <c r="V44" s="30" t="e">
        <f t="shared" si="3"/>
        <v>#DIV/0!</v>
      </c>
      <c r="W44" s="41" t="e">
        <f t="shared" si="4"/>
        <v>#DIV/0!</v>
      </c>
      <c r="X44" s="55">
        <f t="shared" si="5"/>
        <v>1.1200000000000001</v>
      </c>
      <c r="Y44" s="30" t="e">
        <f t="shared" si="6"/>
        <v>#DIV/0!</v>
      </c>
      <c r="Z44" s="55">
        <f t="shared" si="7"/>
        <v>0.7</v>
      </c>
      <c r="AA44" s="30" t="e">
        <f t="shared" si="13"/>
        <v>#DIV/0!</v>
      </c>
      <c r="AB44" s="55">
        <f t="shared" si="8"/>
        <v>0.65269570111403552</v>
      </c>
      <c r="AC44" s="30" t="e">
        <f t="shared" si="9"/>
        <v>#DIV/0!</v>
      </c>
      <c r="AD44" s="55">
        <f t="shared" si="10"/>
        <v>0.19549419807650922</v>
      </c>
      <c r="AE44" s="30" t="e">
        <f t="shared" si="14"/>
        <v>#DIV/0!</v>
      </c>
      <c r="AF44" s="30" t="s">
        <v>198</v>
      </c>
      <c r="AG44" s="30" t="s">
        <v>371</v>
      </c>
    </row>
    <row r="45" spans="1:33" ht="12.75" customHeight="1">
      <c r="A45" s="40">
        <f t="shared" si="11"/>
        <v>14</v>
      </c>
      <c r="B45" s="40">
        <f t="shared" si="12"/>
        <v>1</v>
      </c>
      <c r="C45" s="51" t="str">
        <f t="shared" si="0"/>
        <v>1401</v>
      </c>
      <c r="D45" s="30" t="s">
        <v>24</v>
      </c>
      <c r="E45" s="33">
        <v>2015</v>
      </c>
      <c r="F45" s="30" t="s">
        <v>474</v>
      </c>
      <c r="G45" s="30" t="s">
        <v>200</v>
      </c>
      <c r="H45" s="30" t="s">
        <v>851</v>
      </c>
      <c r="I45" s="40" t="s">
        <v>166</v>
      </c>
      <c r="J45" s="40" t="s">
        <v>147</v>
      </c>
      <c r="K45" s="49" t="s">
        <v>368</v>
      </c>
      <c r="L45" s="40">
        <v>3</v>
      </c>
      <c r="M45" s="40" t="s">
        <v>148</v>
      </c>
      <c r="N45" s="30" t="s">
        <v>377</v>
      </c>
      <c r="O45" s="30" t="s">
        <v>201</v>
      </c>
      <c r="P45" s="33">
        <v>2013</v>
      </c>
      <c r="Q45" s="30" t="s">
        <v>881</v>
      </c>
      <c r="R45" s="35">
        <v>68182</v>
      </c>
      <c r="S45" s="32" t="e">
        <f>R45/xRates!$S$157</f>
        <v>#DIV/0!</v>
      </c>
      <c r="T45" s="32">
        <f t="shared" si="1"/>
        <v>2847.6</v>
      </c>
      <c r="U45" s="30" t="e">
        <f t="shared" si="2"/>
        <v>#DIV/0!</v>
      </c>
      <c r="V45" s="30" t="e">
        <f t="shared" si="3"/>
        <v>#DIV/0!</v>
      </c>
      <c r="W45" s="41" t="e">
        <f t="shared" si="4"/>
        <v>#DIV/0!</v>
      </c>
      <c r="X45" s="55">
        <f t="shared" si="5"/>
        <v>0.34</v>
      </c>
      <c r="Y45" s="30" t="e">
        <f t="shared" si="6"/>
        <v>#DIV/0!</v>
      </c>
      <c r="Z45" s="55">
        <f t="shared" si="7"/>
        <v>0.23</v>
      </c>
      <c r="AA45" s="30" t="e">
        <f t="shared" si="13"/>
        <v>#DIV/0!</v>
      </c>
      <c r="AB45" s="55">
        <f t="shared" si="8"/>
        <v>0.49901671583087515</v>
      </c>
      <c r="AC45" s="30" t="e">
        <f t="shared" si="9"/>
        <v>#DIV/0!</v>
      </c>
      <c r="AD45" s="55">
        <f t="shared" si="10"/>
        <v>8.9900266891417335E-2</v>
      </c>
      <c r="AE45" s="30" t="e">
        <f t="shared" si="14"/>
        <v>#DIV/0!</v>
      </c>
      <c r="AF45" s="30" t="s">
        <v>882</v>
      </c>
      <c r="AG45" s="30" t="s">
        <v>382</v>
      </c>
    </row>
    <row r="46" spans="1:33" ht="12.75" customHeight="1">
      <c r="A46" s="40">
        <f t="shared" si="11"/>
        <v>14</v>
      </c>
      <c r="B46" s="40">
        <f t="shared" si="12"/>
        <v>2</v>
      </c>
      <c r="C46" s="51" t="str">
        <f t="shared" si="0"/>
        <v>1402</v>
      </c>
      <c r="D46" s="30" t="s">
        <v>24</v>
      </c>
      <c r="E46" s="33">
        <v>2015</v>
      </c>
      <c r="F46" s="30" t="s">
        <v>474</v>
      </c>
      <c r="G46" s="30" t="s">
        <v>200</v>
      </c>
      <c r="H46" s="30" t="s">
        <v>851</v>
      </c>
      <c r="I46" s="40" t="s">
        <v>166</v>
      </c>
      <c r="J46" s="40" t="s">
        <v>147</v>
      </c>
      <c r="K46" s="49" t="s">
        <v>368</v>
      </c>
      <c r="L46" s="40">
        <v>3</v>
      </c>
      <c r="M46" s="40" t="s">
        <v>155</v>
      </c>
      <c r="N46" s="30" t="s">
        <v>377</v>
      </c>
      <c r="O46" s="30" t="s">
        <v>201</v>
      </c>
      <c r="P46" s="33">
        <v>2013</v>
      </c>
      <c r="Q46" s="30" t="s">
        <v>883</v>
      </c>
      <c r="R46" s="35">
        <v>112640</v>
      </c>
      <c r="S46" s="32" t="e">
        <f>R46/xRates!$S$157</f>
        <v>#DIV/0!</v>
      </c>
      <c r="T46" s="32">
        <f t="shared" si="1"/>
        <v>2847.6</v>
      </c>
      <c r="U46" s="30" t="e">
        <f t="shared" si="2"/>
        <v>#DIV/0!</v>
      </c>
      <c r="V46" s="30" t="e">
        <f t="shared" si="3"/>
        <v>#DIV/0!</v>
      </c>
      <c r="W46" s="41" t="e">
        <f t="shared" si="4"/>
        <v>#DIV/0!</v>
      </c>
      <c r="X46" s="55">
        <f t="shared" si="5"/>
        <v>0.34</v>
      </c>
      <c r="Y46" s="30" t="e">
        <f t="shared" si="6"/>
        <v>#DIV/0!</v>
      </c>
      <c r="Z46" s="55">
        <f t="shared" si="7"/>
        <v>0.23</v>
      </c>
      <c r="AA46" s="30" t="e">
        <f t="shared" si="13"/>
        <v>#DIV/0!</v>
      </c>
      <c r="AB46" s="55">
        <f t="shared" si="8"/>
        <v>0.49901671583087515</v>
      </c>
      <c r="AC46" s="30" t="e">
        <f t="shared" si="9"/>
        <v>#DIV/0!</v>
      </c>
      <c r="AD46" s="55">
        <f t="shared" si="10"/>
        <v>8.9900266891417335E-2</v>
      </c>
      <c r="AE46" s="30" t="e">
        <f t="shared" si="14"/>
        <v>#DIV/0!</v>
      </c>
      <c r="AF46" s="30" t="s">
        <v>882</v>
      </c>
      <c r="AG46" s="30" t="s">
        <v>382</v>
      </c>
    </row>
    <row r="47" spans="1:33" ht="12.75" customHeight="1">
      <c r="A47" s="40">
        <f t="shared" si="11"/>
        <v>14</v>
      </c>
      <c r="B47" s="40">
        <f t="shared" si="12"/>
        <v>3</v>
      </c>
      <c r="C47" s="51" t="str">
        <f t="shared" si="0"/>
        <v>1403</v>
      </c>
      <c r="D47" s="30" t="s">
        <v>24</v>
      </c>
      <c r="E47" s="33">
        <v>2015</v>
      </c>
      <c r="F47" s="30" t="s">
        <v>474</v>
      </c>
      <c r="G47" s="30" t="s">
        <v>200</v>
      </c>
      <c r="H47" s="30" t="s">
        <v>853</v>
      </c>
      <c r="I47" s="40" t="s">
        <v>167</v>
      </c>
      <c r="J47" s="40" t="s">
        <v>147</v>
      </c>
      <c r="K47" s="49" t="s">
        <v>368</v>
      </c>
      <c r="L47" s="40">
        <v>3</v>
      </c>
      <c r="M47" s="40" t="s">
        <v>148</v>
      </c>
      <c r="N47" s="30" t="s">
        <v>377</v>
      </c>
      <c r="O47" s="30" t="s">
        <v>201</v>
      </c>
      <c r="P47" s="33">
        <v>2013</v>
      </c>
      <c r="Q47" s="30" t="s">
        <v>884</v>
      </c>
      <c r="R47" s="35">
        <v>54510</v>
      </c>
      <c r="S47" s="32" t="e">
        <f>R47/xRates!$S$157</f>
        <v>#DIV/0!</v>
      </c>
      <c r="T47" s="32">
        <f t="shared" si="1"/>
        <v>2847.6</v>
      </c>
      <c r="U47" s="30" t="e">
        <f t="shared" si="2"/>
        <v>#DIV/0!</v>
      </c>
      <c r="V47" s="30" t="e">
        <f t="shared" si="3"/>
        <v>#DIV/0!</v>
      </c>
      <c r="W47" s="41" t="e">
        <f t="shared" si="4"/>
        <v>#DIV/0!</v>
      </c>
      <c r="X47" s="55">
        <f t="shared" si="5"/>
        <v>0.34</v>
      </c>
      <c r="Y47" s="30" t="e">
        <f t="shared" si="6"/>
        <v>#DIV/0!</v>
      </c>
      <c r="Z47" s="55">
        <f t="shared" si="7"/>
        <v>0.23</v>
      </c>
      <c r="AA47" s="30" t="e">
        <f t="shared" si="13"/>
        <v>#DIV/0!</v>
      </c>
      <c r="AB47" s="55">
        <f t="shared" si="8"/>
        <v>0.49901671583087515</v>
      </c>
      <c r="AC47" s="30" t="e">
        <f t="shared" si="9"/>
        <v>#DIV/0!</v>
      </c>
      <c r="AD47" s="55">
        <f t="shared" si="10"/>
        <v>8.9900266891417335E-2</v>
      </c>
      <c r="AE47" s="30" t="e">
        <f t="shared" si="14"/>
        <v>#DIV/0!</v>
      </c>
      <c r="AF47" s="30" t="s">
        <v>882</v>
      </c>
      <c r="AG47" s="30" t="s">
        <v>382</v>
      </c>
    </row>
    <row r="48" spans="1:33" ht="12.75" customHeight="1">
      <c r="A48" s="40">
        <f t="shared" si="11"/>
        <v>14</v>
      </c>
      <c r="B48" s="40">
        <f t="shared" si="12"/>
        <v>4</v>
      </c>
      <c r="C48" s="51" t="str">
        <f t="shared" si="0"/>
        <v>1404</v>
      </c>
      <c r="D48" s="30" t="s">
        <v>24</v>
      </c>
      <c r="E48" s="33">
        <v>2015</v>
      </c>
      <c r="F48" s="30" t="s">
        <v>474</v>
      </c>
      <c r="G48" s="30" t="s">
        <v>200</v>
      </c>
      <c r="H48" s="30" t="s">
        <v>853</v>
      </c>
      <c r="I48" s="40" t="s">
        <v>167</v>
      </c>
      <c r="J48" s="40" t="s">
        <v>147</v>
      </c>
      <c r="K48" s="49" t="s">
        <v>368</v>
      </c>
      <c r="L48" s="40">
        <v>3</v>
      </c>
      <c r="M48" s="40" t="s">
        <v>155</v>
      </c>
      <c r="N48" s="30" t="s">
        <v>377</v>
      </c>
      <c r="O48" s="30" t="s">
        <v>201</v>
      </c>
      <c r="P48" s="33">
        <v>2013</v>
      </c>
      <c r="Q48" s="30" t="s">
        <v>885</v>
      </c>
      <c r="R48" s="35">
        <v>84654</v>
      </c>
      <c r="S48" s="32" t="e">
        <f>R48/xRates!$S$157</f>
        <v>#DIV/0!</v>
      </c>
      <c r="T48" s="32">
        <f t="shared" si="1"/>
        <v>2847.6</v>
      </c>
      <c r="U48" s="30" t="e">
        <f t="shared" si="2"/>
        <v>#DIV/0!</v>
      </c>
      <c r="V48" s="30" t="e">
        <f t="shared" si="3"/>
        <v>#DIV/0!</v>
      </c>
      <c r="W48" s="41" t="e">
        <f t="shared" si="4"/>
        <v>#DIV/0!</v>
      </c>
      <c r="X48" s="55">
        <f t="shared" si="5"/>
        <v>0.34</v>
      </c>
      <c r="Y48" s="30" t="e">
        <f t="shared" si="6"/>
        <v>#DIV/0!</v>
      </c>
      <c r="Z48" s="55">
        <f t="shared" si="7"/>
        <v>0.23</v>
      </c>
      <c r="AA48" s="30" t="e">
        <f t="shared" si="13"/>
        <v>#DIV/0!</v>
      </c>
      <c r="AB48" s="55">
        <f t="shared" si="8"/>
        <v>0.49901671583087515</v>
      </c>
      <c r="AC48" s="30" t="e">
        <f t="shared" si="9"/>
        <v>#DIV/0!</v>
      </c>
      <c r="AD48" s="55">
        <f t="shared" si="10"/>
        <v>8.9900266891417335E-2</v>
      </c>
      <c r="AE48" s="30" t="e">
        <f t="shared" si="14"/>
        <v>#DIV/0!</v>
      </c>
      <c r="AF48" s="30" t="s">
        <v>882</v>
      </c>
      <c r="AG48" s="30" t="s">
        <v>382</v>
      </c>
    </row>
    <row r="49" spans="1:34" ht="12.75" customHeight="1">
      <c r="A49" s="40">
        <f t="shared" si="11"/>
        <v>14</v>
      </c>
      <c r="B49" s="40">
        <f t="shared" si="12"/>
        <v>5</v>
      </c>
      <c r="C49" s="51" t="str">
        <f t="shared" si="0"/>
        <v>1405</v>
      </c>
      <c r="D49" s="30" t="s">
        <v>24</v>
      </c>
      <c r="E49" s="33">
        <v>2015</v>
      </c>
      <c r="F49" s="30" t="s">
        <v>474</v>
      </c>
      <c r="G49" s="30" t="s">
        <v>200</v>
      </c>
      <c r="H49" s="30" t="s">
        <v>875</v>
      </c>
      <c r="I49" s="40" t="s">
        <v>167</v>
      </c>
      <c r="J49" s="40" t="s">
        <v>166</v>
      </c>
      <c r="K49" s="49" t="s">
        <v>368</v>
      </c>
      <c r="L49" s="40">
        <v>3</v>
      </c>
      <c r="M49" s="40" t="s">
        <v>148</v>
      </c>
      <c r="N49" s="30" t="s">
        <v>377</v>
      </c>
      <c r="O49" s="30" t="s">
        <v>201</v>
      </c>
      <c r="P49" s="33">
        <v>2013</v>
      </c>
      <c r="Q49" s="30" t="s">
        <v>886</v>
      </c>
      <c r="R49" s="35">
        <v>15795</v>
      </c>
      <c r="S49" s="32" t="e">
        <f>R49/xRates!$S$157</f>
        <v>#DIV/0!</v>
      </c>
      <c r="T49" s="32">
        <f t="shared" si="1"/>
        <v>2847.6</v>
      </c>
      <c r="U49" s="30" t="e">
        <f t="shared" si="2"/>
        <v>#DIV/0!</v>
      </c>
      <c r="V49" s="30" t="e">
        <f t="shared" si="3"/>
        <v>#DIV/0!</v>
      </c>
      <c r="W49" s="41" t="e">
        <f t="shared" si="4"/>
        <v>#DIV/0!</v>
      </c>
      <c r="X49" s="55">
        <f t="shared" si="5"/>
        <v>0.34</v>
      </c>
      <c r="Y49" s="30" t="e">
        <f t="shared" si="6"/>
        <v>#DIV/0!</v>
      </c>
      <c r="Z49" s="55">
        <f t="shared" si="7"/>
        <v>0.23</v>
      </c>
      <c r="AA49" s="30" t="e">
        <f t="shared" si="13"/>
        <v>#DIV/0!</v>
      </c>
      <c r="AB49" s="55">
        <f t="shared" si="8"/>
        <v>0.49901671583087515</v>
      </c>
      <c r="AC49" s="30" t="e">
        <f t="shared" si="9"/>
        <v>#DIV/0!</v>
      </c>
      <c r="AD49" s="55">
        <f t="shared" si="10"/>
        <v>8.9900266891417335E-2</v>
      </c>
      <c r="AE49" s="30" t="e">
        <f t="shared" si="14"/>
        <v>#DIV/0!</v>
      </c>
      <c r="AF49" s="30" t="s">
        <v>882</v>
      </c>
      <c r="AG49" s="30" t="s">
        <v>382</v>
      </c>
    </row>
    <row r="50" spans="1:34" ht="12.75" customHeight="1">
      <c r="A50" s="40">
        <f t="shared" si="11"/>
        <v>14</v>
      </c>
      <c r="B50" s="40">
        <f t="shared" si="12"/>
        <v>6</v>
      </c>
      <c r="C50" s="51" t="str">
        <f t="shared" si="0"/>
        <v>1406</v>
      </c>
      <c r="D50" s="30" t="s">
        <v>24</v>
      </c>
      <c r="E50" s="33">
        <v>2015</v>
      </c>
      <c r="F50" s="30" t="s">
        <v>474</v>
      </c>
      <c r="G50" s="30" t="s">
        <v>200</v>
      </c>
      <c r="H50" s="30" t="s">
        <v>875</v>
      </c>
      <c r="I50" s="40" t="s">
        <v>167</v>
      </c>
      <c r="J50" s="40" t="s">
        <v>166</v>
      </c>
      <c r="K50" s="49" t="s">
        <v>368</v>
      </c>
      <c r="L50" s="40">
        <v>3</v>
      </c>
      <c r="M50" s="40" t="s">
        <v>155</v>
      </c>
      <c r="N50" s="30" t="s">
        <v>377</v>
      </c>
      <c r="O50" s="30" t="s">
        <v>201</v>
      </c>
      <c r="P50" s="33">
        <v>2013</v>
      </c>
      <c r="Q50" s="30" t="s">
        <v>887</v>
      </c>
      <c r="R50" s="35">
        <v>23836</v>
      </c>
      <c r="S50" s="32" t="e">
        <f>R50/xRates!$S$157</f>
        <v>#DIV/0!</v>
      </c>
      <c r="T50" s="32">
        <f t="shared" si="1"/>
        <v>2847.6</v>
      </c>
      <c r="U50" s="30" t="e">
        <f t="shared" si="2"/>
        <v>#DIV/0!</v>
      </c>
      <c r="V50" s="30" t="e">
        <f t="shared" si="3"/>
        <v>#DIV/0!</v>
      </c>
      <c r="W50" s="41" t="e">
        <f t="shared" si="4"/>
        <v>#DIV/0!</v>
      </c>
      <c r="X50" s="55">
        <f t="shared" si="5"/>
        <v>0.34</v>
      </c>
      <c r="Y50" s="30" t="e">
        <f t="shared" si="6"/>
        <v>#DIV/0!</v>
      </c>
      <c r="Z50" s="55">
        <f t="shared" si="7"/>
        <v>0.23</v>
      </c>
      <c r="AA50" s="30" t="e">
        <f t="shared" si="13"/>
        <v>#DIV/0!</v>
      </c>
      <c r="AB50" s="55">
        <f t="shared" si="8"/>
        <v>0.49901671583087515</v>
      </c>
      <c r="AC50" s="30" t="e">
        <f t="shared" si="9"/>
        <v>#DIV/0!</v>
      </c>
      <c r="AD50" s="55">
        <f t="shared" si="10"/>
        <v>8.9900266891417335E-2</v>
      </c>
      <c r="AE50" s="30" t="e">
        <f t="shared" si="14"/>
        <v>#DIV/0!</v>
      </c>
      <c r="AF50" s="30" t="s">
        <v>882</v>
      </c>
      <c r="AG50" s="30" t="s">
        <v>382</v>
      </c>
    </row>
    <row r="51" spans="1:34" ht="12.75" customHeight="1">
      <c r="A51" s="40">
        <f t="shared" si="11"/>
        <v>15</v>
      </c>
      <c r="B51" s="40">
        <f t="shared" si="12"/>
        <v>1</v>
      </c>
      <c r="C51" s="51" t="str">
        <f t="shared" si="0"/>
        <v>1501</v>
      </c>
      <c r="D51" s="30" t="s">
        <v>36</v>
      </c>
      <c r="E51" s="33">
        <v>2014</v>
      </c>
      <c r="F51" s="30" t="s">
        <v>488</v>
      </c>
      <c r="G51" s="30" t="s">
        <v>200</v>
      </c>
      <c r="H51" s="30" t="s">
        <v>851</v>
      </c>
      <c r="I51" s="40" t="s">
        <v>166</v>
      </c>
      <c r="J51" s="40" t="s">
        <v>147</v>
      </c>
      <c r="K51" s="49" t="s">
        <v>368</v>
      </c>
      <c r="L51" s="40">
        <v>3</v>
      </c>
      <c r="M51" s="40" t="s">
        <v>155</v>
      </c>
      <c r="N51" s="30" t="s">
        <v>377</v>
      </c>
      <c r="O51" s="30" t="s">
        <v>201</v>
      </c>
      <c r="P51" s="40">
        <v>2012</v>
      </c>
      <c r="Q51" s="30" t="s">
        <v>888</v>
      </c>
      <c r="R51" s="35">
        <v>50913</v>
      </c>
      <c r="S51" s="32" t="e">
        <f>R51/xRates!$R$157</f>
        <v>#DIV/0!</v>
      </c>
      <c r="T51" s="32">
        <f t="shared" si="1"/>
        <v>2671.8</v>
      </c>
      <c r="U51" s="30" t="e">
        <f t="shared" si="2"/>
        <v>#DIV/0!</v>
      </c>
      <c r="V51" s="30" t="e">
        <f t="shared" si="3"/>
        <v>#DIV/0!</v>
      </c>
      <c r="W51" s="41" t="e">
        <f t="shared" si="4"/>
        <v>#DIV/0!</v>
      </c>
      <c r="X51" s="55">
        <f t="shared" si="5"/>
        <v>0.34</v>
      </c>
      <c r="Y51" s="30" t="e">
        <f t="shared" si="6"/>
        <v>#DIV/0!</v>
      </c>
      <c r="Z51" s="55">
        <f t="shared" si="7"/>
        <v>0.23</v>
      </c>
      <c r="AA51" s="30" t="e">
        <f t="shared" si="13"/>
        <v>#DIV/0!</v>
      </c>
      <c r="AB51" s="55">
        <f t="shared" si="8"/>
        <v>0.49901671583087515</v>
      </c>
      <c r="AC51" s="30" t="e">
        <f t="shared" si="9"/>
        <v>#DIV/0!</v>
      </c>
      <c r="AD51" s="55">
        <f t="shared" si="10"/>
        <v>8.9900266891417335E-2</v>
      </c>
      <c r="AE51" s="30" t="e">
        <f t="shared" si="14"/>
        <v>#DIV/0!</v>
      </c>
      <c r="AF51" s="30" t="s">
        <v>176</v>
      </c>
      <c r="AG51" s="30" t="s">
        <v>382</v>
      </c>
    </row>
    <row r="52" spans="1:34" s="64" customFormat="1" ht="12.75" customHeight="1">
      <c r="A52" s="63">
        <f t="shared" si="11"/>
        <v>15</v>
      </c>
      <c r="B52" s="63">
        <f t="shared" si="12"/>
        <v>2</v>
      </c>
      <c r="C52" s="71" t="str">
        <f t="shared" si="0"/>
        <v>1502</v>
      </c>
      <c r="D52" s="64" t="s">
        <v>36</v>
      </c>
      <c r="E52" s="72">
        <v>2014</v>
      </c>
      <c r="F52" s="64" t="s">
        <v>488</v>
      </c>
      <c r="G52" s="64" t="s">
        <v>200</v>
      </c>
      <c r="H52" s="64" t="s">
        <v>865</v>
      </c>
      <c r="I52" s="63" t="s">
        <v>167</v>
      </c>
      <c r="J52" s="63" t="s">
        <v>166</v>
      </c>
      <c r="K52" s="65" t="s">
        <v>368</v>
      </c>
      <c r="L52" s="63">
        <v>3</v>
      </c>
      <c r="M52" s="63" t="s">
        <v>155</v>
      </c>
      <c r="N52" s="73" t="s">
        <v>377</v>
      </c>
      <c r="O52" s="64" t="s">
        <v>201</v>
      </c>
      <c r="P52" s="72">
        <v>2012</v>
      </c>
      <c r="Q52" s="64" t="s">
        <v>889</v>
      </c>
      <c r="R52" s="66">
        <v>310274.65999999997</v>
      </c>
      <c r="S52" s="74" t="e">
        <f>R52/xRates!$R$157</f>
        <v>#DIV/0!</v>
      </c>
      <c r="T52" s="74">
        <f t="shared" si="1"/>
        <v>2671.8</v>
      </c>
      <c r="U52" s="64" t="e">
        <f t="shared" si="2"/>
        <v>#DIV/0!</v>
      </c>
      <c r="V52" s="64" t="e">
        <f t="shared" si="3"/>
        <v>#DIV/0!</v>
      </c>
      <c r="W52" s="75" t="e">
        <f t="shared" si="4"/>
        <v>#DIV/0!</v>
      </c>
      <c r="X52" s="76">
        <f t="shared" si="5"/>
        <v>0.34</v>
      </c>
      <c r="Y52" s="64" t="e">
        <f t="shared" si="6"/>
        <v>#DIV/0!</v>
      </c>
      <c r="Z52" s="76">
        <f t="shared" si="7"/>
        <v>0.23</v>
      </c>
      <c r="AA52" s="64" t="e">
        <f t="shared" si="13"/>
        <v>#DIV/0!</v>
      </c>
      <c r="AB52" s="76">
        <f t="shared" si="8"/>
        <v>0.49901671583087515</v>
      </c>
      <c r="AC52" s="64" t="e">
        <f t="shared" si="9"/>
        <v>#DIV/0!</v>
      </c>
      <c r="AD52" s="76">
        <f t="shared" si="10"/>
        <v>8.9900266891417335E-2</v>
      </c>
      <c r="AE52" s="64" t="e">
        <f t="shared" si="14"/>
        <v>#DIV/0!</v>
      </c>
      <c r="AF52" s="64" t="s">
        <v>176</v>
      </c>
      <c r="AG52" s="64" t="s">
        <v>382</v>
      </c>
      <c r="AH52" s="64" t="s">
        <v>867</v>
      </c>
    </row>
    <row r="53" spans="1:34" ht="12.75" customHeight="1">
      <c r="A53" s="40">
        <f t="shared" si="11"/>
        <v>16</v>
      </c>
      <c r="B53" s="40">
        <f t="shared" si="12"/>
        <v>1</v>
      </c>
      <c r="C53" s="51" t="str">
        <f t="shared" si="0"/>
        <v>1601</v>
      </c>
      <c r="D53" s="30" t="s">
        <v>204</v>
      </c>
      <c r="E53" s="33">
        <v>2017</v>
      </c>
      <c r="F53" s="30" t="s">
        <v>493</v>
      </c>
      <c r="G53" s="30" t="s">
        <v>206</v>
      </c>
      <c r="H53" s="30" t="s">
        <v>853</v>
      </c>
      <c r="I53" s="40" t="s">
        <v>167</v>
      </c>
      <c r="J53" s="40" t="s">
        <v>147</v>
      </c>
      <c r="K53" s="49" t="s">
        <v>890</v>
      </c>
      <c r="L53" s="40">
        <v>3</v>
      </c>
      <c r="M53" s="40" t="s">
        <v>148</v>
      </c>
      <c r="N53" s="30" t="s">
        <v>149</v>
      </c>
      <c r="O53" s="30" t="s">
        <v>845</v>
      </c>
      <c r="P53" s="40">
        <v>2014</v>
      </c>
      <c r="Q53" s="30" t="s">
        <v>891</v>
      </c>
      <c r="R53" s="35">
        <v>-27</v>
      </c>
      <c r="S53" s="43">
        <v>-27</v>
      </c>
      <c r="T53" s="32">
        <f t="shared" si="1"/>
        <v>4211.8999999999996</v>
      </c>
      <c r="U53" s="30" t="str">
        <f t="shared" si="2"/>
        <v>Cost-Effective</v>
      </c>
      <c r="V53" s="30" t="str">
        <f t="shared" si="3"/>
        <v>Cost-Effective</v>
      </c>
      <c r="W53" s="41">
        <f t="shared" si="4"/>
        <v>-6.4104086041928826E-3</v>
      </c>
      <c r="X53" s="55">
        <f t="shared" si="5"/>
        <v>0.49</v>
      </c>
      <c r="Y53" s="30" t="str">
        <f t="shared" si="6"/>
        <v>Cost-Effective</v>
      </c>
      <c r="Z53" s="55">
        <f t="shared" si="7"/>
        <v>0.35</v>
      </c>
      <c r="AA53" s="30" t="str">
        <f t="shared" si="13"/>
        <v>Cost-Effective</v>
      </c>
      <c r="AB53" s="55">
        <f t="shared" si="8"/>
        <v>0.47147411980191301</v>
      </c>
      <c r="AC53" s="30" t="str">
        <f t="shared" si="9"/>
        <v>Cost-Effective</v>
      </c>
      <c r="AD53" s="55">
        <f t="shared" si="10"/>
        <v>0.12278678515704497</v>
      </c>
      <c r="AE53" s="30" t="str">
        <f t="shared" si="14"/>
        <v>Cost-Effective</v>
      </c>
      <c r="AF53" s="30" t="s">
        <v>176</v>
      </c>
      <c r="AG53" s="30" t="s">
        <v>439</v>
      </c>
      <c r="AH53" s="30" t="s">
        <v>892</v>
      </c>
    </row>
    <row r="54" spans="1:34" ht="12.75" customHeight="1">
      <c r="A54" s="40">
        <f t="shared" si="11"/>
        <v>16</v>
      </c>
      <c r="B54" s="40">
        <f t="shared" si="12"/>
        <v>2</v>
      </c>
      <c r="C54" s="51" t="str">
        <f t="shared" si="0"/>
        <v>1602</v>
      </c>
      <c r="D54" s="30" t="s">
        <v>204</v>
      </c>
      <c r="E54" s="33">
        <v>2017</v>
      </c>
      <c r="F54" s="30" t="s">
        <v>493</v>
      </c>
      <c r="G54" s="30" t="s">
        <v>206</v>
      </c>
      <c r="H54" s="30" t="s">
        <v>853</v>
      </c>
      <c r="I54" s="40" t="s">
        <v>167</v>
      </c>
      <c r="J54" s="40" t="s">
        <v>147</v>
      </c>
      <c r="K54" s="49" t="s">
        <v>890</v>
      </c>
      <c r="L54" s="40">
        <v>3</v>
      </c>
      <c r="M54" s="40" t="s">
        <v>148</v>
      </c>
      <c r="N54" s="30" t="s">
        <v>377</v>
      </c>
      <c r="O54" s="30" t="s">
        <v>845</v>
      </c>
      <c r="P54" s="40">
        <v>2014</v>
      </c>
      <c r="Q54" s="30" t="s">
        <v>893</v>
      </c>
      <c r="R54" s="35">
        <v>52</v>
      </c>
      <c r="S54" s="43">
        <v>52</v>
      </c>
      <c r="T54" s="32">
        <f t="shared" si="1"/>
        <v>4211.8999999999996</v>
      </c>
      <c r="U54" s="30" t="str">
        <f t="shared" si="2"/>
        <v>Cost-Effective</v>
      </c>
      <c r="V54" s="30" t="str">
        <f t="shared" si="3"/>
        <v>Cost-Effective</v>
      </c>
      <c r="W54" s="41">
        <f t="shared" si="4"/>
        <v>1.2345972126593699E-2</v>
      </c>
      <c r="X54" s="55">
        <f t="shared" si="5"/>
        <v>0.49</v>
      </c>
      <c r="Y54" s="30" t="str">
        <f t="shared" si="6"/>
        <v>Cost-Effective</v>
      </c>
      <c r="Z54" s="55">
        <f t="shared" si="7"/>
        <v>0.35</v>
      </c>
      <c r="AA54" s="30" t="str">
        <f t="shared" si="13"/>
        <v>Cost-Effective</v>
      </c>
      <c r="AB54" s="55">
        <f t="shared" si="8"/>
        <v>0.47147411980191301</v>
      </c>
      <c r="AC54" s="30" t="str">
        <f t="shared" si="9"/>
        <v>Cost-Effective</v>
      </c>
      <c r="AD54" s="55">
        <f t="shared" si="10"/>
        <v>0.12278678515704497</v>
      </c>
      <c r="AE54" s="30" t="str">
        <f t="shared" si="14"/>
        <v>Cost-Effective</v>
      </c>
      <c r="AF54" s="30" t="s">
        <v>176</v>
      </c>
      <c r="AG54" s="30" t="s">
        <v>382</v>
      </c>
      <c r="AH54" s="30" t="s">
        <v>892</v>
      </c>
    </row>
    <row r="55" spans="1:34" ht="12.75" customHeight="1">
      <c r="A55" s="40">
        <f t="shared" si="11"/>
        <v>16</v>
      </c>
      <c r="B55" s="40">
        <f t="shared" si="12"/>
        <v>3</v>
      </c>
      <c r="C55" s="51" t="str">
        <f t="shared" si="0"/>
        <v>1603</v>
      </c>
      <c r="D55" s="30" t="s">
        <v>204</v>
      </c>
      <c r="E55" s="33">
        <v>2017</v>
      </c>
      <c r="F55" s="30" t="s">
        <v>493</v>
      </c>
      <c r="G55" s="30" t="s">
        <v>206</v>
      </c>
      <c r="H55" s="30" t="s">
        <v>853</v>
      </c>
      <c r="I55" s="40" t="s">
        <v>167</v>
      </c>
      <c r="J55" s="40" t="s">
        <v>147</v>
      </c>
      <c r="K55" s="49" t="s">
        <v>890</v>
      </c>
      <c r="L55" s="40">
        <v>3</v>
      </c>
      <c r="M55" s="40" t="s">
        <v>155</v>
      </c>
      <c r="N55" s="30" t="s">
        <v>149</v>
      </c>
      <c r="O55" s="30" t="s">
        <v>845</v>
      </c>
      <c r="P55" s="40">
        <v>2014</v>
      </c>
      <c r="Q55" s="30" t="s">
        <v>894</v>
      </c>
      <c r="R55" s="35">
        <v>19</v>
      </c>
      <c r="S55" s="43">
        <v>19</v>
      </c>
      <c r="T55" s="32">
        <f t="shared" si="1"/>
        <v>4211.8999999999996</v>
      </c>
      <c r="U55" s="30" t="str">
        <f t="shared" si="2"/>
        <v>Cost-Effective</v>
      </c>
      <c r="V55" s="30" t="str">
        <f t="shared" si="3"/>
        <v>Cost-Effective</v>
      </c>
      <c r="W55" s="41">
        <f t="shared" si="4"/>
        <v>4.5110282770246214E-3</v>
      </c>
      <c r="X55" s="55">
        <f t="shared" si="5"/>
        <v>0.49</v>
      </c>
      <c r="Y55" s="30" t="str">
        <f t="shared" si="6"/>
        <v>Cost-Effective</v>
      </c>
      <c r="Z55" s="55">
        <f t="shared" si="7"/>
        <v>0.35</v>
      </c>
      <c r="AA55" s="30" t="str">
        <f t="shared" si="13"/>
        <v>Cost-Effective</v>
      </c>
      <c r="AB55" s="55">
        <f t="shared" si="8"/>
        <v>0.47147411980191301</v>
      </c>
      <c r="AC55" s="30" t="str">
        <f t="shared" si="9"/>
        <v>Cost-Effective</v>
      </c>
      <c r="AD55" s="55">
        <f t="shared" si="10"/>
        <v>0.12278678515704497</v>
      </c>
      <c r="AE55" s="30" t="str">
        <f t="shared" si="14"/>
        <v>Cost-Effective</v>
      </c>
      <c r="AF55" s="30" t="s">
        <v>176</v>
      </c>
      <c r="AG55" s="30" t="s">
        <v>382</v>
      </c>
      <c r="AH55" s="30" t="s">
        <v>892</v>
      </c>
    </row>
    <row r="56" spans="1:34" ht="12.75" customHeight="1">
      <c r="A56" s="40">
        <f t="shared" si="11"/>
        <v>16</v>
      </c>
      <c r="B56" s="40">
        <f t="shared" si="12"/>
        <v>4</v>
      </c>
      <c r="C56" s="51" t="str">
        <f t="shared" si="0"/>
        <v>1604</v>
      </c>
      <c r="D56" s="30" t="s">
        <v>204</v>
      </c>
      <c r="E56" s="33">
        <v>2017</v>
      </c>
      <c r="F56" s="30" t="s">
        <v>493</v>
      </c>
      <c r="G56" s="30" t="s">
        <v>206</v>
      </c>
      <c r="H56" s="30" t="s">
        <v>853</v>
      </c>
      <c r="I56" s="40" t="s">
        <v>167</v>
      </c>
      <c r="J56" s="40" t="s">
        <v>147</v>
      </c>
      <c r="K56" s="49" t="s">
        <v>890</v>
      </c>
      <c r="L56" s="40">
        <v>3</v>
      </c>
      <c r="M56" s="40" t="s">
        <v>155</v>
      </c>
      <c r="N56" s="30" t="s">
        <v>377</v>
      </c>
      <c r="O56" s="30" t="s">
        <v>845</v>
      </c>
      <c r="P56" s="40">
        <v>2014</v>
      </c>
      <c r="Q56" s="30" t="s">
        <v>895</v>
      </c>
      <c r="R56" s="35">
        <v>79</v>
      </c>
      <c r="S56" s="43">
        <v>79</v>
      </c>
      <c r="T56" s="32">
        <f t="shared" si="1"/>
        <v>4211.8999999999996</v>
      </c>
      <c r="U56" s="30" t="str">
        <f t="shared" si="2"/>
        <v>Cost-Effective</v>
      </c>
      <c r="V56" s="30" t="str">
        <f t="shared" si="3"/>
        <v>Cost-Effective</v>
      </c>
      <c r="W56" s="41">
        <f t="shared" si="4"/>
        <v>1.8756380730786584E-2</v>
      </c>
      <c r="X56" s="55">
        <f t="shared" si="5"/>
        <v>0.49</v>
      </c>
      <c r="Y56" s="30" t="str">
        <f t="shared" si="6"/>
        <v>Cost-Effective</v>
      </c>
      <c r="Z56" s="55">
        <f t="shared" si="7"/>
        <v>0.35</v>
      </c>
      <c r="AA56" s="30" t="str">
        <f t="shared" si="13"/>
        <v>Cost-Effective</v>
      </c>
      <c r="AB56" s="55">
        <f t="shared" si="8"/>
        <v>0.47147411980191301</v>
      </c>
      <c r="AC56" s="30" t="str">
        <f t="shared" si="9"/>
        <v>Cost-Effective</v>
      </c>
      <c r="AD56" s="55">
        <f t="shared" si="10"/>
        <v>0.12278678515704497</v>
      </c>
      <c r="AE56" s="30" t="str">
        <f t="shared" si="14"/>
        <v>Cost-Effective</v>
      </c>
      <c r="AF56" s="30" t="s">
        <v>176</v>
      </c>
      <c r="AG56" s="30" t="s">
        <v>382</v>
      </c>
      <c r="AH56" s="30" t="s">
        <v>892</v>
      </c>
    </row>
    <row r="57" spans="1:34" ht="12.75" customHeight="1">
      <c r="A57" s="40">
        <f t="shared" si="11"/>
        <v>17</v>
      </c>
      <c r="B57" s="40">
        <f t="shared" si="12"/>
        <v>1</v>
      </c>
      <c r="C57" s="51" t="str">
        <f t="shared" si="0"/>
        <v>1701</v>
      </c>
      <c r="D57" s="30" t="s">
        <v>207</v>
      </c>
      <c r="E57" s="33">
        <v>2018</v>
      </c>
      <c r="F57" s="30" t="s">
        <v>506</v>
      </c>
      <c r="G57" s="30" t="s">
        <v>209</v>
      </c>
      <c r="H57" s="30" t="s">
        <v>851</v>
      </c>
      <c r="I57" s="40" t="s">
        <v>166</v>
      </c>
      <c r="J57" s="40" t="s">
        <v>147</v>
      </c>
      <c r="K57" s="49" t="s">
        <v>368</v>
      </c>
      <c r="L57" s="40">
        <v>3</v>
      </c>
      <c r="M57" s="40" t="s">
        <v>148</v>
      </c>
      <c r="N57" s="30" t="s">
        <v>377</v>
      </c>
      <c r="O57" s="30" t="s">
        <v>845</v>
      </c>
      <c r="P57" s="40">
        <v>2017</v>
      </c>
      <c r="Q57" s="30" t="s">
        <v>896</v>
      </c>
      <c r="R57" s="35">
        <v>36</v>
      </c>
      <c r="S57" s="43">
        <v>36</v>
      </c>
      <c r="T57" s="32">
        <f t="shared" si="1"/>
        <v>3427.2</v>
      </c>
      <c r="U57" s="30" t="str">
        <f t="shared" si="2"/>
        <v>Cost-Effective</v>
      </c>
      <c r="V57" s="30" t="str">
        <f t="shared" si="3"/>
        <v>Cost-Effective</v>
      </c>
      <c r="W57" s="41">
        <f t="shared" si="4"/>
        <v>1.050420168067227E-2</v>
      </c>
      <c r="X57" s="55">
        <f t="shared" si="5"/>
        <v>0</v>
      </c>
      <c r="Y57" s="30" t="str">
        <f t="shared" si="6"/>
        <v>No Threshold</v>
      </c>
      <c r="Z57" s="55">
        <f t="shared" si="7"/>
        <v>0</v>
      </c>
      <c r="AA57" s="30" t="str">
        <f t="shared" si="13"/>
        <v>No Threshold</v>
      </c>
      <c r="AB57" s="55">
        <f t="shared" si="8"/>
        <v>0.47927461139896371</v>
      </c>
      <c r="AC57" s="30" t="str">
        <f t="shared" si="9"/>
        <v>Cost-Effective</v>
      </c>
      <c r="AD57" s="55">
        <f t="shared" si="10"/>
        <v>0.10172203596464492</v>
      </c>
      <c r="AE57" s="30" t="str">
        <f t="shared" si="14"/>
        <v>Cost-Effective</v>
      </c>
      <c r="AF57" s="30" t="s">
        <v>176</v>
      </c>
      <c r="AG57" s="30" t="s">
        <v>382</v>
      </c>
    </row>
    <row r="58" spans="1:34" ht="12.75" customHeight="1">
      <c r="A58" s="40">
        <f t="shared" si="11"/>
        <v>17</v>
      </c>
      <c r="B58" s="40">
        <f t="shared" si="12"/>
        <v>2</v>
      </c>
      <c r="C58" s="51" t="str">
        <f t="shared" si="0"/>
        <v>1702</v>
      </c>
      <c r="D58" s="30" t="s">
        <v>207</v>
      </c>
      <c r="E58" s="33">
        <v>2018</v>
      </c>
      <c r="F58" s="30" t="s">
        <v>506</v>
      </c>
      <c r="G58" s="30" t="s">
        <v>209</v>
      </c>
      <c r="H58" s="30" t="s">
        <v>853</v>
      </c>
      <c r="I58" s="40" t="s">
        <v>167</v>
      </c>
      <c r="J58" s="40" t="s">
        <v>147</v>
      </c>
      <c r="K58" s="49" t="s">
        <v>368</v>
      </c>
      <c r="L58" s="40">
        <v>3</v>
      </c>
      <c r="M58" s="40" t="s">
        <v>148</v>
      </c>
      <c r="N58" s="30" t="s">
        <v>377</v>
      </c>
      <c r="O58" s="30" t="s">
        <v>845</v>
      </c>
      <c r="P58" s="40">
        <v>2017</v>
      </c>
      <c r="Q58" s="30" t="s">
        <v>897</v>
      </c>
      <c r="R58" s="35">
        <v>40</v>
      </c>
      <c r="S58" s="43">
        <v>40</v>
      </c>
      <c r="T58" s="32">
        <f t="shared" si="1"/>
        <v>3427.2</v>
      </c>
      <c r="U58" s="30" t="str">
        <f t="shared" si="2"/>
        <v>Cost-Effective</v>
      </c>
      <c r="V58" s="30" t="str">
        <f t="shared" si="3"/>
        <v>Cost-Effective</v>
      </c>
      <c r="W58" s="41">
        <f t="shared" si="4"/>
        <v>1.1671335200746966E-2</v>
      </c>
      <c r="X58" s="55">
        <f t="shared" si="5"/>
        <v>0</v>
      </c>
      <c r="Y58" s="30" t="str">
        <f t="shared" si="6"/>
        <v>No Threshold</v>
      </c>
      <c r="Z58" s="55">
        <f t="shared" si="7"/>
        <v>0</v>
      </c>
      <c r="AA58" s="30" t="str">
        <f t="shared" si="13"/>
        <v>No Threshold</v>
      </c>
      <c r="AB58" s="55">
        <f t="shared" si="8"/>
        <v>0.47927461139896371</v>
      </c>
      <c r="AC58" s="30" t="str">
        <f t="shared" si="9"/>
        <v>Cost-Effective</v>
      </c>
      <c r="AD58" s="55">
        <f t="shared" si="10"/>
        <v>0.10172203596464492</v>
      </c>
      <c r="AE58" s="30" t="str">
        <f t="shared" si="14"/>
        <v>Cost-Effective</v>
      </c>
      <c r="AF58" s="30" t="s">
        <v>176</v>
      </c>
      <c r="AG58" s="30" t="s">
        <v>382</v>
      </c>
    </row>
    <row r="59" spans="1:34" ht="12.75" customHeight="1">
      <c r="A59" s="40">
        <f t="shared" si="11"/>
        <v>17</v>
      </c>
      <c r="B59" s="40">
        <f t="shared" si="12"/>
        <v>3</v>
      </c>
      <c r="C59" s="51" t="str">
        <f t="shared" si="0"/>
        <v>1703</v>
      </c>
      <c r="D59" s="30" t="s">
        <v>207</v>
      </c>
      <c r="E59" s="33">
        <v>2018</v>
      </c>
      <c r="F59" s="30" t="s">
        <v>506</v>
      </c>
      <c r="G59" s="30" t="s">
        <v>209</v>
      </c>
      <c r="H59" s="30" t="s">
        <v>875</v>
      </c>
      <c r="I59" s="40" t="s">
        <v>167</v>
      </c>
      <c r="J59" s="40" t="s">
        <v>166</v>
      </c>
      <c r="K59" s="49" t="s">
        <v>368</v>
      </c>
      <c r="L59" s="40">
        <v>3</v>
      </c>
      <c r="M59" s="40" t="s">
        <v>148</v>
      </c>
      <c r="N59" s="30" t="s">
        <v>377</v>
      </c>
      <c r="O59" s="30" t="s">
        <v>845</v>
      </c>
      <c r="P59" s="40">
        <v>2017</v>
      </c>
      <c r="Q59" s="30" t="s">
        <v>898</v>
      </c>
      <c r="R59" s="35">
        <v>92</v>
      </c>
      <c r="S59" s="43">
        <v>92</v>
      </c>
      <c r="T59" s="32">
        <f t="shared" si="1"/>
        <v>3427.2</v>
      </c>
      <c r="U59" s="30" t="str">
        <f t="shared" si="2"/>
        <v>Cost-Effective</v>
      </c>
      <c r="V59" s="30" t="str">
        <f t="shared" si="3"/>
        <v>Cost-Effective</v>
      </c>
      <c r="W59" s="41">
        <f t="shared" si="4"/>
        <v>2.6844070961718022E-2</v>
      </c>
      <c r="X59" s="55">
        <f t="shared" si="5"/>
        <v>0</v>
      </c>
      <c r="Y59" s="30" t="str">
        <f t="shared" si="6"/>
        <v>No Threshold</v>
      </c>
      <c r="Z59" s="55">
        <f t="shared" si="7"/>
        <v>0</v>
      </c>
      <c r="AA59" s="30" t="str">
        <f t="shared" si="13"/>
        <v>No Threshold</v>
      </c>
      <c r="AB59" s="55">
        <f t="shared" si="8"/>
        <v>0.47927461139896371</v>
      </c>
      <c r="AC59" s="30" t="str">
        <f t="shared" si="9"/>
        <v>Cost-Effective</v>
      </c>
      <c r="AD59" s="55">
        <f t="shared" si="10"/>
        <v>0.10172203596464492</v>
      </c>
      <c r="AE59" s="30" t="str">
        <f t="shared" si="14"/>
        <v>Cost-Effective</v>
      </c>
      <c r="AF59" s="30" t="s">
        <v>176</v>
      </c>
      <c r="AG59" s="30" t="s">
        <v>382</v>
      </c>
    </row>
    <row r="60" spans="1:34" ht="12.75" customHeight="1">
      <c r="A60" s="40">
        <f t="shared" si="11"/>
        <v>18</v>
      </c>
      <c r="B60" s="40">
        <f t="shared" si="12"/>
        <v>1</v>
      </c>
      <c r="C60" s="51" t="str">
        <f t="shared" si="0"/>
        <v>1801</v>
      </c>
      <c r="D60" s="30" t="s">
        <v>66</v>
      </c>
      <c r="E60" s="33">
        <v>2008</v>
      </c>
      <c r="F60" s="30" t="s">
        <v>513</v>
      </c>
      <c r="G60" s="30" t="s">
        <v>211</v>
      </c>
      <c r="H60" s="44" t="s">
        <v>899</v>
      </c>
      <c r="I60" s="40" t="s">
        <v>146</v>
      </c>
      <c r="J60" s="40" t="s">
        <v>147</v>
      </c>
      <c r="K60" s="49" t="s">
        <v>514</v>
      </c>
      <c r="L60" s="40">
        <v>3</v>
      </c>
      <c r="M60" s="40" t="s">
        <v>155</v>
      </c>
      <c r="N60" s="30" t="s">
        <v>149</v>
      </c>
      <c r="O60" s="30" t="s">
        <v>845</v>
      </c>
      <c r="P60" s="40">
        <v>2004</v>
      </c>
      <c r="Q60" s="30" t="s">
        <v>900</v>
      </c>
      <c r="R60" s="35">
        <v>664</v>
      </c>
      <c r="S60" s="43">
        <v>664</v>
      </c>
      <c r="T60" s="32">
        <f t="shared" si="1"/>
        <v>3623.2</v>
      </c>
      <c r="U60" s="30" t="str">
        <f t="shared" si="2"/>
        <v>Cost-Effective</v>
      </c>
      <c r="V60" s="30" t="str">
        <f t="shared" si="3"/>
        <v>Cost-Effective</v>
      </c>
      <c r="W60" s="41">
        <f t="shared" si="4"/>
        <v>0.18326341355707662</v>
      </c>
      <c r="X60" s="55">
        <f t="shared" si="5"/>
        <v>1.0900000000000001</v>
      </c>
      <c r="Y60" s="30" t="str">
        <f t="shared" si="6"/>
        <v>Cost-Effective</v>
      </c>
      <c r="Z60" s="55">
        <f t="shared" si="7"/>
        <v>0.71</v>
      </c>
      <c r="AA60" s="30" t="str">
        <f t="shared" si="13"/>
        <v>Cost-Effective</v>
      </c>
      <c r="AB60" s="55">
        <f t="shared" si="8"/>
        <v>0.61540469547909216</v>
      </c>
      <c r="AC60" s="30" t="str">
        <f t="shared" si="9"/>
        <v>Cost-Effective</v>
      </c>
      <c r="AD60" s="55">
        <f t="shared" si="10"/>
        <v>0.19520989346254874</v>
      </c>
      <c r="AE60" s="30" t="str">
        <f t="shared" si="14"/>
        <v>Cost-Effective</v>
      </c>
      <c r="AF60" s="30" t="s">
        <v>161</v>
      </c>
      <c r="AG60" s="30" t="s">
        <v>382</v>
      </c>
    </row>
    <row r="61" spans="1:34" ht="12.75" customHeight="1">
      <c r="A61" s="40">
        <f t="shared" si="11"/>
        <v>18</v>
      </c>
      <c r="B61" s="40">
        <f t="shared" si="12"/>
        <v>2</v>
      </c>
      <c r="C61" s="51" t="str">
        <f t="shared" si="0"/>
        <v>1802</v>
      </c>
      <c r="D61" s="30" t="s">
        <v>66</v>
      </c>
      <c r="E61" s="33">
        <v>2008</v>
      </c>
      <c r="F61" s="30" t="s">
        <v>513</v>
      </c>
      <c r="G61" s="30" t="s">
        <v>212</v>
      </c>
      <c r="H61" s="44" t="s">
        <v>901</v>
      </c>
      <c r="I61" s="40" t="s">
        <v>146</v>
      </c>
      <c r="J61" s="40" t="s">
        <v>147</v>
      </c>
      <c r="K61" s="49" t="s">
        <v>514</v>
      </c>
      <c r="L61" s="40">
        <v>3</v>
      </c>
      <c r="M61" s="40" t="s">
        <v>155</v>
      </c>
      <c r="N61" s="30" t="s">
        <v>149</v>
      </c>
      <c r="O61" s="30" t="s">
        <v>845</v>
      </c>
      <c r="P61" s="40">
        <v>2004</v>
      </c>
      <c r="Q61" s="30" t="s">
        <v>902</v>
      </c>
      <c r="R61" s="35">
        <v>1546</v>
      </c>
      <c r="S61" s="43">
        <v>1546</v>
      </c>
      <c r="T61" s="32">
        <f t="shared" si="1"/>
        <v>4130.1000000000004</v>
      </c>
      <c r="U61" s="30" t="str">
        <f t="shared" si="2"/>
        <v>Cost-Effective</v>
      </c>
      <c r="V61" s="30" t="str">
        <f t="shared" si="3"/>
        <v>Cost-Effective</v>
      </c>
      <c r="W61" s="41">
        <f t="shared" si="4"/>
        <v>0.37432507687465189</v>
      </c>
      <c r="X61" s="55">
        <f t="shared" si="5"/>
        <v>0</v>
      </c>
      <c r="Y61" s="30" t="str">
        <f t="shared" si="6"/>
        <v>No Threshold</v>
      </c>
      <c r="Z61" s="55">
        <f t="shared" si="7"/>
        <v>0</v>
      </c>
      <c r="AA61" s="30" t="str">
        <f t="shared" si="13"/>
        <v>No Threshold</v>
      </c>
      <c r="AB61" s="55">
        <f t="shared" si="8"/>
        <v>0.55934380322916721</v>
      </c>
      <c r="AC61" s="30" t="str">
        <f t="shared" si="9"/>
        <v>Cost-Effective</v>
      </c>
      <c r="AD61" s="55">
        <f t="shared" si="10"/>
        <v>0.25070420982420938</v>
      </c>
      <c r="AE61" s="30" t="str">
        <f t="shared" si="14"/>
        <v>Not Cost-Effective</v>
      </c>
      <c r="AF61" s="30" t="s">
        <v>161</v>
      </c>
      <c r="AG61" s="30" t="s">
        <v>382</v>
      </c>
    </row>
    <row r="62" spans="1:34" ht="12.75" customHeight="1">
      <c r="A62" s="40">
        <f t="shared" si="11"/>
        <v>19</v>
      </c>
      <c r="B62" s="40">
        <f t="shared" si="12"/>
        <v>1</v>
      </c>
      <c r="C62" s="51" t="str">
        <f t="shared" si="0"/>
        <v>1901</v>
      </c>
      <c r="D62" s="30" t="s">
        <v>213</v>
      </c>
      <c r="E62" s="33">
        <v>2009</v>
      </c>
      <c r="F62" s="30" t="s">
        <v>519</v>
      </c>
      <c r="G62" s="30" t="s">
        <v>211</v>
      </c>
      <c r="H62" s="44" t="s">
        <v>903</v>
      </c>
      <c r="I62" s="40" t="s">
        <v>146</v>
      </c>
      <c r="J62" s="40" t="s">
        <v>147</v>
      </c>
      <c r="K62" s="49" t="s">
        <v>514</v>
      </c>
      <c r="L62" s="40">
        <v>3</v>
      </c>
      <c r="M62" s="40" t="s">
        <v>155</v>
      </c>
      <c r="N62" s="30" t="s">
        <v>377</v>
      </c>
      <c r="O62" s="30" t="s">
        <v>904</v>
      </c>
      <c r="P62" s="40">
        <v>2006</v>
      </c>
      <c r="Q62" s="30" t="s">
        <v>520</v>
      </c>
      <c r="R62" s="35">
        <v>4516</v>
      </c>
      <c r="S62" s="43">
        <f>R62/xRates!$L$28</f>
        <v>2704.1916167664672</v>
      </c>
      <c r="T62" s="32">
        <f t="shared" si="1"/>
        <v>5866</v>
      </c>
      <c r="U62" s="30" t="str">
        <f t="shared" si="2"/>
        <v>Cost-Effective</v>
      </c>
      <c r="V62" s="30" t="str">
        <f t="shared" si="3"/>
        <v>Cost-Effective</v>
      </c>
      <c r="W62" s="41">
        <f t="shared" si="4"/>
        <v>0.46099413855548366</v>
      </c>
      <c r="X62" s="55">
        <f t="shared" si="5"/>
        <v>1.0900000000000001</v>
      </c>
      <c r="Y62" s="30" t="str">
        <f t="shared" si="6"/>
        <v>Cost-Effective</v>
      </c>
      <c r="Z62" s="55">
        <f t="shared" si="7"/>
        <v>0.71</v>
      </c>
      <c r="AA62" s="30" t="str">
        <f t="shared" si="13"/>
        <v>Cost-Effective</v>
      </c>
      <c r="AB62" s="55">
        <f t="shared" si="8"/>
        <v>0.61540469547909216</v>
      </c>
      <c r="AC62" s="30" t="str">
        <f t="shared" si="9"/>
        <v>Cost-Effective</v>
      </c>
      <c r="AD62" s="55">
        <f t="shared" si="10"/>
        <v>0.19520989346254874</v>
      </c>
      <c r="AE62" s="30" t="str">
        <f t="shared" si="14"/>
        <v>Not Cost-Effective</v>
      </c>
      <c r="AF62" s="30" t="s">
        <v>176</v>
      </c>
      <c r="AG62" s="30" t="s">
        <v>382</v>
      </c>
    </row>
    <row r="63" spans="1:34" ht="12.75" customHeight="1">
      <c r="A63" s="40">
        <f t="shared" si="11"/>
        <v>19</v>
      </c>
      <c r="B63" s="40">
        <f t="shared" si="12"/>
        <v>2</v>
      </c>
      <c r="C63" s="51" t="str">
        <f t="shared" si="0"/>
        <v>1902</v>
      </c>
      <c r="D63" s="30" t="s">
        <v>213</v>
      </c>
      <c r="E63" s="33">
        <v>2009</v>
      </c>
      <c r="F63" s="30" t="s">
        <v>519</v>
      </c>
      <c r="G63" s="30" t="s">
        <v>211</v>
      </c>
      <c r="H63" s="44" t="s">
        <v>903</v>
      </c>
      <c r="I63" s="40" t="s">
        <v>146</v>
      </c>
      <c r="J63" s="40" t="s">
        <v>147</v>
      </c>
      <c r="K63" s="49" t="s">
        <v>514</v>
      </c>
      <c r="L63" s="40">
        <v>3</v>
      </c>
      <c r="M63" s="40" t="s">
        <v>155</v>
      </c>
      <c r="N63" s="30" t="s">
        <v>149</v>
      </c>
      <c r="O63" s="30" t="s">
        <v>904</v>
      </c>
      <c r="P63" s="40">
        <v>2006</v>
      </c>
      <c r="Q63" s="30" t="s">
        <v>522</v>
      </c>
      <c r="R63" s="35">
        <v>3946</v>
      </c>
      <c r="S63" s="43">
        <f>R63/xRates!$L$28</f>
        <v>2362.8742514970063</v>
      </c>
      <c r="T63" s="32">
        <f t="shared" si="1"/>
        <v>5866</v>
      </c>
      <c r="U63" s="30" t="str">
        <f t="shared" si="2"/>
        <v>Cost-Effective</v>
      </c>
      <c r="V63" s="30" t="str">
        <f t="shared" si="3"/>
        <v>Cost-Effective</v>
      </c>
      <c r="W63" s="41">
        <f t="shared" si="4"/>
        <v>0.40280843019042045</v>
      </c>
      <c r="X63" s="55">
        <f t="shared" si="5"/>
        <v>1.0900000000000001</v>
      </c>
      <c r="Y63" s="30" t="str">
        <f t="shared" si="6"/>
        <v>Cost-Effective</v>
      </c>
      <c r="Z63" s="55">
        <f t="shared" si="7"/>
        <v>0.71</v>
      </c>
      <c r="AA63" s="30" t="str">
        <f t="shared" si="13"/>
        <v>Cost-Effective</v>
      </c>
      <c r="AB63" s="55">
        <f t="shared" si="8"/>
        <v>0.61540469547909216</v>
      </c>
      <c r="AC63" s="30" t="str">
        <f t="shared" si="9"/>
        <v>Cost-Effective</v>
      </c>
      <c r="AD63" s="55">
        <f t="shared" si="10"/>
        <v>0.19520989346254874</v>
      </c>
      <c r="AE63" s="30" t="str">
        <f t="shared" si="14"/>
        <v>Not Cost-Effective</v>
      </c>
      <c r="AF63" s="30" t="s">
        <v>176</v>
      </c>
      <c r="AG63" s="30" t="s">
        <v>382</v>
      </c>
    </row>
    <row r="64" spans="1:34" ht="12.75" customHeight="1">
      <c r="A64" s="40">
        <f t="shared" si="11"/>
        <v>19</v>
      </c>
      <c r="B64" s="40">
        <f t="shared" si="12"/>
        <v>3</v>
      </c>
      <c r="C64" s="51" t="str">
        <f t="shared" si="0"/>
        <v>1903</v>
      </c>
      <c r="D64" s="30" t="s">
        <v>213</v>
      </c>
      <c r="E64" s="33">
        <v>2009</v>
      </c>
      <c r="F64" s="30" t="s">
        <v>519</v>
      </c>
      <c r="G64" s="30" t="s">
        <v>211</v>
      </c>
      <c r="H64" s="44" t="s">
        <v>903</v>
      </c>
      <c r="I64" s="40" t="s">
        <v>146</v>
      </c>
      <c r="J64" s="40" t="s">
        <v>147</v>
      </c>
      <c r="K64" s="49" t="s">
        <v>514</v>
      </c>
      <c r="L64" s="40">
        <v>3</v>
      </c>
      <c r="M64" s="40" t="s">
        <v>148</v>
      </c>
      <c r="N64" s="30" t="s">
        <v>149</v>
      </c>
      <c r="O64" s="30" t="s">
        <v>904</v>
      </c>
      <c r="P64" s="40">
        <v>2006</v>
      </c>
      <c r="Q64" s="30" t="s">
        <v>523</v>
      </c>
      <c r="R64" s="35">
        <v>1302</v>
      </c>
      <c r="S64" s="43">
        <f>R64/xRates!$L$28</f>
        <v>779.64071856287433</v>
      </c>
      <c r="T64" s="32">
        <f t="shared" si="1"/>
        <v>5866</v>
      </c>
      <c r="U64" s="30" t="str">
        <f t="shared" si="2"/>
        <v>Cost-Effective</v>
      </c>
      <c r="V64" s="30" t="str">
        <f t="shared" si="3"/>
        <v>Cost-Effective</v>
      </c>
      <c r="W64" s="41">
        <f t="shared" si="4"/>
        <v>0.13290840752861818</v>
      </c>
      <c r="X64" s="55">
        <f t="shared" si="5"/>
        <v>1.0900000000000001</v>
      </c>
      <c r="Y64" s="30" t="str">
        <f t="shared" si="6"/>
        <v>Cost-Effective</v>
      </c>
      <c r="Z64" s="55">
        <f t="shared" si="7"/>
        <v>0.71</v>
      </c>
      <c r="AA64" s="30" t="str">
        <f t="shared" si="13"/>
        <v>Cost-Effective</v>
      </c>
      <c r="AB64" s="55">
        <f t="shared" si="8"/>
        <v>0.61540469547909216</v>
      </c>
      <c r="AC64" s="30" t="str">
        <f t="shared" si="9"/>
        <v>Cost-Effective</v>
      </c>
      <c r="AD64" s="55">
        <f t="shared" si="10"/>
        <v>0.19520989346254874</v>
      </c>
      <c r="AE64" s="30" t="str">
        <f t="shared" si="14"/>
        <v>Cost-Effective</v>
      </c>
      <c r="AF64" s="30" t="s">
        <v>176</v>
      </c>
      <c r="AG64" s="30" t="s">
        <v>382</v>
      </c>
    </row>
    <row r="65" spans="1:34" ht="12.75" customHeight="1">
      <c r="A65" s="40">
        <f t="shared" si="11"/>
        <v>19</v>
      </c>
      <c r="B65" s="40">
        <f t="shared" si="12"/>
        <v>4</v>
      </c>
      <c r="C65" s="51" t="str">
        <f t="shared" si="0"/>
        <v>1904</v>
      </c>
      <c r="D65" s="30" t="s">
        <v>213</v>
      </c>
      <c r="E65" s="33">
        <v>2009</v>
      </c>
      <c r="F65" s="30" t="s">
        <v>519</v>
      </c>
      <c r="G65" s="30" t="s">
        <v>211</v>
      </c>
      <c r="H65" s="44" t="s">
        <v>903</v>
      </c>
      <c r="I65" s="40" t="s">
        <v>146</v>
      </c>
      <c r="J65" s="40" t="s">
        <v>147</v>
      </c>
      <c r="K65" s="49" t="s">
        <v>514</v>
      </c>
      <c r="L65" s="40">
        <v>3</v>
      </c>
      <c r="M65" s="40" t="s">
        <v>148</v>
      </c>
      <c r="N65" s="30" t="s">
        <v>905</v>
      </c>
      <c r="O65" s="30" t="s">
        <v>904</v>
      </c>
      <c r="P65" s="40">
        <v>2006</v>
      </c>
      <c r="Q65" s="30" t="s">
        <v>524</v>
      </c>
      <c r="R65" s="35">
        <v>1490</v>
      </c>
      <c r="S65" s="43">
        <f>R65/xRates!$L$28</f>
        <v>892.21556886227552</v>
      </c>
      <c r="T65" s="32">
        <f t="shared" si="1"/>
        <v>5866</v>
      </c>
      <c r="U65" s="30" t="str">
        <f t="shared" si="2"/>
        <v>Cost-Effective</v>
      </c>
      <c r="V65" s="30" t="str">
        <f t="shared" si="3"/>
        <v>Cost-Effective</v>
      </c>
      <c r="W65" s="41">
        <f t="shared" si="4"/>
        <v>0.15209948327007766</v>
      </c>
      <c r="X65" s="55">
        <f t="shared" si="5"/>
        <v>1.0900000000000001</v>
      </c>
      <c r="Y65" s="30" t="str">
        <f t="shared" si="6"/>
        <v>Cost-Effective</v>
      </c>
      <c r="Z65" s="55">
        <f t="shared" si="7"/>
        <v>0.71</v>
      </c>
      <c r="AA65" s="30" t="str">
        <f t="shared" si="13"/>
        <v>Cost-Effective</v>
      </c>
      <c r="AB65" s="55">
        <f t="shared" si="8"/>
        <v>0.61540469547909216</v>
      </c>
      <c r="AC65" s="30" t="str">
        <f t="shared" si="9"/>
        <v>Cost-Effective</v>
      </c>
      <c r="AD65" s="55">
        <f t="shared" si="10"/>
        <v>0.19520989346254874</v>
      </c>
      <c r="AE65" s="30" t="str">
        <f t="shared" si="14"/>
        <v>Cost-Effective</v>
      </c>
      <c r="AF65" s="30" t="s">
        <v>176</v>
      </c>
      <c r="AG65" s="30" t="s">
        <v>382</v>
      </c>
    </row>
    <row r="66" spans="1:34" ht="12.75" customHeight="1">
      <c r="A66" s="40">
        <f t="shared" si="11"/>
        <v>19</v>
      </c>
      <c r="B66" s="40">
        <f t="shared" si="12"/>
        <v>5</v>
      </c>
      <c r="C66" s="51" t="str">
        <f t="shared" ref="C66:C119" si="15">_xlfn.CONCAT(TEXT(A66,"00"),TEXT(B66,"00"))</f>
        <v>1905</v>
      </c>
      <c r="D66" s="30" t="s">
        <v>213</v>
      </c>
      <c r="E66" s="33">
        <v>2009</v>
      </c>
      <c r="F66" s="30" t="s">
        <v>519</v>
      </c>
      <c r="G66" s="30" t="s">
        <v>211</v>
      </c>
      <c r="H66" s="44" t="s">
        <v>903</v>
      </c>
      <c r="I66" s="40" t="s">
        <v>146</v>
      </c>
      <c r="J66" s="40" t="s">
        <v>147</v>
      </c>
      <c r="K66" s="49" t="s">
        <v>376</v>
      </c>
      <c r="L66" s="40">
        <v>4</v>
      </c>
      <c r="M66" s="40" t="s">
        <v>155</v>
      </c>
      <c r="N66" s="30" t="s">
        <v>905</v>
      </c>
      <c r="O66" s="30" t="s">
        <v>904</v>
      </c>
      <c r="P66" s="40">
        <v>2006</v>
      </c>
      <c r="Q66" s="30" t="s">
        <v>525</v>
      </c>
      <c r="R66" s="35">
        <v>5973</v>
      </c>
      <c r="S66" s="43">
        <f>R66/xRates!$L$28</f>
        <v>3576.6467065868264</v>
      </c>
      <c r="T66" s="32">
        <f t="shared" ref="T66:T127" si="16">VLOOKUP(G66,gdppc,P66-1958,FALSE)</f>
        <v>5866</v>
      </c>
      <c r="U66" s="30" t="str">
        <f t="shared" ref="U66:U127" si="17">IF(S66&lt;T66,"Cost-Effective","Not Cost-Effective")</f>
        <v>Cost-Effective</v>
      </c>
      <c r="V66" s="30" t="str">
        <f t="shared" ref="V66:V127" si="18">IF(S66&lt;T66*3,"Cost-Effective","Not Cost-Effective")</f>
        <v>Cost-Effective</v>
      </c>
      <c r="W66" s="41">
        <f t="shared" ref="W66:W127" si="19">S66/T66</f>
        <v>0.6097249755517945</v>
      </c>
      <c r="X66" s="55">
        <f t="shared" ref="X66:X127" si="20">IFERROR(VLOOKUP(G66,ochalek,11,FALSE),0)</f>
        <v>1.0900000000000001</v>
      </c>
      <c r="Y66" s="30" t="str">
        <f t="shared" ref="Y66:Y127" si="21">IF( W66&lt;X66, "Cost-Effective", IF( W66-X66=W66, "No Threshold", "Not Cost-Effective"))</f>
        <v>Cost-Effective</v>
      </c>
      <c r="Z66" s="55">
        <f t="shared" ref="Z66:Z127" si="22">IFERROR(VLOOKUP(G66,ochalek,10,FALSE),0)</f>
        <v>0.71</v>
      </c>
      <c r="AA66" s="30" t="str">
        <f t="shared" si="13"/>
        <v>Cost-Effective</v>
      </c>
      <c r="AB66" s="55">
        <f t="shared" ref="AB66:AB127" si="23">IFERROR(VLOOKUP(G66,woods,6,FALSE),0)</f>
        <v>0.61540469547909216</v>
      </c>
      <c r="AC66" s="30" t="str">
        <f t="shared" ref="AC66:AC127" si="24">IF( W66&lt;AB66, "Cost-Effective", IF( W66-AB66=W66, "No Threshold", "Not Cost-Effective"))</f>
        <v>Cost-Effective</v>
      </c>
      <c r="AD66" s="55">
        <f t="shared" ref="AD66:AD127" si="25">IFERROR(VLOOKUP(G66,woods,5,FALSE),0)</f>
        <v>0.19520989346254874</v>
      </c>
      <c r="AE66" s="30" t="str">
        <f t="shared" si="14"/>
        <v>Not Cost-Effective</v>
      </c>
      <c r="AF66" s="30" t="s">
        <v>176</v>
      </c>
      <c r="AG66" s="30" t="s">
        <v>382</v>
      </c>
    </row>
    <row r="67" spans="1:34" ht="12.75" customHeight="1">
      <c r="A67" s="40">
        <f t="shared" ref="A67:A119" si="26">IF(F67=F66,A66,A66+1)</f>
        <v>19</v>
      </c>
      <c r="B67" s="40">
        <f t="shared" ref="B67:B119" si="27">IF(F67=F66,B66+1,1)</f>
        <v>6</v>
      </c>
      <c r="C67" s="51" t="str">
        <f t="shared" si="15"/>
        <v>1906</v>
      </c>
      <c r="D67" s="30" t="s">
        <v>213</v>
      </c>
      <c r="E67" s="33">
        <v>2009</v>
      </c>
      <c r="F67" s="30" t="s">
        <v>519</v>
      </c>
      <c r="G67" s="30" t="s">
        <v>211</v>
      </c>
      <c r="H67" s="44" t="s">
        <v>903</v>
      </c>
      <c r="I67" s="40" t="s">
        <v>146</v>
      </c>
      <c r="J67" s="40" t="s">
        <v>147</v>
      </c>
      <c r="K67" s="49" t="s">
        <v>376</v>
      </c>
      <c r="L67" s="40">
        <v>4</v>
      </c>
      <c r="M67" s="40" t="s">
        <v>155</v>
      </c>
      <c r="N67" s="30" t="s">
        <v>149</v>
      </c>
      <c r="O67" s="30" t="s">
        <v>904</v>
      </c>
      <c r="P67" s="40">
        <v>2006</v>
      </c>
      <c r="Q67" s="30" t="s">
        <v>526</v>
      </c>
      <c r="R67" s="35">
        <v>5403</v>
      </c>
      <c r="S67" s="43">
        <f>R67/xRates!$L$28</f>
        <v>3235.3293413173656</v>
      </c>
      <c r="T67" s="32">
        <f t="shared" si="16"/>
        <v>5866</v>
      </c>
      <c r="U67" s="30" t="str">
        <f t="shared" si="17"/>
        <v>Cost-Effective</v>
      </c>
      <c r="V67" s="30" t="str">
        <f t="shared" si="18"/>
        <v>Cost-Effective</v>
      </c>
      <c r="W67" s="41">
        <f t="shared" si="19"/>
        <v>0.5515392671867313</v>
      </c>
      <c r="X67" s="55">
        <f t="shared" si="20"/>
        <v>1.0900000000000001</v>
      </c>
      <c r="Y67" s="30" t="str">
        <f t="shared" si="21"/>
        <v>Cost-Effective</v>
      </c>
      <c r="Z67" s="55">
        <f t="shared" si="22"/>
        <v>0.71</v>
      </c>
      <c r="AA67" s="30" t="str">
        <f t="shared" ref="AA67:AA128" si="28">IF( W67&lt;Z67, "Cost-Effective", IF( W67-Z67=W67, "No Threshold", "Not Cost-Effective"))</f>
        <v>Cost-Effective</v>
      </c>
      <c r="AB67" s="55">
        <f t="shared" si="23"/>
        <v>0.61540469547909216</v>
      </c>
      <c r="AC67" s="30" t="str">
        <f t="shared" si="24"/>
        <v>Cost-Effective</v>
      </c>
      <c r="AD67" s="55">
        <f t="shared" si="25"/>
        <v>0.19520989346254874</v>
      </c>
      <c r="AE67" s="30" t="str">
        <f t="shared" ref="AE67:AE128" si="29">IF( W67&lt;AD67, "Cost-Effective", IF( W67-AD67=W67, "No Threshold", "Not Cost-Effective"))</f>
        <v>Not Cost-Effective</v>
      </c>
      <c r="AF67" s="30" t="s">
        <v>176</v>
      </c>
      <c r="AG67" s="30" t="s">
        <v>382</v>
      </c>
    </row>
    <row r="68" spans="1:34" ht="12.75" customHeight="1">
      <c r="A68" s="40">
        <f t="shared" si="26"/>
        <v>20</v>
      </c>
      <c r="B68" s="40">
        <f t="shared" si="27"/>
        <v>1</v>
      </c>
      <c r="C68" s="51" t="str">
        <f t="shared" si="15"/>
        <v>2001</v>
      </c>
      <c r="D68" s="30" t="s">
        <v>38</v>
      </c>
      <c r="E68" s="33">
        <v>2010</v>
      </c>
      <c r="F68" s="30" t="s">
        <v>527</v>
      </c>
      <c r="G68" s="30" t="s">
        <v>217</v>
      </c>
      <c r="H68" s="44" t="s">
        <v>906</v>
      </c>
      <c r="I68" s="40" t="s">
        <v>218</v>
      </c>
      <c r="J68" s="40" t="s">
        <v>147</v>
      </c>
      <c r="K68" s="49" t="s">
        <v>514</v>
      </c>
      <c r="L68" s="40">
        <v>3</v>
      </c>
      <c r="M68" s="40" t="s">
        <v>148</v>
      </c>
      <c r="N68" s="30" t="s">
        <v>149</v>
      </c>
      <c r="O68" s="30" t="s">
        <v>845</v>
      </c>
      <c r="P68" s="40">
        <v>2005</v>
      </c>
      <c r="Q68" s="30" t="s">
        <v>907</v>
      </c>
      <c r="R68" s="35">
        <v>670</v>
      </c>
      <c r="S68" s="43">
        <v>670</v>
      </c>
      <c r="T68" s="32">
        <f t="shared" si="16"/>
        <v>619</v>
      </c>
      <c r="U68" s="30" t="str">
        <f t="shared" si="17"/>
        <v>Not Cost-Effective</v>
      </c>
      <c r="V68" s="30" t="str">
        <f t="shared" si="18"/>
        <v>Cost-Effective</v>
      </c>
      <c r="W68" s="41">
        <f t="shared" si="19"/>
        <v>1.0823909531502423</v>
      </c>
      <c r="X68" s="55">
        <f t="shared" si="20"/>
        <v>0.69</v>
      </c>
      <c r="Y68" s="30" t="str">
        <f t="shared" si="21"/>
        <v>Not Cost-Effective</v>
      </c>
      <c r="Z68" s="55">
        <f t="shared" si="22"/>
        <v>0.52</v>
      </c>
      <c r="AA68" s="30" t="str">
        <f t="shared" si="28"/>
        <v>Not Cost-Effective</v>
      </c>
      <c r="AB68" s="55">
        <f t="shared" si="23"/>
        <v>0.38924930491195553</v>
      </c>
      <c r="AC68" s="30" t="str">
        <f t="shared" si="24"/>
        <v>Not Cost-Effective</v>
      </c>
      <c r="AD68" s="55">
        <f t="shared" si="25"/>
        <v>1.8535681186283598E-2</v>
      </c>
      <c r="AE68" s="30" t="str">
        <f t="shared" si="29"/>
        <v>Not Cost-Effective</v>
      </c>
      <c r="AF68" s="30" t="s">
        <v>161</v>
      </c>
      <c r="AG68" s="30" t="s">
        <v>382</v>
      </c>
    </row>
    <row r="69" spans="1:34" ht="12.75" customHeight="1">
      <c r="A69" s="40">
        <f t="shared" si="26"/>
        <v>20</v>
      </c>
      <c r="B69" s="40">
        <f t="shared" si="27"/>
        <v>2</v>
      </c>
      <c r="C69" s="51" t="str">
        <f t="shared" si="15"/>
        <v>2002</v>
      </c>
      <c r="D69" s="30" t="s">
        <v>38</v>
      </c>
      <c r="E69" s="33">
        <v>2010</v>
      </c>
      <c r="F69" s="30" t="s">
        <v>527</v>
      </c>
      <c r="G69" s="30" t="s">
        <v>217</v>
      </c>
      <c r="H69" s="44" t="s">
        <v>908</v>
      </c>
      <c r="I69" s="40" t="s">
        <v>146</v>
      </c>
      <c r="J69" s="40" t="s">
        <v>147</v>
      </c>
      <c r="K69" s="49" t="s">
        <v>514</v>
      </c>
      <c r="L69" s="40">
        <v>3</v>
      </c>
      <c r="M69" s="40" t="s">
        <v>155</v>
      </c>
      <c r="N69" s="30" t="s">
        <v>149</v>
      </c>
      <c r="O69" s="30" t="s">
        <v>845</v>
      </c>
      <c r="P69" s="40">
        <v>2005</v>
      </c>
      <c r="Q69" s="30" t="s">
        <v>909</v>
      </c>
      <c r="R69" s="35">
        <v>910</v>
      </c>
      <c r="S69" s="43">
        <v>910</v>
      </c>
      <c r="T69" s="32">
        <f t="shared" si="16"/>
        <v>619</v>
      </c>
      <c r="U69" s="30" t="str">
        <f t="shared" si="17"/>
        <v>Not Cost-Effective</v>
      </c>
      <c r="V69" s="30" t="str">
        <f t="shared" si="18"/>
        <v>Cost-Effective</v>
      </c>
      <c r="W69" s="41">
        <f t="shared" si="19"/>
        <v>1.4701130856219708</v>
      </c>
      <c r="X69" s="55">
        <f t="shared" si="20"/>
        <v>0.69</v>
      </c>
      <c r="Y69" s="30" t="str">
        <f t="shared" si="21"/>
        <v>Not Cost-Effective</v>
      </c>
      <c r="Z69" s="55">
        <f t="shared" si="22"/>
        <v>0.52</v>
      </c>
      <c r="AA69" s="30" t="str">
        <f t="shared" si="28"/>
        <v>Not Cost-Effective</v>
      </c>
      <c r="AB69" s="55">
        <f t="shared" si="23"/>
        <v>0.38924930491195553</v>
      </c>
      <c r="AC69" s="30" t="str">
        <f t="shared" si="24"/>
        <v>Not Cost-Effective</v>
      </c>
      <c r="AD69" s="55">
        <f t="shared" si="25"/>
        <v>1.8535681186283598E-2</v>
      </c>
      <c r="AE69" s="30" t="str">
        <f t="shared" si="29"/>
        <v>Not Cost-Effective</v>
      </c>
      <c r="AF69" s="30" t="s">
        <v>161</v>
      </c>
      <c r="AG69" s="30" t="s">
        <v>382</v>
      </c>
    </row>
    <row r="70" spans="1:34" ht="12.75" customHeight="1">
      <c r="A70" s="40">
        <f t="shared" si="26"/>
        <v>20</v>
      </c>
      <c r="B70" s="40">
        <f t="shared" si="27"/>
        <v>3</v>
      </c>
      <c r="C70" s="51" t="str">
        <f t="shared" si="15"/>
        <v>2003</v>
      </c>
      <c r="D70" s="30" t="s">
        <v>38</v>
      </c>
      <c r="E70" s="33">
        <v>2010</v>
      </c>
      <c r="F70" s="30" t="s">
        <v>527</v>
      </c>
      <c r="G70" s="30" t="s">
        <v>217</v>
      </c>
      <c r="H70" s="44" t="s">
        <v>910</v>
      </c>
      <c r="I70" s="40" t="s">
        <v>166</v>
      </c>
      <c r="J70" s="40" t="s">
        <v>147</v>
      </c>
      <c r="K70" s="49" t="s">
        <v>514</v>
      </c>
      <c r="L70" s="40">
        <v>3</v>
      </c>
      <c r="M70" s="40" t="s">
        <v>155</v>
      </c>
      <c r="N70" s="30" t="s">
        <v>149</v>
      </c>
      <c r="O70" s="30" t="s">
        <v>845</v>
      </c>
      <c r="P70" s="40">
        <v>2005</v>
      </c>
      <c r="Q70" s="30" t="s">
        <v>907</v>
      </c>
      <c r="R70" s="35">
        <v>670</v>
      </c>
      <c r="S70" s="43">
        <v>670</v>
      </c>
      <c r="T70" s="32">
        <f t="shared" si="16"/>
        <v>619</v>
      </c>
      <c r="U70" s="30" t="str">
        <f t="shared" si="17"/>
        <v>Not Cost-Effective</v>
      </c>
      <c r="V70" s="30" t="str">
        <f t="shared" si="18"/>
        <v>Cost-Effective</v>
      </c>
      <c r="W70" s="41">
        <f t="shared" si="19"/>
        <v>1.0823909531502423</v>
      </c>
      <c r="X70" s="55">
        <f t="shared" si="20"/>
        <v>0.69</v>
      </c>
      <c r="Y70" s="30" t="str">
        <f t="shared" si="21"/>
        <v>Not Cost-Effective</v>
      </c>
      <c r="Z70" s="55">
        <f t="shared" si="22"/>
        <v>0.52</v>
      </c>
      <c r="AA70" s="30" t="str">
        <f t="shared" si="28"/>
        <v>Not Cost-Effective</v>
      </c>
      <c r="AB70" s="55">
        <f t="shared" si="23"/>
        <v>0.38924930491195553</v>
      </c>
      <c r="AC70" s="30" t="str">
        <f t="shared" si="24"/>
        <v>Not Cost-Effective</v>
      </c>
      <c r="AD70" s="55">
        <f t="shared" si="25"/>
        <v>1.8535681186283598E-2</v>
      </c>
      <c r="AE70" s="30" t="str">
        <f t="shared" si="29"/>
        <v>Not Cost-Effective</v>
      </c>
      <c r="AF70" s="30" t="s">
        <v>161</v>
      </c>
      <c r="AG70" s="30" t="s">
        <v>382</v>
      </c>
    </row>
    <row r="71" spans="1:34" ht="12.75" customHeight="1">
      <c r="A71" s="40">
        <f t="shared" si="26"/>
        <v>20</v>
      </c>
      <c r="B71" s="40">
        <f t="shared" si="27"/>
        <v>4</v>
      </c>
      <c r="C71" s="51" t="str">
        <f t="shared" si="15"/>
        <v>2004</v>
      </c>
      <c r="D71" s="30" t="s">
        <v>38</v>
      </c>
      <c r="E71" s="33">
        <v>2010</v>
      </c>
      <c r="F71" s="30" t="s">
        <v>527</v>
      </c>
      <c r="G71" s="30" t="s">
        <v>217</v>
      </c>
      <c r="H71" s="44" t="s">
        <v>911</v>
      </c>
      <c r="I71" s="40" t="s">
        <v>167</v>
      </c>
      <c r="J71" s="40" t="s">
        <v>147</v>
      </c>
      <c r="K71" s="49" t="s">
        <v>514</v>
      </c>
      <c r="L71" s="40">
        <v>3</v>
      </c>
      <c r="M71" s="40" t="s">
        <v>155</v>
      </c>
      <c r="N71" s="30" t="s">
        <v>149</v>
      </c>
      <c r="O71" s="30" t="s">
        <v>845</v>
      </c>
      <c r="P71" s="40">
        <v>2005</v>
      </c>
      <c r="Q71" s="30" t="s">
        <v>912</v>
      </c>
      <c r="R71" s="35">
        <v>570</v>
      </c>
      <c r="S71" s="43">
        <v>570</v>
      </c>
      <c r="T71" s="32">
        <f t="shared" si="16"/>
        <v>619</v>
      </c>
      <c r="U71" s="30" t="str">
        <f t="shared" si="17"/>
        <v>Cost-Effective</v>
      </c>
      <c r="V71" s="30" t="str">
        <f t="shared" si="18"/>
        <v>Cost-Effective</v>
      </c>
      <c r="W71" s="41">
        <f t="shared" si="19"/>
        <v>0.92084006462035539</v>
      </c>
      <c r="X71" s="55">
        <f t="shared" si="20"/>
        <v>0.69</v>
      </c>
      <c r="Y71" s="30" t="str">
        <f t="shared" si="21"/>
        <v>Not Cost-Effective</v>
      </c>
      <c r="Z71" s="55">
        <f t="shared" si="22"/>
        <v>0.52</v>
      </c>
      <c r="AA71" s="30" t="str">
        <f t="shared" si="28"/>
        <v>Not Cost-Effective</v>
      </c>
      <c r="AB71" s="55">
        <f t="shared" si="23"/>
        <v>0.38924930491195553</v>
      </c>
      <c r="AC71" s="30" t="str">
        <f t="shared" si="24"/>
        <v>Not Cost-Effective</v>
      </c>
      <c r="AD71" s="55">
        <f t="shared" si="25"/>
        <v>1.8535681186283598E-2</v>
      </c>
      <c r="AE71" s="30" t="str">
        <f t="shared" si="29"/>
        <v>Not Cost-Effective</v>
      </c>
      <c r="AF71" s="30" t="s">
        <v>161</v>
      </c>
      <c r="AG71" s="30" t="s">
        <v>382</v>
      </c>
    </row>
    <row r="72" spans="1:34" ht="12.75" customHeight="1">
      <c r="A72" s="40">
        <f t="shared" si="26"/>
        <v>20</v>
      </c>
      <c r="B72" s="40">
        <f t="shared" si="27"/>
        <v>5</v>
      </c>
      <c r="C72" s="51" t="str">
        <f t="shared" si="15"/>
        <v>2005</v>
      </c>
      <c r="D72" s="30" t="s">
        <v>38</v>
      </c>
      <c r="E72" s="33">
        <v>2010</v>
      </c>
      <c r="F72" s="30" t="s">
        <v>527</v>
      </c>
      <c r="G72" s="30" t="s">
        <v>217</v>
      </c>
      <c r="H72" s="44" t="s">
        <v>908</v>
      </c>
      <c r="I72" s="40" t="s">
        <v>146</v>
      </c>
      <c r="J72" s="40" t="s">
        <v>147</v>
      </c>
      <c r="K72" s="49" t="s">
        <v>514</v>
      </c>
      <c r="L72" s="40">
        <v>3</v>
      </c>
      <c r="M72" s="40" t="s">
        <v>148</v>
      </c>
      <c r="N72" s="30" t="s">
        <v>149</v>
      </c>
      <c r="O72" s="30" t="s">
        <v>845</v>
      </c>
      <c r="P72" s="40">
        <v>2005</v>
      </c>
      <c r="Q72" s="30" t="s">
        <v>913</v>
      </c>
      <c r="R72" s="35">
        <v>630</v>
      </c>
      <c r="S72" s="43">
        <v>630</v>
      </c>
      <c r="T72" s="32">
        <f t="shared" si="16"/>
        <v>619</v>
      </c>
      <c r="U72" s="30" t="str">
        <f t="shared" si="17"/>
        <v>Not Cost-Effective</v>
      </c>
      <c r="V72" s="30" t="str">
        <f t="shared" si="18"/>
        <v>Cost-Effective</v>
      </c>
      <c r="W72" s="41">
        <f t="shared" si="19"/>
        <v>1.0177705977382876</v>
      </c>
      <c r="X72" s="55">
        <f t="shared" si="20"/>
        <v>0.69</v>
      </c>
      <c r="Y72" s="30" t="str">
        <f t="shared" si="21"/>
        <v>Not Cost-Effective</v>
      </c>
      <c r="Z72" s="55">
        <f t="shared" si="22"/>
        <v>0.52</v>
      </c>
      <c r="AA72" s="30" t="str">
        <f t="shared" si="28"/>
        <v>Not Cost-Effective</v>
      </c>
      <c r="AB72" s="55">
        <f t="shared" si="23"/>
        <v>0.38924930491195553</v>
      </c>
      <c r="AC72" s="30" t="str">
        <f t="shared" si="24"/>
        <v>Not Cost-Effective</v>
      </c>
      <c r="AD72" s="55">
        <f t="shared" si="25"/>
        <v>1.8535681186283598E-2</v>
      </c>
      <c r="AE72" s="30" t="str">
        <f t="shared" si="29"/>
        <v>Not Cost-Effective</v>
      </c>
      <c r="AF72" s="30" t="s">
        <v>161</v>
      </c>
      <c r="AG72" s="30" t="s">
        <v>382</v>
      </c>
    </row>
    <row r="73" spans="1:34" ht="12.75" customHeight="1">
      <c r="A73" s="40">
        <f t="shared" si="26"/>
        <v>20</v>
      </c>
      <c r="B73" s="40">
        <f t="shared" si="27"/>
        <v>6</v>
      </c>
      <c r="C73" s="51" t="str">
        <f t="shared" si="15"/>
        <v>2006</v>
      </c>
      <c r="D73" s="30" t="s">
        <v>38</v>
      </c>
      <c r="E73" s="33">
        <v>2010</v>
      </c>
      <c r="F73" s="30" t="s">
        <v>527</v>
      </c>
      <c r="G73" s="30" t="s">
        <v>217</v>
      </c>
      <c r="H73" s="44" t="s">
        <v>910</v>
      </c>
      <c r="I73" s="40" t="s">
        <v>166</v>
      </c>
      <c r="J73" s="40" t="s">
        <v>147</v>
      </c>
      <c r="K73" s="49" t="s">
        <v>514</v>
      </c>
      <c r="L73" s="40">
        <v>3</v>
      </c>
      <c r="M73" s="40" t="s">
        <v>148</v>
      </c>
      <c r="N73" s="30" t="s">
        <v>149</v>
      </c>
      <c r="O73" s="30" t="s">
        <v>845</v>
      </c>
      <c r="P73" s="40">
        <v>2005</v>
      </c>
      <c r="Q73" s="30" t="s">
        <v>914</v>
      </c>
      <c r="R73" s="35">
        <v>430</v>
      </c>
      <c r="S73" s="43">
        <v>430</v>
      </c>
      <c r="T73" s="32">
        <f t="shared" si="16"/>
        <v>619</v>
      </c>
      <c r="U73" s="30" t="str">
        <f t="shared" si="17"/>
        <v>Cost-Effective</v>
      </c>
      <c r="V73" s="30" t="str">
        <f t="shared" si="18"/>
        <v>Cost-Effective</v>
      </c>
      <c r="W73" s="41">
        <f t="shared" si="19"/>
        <v>0.69466882067851377</v>
      </c>
      <c r="X73" s="55">
        <f t="shared" si="20"/>
        <v>0.69</v>
      </c>
      <c r="Y73" s="30" t="str">
        <f t="shared" si="21"/>
        <v>Not Cost-Effective</v>
      </c>
      <c r="Z73" s="55">
        <f t="shared" si="22"/>
        <v>0.52</v>
      </c>
      <c r="AA73" s="30" t="str">
        <f t="shared" si="28"/>
        <v>Not Cost-Effective</v>
      </c>
      <c r="AB73" s="55">
        <f t="shared" si="23"/>
        <v>0.38924930491195553</v>
      </c>
      <c r="AC73" s="30" t="str">
        <f t="shared" si="24"/>
        <v>Not Cost-Effective</v>
      </c>
      <c r="AD73" s="55">
        <f t="shared" si="25"/>
        <v>1.8535681186283598E-2</v>
      </c>
      <c r="AE73" s="30" t="str">
        <f t="shared" si="29"/>
        <v>Not Cost-Effective</v>
      </c>
      <c r="AF73" s="30" t="s">
        <v>161</v>
      </c>
      <c r="AG73" s="30" t="s">
        <v>382</v>
      </c>
    </row>
    <row r="74" spans="1:34" ht="12.75" customHeight="1">
      <c r="A74" s="40">
        <f t="shared" si="26"/>
        <v>20</v>
      </c>
      <c r="B74" s="40">
        <f t="shared" si="27"/>
        <v>7</v>
      </c>
      <c r="C74" s="51" t="str">
        <f t="shared" si="15"/>
        <v>2007</v>
      </c>
      <c r="D74" s="30" t="s">
        <v>38</v>
      </c>
      <c r="E74" s="33">
        <v>2010</v>
      </c>
      <c r="F74" s="30" t="s">
        <v>527</v>
      </c>
      <c r="G74" s="30" t="s">
        <v>217</v>
      </c>
      <c r="H74" s="44" t="s">
        <v>911</v>
      </c>
      <c r="I74" s="40" t="s">
        <v>167</v>
      </c>
      <c r="J74" s="40" t="s">
        <v>147</v>
      </c>
      <c r="K74" s="49" t="s">
        <v>514</v>
      </c>
      <c r="L74" s="40">
        <v>3</v>
      </c>
      <c r="M74" s="40" t="s">
        <v>148</v>
      </c>
      <c r="N74" s="30" t="s">
        <v>149</v>
      </c>
      <c r="O74" s="30" t="s">
        <v>845</v>
      </c>
      <c r="P74" s="40">
        <v>2005</v>
      </c>
      <c r="Q74" s="30" t="s">
        <v>915</v>
      </c>
      <c r="R74" s="35">
        <v>370</v>
      </c>
      <c r="S74" s="43">
        <v>370</v>
      </c>
      <c r="T74" s="32">
        <f t="shared" si="16"/>
        <v>619</v>
      </c>
      <c r="U74" s="30" t="str">
        <f t="shared" si="17"/>
        <v>Cost-Effective</v>
      </c>
      <c r="V74" s="30" t="str">
        <f t="shared" si="18"/>
        <v>Cost-Effective</v>
      </c>
      <c r="W74" s="41">
        <f t="shared" si="19"/>
        <v>0.59773828756058156</v>
      </c>
      <c r="X74" s="55">
        <f t="shared" si="20"/>
        <v>0.69</v>
      </c>
      <c r="Y74" s="30" t="str">
        <f t="shared" si="21"/>
        <v>Cost-Effective</v>
      </c>
      <c r="Z74" s="55">
        <f t="shared" si="22"/>
        <v>0.52</v>
      </c>
      <c r="AA74" s="30" t="str">
        <f t="shared" si="28"/>
        <v>Not Cost-Effective</v>
      </c>
      <c r="AB74" s="55">
        <f t="shared" si="23"/>
        <v>0.38924930491195553</v>
      </c>
      <c r="AC74" s="30" t="str">
        <f t="shared" si="24"/>
        <v>Not Cost-Effective</v>
      </c>
      <c r="AD74" s="55">
        <f t="shared" si="25"/>
        <v>1.8535681186283598E-2</v>
      </c>
      <c r="AE74" s="30" t="str">
        <f t="shared" si="29"/>
        <v>Not Cost-Effective</v>
      </c>
      <c r="AF74" s="30" t="s">
        <v>161</v>
      </c>
      <c r="AG74" s="30" t="s">
        <v>382</v>
      </c>
    </row>
    <row r="75" spans="1:34" ht="12.75" customHeight="1">
      <c r="A75" s="40">
        <f t="shared" si="26"/>
        <v>21</v>
      </c>
      <c r="B75" s="40">
        <f t="shared" si="27"/>
        <v>1</v>
      </c>
      <c r="C75" s="51" t="str">
        <f t="shared" si="15"/>
        <v>2101</v>
      </c>
      <c r="D75" s="30" t="s">
        <v>219</v>
      </c>
      <c r="E75" s="33">
        <v>2011</v>
      </c>
      <c r="F75" s="30" t="s">
        <v>544</v>
      </c>
      <c r="G75" s="30" t="s">
        <v>221</v>
      </c>
      <c r="H75" s="44" t="s">
        <v>916</v>
      </c>
      <c r="I75" s="40" t="s">
        <v>166</v>
      </c>
      <c r="J75" s="40" t="s">
        <v>147</v>
      </c>
      <c r="K75" s="49" t="s">
        <v>403</v>
      </c>
      <c r="L75" s="40">
        <v>4</v>
      </c>
      <c r="M75" s="40" t="s">
        <v>155</v>
      </c>
      <c r="N75" s="30" t="s">
        <v>377</v>
      </c>
      <c r="O75" s="30" t="s">
        <v>845</v>
      </c>
      <c r="P75" s="40">
        <v>2009</v>
      </c>
      <c r="Q75" s="30" t="s">
        <v>917</v>
      </c>
      <c r="R75" s="35">
        <v>8973</v>
      </c>
      <c r="S75" s="43">
        <v>8973</v>
      </c>
      <c r="T75" s="32">
        <f t="shared" si="16"/>
        <v>8184.4</v>
      </c>
      <c r="U75" s="30" t="str">
        <f t="shared" si="17"/>
        <v>Not Cost-Effective</v>
      </c>
      <c r="V75" s="30" t="str">
        <f t="shared" si="18"/>
        <v>Cost-Effective</v>
      </c>
      <c r="W75" s="41">
        <f t="shared" si="19"/>
        <v>1.0963540393920141</v>
      </c>
      <c r="X75" s="55">
        <f t="shared" si="20"/>
        <v>0.56000000000000005</v>
      </c>
      <c r="Y75" s="30" t="str">
        <f t="shared" si="21"/>
        <v>Not Cost-Effective</v>
      </c>
      <c r="Z75" s="55">
        <f t="shared" si="22"/>
        <v>0.37</v>
      </c>
      <c r="AA75" s="30" t="str">
        <f t="shared" si="28"/>
        <v>Not Cost-Effective</v>
      </c>
      <c r="AB75" s="55">
        <f t="shared" si="23"/>
        <v>0</v>
      </c>
      <c r="AC75" s="30" t="str">
        <f t="shared" si="24"/>
        <v>No Threshold</v>
      </c>
      <c r="AD75" s="55">
        <f t="shared" si="25"/>
        <v>0</v>
      </c>
      <c r="AE75" s="30" t="str">
        <f t="shared" si="29"/>
        <v>No Threshold</v>
      </c>
      <c r="AF75" s="30" t="s">
        <v>161</v>
      </c>
      <c r="AG75" s="30" t="s">
        <v>382</v>
      </c>
      <c r="AH75" s="30" t="s">
        <v>918</v>
      </c>
    </row>
    <row r="76" spans="1:34" ht="12.75" customHeight="1">
      <c r="A76" s="40">
        <f t="shared" si="26"/>
        <v>21</v>
      </c>
      <c r="B76" s="40">
        <f t="shared" si="27"/>
        <v>2</v>
      </c>
      <c r="C76" s="51" t="str">
        <f t="shared" si="15"/>
        <v>2102</v>
      </c>
      <c r="D76" s="30" t="s">
        <v>219</v>
      </c>
      <c r="E76" s="33">
        <v>2011</v>
      </c>
      <c r="F76" s="30" t="s">
        <v>544</v>
      </c>
      <c r="G76" s="30" t="s">
        <v>221</v>
      </c>
      <c r="H76" s="44" t="s">
        <v>916</v>
      </c>
      <c r="I76" s="40" t="s">
        <v>166</v>
      </c>
      <c r="J76" s="40" t="s">
        <v>147</v>
      </c>
      <c r="K76" s="49" t="s">
        <v>403</v>
      </c>
      <c r="L76" s="40">
        <v>4</v>
      </c>
      <c r="M76" s="40" t="s">
        <v>148</v>
      </c>
      <c r="N76" s="30" t="s">
        <v>377</v>
      </c>
      <c r="O76" s="30" t="s">
        <v>845</v>
      </c>
      <c r="P76" s="40">
        <v>2009</v>
      </c>
      <c r="Q76" s="30" t="s">
        <v>919</v>
      </c>
      <c r="R76" s="35">
        <v>8546</v>
      </c>
      <c r="S76" s="43">
        <v>8546</v>
      </c>
      <c r="T76" s="32">
        <f t="shared" si="16"/>
        <v>8184.4</v>
      </c>
      <c r="U76" s="30" t="str">
        <f t="shared" si="17"/>
        <v>Not Cost-Effective</v>
      </c>
      <c r="V76" s="30" t="str">
        <f t="shared" si="18"/>
        <v>Cost-Effective</v>
      </c>
      <c r="W76" s="41">
        <f t="shared" si="19"/>
        <v>1.0441816138018669</v>
      </c>
      <c r="X76" s="55">
        <f t="shared" si="20"/>
        <v>0.56000000000000005</v>
      </c>
      <c r="Y76" s="30" t="str">
        <f t="shared" si="21"/>
        <v>Not Cost-Effective</v>
      </c>
      <c r="Z76" s="55">
        <f t="shared" si="22"/>
        <v>0.37</v>
      </c>
      <c r="AA76" s="30" t="str">
        <f t="shared" si="28"/>
        <v>Not Cost-Effective</v>
      </c>
      <c r="AB76" s="55">
        <f t="shared" si="23"/>
        <v>0</v>
      </c>
      <c r="AC76" s="30" t="str">
        <f t="shared" si="24"/>
        <v>No Threshold</v>
      </c>
      <c r="AD76" s="55">
        <f t="shared" si="25"/>
        <v>0</v>
      </c>
      <c r="AE76" s="30" t="str">
        <f t="shared" si="29"/>
        <v>No Threshold</v>
      </c>
      <c r="AF76" s="30" t="s">
        <v>161</v>
      </c>
      <c r="AG76" s="30" t="s">
        <v>382</v>
      </c>
      <c r="AH76" s="30" t="s">
        <v>918</v>
      </c>
    </row>
    <row r="77" spans="1:34" ht="12.75" customHeight="1">
      <c r="A77" s="40">
        <f t="shared" si="26"/>
        <v>21</v>
      </c>
      <c r="B77" s="40">
        <f t="shared" si="27"/>
        <v>3</v>
      </c>
      <c r="C77" s="51" t="str">
        <f t="shared" si="15"/>
        <v>2103</v>
      </c>
      <c r="D77" s="30" t="s">
        <v>219</v>
      </c>
      <c r="E77" s="33">
        <v>2011</v>
      </c>
      <c r="F77" s="30" t="s">
        <v>544</v>
      </c>
      <c r="G77" s="30" t="s">
        <v>221</v>
      </c>
      <c r="H77" s="44" t="s">
        <v>916</v>
      </c>
      <c r="I77" s="40" t="s">
        <v>167</v>
      </c>
      <c r="J77" s="40" t="s">
        <v>147</v>
      </c>
      <c r="K77" s="49" t="s">
        <v>403</v>
      </c>
      <c r="L77" s="40">
        <v>4</v>
      </c>
      <c r="M77" s="40" t="s">
        <v>155</v>
      </c>
      <c r="N77" s="30" t="s">
        <v>377</v>
      </c>
      <c r="O77" s="30" t="s">
        <v>845</v>
      </c>
      <c r="P77" s="40">
        <v>2009</v>
      </c>
      <c r="Q77" s="30" t="s">
        <v>920</v>
      </c>
      <c r="R77" s="35">
        <v>10948</v>
      </c>
      <c r="S77" s="43">
        <v>10948</v>
      </c>
      <c r="T77" s="32">
        <f t="shared" si="16"/>
        <v>8184.4</v>
      </c>
      <c r="U77" s="30" t="str">
        <f t="shared" si="17"/>
        <v>Not Cost-Effective</v>
      </c>
      <c r="V77" s="30" t="str">
        <f t="shared" si="18"/>
        <v>Cost-Effective</v>
      </c>
      <c r="W77" s="41">
        <f t="shared" si="19"/>
        <v>1.3376667807047555</v>
      </c>
      <c r="X77" s="55">
        <f t="shared" si="20"/>
        <v>0.56000000000000005</v>
      </c>
      <c r="Y77" s="30" t="str">
        <f t="shared" si="21"/>
        <v>Not Cost-Effective</v>
      </c>
      <c r="Z77" s="55">
        <f t="shared" si="22"/>
        <v>0.37</v>
      </c>
      <c r="AA77" s="30" t="str">
        <f t="shared" si="28"/>
        <v>Not Cost-Effective</v>
      </c>
      <c r="AB77" s="55">
        <f t="shared" si="23"/>
        <v>0</v>
      </c>
      <c r="AC77" s="30" t="str">
        <f t="shared" si="24"/>
        <v>No Threshold</v>
      </c>
      <c r="AD77" s="55">
        <f t="shared" si="25"/>
        <v>0</v>
      </c>
      <c r="AE77" s="30" t="str">
        <f t="shared" si="29"/>
        <v>No Threshold</v>
      </c>
      <c r="AF77" s="30" t="s">
        <v>161</v>
      </c>
      <c r="AG77" s="30" t="s">
        <v>382</v>
      </c>
      <c r="AH77" s="30" t="s">
        <v>918</v>
      </c>
    </row>
    <row r="78" spans="1:34" ht="12.75" customHeight="1">
      <c r="A78" s="40">
        <f t="shared" si="26"/>
        <v>21</v>
      </c>
      <c r="B78" s="40">
        <f t="shared" si="27"/>
        <v>4</v>
      </c>
      <c r="C78" s="51" t="str">
        <f t="shared" si="15"/>
        <v>2104</v>
      </c>
      <c r="D78" s="30" t="s">
        <v>219</v>
      </c>
      <c r="E78" s="33">
        <v>2011</v>
      </c>
      <c r="F78" s="30" t="s">
        <v>544</v>
      </c>
      <c r="G78" s="30" t="s">
        <v>221</v>
      </c>
      <c r="H78" s="44" t="s">
        <v>916</v>
      </c>
      <c r="I78" s="40" t="s">
        <v>167</v>
      </c>
      <c r="J78" s="40" t="s">
        <v>147</v>
      </c>
      <c r="K78" s="49" t="s">
        <v>403</v>
      </c>
      <c r="L78" s="40">
        <v>4</v>
      </c>
      <c r="M78" s="40" t="s">
        <v>148</v>
      </c>
      <c r="N78" s="30" t="s">
        <v>377</v>
      </c>
      <c r="O78" s="30" t="s">
        <v>845</v>
      </c>
      <c r="P78" s="40">
        <v>2009</v>
      </c>
      <c r="Q78" s="30" t="s">
        <v>921</v>
      </c>
      <c r="R78" s="35">
        <v>10510</v>
      </c>
      <c r="S78" s="43">
        <v>10510</v>
      </c>
      <c r="T78" s="32">
        <f t="shared" si="16"/>
        <v>8184.4</v>
      </c>
      <c r="U78" s="30" t="str">
        <f t="shared" si="17"/>
        <v>Not Cost-Effective</v>
      </c>
      <c r="V78" s="30" t="str">
        <f t="shared" si="18"/>
        <v>Cost-Effective</v>
      </c>
      <c r="W78" s="41">
        <f t="shared" si="19"/>
        <v>1.2841503347832461</v>
      </c>
      <c r="X78" s="55">
        <f t="shared" si="20"/>
        <v>0.56000000000000005</v>
      </c>
      <c r="Y78" s="30" t="str">
        <f t="shared" si="21"/>
        <v>Not Cost-Effective</v>
      </c>
      <c r="Z78" s="55">
        <f t="shared" si="22"/>
        <v>0.37</v>
      </c>
      <c r="AA78" s="30" t="str">
        <f t="shared" si="28"/>
        <v>Not Cost-Effective</v>
      </c>
      <c r="AB78" s="55">
        <f t="shared" si="23"/>
        <v>0</v>
      </c>
      <c r="AC78" s="30" t="str">
        <f t="shared" si="24"/>
        <v>No Threshold</v>
      </c>
      <c r="AD78" s="55">
        <f t="shared" si="25"/>
        <v>0</v>
      </c>
      <c r="AE78" s="30" t="str">
        <f t="shared" si="29"/>
        <v>No Threshold</v>
      </c>
      <c r="AF78" s="30" t="s">
        <v>161</v>
      </c>
      <c r="AG78" s="30" t="s">
        <v>382</v>
      </c>
      <c r="AH78" s="30" t="s">
        <v>918</v>
      </c>
    </row>
    <row r="79" spans="1:34" ht="12.75" customHeight="1">
      <c r="A79" s="40">
        <f t="shared" si="26"/>
        <v>21</v>
      </c>
      <c r="B79" s="40">
        <f t="shared" si="27"/>
        <v>5</v>
      </c>
      <c r="C79" s="51" t="str">
        <f t="shared" si="15"/>
        <v>2105</v>
      </c>
      <c r="D79" s="30" t="s">
        <v>219</v>
      </c>
      <c r="E79" s="33">
        <v>2011</v>
      </c>
      <c r="F79" s="30" t="s">
        <v>544</v>
      </c>
      <c r="G79" s="30" t="s">
        <v>221</v>
      </c>
      <c r="H79" s="44" t="s">
        <v>922</v>
      </c>
      <c r="I79" s="40" t="s">
        <v>167</v>
      </c>
      <c r="J79" s="40" t="s">
        <v>166</v>
      </c>
      <c r="K79" s="49" t="s">
        <v>403</v>
      </c>
      <c r="L79" s="40">
        <v>4</v>
      </c>
      <c r="M79" s="40" t="s">
        <v>155</v>
      </c>
      <c r="N79" s="30" t="s">
        <v>377</v>
      </c>
      <c r="O79" s="30" t="s">
        <v>845</v>
      </c>
      <c r="P79" s="40">
        <v>2009</v>
      </c>
      <c r="Q79" s="30" t="s">
        <v>923</v>
      </c>
      <c r="R79" s="35">
        <v>28147</v>
      </c>
      <c r="S79" s="43">
        <v>28147</v>
      </c>
      <c r="T79" s="32">
        <f t="shared" si="16"/>
        <v>8184.4</v>
      </c>
      <c r="U79" s="30" t="str">
        <f t="shared" si="17"/>
        <v>Not Cost-Effective</v>
      </c>
      <c r="V79" s="30" t="str">
        <f t="shared" si="18"/>
        <v>Not Cost-Effective</v>
      </c>
      <c r="W79" s="41">
        <f t="shared" si="19"/>
        <v>3.4391036606226479</v>
      </c>
      <c r="X79" s="55">
        <f t="shared" si="20"/>
        <v>0.56000000000000005</v>
      </c>
      <c r="Y79" s="30" t="str">
        <f t="shared" si="21"/>
        <v>Not Cost-Effective</v>
      </c>
      <c r="Z79" s="55">
        <f t="shared" si="22"/>
        <v>0.37</v>
      </c>
      <c r="AA79" s="30" t="str">
        <f t="shared" si="28"/>
        <v>Not Cost-Effective</v>
      </c>
      <c r="AB79" s="55">
        <f t="shared" si="23"/>
        <v>0</v>
      </c>
      <c r="AC79" s="30" t="str">
        <f t="shared" si="24"/>
        <v>No Threshold</v>
      </c>
      <c r="AD79" s="55">
        <f t="shared" si="25"/>
        <v>0</v>
      </c>
      <c r="AE79" s="30" t="str">
        <f t="shared" si="29"/>
        <v>No Threshold</v>
      </c>
      <c r="AF79" s="30" t="s">
        <v>161</v>
      </c>
      <c r="AG79" s="30" t="s">
        <v>382</v>
      </c>
      <c r="AH79" s="30" t="s">
        <v>918</v>
      </c>
    </row>
    <row r="80" spans="1:34" ht="12.75" customHeight="1">
      <c r="A80" s="40">
        <f t="shared" si="26"/>
        <v>22</v>
      </c>
      <c r="B80" s="40">
        <f t="shared" si="27"/>
        <v>1</v>
      </c>
      <c r="C80" s="51" t="str">
        <f t="shared" si="15"/>
        <v>2201</v>
      </c>
      <c r="D80" s="30" t="s">
        <v>222</v>
      </c>
      <c r="E80" s="33">
        <v>2011</v>
      </c>
      <c r="F80" s="30" t="s">
        <v>554</v>
      </c>
      <c r="G80" s="30" t="s">
        <v>217</v>
      </c>
      <c r="H80" s="44" t="s">
        <v>924</v>
      </c>
      <c r="I80" s="40" t="s">
        <v>218</v>
      </c>
      <c r="J80" s="40" t="s">
        <v>147</v>
      </c>
      <c r="K80" s="49" t="s">
        <v>514</v>
      </c>
      <c r="L80" s="40">
        <v>3</v>
      </c>
      <c r="M80" s="40" t="s">
        <v>155</v>
      </c>
      <c r="N80" s="30" t="s">
        <v>149</v>
      </c>
      <c r="O80" s="30" t="s">
        <v>845</v>
      </c>
      <c r="P80" s="40">
        <v>2005</v>
      </c>
      <c r="Q80" s="30" t="s">
        <v>925</v>
      </c>
      <c r="R80" s="35">
        <v>26</v>
      </c>
      <c r="S80" s="43">
        <v>26</v>
      </c>
      <c r="T80" s="32">
        <f t="shared" si="16"/>
        <v>619</v>
      </c>
      <c r="U80" s="30" t="str">
        <f t="shared" si="17"/>
        <v>Cost-Effective</v>
      </c>
      <c r="V80" s="30" t="str">
        <f t="shared" si="18"/>
        <v>Cost-Effective</v>
      </c>
      <c r="W80" s="41">
        <f t="shared" si="19"/>
        <v>4.2003231017770599E-2</v>
      </c>
      <c r="X80" s="55">
        <f t="shared" si="20"/>
        <v>0.69</v>
      </c>
      <c r="Y80" s="30" t="str">
        <f t="shared" si="21"/>
        <v>Cost-Effective</v>
      </c>
      <c r="Z80" s="55">
        <f t="shared" si="22"/>
        <v>0.52</v>
      </c>
      <c r="AA80" s="30" t="str">
        <f t="shared" si="28"/>
        <v>Cost-Effective</v>
      </c>
      <c r="AB80" s="55">
        <f t="shared" si="23"/>
        <v>0.38924930491195553</v>
      </c>
      <c r="AC80" s="30" t="str">
        <f t="shared" si="24"/>
        <v>Cost-Effective</v>
      </c>
      <c r="AD80" s="55">
        <f t="shared" si="25"/>
        <v>1.8535681186283598E-2</v>
      </c>
      <c r="AE80" s="30" t="str">
        <f t="shared" si="29"/>
        <v>Not Cost-Effective</v>
      </c>
      <c r="AF80" s="30" t="s">
        <v>176</v>
      </c>
      <c r="AG80" s="30" t="s">
        <v>382</v>
      </c>
    </row>
    <row r="81" spans="1:34" ht="12.75" customHeight="1">
      <c r="A81" s="40">
        <f t="shared" si="26"/>
        <v>23</v>
      </c>
      <c r="B81" s="40">
        <f t="shared" si="27"/>
        <v>1</v>
      </c>
      <c r="C81" s="51" t="str">
        <f t="shared" si="15"/>
        <v>2301</v>
      </c>
      <c r="D81" s="30" t="s">
        <v>224</v>
      </c>
      <c r="E81" s="33">
        <v>2013</v>
      </c>
      <c r="F81" s="30" t="s">
        <v>558</v>
      </c>
      <c r="G81" s="30" t="s">
        <v>226</v>
      </c>
      <c r="H81" s="44" t="s">
        <v>926</v>
      </c>
      <c r="I81" s="40" t="s">
        <v>166</v>
      </c>
      <c r="J81" s="40" t="s">
        <v>147</v>
      </c>
      <c r="K81" s="49" t="s">
        <v>559</v>
      </c>
      <c r="L81" s="40">
        <v>2</v>
      </c>
      <c r="M81" s="40" t="s">
        <v>155</v>
      </c>
      <c r="N81" s="30" t="s">
        <v>149</v>
      </c>
      <c r="O81" s="30" t="s">
        <v>845</v>
      </c>
      <c r="P81" s="40">
        <v>2010</v>
      </c>
      <c r="Q81" s="30" t="s">
        <v>927</v>
      </c>
      <c r="R81" s="35">
        <v>59</v>
      </c>
      <c r="S81" s="43">
        <v>59</v>
      </c>
      <c r="T81" s="32">
        <f t="shared" si="16"/>
        <v>1093.5999999999999</v>
      </c>
      <c r="U81" s="30" t="str">
        <f t="shared" si="17"/>
        <v>Cost-Effective</v>
      </c>
      <c r="V81" s="30" t="str">
        <f t="shared" si="18"/>
        <v>Cost-Effective</v>
      </c>
      <c r="W81" s="41">
        <f t="shared" si="19"/>
        <v>5.3950256035113393E-2</v>
      </c>
      <c r="X81" s="55">
        <f t="shared" si="20"/>
        <v>0.47</v>
      </c>
      <c r="Y81" s="30" t="str">
        <f t="shared" si="21"/>
        <v>Cost-Effective</v>
      </c>
      <c r="Z81" s="55">
        <f t="shared" si="22"/>
        <v>0.36</v>
      </c>
      <c r="AA81" s="30" t="str">
        <f t="shared" si="28"/>
        <v>Cost-Effective</v>
      </c>
      <c r="AB81" s="55">
        <f t="shared" si="23"/>
        <v>0.37696106914584543</v>
      </c>
      <c r="AC81" s="30" t="str">
        <f t="shared" si="24"/>
        <v>Cost-Effective</v>
      </c>
      <c r="AD81" s="55">
        <f t="shared" si="25"/>
        <v>2.3242300987797792E-2</v>
      </c>
      <c r="AE81" s="30" t="str">
        <f t="shared" si="29"/>
        <v>Not Cost-Effective</v>
      </c>
      <c r="AF81" s="30" t="s">
        <v>176</v>
      </c>
      <c r="AG81" s="30" t="s">
        <v>382</v>
      </c>
    </row>
    <row r="82" spans="1:34" ht="12.75" customHeight="1">
      <c r="A82" s="40">
        <f t="shared" si="26"/>
        <v>23</v>
      </c>
      <c r="B82" s="40">
        <f t="shared" si="27"/>
        <v>2</v>
      </c>
      <c r="C82" s="51" t="str">
        <f t="shared" si="15"/>
        <v>2302</v>
      </c>
      <c r="D82" s="30" t="s">
        <v>224</v>
      </c>
      <c r="E82" s="33">
        <v>2013</v>
      </c>
      <c r="F82" s="30" t="s">
        <v>558</v>
      </c>
      <c r="G82" s="30" t="s">
        <v>226</v>
      </c>
      <c r="H82" s="44" t="s">
        <v>928</v>
      </c>
      <c r="I82" s="40" t="s">
        <v>167</v>
      </c>
      <c r="J82" s="40" t="s">
        <v>147</v>
      </c>
      <c r="K82" s="49" t="s">
        <v>559</v>
      </c>
      <c r="L82" s="40">
        <v>2</v>
      </c>
      <c r="M82" s="40" t="s">
        <v>155</v>
      </c>
      <c r="N82" s="30" t="s">
        <v>149</v>
      </c>
      <c r="O82" s="30" t="s">
        <v>845</v>
      </c>
      <c r="P82" s="40">
        <v>2010</v>
      </c>
      <c r="Q82" s="30" t="s">
        <v>929</v>
      </c>
      <c r="R82" s="35">
        <v>47</v>
      </c>
      <c r="S82" s="43">
        <v>47</v>
      </c>
      <c r="T82" s="32">
        <f t="shared" si="16"/>
        <v>1093.5999999999999</v>
      </c>
      <c r="U82" s="30" t="str">
        <f t="shared" si="17"/>
        <v>Cost-Effective</v>
      </c>
      <c r="V82" s="30" t="str">
        <f t="shared" si="18"/>
        <v>Cost-Effective</v>
      </c>
      <c r="W82" s="41">
        <f t="shared" si="19"/>
        <v>4.2977322604242869E-2</v>
      </c>
      <c r="X82" s="55">
        <f t="shared" si="20"/>
        <v>0.47</v>
      </c>
      <c r="Y82" s="30" t="str">
        <f t="shared" si="21"/>
        <v>Cost-Effective</v>
      </c>
      <c r="Z82" s="55">
        <f t="shared" si="22"/>
        <v>0.36</v>
      </c>
      <c r="AA82" s="30" t="str">
        <f t="shared" si="28"/>
        <v>Cost-Effective</v>
      </c>
      <c r="AB82" s="55">
        <f t="shared" si="23"/>
        <v>0.37696106914584543</v>
      </c>
      <c r="AC82" s="30" t="str">
        <f t="shared" si="24"/>
        <v>Cost-Effective</v>
      </c>
      <c r="AD82" s="55">
        <f t="shared" si="25"/>
        <v>2.3242300987797792E-2</v>
      </c>
      <c r="AE82" s="30" t="str">
        <f t="shared" si="29"/>
        <v>Not Cost-Effective</v>
      </c>
      <c r="AF82" s="30" t="s">
        <v>176</v>
      </c>
      <c r="AG82" s="30" t="s">
        <v>382</v>
      </c>
    </row>
    <row r="83" spans="1:34" ht="12.75" customHeight="1">
      <c r="A83" s="40">
        <f t="shared" si="26"/>
        <v>23</v>
      </c>
      <c r="B83" s="40">
        <f t="shared" si="27"/>
        <v>3</v>
      </c>
      <c r="C83" s="51" t="str">
        <f t="shared" si="15"/>
        <v>2303</v>
      </c>
      <c r="D83" s="30" t="s">
        <v>224</v>
      </c>
      <c r="E83" s="33">
        <v>2013</v>
      </c>
      <c r="F83" s="30" t="s">
        <v>558</v>
      </c>
      <c r="G83" s="30" t="s">
        <v>226</v>
      </c>
      <c r="H83" s="44" t="s">
        <v>928</v>
      </c>
      <c r="I83" s="40" t="s">
        <v>166</v>
      </c>
      <c r="J83" s="40" t="s">
        <v>147</v>
      </c>
      <c r="K83" s="49" t="s">
        <v>559</v>
      </c>
      <c r="L83" s="40">
        <v>2</v>
      </c>
      <c r="M83" s="40" t="s">
        <v>148</v>
      </c>
      <c r="N83" s="30" t="s">
        <v>149</v>
      </c>
      <c r="O83" s="30" t="s">
        <v>845</v>
      </c>
      <c r="P83" s="40">
        <v>2010</v>
      </c>
      <c r="Q83" s="30" t="s">
        <v>930</v>
      </c>
      <c r="R83" s="35">
        <v>32</v>
      </c>
      <c r="S83" s="43">
        <v>32</v>
      </c>
      <c r="T83" s="32">
        <f t="shared" si="16"/>
        <v>1093.5999999999999</v>
      </c>
      <c r="U83" s="30" t="str">
        <f t="shared" si="17"/>
        <v>Cost-Effective</v>
      </c>
      <c r="V83" s="30" t="str">
        <f t="shared" si="18"/>
        <v>Cost-Effective</v>
      </c>
      <c r="W83" s="41">
        <f t="shared" si="19"/>
        <v>2.9261155815654721E-2</v>
      </c>
      <c r="X83" s="55">
        <f t="shared" si="20"/>
        <v>0.47</v>
      </c>
      <c r="Y83" s="30" t="str">
        <f t="shared" si="21"/>
        <v>Cost-Effective</v>
      </c>
      <c r="Z83" s="55">
        <f t="shared" si="22"/>
        <v>0.36</v>
      </c>
      <c r="AA83" s="30" t="str">
        <f t="shared" si="28"/>
        <v>Cost-Effective</v>
      </c>
      <c r="AB83" s="55">
        <f t="shared" si="23"/>
        <v>0.37696106914584543</v>
      </c>
      <c r="AC83" s="30" t="str">
        <f t="shared" si="24"/>
        <v>Cost-Effective</v>
      </c>
      <c r="AD83" s="55">
        <f t="shared" si="25"/>
        <v>2.3242300987797792E-2</v>
      </c>
      <c r="AE83" s="30" t="str">
        <f t="shared" si="29"/>
        <v>Not Cost-Effective</v>
      </c>
      <c r="AF83" s="30" t="s">
        <v>176</v>
      </c>
      <c r="AG83" s="30" t="s">
        <v>382</v>
      </c>
    </row>
    <row r="84" spans="1:34" ht="12.75" customHeight="1">
      <c r="A84" s="40">
        <f t="shared" si="26"/>
        <v>23</v>
      </c>
      <c r="B84" s="40">
        <f t="shared" si="27"/>
        <v>4</v>
      </c>
      <c r="C84" s="51" t="str">
        <f t="shared" si="15"/>
        <v>2304</v>
      </c>
      <c r="D84" s="30" t="s">
        <v>224</v>
      </c>
      <c r="E84" s="33">
        <v>2013</v>
      </c>
      <c r="F84" s="30" t="s">
        <v>558</v>
      </c>
      <c r="G84" s="30" t="s">
        <v>226</v>
      </c>
      <c r="H84" s="44" t="s">
        <v>928</v>
      </c>
      <c r="I84" s="40" t="s">
        <v>167</v>
      </c>
      <c r="J84" s="40" t="s">
        <v>147</v>
      </c>
      <c r="K84" s="49" t="s">
        <v>559</v>
      </c>
      <c r="L84" s="40">
        <v>2</v>
      </c>
      <c r="M84" s="40" t="s">
        <v>148</v>
      </c>
      <c r="N84" s="30" t="s">
        <v>149</v>
      </c>
      <c r="O84" s="30" t="s">
        <v>845</v>
      </c>
      <c r="P84" s="40">
        <v>2010</v>
      </c>
      <c r="Q84" s="30" t="s">
        <v>931</v>
      </c>
      <c r="R84" s="35">
        <v>25</v>
      </c>
      <c r="S84" s="43">
        <v>25</v>
      </c>
      <c r="T84" s="32">
        <f t="shared" si="16"/>
        <v>1093.5999999999999</v>
      </c>
      <c r="U84" s="30" t="str">
        <f t="shared" si="17"/>
        <v>Cost-Effective</v>
      </c>
      <c r="V84" s="30" t="str">
        <f t="shared" si="18"/>
        <v>Cost-Effective</v>
      </c>
      <c r="W84" s="41">
        <f t="shared" si="19"/>
        <v>2.286027798098025E-2</v>
      </c>
      <c r="X84" s="55">
        <f t="shared" si="20"/>
        <v>0.47</v>
      </c>
      <c r="Y84" s="30" t="str">
        <f t="shared" si="21"/>
        <v>Cost-Effective</v>
      </c>
      <c r="Z84" s="55">
        <f t="shared" si="22"/>
        <v>0.36</v>
      </c>
      <c r="AA84" s="30" t="str">
        <f t="shared" si="28"/>
        <v>Cost-Effective</v>
      </c>
      <c r="AB84" s="55">
        <f t="shared" si="23"/>
        <v>0.37696106914584543</v>
      </c>
      <c r="AC84" s="30" t="str">
        <f t="shared" si="24"/>
        <v>Cost-Effective</v>
      </c>
      <c r="AD84" s="55">
        <f t="shared" si="25"/>
        <v>2.3242300987797792E-2</v>
      </c>
      <c r="AE84" s="30" t="str">
        <f t="shared" si="29"/>
        <v>Cost-Effective</v>
      </c>
      <c r="AF84" s="30" t="s">
        <v>176</v>
      </c>
      <c r="AG84" s="30" t="s">
        <v>382</v>
      </c>
    </row>
    <row r="85" spans="1:34" ht="12.75" customHeight="1">
      <c r="A85" s="40">
        <f t="shared" si="26"/>
        <v>24</v>
      </c>
      <c r="B85" s="40">
        <f t="shared" si="27"/>
        <v>1</v>
      </c>
      <c r="C85" s="51" t="str">
        <f t="shared" si="15"/>
        <v>2401</v>
      </c>
      <c r="D85" s="30" t="s">
        <v>227</v>
      </c>
      <c r="E85" s="33">
        <v>2015</v>
      </c>
      <c r="F85" s="30" t="s">
        <v>566</v>
      </c>
      <c r="G85" s="30" t="s">
        <v>229</v>
      </c>
      <c r="H85" s="44" t="s">
        <v>932</v>
      </c>
      <c r="I85" s="40" t="s">
        <v>166</v>
      </c>
      <c r="J85" s="40" t="s">
        <v>147</v>
      </c>
      <c r="K85" s="49" t="s">
        <v>567</v>
      </c>
      <c r="L85" s="40">
        <v>1</v>
      </c>
      <c r="M85" s="40" t="s">
        <v>155</v>
      </c>
      <c r="N85" s="30" t="s">
        <v>377</v>
      </c>
      <c r="O85" s="30" t="s">
        <v>845</v>
      </c>
      <c r="P85" s="40">
        <v>2011</v>
      </c>
      <c r="Q85" s="30" t="s">
        <v>933</v>
      </c>
      <c r="R85" s="35">
        <v>114.84</v>
      </c>
      <c r="S85" s="43">
        <v>114.84</v>
      </c>
      <c r="T85" s="32">
        <f t="shared" si="16"/>
        <v>237.9</v>
      </c>
      <c r="U85" s="30" t="str">
        <f t="shared" si="17"/>
        <v>Cost-Effective</v>
      </c>
      <c r="V85" s="30" t="str">
        <f t="shared" si="18"/>
        <v>Cost-Effective</v>
      </c>
      <c r="W85" s="41">
        <f t="shared" si="19"/>
        <v>0.48272383354350568</v>
      </c>
      <c r="X85" s="55">
        <f t="shared" si="20"/>
        <v>0</v>
      </c>
      <c r="Y85" s="30" t="str">
        <f t="shared" si="21"/>
        <v>No Threshold</v>
      </c>
      <c r="Z85" s="55">
        <f t="shared" si="22"/>
        <v>0</v>
      </c>
      <c r="AA85" s="30" t="str">
        <f t="shared" si="28"/>
        <v>No Threshold</v>
      </c>
      <c r="AB85" s="55">
        <f t="shared" si="23"/>
        <v>0</v>
      </c>
      <c r="AC85" s="30" t="str">
        <f t="shared" si="24"/>
        <v>No Threshold</v>
      </c>
      <c r="AD85" s="55">
        <f t="shared" si="25"/>
        <v>0</v>
      </c>
      <c r="AE85" s="30" t="str">
        <f t="shared" si="29"/>
        <v>No Threshold</v>
      </c>
      <c r="AF85" s="30" t="s">
        <v>161</v>
      </c>
      <c r="AG85" s="30" t="s">
        <v>382</v>
      </c>
    </row>
    <row r="86" spans="1:34" ht="12.75" customHeight="1">
      <c r="A86" s="40">
        <f t="shared" si="26"/>
        <v>24</v>
      </c>
      <c r="B86" s="40">
        <f t="shared" si="27"/>
        <v>2</v>
      </c>
      <c r="C86" s="51" t="str">
        <f t="shared" si="15"/>
        <v>2402</v>
      </c>
      <c r="D86" s="30" t="s">
        <v>227</v>
      </c>
      <c r="E86" s="33">
        <v>2015</v>
      </c>
      <c r="F86" s="30" t="s">
        <v>566</v>
      </c>
      <c r="G86" s="30" t="s">
        <v>229</v>
      </c>
      <c r="H86" s="44" t="s">
        <v>934</v>
      </c>
      <c r="I86" s="40" t="s">
        <v>166</v>
      </c>
      <c r="J86" s="40" t="s">
        <v>147</v>
      </c>
      <c r="K86" s="49" t="s">
        <v>559</v>
      </c>
      <c r="L86" s="40">
        <v>2</v>
      </c>
      <c r="M86" s="40" t="s">
        <v>155</v>
      </c>
      <c r="N86" s="30" t="s">
        <v>377</v>
      </c>
      <c r="O86" s="30" t="s">
        <v>845</v>
      </c>
      <c r="P86" s="40">
        <v>2011</v>
      </c>
      <c r="Q86" s="30" t="s">
        <v>935</v>
      </c>
      <c r="R86" s="35">
        <v>161.51</v>
      </c>
      <c r="S86" s="43">
        <v>161.51</v>
      </c>
      <c r="T86" s="32">
        <f t="shared" si="16"/>
        <v>237.9</v>
      </c>
      <c r="U86" s="30" t="str">
        <f t="shared" si="17"/>
        <v>Cost-Effective</v>
      </c>
      <c r="V86" s="30" t="str">
        <f t="shared" si="18"/>
        <v>Cost-Effective</v>
      </c>
      <c r="W86" s="41">
        <f t="shared" si="19"/>
        <v>0.67889869693148375</v>
      </c>
      <c r="X86" s="55">
        <f t="shared" si="20"/>
        <v>0</v>
      </c>
      <c r="Y86" s="30" t="str">
        <f t="shared" si="21"/>
        <v>No Threshold</v>
      </c>
      <c r="Z86" s="55">
        <f t="shared" si="22"/>
        <v>0</v>
      </c>
      <c r="AA86" s="30" t="str">
        <f t="shared" si="28"/>
        <v>No Threshold</v>
      </c>
      <c r="AB86" s="55">
        <f t="shared" si="23"/>
        <v>0</v>
      </c>
      <c r="AC86" s="30" t="str">
        <f t="shared" si="24"/>
        <v>No Threshold</v>
      </c>
      <c r="AD86" s="55">
        <f t="shared" si="25"/>
        <v>0</v>
      </c>
      <c r="AE86" s="30" t="str">
        <f t="shared" si="29"/>
        <v>No Threshold</v>
      </c>
      <c r="AF86" s="30" t="s">
        <v>161</v>
      </c>
      <c r="AG86" s="30" t="s">
        <v>382</v>
      </c>
    </row>
    <row r="87" spans="1:34" ht="12.75" customHeight="1">
      <c r="A87" s="40">
        <f t="shared" si="26"/>
        <v>25</v>
      </c>
      <c r="B87" s="40">
        <f t="shared" si="27"/>
        <v>1</v>
      </c>
      <c r="C87" s="51" t="str">
        <f t="shared" si="15"/>
        <v>2501</v>
      </c>
      <c r="D87" s="30" t="s">
        <v>230</v>
      </c>
      <c r="E87" s="33">
        <v>2015</v>
      </c>
      <c r="F87" s="30" t="s">
        <v>571</v>
      </c>
      <c r="G87" s="30" t="s">
        <v>232</v>
      </c>
      <c r="H87" s="44" t="s">
        <v>936</v>
      </c>
      <c r="I87" s="40" t="s">
        <v>167</v>
      </c>
      <c r="J87" s="40" t="s">
        <v>147</v>
      </c>
      <c r="K87" s="49" t="s">
        <v>514</v>
      </c>
      <c r="L87" s="40">
        <v>3</v>
      </c>
      <c r="M87" s="40" t="s">
        <v>155</v>
      </c>
      <c r="N87" s="30" t="s">
        <v>377</v>
      </c>
      <c r="O87" s="30" t="s">
        <v>845</v>
      </c>
      <c r="P87" s="40">
        <v>2013</v>
      </c>
      <c r="Q87" s="30" t="s">
        <v>937</v>
      </c>
      <c r="R87" s="35">
        <v>3916</v>
      </c>
      <c r="S87" s="43">
        <v>3916</v>
      </c>
      <c r="T87" s="32">
        <f t="shared" si="16"/>
        <v>3088.9</v>
      </c>
      <c r="U87" s="30" t="str">
        <f t="shared" si="17"/>
        <v>Not Cost-Effective</v>
      </c>
      <c r="V87" s="30" t="str">
        <f t="shared" si="18"/>
        <v>Cost-Effective</v>
      </c>
      <c r="W87" s="41">
        <f t="shared" si="19"/>
        <v>1.2677652238661012</v>
      </c>
      <c r="X87" s="55">
        <f t="shared" si="20"/>
        <v>0.41</v>
      </c>
      <c r="Y87" s="30" t="str">
        <f t="shared" si="21"/>
        <v>Not Cost-Effective</v>
      </c>
      <c r="Z87" s="55">
        <f t="shared" si="22"/>
        <v>0.27</v>
      </c>
      <c r="AA87" s="30" t="str">
        <f t="shared" si="28"/>
        <v>Not Cost-Effective</v>
      </c>
      <c r="AB87" s="55">
        <f t="shared" si="23"/>
        <v>0.64521350642623587</v>
      </c>
      <c r="AC87" s="30" t="str">
        <f t="shared" si="24"/>
        <v>Not Cost-Effective</v>
      </c>
      <c r="AD87" s="55">
        <f t="shared" si="25"/>
        <v>0.16899219786979183</v>
      </c>
      <c r="AE87" s="30" t="str">
        <f t="shared" si="29"/>
        <v>Not Cost-Effective</v>
      </c>
      <c r="AF87" s="30" t="s">
        <v>161</v>
      </c>
      <c r="AG87" s="30" t="s">
        <v>382</v>
      </c>
    </row>
    <row r="88" spans="1:34" ht="12.75" customHeight="1">
      <c r="A88" s="40">
        <f t="shared" si="26"/>
        <v>26</v>
      </c>
      <c r="B88" s="40">
        <f t="shared" si="27"/>
        <v>1</v>
      </c>
      <c r="C88" s="51" t="str">
        <f t="shared" si="15"/>
        <v>2601</v>
      </c>
      <c r="D88" s="30" t="s">
        <v>56</v>
      </c>
      <c r="E88" s="33">
        <v>2015</v>
      </c>
      <c r="F88" s="30" t="s">
        <v>576</v>
      </c>
      <c r="G88" s="30" t="s">
        <v>234</v>
      </c>
      <c r="H88" s="44" t="s">
        <v>910</v>
      </c>
      <c r="I88" s="40" t="s">
        <v>166</v>
      </c>
      <c r="J88" s="40" t="s">
        <v>147</v>
      </c>
      <c r="K88" s="49" t="s">
        <v>403</v>
      </c>
      <c r="L88" s="40">
        <v>4</v>
      </c>
      <c r="M88" s="40" t="s">
        <v>155</v>
      </c>
      <c r="N88" s="30" t="s">
        <v>377</v>
      </c>
      <c r="O88" s="30" t="s">
        <v>845</v>
      </c>
      <c r="P88" s="40">
        <v>2012</v>
      </c>
      <c r="Q88" s="30" t="s">
        <v>938</v>
      </c>
      <c r="R88" s="35">
        <v>1605</v>
      </c>
      <c r="S88" s="43">
        <v>1605</v>
      </c>
      <c r="T88" s="32">
        <f t="shared" si="16"/>
        <v>6475.7</v>
      </c>
      <c r="U88" s="30" t="str">
        <f t="shared" si="17"/>
        <v>Cost-Effective</v>
      </c>
      <c r="V88" s="30" t="str">
        <f t="shared" si="18"/>
        <v>Cost-Effective</v>
      </c>
      <c r="W88" s="41">
        <f t="shared" si="19"/>
        <v>0.24784965331933229</v>
      </c>
      <c r="X88" s="55">
        <f t="shared" si="20"/>
        <v>1.08</v>
      </c>
      <c r="Y88" s="30" t="str">
        <f t="shared" si="21"/>
        <v>Cost-Effective</v>
      </c>
      <c r="Z88" s="55">
        <f t="shared" si="22"/>
        <v>0.64</v>
      </c>
      <c r="AA88" s="30" t="str">
        <f t="shared" si="28"/>
        <v>Cost-Effective</v>
      </c>
      <c r="AB88" s="55">
        <f t="shared" si="23"/>
        <v>0.65445260705966679</v>
      </c>
      <c r="AC88" s="30" t="str">
        <f t="shared" si="24"/>
        <v>Cost-Effective</v>
      </c>
      <c r="AD88" s="55">
        <f t="shared" si="25"/>
        <v>0.16633817117601385</v>
      </c>
      <c r="AE88" s="30" t="str">
        <f t="shared" si="29"/>
        <v>Not Cost-Effective</v>
      </c>
      <c r="AF88" s="30" t="s">
        <v>176</v>
      </c>
      <c r="AG88" s="30" t="s">
        <v>382</v>
      </c>
    </row>
    <row r="89" spans="1:34" ht="12.75" customHeight="1">
      <c r="A89" s="40">
        <f t="shared" si="26"/>
        <v>26</v>
      </c>
      <c r="B89" s="40">
        <f t="shared" si="27"/>
        <v>2</v>
      </c>
      <c r="C89" s="51" t="str">
        <f t="shared" si="15"/>
        <v>2602</v>
      </c>
      <c r="D89" s="30" t="s">
        <v>56</v>
      </c>
      <c r="E89" s="33">
        <v>2015</v>
      </c>
      <c r="F89" s="30" t="s">
        <v>576</v>
      </c>
      <c r="G89" s="30" t="s">
        <v>234</v>
      </c>
      <c r="H89" s="44" t="s">
        <v>911</v>
      </c>
      <c r="I89" s="40" t="s">
        <v>167</v>
      </c>
      <c r="J89" s="40" t="s">
        <v>147</v>
      </c>
      <c r="K89" s="49" t="s">
        <v>403</v>
      </c>
      <c r="L89" s="40">
        <v>4</v>
      </c>
      <c r="M89" s="40" t="s">
        <v>155</v>
      </c>
      <c r="N89" s="30" t="s">
        <v>377</v>
      </c>
      <c r="O89" s="30" t="s">
        <v>845</v>
      </c>
      <c r="P89" s="40">
        <v>2012</v>
      </c>
      <c r="Q89" s="30" t="s">
        <v>939</v>
      </c>
      <c r="R89" s="35">
        <v>1304</v>
      </c>
      <c r="S89" s="43">
        <v>1304</v>
      </c>
      <c r="T89" s="32">
        <f t="shared" si="16"/>
        <v>6475.7</v>
      </c>
      <c r="U89" s="30" t="str">
        <f t="shared" si="17"/>
        <v>Cost-Effective</v>
      </c>
      <c r="V89" s="30" t="str">
        <f t="shared" si="18"/>
        <v>Cost-Effective</v>
      </c>
      <c r="W89" s="41">
        <f t="shared" si="19"/>
        <v>0.20136819185570673</v>
      </c>
      <c r="X89" s="55">
        <f t="shared" si="20"/>
        <v>1.08</v>
      </c>
      <c r="Y89" s="30" t="str">
        <f t="shared" si="21"/>
        <v>Cost-Effective</v>
      </c>
      <c r="Z89" s="55">
        <f t="shared" si="22"/>
        <v>0.64</v>
      </c>
      <c r="AA89" s="30" t="str">
        <f t="shared" si="28"/>
        <v>Cost-Effective</v>
      </c>
      <c r="AB89" s="55">
        <f t="shared" si="23"/>
        <v>0.65445260705966679</v>
      </c>
      <c r="AC89" s="30" t="str">
        <f t="shared" si="24"/>
        <v>Cost-Effective</v>
      </c>
      <c r="AD89" s="55">
        <f t="shared" si="25"/>
        <v>0.16633817117601385</v>
      </c>
      <c r="AE89" s="30" t="str">
        <f t="shared" si="29"/>
        <v>Not Cost-Effective</v>
      </c>
      <c r="AF89" s="30" t="s">
        <v>176</v>
      </c>
      <c r="AG89" s="30" t="s">
        <v>382</v>
      </c>
    </row>
    <row r="90" spans="1:34" ht="12.75" customHeight="1">
      <c r="A90" s="40">
        <f t="shared" si="26"/>
        <v>26</v>
      </c>
      <c r="B90" s="40">
        <f t="shared" si="27"/>
        <v>3</v>
      </c>
      <c r="C90" s="51" t="str">
        <f t="shared" si="15"/>
        <v>2603</v>
      </c>
      <c r="D90" s="30" t="s">
        <v>56</v>
      </c>
      <c r="E90" s="33">
        <v>2015</v>
      </c>
      <c r="F90" s="30" t="s">
        <v>576</v>
      </c>
      <c r="G90" s="30" t="s">
        <v>234</v>
      </c>
      <c r="H90" s="44" t="s">
        <v>940</v>
      </c>
      <c r="I90" s="40" t="s">
        <v>167</v>
      </c>
      <c r="J90" s="40" t="s">
        <v>166</v>
      </c>
      <c r="K90" s="49" t="s">
        <v>403</v>
      </c>
      <c r="L90" s="40">
        <v>4</v>
      </c>
      <c r="M90" s="40" t="s">
        <v>155</v>
      </c>
      <c r="N90" s="30" t="s">
        <v>377</v>
      </c>
      <c r="O90" s="30" t="s">
        <v>845</v>
      </c>
      <c r="P90" s="40">
        <v>2012</v>
      </c>
      <c r="Q90" s="30" t="s">
        <v>941</v>
      </c>
      <c r="R90" s="35">
        <v>519</v>
      </c>
      <c r="S90" s="43">
        <v>519</v>
      </c>
      <c r="T90" s="32">
        <f t="shared" si="16"/>
        <v>6475.7</v>
      </c>
      <c r="U90" s="30" t="str">
        <f t="shared" si="17"/>
        <v>Cost-Effective</v>
      </c>
      <c r="V90" s="30" t="str">
        <f t="shared" si="18"/>
        <v>Cost-Effective</v>
      </c>
      <c r="W90" s="41">
        <f t="shared" si="19"/>
        <v>8.0145775746251369E-2</v>
      </c>
      <c r="X90" s="55">
        <f t="shared" si="20"/>
        <v>1.08</v>
      </c>
      <c r="Y90" s="30" t="str">
        <f t="shared" si="21"/>
        <v>Cost-Effective</v>
      </c>
      <c r="Z90" s="55">
        <f t="shared" si="22"/>
        <v>0.64</v>
      </c>
      <c r="AA90" s="30" t="str">
        <f t="shared" si="28"/>
        <v>Cost-Effective</v>
      </c>
      <c r="AB90" s="55">
        <f t="shared" si="23"/>
        <v>0.65445260705966679</v>
      </c>
      <c r="AC90" s="30" t="str">
        <f t="shared" si="24"/>
        <v>Cost-Effective</v>
      </c>
      <c r="AD90" s="55">
        <f t="shared" si="25"/>
        <v>0.16633817117601385</v>
      </c>
      <c r="AE90" s="30" t="str">
        <f t="shared" si="29"/>
        <v>Cost-Effective</v>
      </c>
      <c r="AF90" s="30" t="s">
        <v>176</v>
      </c>
      <c r="AG90" s="30" t="s">
        <v>382</v>
      </c>
    </row>
    <row r="91" spans="1:34" ht="12.75" customHeight="1">
      <c r="A91" s="40">
        <f t="shared" si="26"/>
        <v>27</v>
      </c>
      <c r="B91" s="40">
        <f t="shared" si="27"/>
        <v>1</v>
      </c>
      <c r="C91" s="51" t="str">
        <f t="shared" si="15"/>
        <v>2701</v>
      </c>
      <c r="D91" s="30" t="s">
        <v>227</v>
      </c>
      <c r="E91" s="33">
        <v>2017</v>
      </c>
      <c r="F91" s="30" t="s">
        <v>584</v>
      </c>
      <c r="G91" s="30" t="s">
        <v>236</v>
      </c>
      <c r="H91" s="44" t="s">
        <v>942</v>
      </c>
      <c r="I91" s="40" t="s">
        <v>218</v>
      </c>
      <c r="J91" s="40" t="s">
        <v>147</v>
      </c>
      <c r="K91" s="49" t="s">
        <v>567</v>
      </c>
      <c r="L91" s="40">
        <v>1</v>
      </c>
      <c r="M91" s="40" t="s">
        <v>155</v>
      </c>
      <c r="N91" s="30" t="s">
        <v>377</v>
      </c>
      <c r="O91" s="30" t="s">
        <v>845</v>
      </c>
      <c r="P91" s="40">
        <v>2013</v>
      </c>
      <c r="Q91" s="30" t="s">
        <v>943</v>
      </c>
      <c r="R91" s="35">
        <v>148</v>
      </c>
      <c r="S91" s="43">
        <v>148</v>
      </c>
      <c r="T91" s="32">
        <f t="shared" si="16"/>
        <v>1659.1</v>
      </c>
      <c r="U91" s="30" t="str">
        <f t="shared" si="17"/>
        <v>Cost-Effective</v>
      </c>
      <c r="V91" s="30" t="str">
        <f t="shared" si="18"/>
        <v>Cost-Effective</v>
      </c>
      <c r="W91" s="41">
        <f t="shared" si="19"/>
        <v>8.9204990657585442E-2</v>
      </c>
      <c r="X91" s="55">
        <f t="shared" si="20"/>
        <v>0</v>
      </c>
      <c r="Y91" s="30" t="str">
        <f t="shared" si="21"/>
        <v>No Threshold</v>
      </c>
      <c r="Z91" s="55">
        <f t="shared" si="22"/>
        <v>0</v>
      </c>
      <c r="AA91" s="30" t="str">
        <f t="shared" si="28"/>
        <v>No Threshold</v>
      </c>
      <c r="AB91" s="55">
        <f t="shared" si="23"/>
        <v>0.37188837321439339</v>
      </c>
      <c r="AC91" s="30" t="str">
        <f t="shared" si="24"/>
        <v>Cost-Effective</v>
      </c>
      <c r="AD91" s="55">
        <f t="shared" si="25"/>
        <v>2.4109456934482552E-2</v>
      </c>
      <c r="AE91" s="30" t="str">
        <f t="shared" si="29"/>
        <v>Not Cost-Effective</v>
      </c>
      <c r="AF91" s="30" t="s">
        <v>176</v>
      </c>
      <c r="AG91" s="30" t="s">
        <v>382</v>
      </c>
    </row>
    <row r="92" spans="1:34" ht="12.75" customHeight="1">
      <c r="A92" s="40">
        <f t="shared" si="26"/>
        <v>27</v>
      </c>
      <c r="B92" s="40">
        <f t="shared" si="27"/>
        <v>2</v>
      </c>
      <c r="C92" s="51" t="str">
        <f t="shared" si="15"/>
        <v>2702</v>
      </c>
      <c r="D92" s="30" t="s">
        <v>227</v>
      </c>
      <c r="E92" s="33">
        <v>2017</v>
      </c>
      <c r="F92" s="30" t="s">
        <v>584</v>
      </c>
      <c r="G92" s="30" t="s">
        <v>236</v>
      </c>
      <c r="H92" s="44" t="s">
        <v>944</v>
      </c>
      <c r="I92" s="40" t="s">
        <v>218</v>
      </c>
      <c r="J92" s="40" t="s">
        <v>147</v>
      </c>
      <c r="K92" s="49" t="s">
        <v>559</v>
      </c>
      <c r="L92" s="40">
        <v>2</v>
      </c>
      <c r="M92" s="40" t="s">
        <v>945</v>
      </c>
      <c r="N92" s="30" t="s">
        <v>377</v>
      </c>
      <c r="O92" s="30" t="s">
        <v>845</v>
      </c>
      <c r="P92" s="40">
        <v>2013</v>
      </c>
      <c r="Q92" s="30" t="s">
        <v>946</v>
      </c>
      <c r="R92" s="35">
        <v>210</v>
      </c>
      <c r="S92" s="43">
        <v>210</v>
      </c>
      <c r="T92" s="32">
        <f t="shared" si="16"/>
        <v>1659.1</v>
      </c>
      <c r="U92" s="30" t="str">
        <f t="shared" si="17"/>
        <v>Cost-Effective</v>
      </c>
      <c r="V92" s="30" t="str">
        <f t="shared" si="18"/>
        <v>Cost-Effective</v>
      </c>
      <c r="W92" s="41">
        <f t="shared" si="19"/>
        <v>0.1265746489060334</v>
      </c>
      <c r="X92" s="55">
        <f t="shared" si="20"/>
        <v>0</v>
      </c>
      <c r="Y92" s="30" t="str">
        <f t="shared" si="21"/>
        <v>No Threshold</v>
      </c>
      <c r="Z92" s="55">
        <f t="shared" si="22"/>
        <v>0</v>
      </c>
      <c r="AA92" s="30" t="str">
        <f t="shared" si="28"/>
        <v>No Threshold</v>
      </c>
      <c r="AB92" s="55">
        <f t="shared" si="23"/>
        <v>0.37188837321439339</v>
      </c>
      <c r="AC92" s="30" t="str">
        <f t="shared" si="24"/>
        <v>Cost-Effective</v>
      </c>
      <c r="AD92" s="55">
        <f t="shared" si="25"/>
        <v>2.4109456934482552E-2</v>
      </c>
      <c r="AE92" s="30" t="str">
        <f t="shared" si="29"/>
        <v>Not Cost-Effective</v>
      </c>
      <c r="AF92" s="30" t="s">
        <v>176</v>
      </c>
      <c r="AG92" s="30" t="s">
        <v>382</v>
      </c>
    </row>
    <row r="93" spans="1:34" ht="12.75" customHeight="1">
      <c r="A93" s="40">
        <f t="shared" si="26"/>
        <v>28</v>
      </c>
      <c r="B93" s="40">
        <f t="shared" si="27"/>
        <v>1</v>
      </c>
      <c r="C93" s="51" t="str">
        <f t="shared" si="15"/>
        <v>2801</v>
      </c>
      <c r="D93" s="30" t="s">
        <v>237</v>
      </c>
      <c r="E93" s="33">
        <v>2018</v>
      </c>
      <c r="F93" s="30" t="s">
        <v>588</v>
      </c>
      <c r="G93" s="30" t="s">
        <v>211</v>
      </c>
      <c r="H93" s="44" t="s">
        <v>947</v>
      </c>
      <c r="I93" s="40" t="s">
        <v>166</v>
      </c>
      <c r="J93" s="40" t="s">
        <v>147</v>
      </c>
      <c r="K93" s="49" t="s">
        <v>403</v>
      </c>
      <c r="L93" s="40">
        <v>4</v>
      </c>
      <c r="M93" s="40" t="s">
        <v>155</v>
      </c>
      <c r="N93" s="30" t="s">
        <v>377</v>
      </c>
      <c r="O93" s="30" t="s">
        <v>845</v>
      </c>
      <c r="P93" s="40">
        <v>2014</v>
      </c>
      <c r="Q93" s="30" t="s">
        <v>948</v>
      </c>
      <c r="R93" s="35">
        <v>27748</v>
      </c>
      <c r="S93" s="43">
        <v>27748</v>
      </c>
      <c r="T93" s="32">
        <f t="shared" si="16"/>
        <v>12071.4</v>
      </c>
      <c r="U93" s="30" t="str">
        <f t="shared" si="17"/>
        <v>Not Cost-Effective</v>
      </c>
      <c r="V93" s="30" t="str">
        <f t="shared" si="18"/>
        <v>Cost-Effective</v>
      </c>
      <c r="W93" s="41">
        <f t="shared" si="19"/>
        <v>2.2986563281806585</v>
      </c>
      <c r="X93" s="55">
        <f t="shared" si="20"/>
        <v>1.0900000000000001</v>
      </c>
      <c r="Y93" s="30" t="str">
        <f t="shared" si="21"/>
        <v>Not Cost-Effective</v>
      </c>
      <c r="Z93" s="55">
        <f t="shared" si="22"/>
        <v>0.71</v>
      </c>
      <c r="AA93" s="30" t="str">
        <f t="shared" si="28"/>
        <v>Not Cost-Effective</v>
      </c>
      <c r="AB93" s="55">
        <f t="shared" si="23"/>
        <v>0.61540469547909216</v>
      </c>
      <c r="AC93" s="30" t="str">
        <f t="shared" si="24"/>
        <v>Not Cost-Effective</v>
      </c>
      <c r="AD93" s="55">
        <f t="shared" si="25"/>
        <v>0.19520989346254874</v>
      </c>
      <c r="AE93" s="30" t="str">
        <f t="shared" si="29"/>
        <v>Not Cost-Effective</v>
      </c>
      <c r="AF93" s="30" t="s">
        <v>161</v>
      </c>
      <c r="AG93" s="30" t="s">
        <v>382</v>
      </c>
      <c r="AH93" s="30" t="s">
        <v>949</v>
      </c>
    </row>
    <row r="94" spans="1:34" ht="12.75" customHeight="1">
      <c r="A94" s="40">
        <f t="shared" si="26"/>
        <v>29</v>
      </c>
      <c r="B94" s="40">
        <f t="shared" si="27"/>
        <v>1</v>
      </c>
      <c r="C94" s="51" t="str">
        <f t="shared" si="15"/>
        <v>2901</v>
      </c>
      <c r="D94" s="30" t="s">
        <v>239</v>
      </c>
      <c r="E94" s="33">
        <v>2018</v>
      </c>
      <c r="F94" s="30" t="s">
        <v>590</v>
      </c>
      <c r="G94" s="30" t="s">
        <v>241</v>
      </c>
      <c r="H94" s="44" t="s">
        <v>910</v>
      </c>
      <c r="I94" s="40" t="s">
        <v>166</v>
      </c>
      <c r="J94" s="40" t="s">
        <v>147</v>
      </c>
      <c r="K94" s="49" t="s">
        <v>368</v>
      </c>
      <c r="L94" s="40">
        <v>3</v>
      </c>
      <c r="M94" s="40" t="s">
        <v>155</v>
      </c>
      <c r="N94" s="30" t="s">
        <v>377</v>
      </c>
      <c r="O94" s="30" t="s">
        <v>242</v>
      </c>
      <c r="P94" s="40">
        <v>2008</v>
      </c>
      <c r="Q94" s="30" t="s">
        <v>591</v>
      </c>
      <c r="R94" s="35">
        <v>1417</v>
      </c>
      <c r="S94" s="43">
        <f>(R94*1057.875)/1967.711</f>
        <v>761.80337203989814</v>
      </c>
      <c r="T94" s="32">
        <f t="shared" si="16"/>
        <v>5534.7</v>
      </c>
      <c r="U94" s="30" t="str">
        <f t="shared" si="17"/>
        <v>Cost-Effective</v>
      </c>
      <c r="V94" s="30" t="str">
        <f t="shared" si="18"/>
        <v>Cost-Effective</v>
      </c>
      <c r="W94" s="41">
        <f t="shared" si="19"/>
        <v>0.1376413124541345</v>
      </c>
      <c r="X94" s="55">
        <f t="shared" si="20"/>
        <v>1.89</v>
      </c>
      <c r="Y94" s="30" t="str">
        <f t="shared" si="21"/>
        <v>Cost-Effective</v>
      </c>
      <c r="Z94" s="55">
        <f t="shared" si="22"/>
        <v>1.17</v>
      </c>
      <c r="AA94" s="30" t="str">
        <f t="shared" si="28"/>
        <v>Cost-Effective</v>
      </c>
      <c r="AB94" s="55">
        <f t="shared" si="23"/>
        <v>0.6677477128612227</v>
      </c>
      <c r="AC94" s="30" t="str">
        <f t="shared" si="24"/>
        <v>Cost-Effective</v>
      </c>
      <c r="AD94" s="55">
        <f t="shared" si="25"/>
        <v>0.16578730819497556</v>
      </c>
      <c r="AE94" s="30" t="str">
        <f t="shared" si="29"/>
        <v>Cost-Effective</v>
      </c>
      <c r="AF94" s="30" t="s">
        <v>176</v>
      </c>
      <c r="AG94" s="30" t="s">
        <v>382</v>
      </c>
      <c r="AH94" s="30" t="s">
        <v>950</v>
      </c>
    </row>
    <row r="95" spans="1:34" ht="12.75" customHeight="1">
      <c r="A95" s="40">
        <f t="shared" si="26"/>
        <v>29</v>
      </c>
      <c r="B95" s="40">
        <f t="shared" si="27"/>
        <v>2</v>
      </c>
      <c r="C95" s="51" t="str">
        <f t="shared" si="15"/>
        <v>2902</v>
      </c>
      <c r="D95" s="30" t="s">
        <v>239</v>
      </c>
      <c r="E95" s="33">
        <v>2018</v>
      </c>
      <c r="F95" s="30" t="s">
        <v>590</v>
      </c>
      <c r="G95" s="30" t="s">
        <v>241</v>
      </c>
      <c r="H95" s="44" t="s">
        <v>910</v>
      </c>
      <c r="I95" s="40" t="s">
        <v>166</v>
      </c>
      <c r="J95" s="40" t="s">
        <v>147</v>
      </c>
      <c r="K95" s="49" t="s">
        <v>368</v>
      </c>
      <c r="L95" s="40">
        <v>3</v>
      </c>
      <c r="M95" s="40" t="s">
        <v>155</v>
      </c>
      <c r="N95" s="30" t="s">
        <v>149</v>
      </c>
      <c r="O95" s="30" t="s">
        <v>242</v>
      </c>
      <c r="P95" s="40">
        <v>2008</v>
      </c>
      <c r="Q95" s="30" t="s">
        <v>592</v>
      </c>
      <c r="R95" s="35">
        <v>1301</v>
      </c>
      <c r="S95" s="43">
        <f>(R95*1057.875)/1967.711</f>
        <v>699.4397932419954</v>
      </c>
      <c r="T95" s="32">
        <f t="shared" si="16"/>
        <v>5534.7</v>
      </c>
      <c r="U95" s="30" t="str">
        <f t="shared" si="17"/>
        <v>Cost-Effective</v>
      </c>
      <c r="V95" s="30" t="str">
        <f t="shared" si="18"/>
        <v>Cost-Effective</v>
      </c>
      <c r="W95" s="41">
        <f t="shared" si="19"/>
        <v>0.12637356916219405</v>
      </c>
      <c r="X95" s="55">
        <f t="shared" si="20"/>
        <v>1.89</v>
      </c>
      <c r="Y95" s="30" t="str">
        <f t="shared" si="21"/>
        <v>Cost-Effective</v>
      </c>
      <c r="Z95" s="55">
        <f t="shared" si="22"/>
        <v>1.17</v>
      </c>
      <c r="AA95" s="30" t="str">
        <f t="shared" si="28"/>
        <v>Cost-Effective</v>
      </c>
      <c r="AB95" s="55">
        <f t="shared" si="23"/>
        <v>0.6677477128612227</v>
      </c>
      <c r="AC95" s="30" t="str">
        <f t="shared" si="24"/>
        <v>Cost-Effective</v>
      </c>
      <c r="AD95" s="55">
        <f t="shared" si="25"/>
        <v>0.16578730819497556</v>
      </c>
      <c r="AE95" s="30" t="str">
        <f t="shared" si="29"/>
        <v>Cost-Effective</v>
      </c>
      <c r="AF95" s="30" t="s">
        <v>176</v>
      </c>
      <c r="AG95" s="30" t="s">
        <v>382</v>
      </c>
    </row>
    <row r="96" spans="1:34" ht="12.75" customHeight="1">
      <c r="A96" s="40">
        <f t="shared" si="26"/>
        <v>30</v>
      </c>
      <c r="B96" s="40">
        <f t="shared" si="27"/>
        <v>1</v>
      </c>
      <c r="C96" s="51" t="str">
        <f t="shared" si="15"/>
        <v>3001</v>
      </c>
      <c r="D96" s="30" t="s">
        <v>244</v>
      </c>
      <c r="E96" s="33">
        <v>2019</v>
      </c>
      <c r="F96" s="30" t="s">
        <v>593</v>
      </c>
      <c r="G96" s="30" t="s">
        <v>246</v>
      </c>
      <c r="H96" s="44" t="s">
        <v>951</v>
      </c>
      <c r="I96" s="40" t="s">
        <v>166</v>
      </c>
      <c r="J96" s="40" t="s">
        <v>147</v>
      </c>
      <c r="K96" s="49" t="s">
        <v>514</v>
      </c>
      <c r="L96" s="40">
        <v>3</v>
      </c>
      <c r="M96" s="40" t="s">
        <v>155</v>
      </c>
      <c r="N96" s="30" t="s">
        <v>149</v>
      </c>
      <c r="O96" s="30" t="s">
        <v>845</v>
      </c>
      <c r="P96" s="40">
        <v>2013</v>
      </c>
      <c r="Q96" s="30" t="s">
        <v>952</v>
      </c>
      <c r="R96" s="35">
        <v>413.8</v>
      </c>
      <c r="S96" s="43">
        <v>413.8</v>
      </c>
      <c r="T96" s="32">
        <f t="shared" si="16"/>
        <v>490.8</v>
      </c>
      <c r="U96" s="30" t="str">
        <f t="shared" si="17"/>
        <v>Cost-Effective</v>
      </c>
      <c r="V96" s="30" t="str">
        <f t="shared" si="18"/>
        <v>Cost-Effective</v>
      </c>
      <c r="W96" s="41">
        <f t="shared" si="19"/>
        <v>0.8431132844335778</v>
      </c>
      <c r="X96" s="55">
        <f t="shared" si="20"/>
        <v>0.36</v>
      </c>
      <c r="Y96" s="30" t="str">
        <f t="shared" si="21"/>
        <v>Not Cost-Effective</v>
      </c>
      <c r="Z96" s="55">
        <f t="shared" si="22"/>
        <v>0.27</v>
      </c>
      <c r="AA96" s="30" t="str">
        <f t="shared" si="28"/>
        <v>Not Cost-Effective</v>
      </c>
      <c r="AB96" s="55">
        <f t="shared" si="23"/>
        <v>0.51955990220048898</v>
      </c>
      <c r="AC96" s="30" t="str">
        <f t="shared" si="24"/>
        <v>Not Cost-Effective</v>
      </c>
      <c r="AD96" s="55">
        <f t="shared" si="25"/>
        <v>2.0374898125509373E-2</v>
      </c>
      <c r="AE96" s="30" t="str">
        <f t="shared" si="29"/>
        <v>Not Cost-Effective</v>
      </c>
      <c r="AF96" s="30" t="s">
        <v>161</v>
      </c>
      <c r="AG96" s="30" t="s">
        <v>382</v>
      </c>
    </row>
    <row r="97" spans="1:34" ht="12.75" customHeight="1">
      <c r="A97" s="40">
        <f t="shared" si="26"/>
        <v>30</v>
      </c>
      <c r="B97" s="40">
        <f t="shared" si="27"/>
        <v>2</v>
      </c>
      <c r="C97" s="51" t="str">
        <f t="shared" si="15"/>
        <v>3002</v>
      </c>
      <c r="D97" s="30" t="s">
        <v>244</v>
      </c>
      <c r="E97" s="33">
        <v>2019</v>
      </c>
      <c r="F97" s="30" t="s">
        <v>593</v>
      </c>
      <c r="G97" s="30" t="s">
        <v>246</v>
      </c>
      <c r="H97" s="44" t="s">
        <v>953</v>
      </c>
      <c r="I97" s="40" t="s">
        <v>166</v>
      </c>
      <c r="J97" s="40" t="s">
        <v>147</v>
      </c>
      <c r="K97" s="49" t="s">
        <v>514</v>
      </c>
      <c r="L97" s="40">
        <v>3</v>
      </c>
      <c r="M97" s="40" t="s">
        <v>155</v>
      </c>
      <c r="N97" s="30" t="s">
        <v>149</v>
      </c>
      <c r="O97" s="30" t="s">
        <v>845</v>
      </c>
      <c r="P97" s="40">
        <v>2013</v>
      </c>
      <c r="Q97" s="30" t="s">
        <v>954</v>
      </c>
      <c r="R97" s="35">
        <v>292.7</v>
      </c>
      <c r="S97" s="43">
        <v>292.7</v>
      </c>
      <c r="T97" s="32">
        <f t="shared" si="16"/>
        <v>490.8</v>
      </c>
      <c r="U97" s="30" t="str">
        <f t="shared" si="17"/>
        <v>Cost-Effective</v>
      </c>
      <c r="V97" s="30" t="str">
        <f t="shared" si="18"/>
        <v>Cost-Effective</v>
      </c>
      <c r="W97" s="41">
        <f t="shared" si="19"/>
        <v>0.59637326813365932</v>
      </c>
      <c r="X97" s="55">
        <f t="shared" si="20"/>
        <v>0.36</v>
      </c>
      <c r="Y97" s="30" t="str">
        <f t="shared" si="21"/>
        <v>Not Cost-Effective</v>
      </c>
      <c r="Z97" s="55">
        <f t="shared" si="22"/>
        <v>0.27</v>
      </c>
      <c r="AA97" s="30" t="str">
        <f t="shared" si="28"/>
        <v>Not Cost-Effective</v>
      </c>
      <c r="AB97" s="55">
        <f t="shared" si="23"/>
        <v>0.51955990220048898</v>
      </c>
      <c r="AC97" s="30" t="str">
        <f t="shared" si="24"/>
        <v>Not Cost-Effective</v>
      </c>
      <c r="AD97" s="55">
        <f t="shared" si="25"/>
        <v>2.0374898125509373E-2</v>
      </c>
      <c r="AE97" s="30" t="str">
        <f t="shared" si="29"/>
        <v>Not Cost-Effective</v>
      </c>
      <c r="AF97" s="30" t="s">
        <v>161</v>
      </c>
      <c r="AG97" s="30" t="s">
        <v>382</v>
      </c>
    </row>
    <row r="98" spans="1:34" ht="12.75" customHeight="1">
      <c r="A98" s="40">
        <f t="shared" si="26"/>
        <v>31</v>
      </c>
      <c r="B98" s="40">
        <f t="shared" si="27"/>
        <v>1</v>
      </c>
      <c r="C98" s="51" t="str">
        <f t="shared" si="15"/>
        <v>3101</v>
      </c>
      <c r="D98" s="30" t="s">
        <v>247</v>
      </c>
      <c r="E98" s="33">
        <v>2019</v>
      </c>
      <c r="F98" s="30" t="s">
        <v>601</v>
      </c>
      <c r="G98" s="30" t="s">
        <v>226</v>
      </c>
      <c r="H98" s="44" t="s">
        <v>955</v>
      </c>
      <c r="I98" s="40" t="s">
        <v>166</v>
      </c>
      <c r="J98" s="77" t="s">
        <v>147</v>
      </c>
      <c r="K98" s="49" t="s">
        <v>602</v>
      </c>
      <c r="L98" s="40">
        <v>4</v>
      </c>
      <c r="M98" s="40" t="s">
        <v>155</v>
      </c>
      <c r="N98" s="30" t="s">
        <v>149</v>
      </c>
      <c r="O98" s="30" t="s">
        <v>845</v>
      </c>
      <c r="P98" s="40">
        <v>2016</v>
      </c>
      <c r="Q98" s="30" t="s">
        <v>956</v>
      </c>
      <c r="R98" s="35">
        <v>153</v>
      </c>
      <c r="S98" s="43">
        <v>153</v>
      </c>
      <c r="T98" s="32">
        <f t="shared" si="16"/>
        <v>1562.1</v>
      </c>
      <c r="U98" s="30" t="str">
        <f t="shared" si="17"/>
        <v>Cost-Effective</v>
      </c>
      <c r="V98" s="30" t="str">
        <f t="shared" si="18"/>
        <v>Cost-Effective</v>
      </c>
      <c r="W98" s="41">
        <f t="shared" si="19"/>
        <v>9.7945073938928373E-2</v>
      </c>
      <c r="X98" s="55">
        <f t="shared" si="20"/>
        <v>0.47</v>
      </c>
      <c r="Y98" s="30" t="str">
        <f t="shared" si="21"/>
        <v>Cost-Effective</v>
      </c>
      <c r="Z98" s="55">
        <f t="shared" si="22"/>
        <v>0.36</v>
      </c>
      <c r="AA98" s="30" t="str">
        <f t="shared" si="28"/>
        <v>Cost-Effective</v>
      </c>
      <c r="AB98" s="55">
        <f t="shared" si="23"/>
        <v>0.37696106914584543</v>
      </c>
      <c r="AC98" s="30" t="str">
        <f t="shared" si="24"/>
        <v>Cost-Effective</v>
      </c>
      <c r="AD98" s="55">
        <f t="shared" si="25"/>
        <v>2.3242300987797792E-2</v>
      </c>
      <c r="AE98" s="30" t="str">
        <f t="shared" si="29"/>
        <v>Not Cost-Effective</v>
      </c>
      <c r="AF98" s="30" t="s">
        <v>176</v>
      </c>
      <c r="AG98" s="30" t="s">
        <v>382</v>
      </c>
    </row>
    <row r="99" spans="1:34" ht="12.75" customHeight="1">
      <c r="A99" s="40">
        <f t="shared" si="26"/>
        <v>32</v>
      </c>
      <c r="B99" s="40">
        <f t="shared" si="27"/>
        <v>1</v>
      </c>
      <c r="C99" s="51" t="str">
        <f t="shared" si="15"/>
        <v>3201</v>
      </c>
      <c r="D99" s="30" t="s">
        <v>250</v>
      </c>
      <c r="E99" s="33">
        <v>2019</v>
      </c>
      <c r="F99" s="30" t="s">
        <v>607</v>
      </c>
      <c r="G99" s="30" t="s">
        <v>252</v>
      </c>
      <c r="H99" s="44" t="s">
        <v>957</v>
      </c>
      <c r="I99" s="40" t="s">
        <v>167</v>
      </c>
      <c r="J99" s="40" t="s">
        <v>147</v>
      </c>
      <c r="K99" s="49" t="s">
        <v>514</v>
      </c>
      <c r="L99" s="40">
        <v>3</v>
      </c>
      <c r="M99" s="40" t="s">
        <v>155</v>
      </c>
      <c r="N99" s="30" t="s">
        <v>377</v>
      </c>
      <c r="O99" s="30" t="s">
        <v>845</v>
      </c>
      <c r="P99" s="40">
        <v>2014</v>
      </c>
      <c r="Q99" s="30" t="s">
        <v>958</v>
      </c>
      <c r="R99" s="35">
        <v>1890</v>
      </c>
      <c r="S99" s="43">
        <v>1890</v>
      </c>
      <c r="T99" s="32">
        <f t="shared" si="16"/>
        <v>5757.5</v>
      </c>
      <c r="U99" s="30" t="str">
        <f t="shared" si="17"/>
        <v>Cost-Effective</v>
      </c>
      <c r="V99" s="30" t="str">
        <f t="shared" si="18"/>
        <v>Cost-Effective</v>
      </c>
      <c r="W99" s="41">
        <f t="shared" si="19"/>
        <v>0.32826747720364741</v>
      </c>
      <c r="X99" s="55">
        <f t="shared" si="20"/>
        <v>0</v>
      </c>
      <c r="Y99" s="30" t="str">
        <f t="shared" si="21"/>
        <v>No Threshold</v>
      </c>
      <c r="Z99" s="55">
        <f t="shared" si="22"/>
        <v>0</v>
      </c>
      <c r="AA99" s="30" t="str">
        <f t="shared" si="28"/>
        <v>No Threshold</v>
      </c>
      <c r="AB99" s="55">
        <f t="shared" si="23"/>
        <v>0.50488002929609754</v>
      </c>
      <c r="AC99" s="30" t="str">
        <f t="shared" si="24"/>
        <v>Cost-Effective</v>
      </c>
      <c r="AD99" s="55">
        <f t="shared" si="25"/>
        <v>0.16781568933399144</v>
      </c>
      <c r="AE99" s="30" t="str">
        <f t="shared" si="29"/>
        <v>Not Cost-Effective</v>
      </c>
      <c r="AF99" s="30" t="s">
        <v>176</v>
      </c>
      <c r="AG99" s="30" t="s">
        <v>382</v>
      </c>
      <c r="AH99" s="30" t="s">
        <v>609</v>
      </c>
    </row>
    <row r="100" spans="1:34" ht="12.75" customHeight="1">
      <c r="A100" s="40">
        <f t="shared" si="26"/>
        <v>32</v>
      </c>
      <c r="B100" s="40">
        <f t="shared" si="27"/>
        <v>2</v>
      </c>
      <c r="C100" s="51" t="str">
        <f t="shared" si="15"/>
        <v>3202</v>
      </c>
      <c r="D100" s="30" t="s">
        <v>250</v>
      </c>
      <c r="E100" s="33">
        <v>2019</v>
      </c>
      <c r="F100" s="30" t="s">
        <v>607</v>
      </c>
      <c r="G100" s="30" t="s">
        <v>252</v>
      </c>
      <c r="H100" s="44" t="s">
        <v>957</v>
      </c>
      <c r="I100" s="40" t="s">
        <v>167</v>
      </c>
      <c r="J100" s="40" t="s">
        <v>147</v>
      </c>
      <c r="K100" s="49" t="s">
        <v>514</v>
      </c>
      <c r="L100" s="40">
        <v>3</v>
      </c>
      <c r="M100" s="40" t="s">
        <v>155</v>
      </c>
      <c r="N100" s="30" t="s">
        <v>149</v>
      </c>
      <c r="O100" s="30" t="s">
        <v>845</v>
      </c>
      <c r="P100" s="40">
        <v>2014</v>
      </c>
      <c r="Q100" s="30" t="s">
        <v>959</v>
      </c>
      <c r="R100" s="35">
        <v>1538</v>
      </c>
      <c r="S100" s="43">
        <v>1538</v>
      </c>
      <c r="T100" s="32">
        <f t="shared" si="16"/>
        <v>5757.5</v>
      </c>
      <c r="U100" s="30" t="str">
        <f t="shared" si="17"/>
        <v>Cost-Effective</v>
      </c>
      <c r="V100" s="30" t="str">
        <f t="shared" si="18"/>
        <v>Cost-Effective</v>
      </c>
      <c r="W100" s="41">
        <f t="shared" si="19"/>
        <v>0.26712983065566653</v>
      </c>
      <c r="X100" s="55">
        <f t="shared" si="20"/>
        <v>0</v>
      </c>
      <c r="Y100" s="30" t="str">
        <f t="shared" si="21"/>
        <v>No Threshold</v>
      </c>
      <c r="Z100" s="55">
        <f t="shared" si="22"/>
        <v>0</v>
      </c>
      <c r="AA100" s="30" t="str">
        <f t="shared" si="28"/>
        <v>No Threshold</v>
      </c>
      <c r="AB100" s="55">
        <f t="shared" si="23"/>
        <v>0.50488002929609754</v>
      </c>
      <c r="AC100" s="30" t="str">
        <f t="shared" si="24"/>
        <v>Cost-Effective</v>
      </c>
      <c r="AD100" s="55">
        <f t="shared" si="25"/>
        <v>0.16781568933399144</v>
      </c>
      <c r="AE100" s="30" t="str">
        <f t="shared" si="29"/>
        <v>Not Cost-Effective</v>
      </c>
      <c r="AF100" s="30" t="s">
        <v>176</v>
      </c>
      <c r="AG100" s="30" t="s">
        <v>382</v>
      </c>
      <c r="AH100" s="30" t="s">
        <v>609</v>
      </c>
    </row>
    <row r="101" spans="1:34" ht="12.75" customHeight="1">
      <c r="A101" s="40">
        <f t="shared" si="26"/>
        <v>33</v>
      </c>
      <c r="B101" s="40">
        <f t="shared" si="27"/>
        <v>1</v>
      </c>
      <c r="C101" s="51" t="str">
        <f t="shared" si="15"/>
        <v>3301</v>
      </c>
      <c r="D101" s="30" t="s">
        <v>253</v>
      </c>
      <c r="E101" s="33">
        <v>2020</v>
      </c>
      <c r="F101" s="30" t="s">
        <v>960</v>
      </c>
      <c r="G101" s="30" t="s">
        <v>255</v>
      </c>
      <c r="H101" s="44" t="s">
        <v>961</v>
      </c>
      <c r="I101" s="40" t="s">
        <v>146</v>
      </c>
      <c r="J101" s="40" t="s">
        <v>147</v>
      </c>
      <c r="K101" s="49" t="s">
        <v>514</v>
      </c>
      <c r="L101" s="40">
        <v>3</v>
      </c>
      <c r="M101" s="40" t="s">
        <v>155</v>
      </c>
      <c r="N101" s="30" t="s">
        <v>377</v>
      </c>
      <c r="O101" s="30" t="s">
        <v>962</v>
      </c>
      <c r="P101" s="40">
        <v>2016</v>
      </c>
      <c r="Q101" s="30" t="s">
        <v>613</v>
      </c>
      <c r="R101" s="35">
        <v>374</v>
      </c>
      <c r="S101" s="43">
        <f>R101/24</f>
        <v>15.583333333333334</v>
      </c>
      <c r="T101" s="32">
        <f t="shared" si="16"/>
        <v>8055.9</v>
      </c>
      <c r="U101" s="30" t="str">
        <f t="shared" si="17"/>
        <v>Cost-Effective</v>
      </c>
      <c r="V101" s="30" t="str">
        <f t="shared" si="18"/>
        <v>Cost-Effective</v>
      </c>
      <c r="W101" s="41">
        <f t="shared" si="19"/>
        <v>1.9344000463428462E-3</v>
      </c>
      <c r="X101" s="55">
        <f t="shared" si="20"/>
        <v>0</v>
      </c>
      <c r="Y101" s="30" t="str">
        <f t="shared" si="21"/>
        <v>No Threshold</v>
      </c>
      <c r="Z101" s="55">
        <f t="shared" si="22"/>
        <v>0</v>
      </c>
      <c r="AA101" s="30" t="str">
        <f t="shared" si="28"/>
        <v>No Threshold</v>
      </c>
      <c r="AB101" s="55">
        <f t="shared" si="23"/>
        <v>0</v>
      </c>
      <c r="AC101" s="30" t="str">
        <f t="shared" si="24"/>
        <v>No Threshold</v>
      </c>
      <c r="AD101" s="55">
        <f t="shared" si="25"/>
        <v>0</v>
      </c>
      <c r="AE101" s="30" t="str">
        <f t="shared" si="29"/>
        <v>No Threshold</v>
      </c>
      <c r="AF101" s="30" t="s">
        <v>176</v>
      </c>
      <c r="AG101" s="30" t="s">
        <v>382</v>
      </c>
    </row>
    <row r="102" spans="1:34" ht="12.75" customHeight="1">
      <c r="A102" s="40">
        <f t="shared" si="26"/>
        <v>34</v>
      </c>
      <c r="B102" s="40">
        <f t="shared" si="27"/>
        <v>1</v>
      </c>
      <c r="C102" s="51" t="str">
        <f t="shared" si="15"/>
        <v>3401</v>
      </c>
      <c r="D102" s="30" t="s">
        <v>257</v>
      </c>
      <c r="E102" s="33">
        <v>2012</v>
      </c>
      <c r="F102" s="30" t="s">
        <v>615</v>
      </c>
      <c r="G102" s="30" t="s">
        <v>616</v>
      </c>
      <c r="H102" s="44" t="s">
        <v>963</v>
      </c>
      <c r="I102" s="40" t="s">
        <v>167</v>
      </c>
      <c r="J102" s="40" t="s">
        <v>146</v>
      </c>
      <c r="K102" s="49" t="s">
        <v>403</v>
      </c>
      <c r="L102" s="40">
        <v>4</v>
      </c>
      <c r="M102" s="40" t="s">
        <v>155</v>
      </c>
      <c r="N102" s="30" t="s">
        <v>377</v>
      </c>
      <c r="O102" s="30" t="s">
        <v>845</v>
      </c>
      <c r="P102" s="40">
        <v>2000</v>
      </c>
      <c r="Q102" s="30" t="s">
        <v>964</v>
      </c>
      <c r="R102" s="35">
        <v>-2223</v>
      </c>
      <c r="S102" s="43">
        <v>-2223</v>
      </c>
      <c r="T102" s="32" t="e">
        <f t="shared" si="16"/>
        <v>#N/A</v>
      </c>
      <c r="U102" s="30" t="e">
        <f t="shared" si="17"/>
        <v>#N/A</v>
      </c>
      <c r="V102" s="30" t="e">
        <f t="shared" si="18"/>
        <v>#N/A</v>
      </c>
      <c r="W102" s="41" t="e">
        <f t="shared" si="19"/>
        <v>#N/A</v>
      </c>
      <c r="X102" s="55">
        <f t="shared" si="20"/>
        <v>0</v>
      </c>
      <c r="Y102" s="30" t="e">
        <f t="shared" si="21"/>
        <v>#N/A</v>
      </c>
      <c r="Z102" s="55">
        <f t="shared" si="22"/>
        <v>0</v>
      </c>
      <c r="AA102" s="30" t="e">
        <f t="shared" si="28"/>
        <v>#N/A</v>
      </c>
      <c r="AB102" s="55">
        <f t="shared" si="23"/>
        <v>0</v>
      </c>
      <c r="AC102" s="30" t="e">
        <f t="shared" si="24"/>
        <v>#N/A</v>
      </c>
      <c r="AD102" s="55">
        <f t="shared" si="25"/>
        <v>0</v>
      </c>
      <c r="AE102" s="30" t="e">
        <f t="shared" si="29"/>
        <v>#N/A</v>
      </c>
      <c r="AF102" s="30" t="s">
        <v>965</v>
      </c>
      <c r="AG102" s="30" t="s">
        <v>439</v>
      </c>
    </row>
    <row r="103" spans="1:34" s="64" customFormat="1" ht="12.75" customHeight="1">
      <c r="A103" s="63">
        <f t="shared" si="26"/>
        <v>34</v>
      </c>
      <c r="B103" s="63">
        <f t="shared" si="27"/>
        <v>2</v>
      </c>
      <c r="C103" s="71" t="str">
        <f t="shared" si="15"/>
        <v>3402</v>
      </c>
      <c r="D103" s="64" t="s">
        <v>257</v>
      </c>
      <c r="E103" s="72">
        <v>2012</v>
      </c>
      <c r="F103" s="64" t="s">
        <v>615</v>
      </c>
      <c r="G103" s="64" t="s">
        <v>616</v>
      </c>
      <c r="H103" s="64" t="s">
        <v>966</v>
      </c>
      <c r="I103" s="63" t="s">
        <v>167</v>
      </c>
      <c r="J103" s="63" t="s">
        <v>166</v>
      </c>
      <c r="K103" s="65" t="s">
        <v>403</v>
      </c>
      <c r="L103" s="63">
        <v>4</v>
      </c>
      <c r="M103" s="63" t="s">
        <v>155</v>
      </c>
      <c r="N103" s="73" t="s">
        <v>377</v>
      </c>
      <c r="O103" s="64" t="s">
        <v>845</v>
      </c>
      <c r="P103" s="72">
        <v>2000</v>
      </c>
      <c r="Q103" s="64" t="s">
        <v>967</v>
      </c>
      <c r="R103" s="66">
        <v>933</v>
      </c>
      <c r="S103" s="74">
        <f>R103</f>
        <v>933</v>
      </c>
      <c r="T103" s="74" t="e">
        <f t="shared" si="16"/>
        <v>#N/A</v>
      </c>
      <c r="U103" s="64" t="e">
        <f t="shared" si="17"/>
        <v>#N/A</v>
      </c>
      <c r="V103" s="64" t="e">
        <f t="shared" si="18"/>
        <v>#N/A</v>
      </c>
      <c r="W103" s="75" t="e">
        <f t="shared" si="19"/>
        <v>#N/A</v>
      </c>
      <c r="X103" s="76">
        <f t="shared" si="20"/>
        <v>0</v>
      </c>
      <c r="Y103" s="64" t="e">
        <f t="shared" si="21"/>
        <v>#N/A</v>
      </c>
      <c r="Z103" s="76">
        <f t="shared" si="22"/>
        <v>0</v>
      </c>
      <c r="AA103" s="64" t="e">
        <f t="shared" si="28"/>
        <v>#N/A</v>
      </c>
      <c r="AB103" s="76">
        <f t="shared" si="23"/>
        <v>0</v>
      </c>
      <c r="AC103" s="64" t="e">
        <f t="shared" si="24"/>
        <v>#N/A</v>
      </c>
      <c r="AD103" s="76">
        <f t="shared" si="25"/>
        <v>0</v>
      </c>
      <c r="AE103" s="64" t="e">
        <f t="shared" si="29"/>
        <v>#N/A</v>
      </c>
      <c r="AF103" s="64" t="s">
        <v>965</v>
      </c>
      <c r="AG103" s="64" t="s">
        <v>968</v>
      </c>
      <c r="AH103" s="64" t="s">
        <v>867</v>
      </c>
    </row>
    <row r="104" spans="1:34" ht="12.75" customHeight="1">
      <c r="A104" s="40">
        <f t="shared" si="26"/>
        <v>34</v>
      </c>
      <c r="B104" s="40">
        <f t="shared" si="27"/>
        <v>3</v>
      </c>
      <c r="C104" s="51" t="str">
        <f t="shared" si="15"/>
        <v>3403</v>
      </c>
      <c r="D104" s="30" t="s">
        <v>257</v>
      </c>
      <c r="E104" s="33">
        <v>2012</v>
      </c>
      <c r="F104" s="30" t="s">
        <v>615</v>
      </c>
      <c r="G104" s="30" t="s">
        <v>616</v>
      </c>
      <c r="H104" s="44" t="s">
        <v>969</v>
      </c>
      <c r="I104" s="40" t="s">
        <v>166</v>
      </c>
      <c r="J104" s="40" t="s">
        <v>146</v>
      </c>
      <c r="K104" s="49" t="s">
        <v>403</v>
      </c>
      <c r="L104" s="40">
        <v>4</v>
      </c>
      <c r="M104" s="40" t="s">
        <v>155</v>
      </c>
      <c r="N104" s="30" t="s">
        <v>377</v>
      </c>
      <c r="O104" s="30" t="s">
        <v>845</v>
      </c>
      <c r="P104" s="40">
        <v>2000</v>
      </c>
      <c r="Q104" s="30" t="s">
        <v>970</v>
      </c>
      <c r="R104" s="35">
        <v>-3156</v>
      </c>
      <c r="S104" s="43">
        <v>-3156</v>
      </c>
      <c r="T104" s="32" t="e">
        <f t="shared" si="16"/>
        <v>#N/A</v>
      </c>
      <c r="U104" s="30" t="e">
        <f t="shared" si="17"/>
        <v>#N/A</v>
      </c>
      <c r="V104" s="30" t="e">
        <f t="shared" si="18"/>
        <v>#N/A</v>
      </c>
      <c r="W104" s="41" t="e">
        <f t="shared" si="19"/>
        <v>#N/A</v>
      </c>
      <c r="X104" s="55">
        <f t="shared" si="20"/>
        <v>0</v>
      </c>
      <c r="Y104" s="30" t="e">
        <f t="shared" si="21"/>
        <v>#N/A</v>
      </c>
      <c r="Z104" s="55">
        <f t="shared" si="22"/>
        <v>0</v>
      </c>
      <c r="AA104" s="30" t="e">
        <f t="shared" si="28"/>
        <v>#N/A</v>
      </c>
      <c r="AB104" s="55">
        <f t="shared" si="23"/>
        <v>0</v>
      </c>
      <c r="AC104" s="30" t="e">
        <f t="shared" si="24"/>
        <v>#N/A</v>
      </c>
      <c r="AD104" s="55">
        <f t="shared" si="25"/>
        <v>0</v>
      </c>
      <c r="AE104" s="30" t="e">
        <f t="shared" si="29"/>
        <v>#N/A</v>
      </c>
      <c r="AF104" s="30" t="s">
        <v>965</v>
      </c>
      <c r="AG104" s="30" t="s">
        <v>439</v>
      </c>
    </row>
    <row r="105" spans="1:34" ht="12.75" customHeight="1">
      <c r="A105" s="40">
        <f t="shared" si="26"/>
        <v>35</v>
      </c>
      <c r="B105" s="40">
        <f t="shared" si="27"/>
        <v>1</v>
      </c>
      <c r="C105" s="51" t="str">
        <f t="shared" si="15"/>
        <v>3501</v>
      </c>
      <c r="D105" s="30" t="s">
        <v>261</v>
      </c>
      <c r="E105" s="33">
        <v>2012</v>
      </c>
      <c r="F105" s="30" t="s">
        <v>625</v>
      </c>
      <c r="G105" s="30" t="s">
        <v>241</v>
      </c>
      <c r="H105" s="44" t="s">
        <v>971</v>
      </c>
      <c r="I105" s="40" t="s">
        <v>146</v>
      </c>
      <c r="J105" s="40" t="s">
        <v>147</v>
      </c>
      <c r="K105" s="49" t="s">
        <v>368</v>
      </c>
      <c r="L105" s="40">
        <v>3</v>
      </c>
      <c r="M105" s="40" t="s">
        <v>155</v>
      </c>
      <c r="N105" s="30" t="s">
        <v>149</v>
      </c>
      <c r="O105" s="30" t="s">
        <v>845</v>
      </c>
      <c r="P105" s="40">
        <v>2009</v>
      </c>
      <c r="Q105" s="30" t="s">
        <v>628</v>
      </c>
      <c r="R105" s="31">
        <f>(154412093-124412317)/(44911-35908)</f>
        <v>3332.19771187382</v>
      </c>
      <c r="S105" s="43">
        <f>R105</f>
        <v>3332.19771187382</v>
      </c>
      <c r="T105" s="32">
        <f t="shared" si="16"/>
        <v>5246</v>
      </c>
      <c r="U105" s="30" t="str">
        <f t="shared" si="17"/>
        <v>Cost-Effective</v>
      </c>
      <c r="V105" s="30" t="str">
        <f t="shared" si="18"/>
        <v>Cost-Effective</v>
      </c>
      <c r="W105" s="41">
        <f t="shared" si="19"/>
        <v>0.63518827904571484</v>
      </c>
      <c r="X105" s="55">
        <f t="shared" si="20"/>
        <v>1.89</v>
      </c>
      <c r="Y105" s="30" t="str">
        <f t="shared" si="21"/>
        <v>Cost-Effective</v>
      </c>
      <c r="Z105" s="55">
        <f t="shared" si="22"/>
        <v>1.17</v>
      </c>
      <c r="AA105" s="30" t="str">
        <f t="shared" si="28"/>
        <v>Cost-Effective</v>
      </c>
      <c r="AB105" s="55">
        <f t="shared" si="23"/>
        <v>0.6677477128612227</v>
      </c>
      <c r="AC105" s="30" t="str">
        <f t="shared" si="24"/>
        <v>Cost-Effective</v>
      </c>
      <c r="AD105" s="55">
        <f t="shared" si="25"/>
        <v>0.16578730819497556</v>
      </c>
      <c r="AE105" s="30" t="str">
        <f t="shared" si="29"/>
        <v>Not Cost-Effective</v>
      </c>
      <c r="AF105" s="30" t="s">
        <v>176</v>
      </c>
      <c r="AG105" s="30" t="s">
        <v>382</v>
      </c>
      <c r="AH105" s="30" t="s">
        <v>972</v>
      </c>
    </row>
    <row r="106" spans="1:34" ht="12.75" customHeight="1">
      <c r="A106" s="40">
        <f t="shared" si="26"/>
        <v>35</v>
      </c>
      <c r="B106" s="40">
        <f t="shared" si="27"/>
        <v>2</v>
      </c>
      <c r="C106" s="51" t="str">
        <f t="shared" si="15"/>
        <v>3502</v>
      </c>
      <c r="D106" s="30" t="s">
        <v>261</v>
      </c>
      <c r="E106" s="33">
        <v>2012</v>
      </c>
      <c r="F106" s="30" t="s">
        <v>625</v>
      </c>
      <c r="G106" s="30" t="s">
        <v>241</v>
      </c>
      <c r="H106" s="44" t="s">
        <v>971</v>
      </c>
      <c r="I106" s="40" t="s">
        <v>166</v>
      </c>
      <c r="J106" s="40" t="s">
        <v>147</v>
      </c>
      <c r="K106" s="49" t="s">
        <v>368</v>
      </c>
      <c r="L106" s="40">
        <v>3</v>
      </c>
      <c r="M106" s="40" t="s">
        <v>155</v>
      </c>
      <c r="N106" s="30" t="s">
        <v>149</v>
      </c>
      <c r="O106" s="30" t="s">
        <v>845</v>
      </c>
      <c r="P106" s="40">
        <v>2009</v>
      </c>
      <c r="Q106" s="30" t="s">
        <v>631</v>
      </c>
      <c r="R106" s="31">
        <f>19441588/10581</f>
        <v>1837.4055382289009</v>
      </c>
      <c r="S106" s="43">
        <f>R106</f>
        <v>1837.4055382289009</v>
      </c>
      <c r="T106" s="32">
        <f t="shared" si="16"/>
        <v>5246</v>
      </c>
      <c r="U106" s="30" t="str">
        <f t="shared" si="17"/>
        <v>Cost-Effective</v>
      </c>
      <c r="V106" s="30" t="str">
        <f t="shared" si="18"/>
        <v>Cost-Effective</v>
      </c>
      <c r="W106" s="41">
        <f t="shared" si="19"/>
        <v>0.3502488635586925</v>
      </c>
      <c r="X106" s="55">
        <f t="shared" si="20"/>
        <v>1.89</v>
      </c>
      <c r="Y106" s="30" t="str">
        <f t="shared" si="21"/>
        <v>Cost-Effective</v>
      </c>
      <c r="Z106" s="55">
        <f t="shared" si="22"/>
        <v>1.17</v>
      </c>
      <c r="AA106" s="30" t="str">
        <f t="shared" si="28"/>
        <v>Cost-Effective</v>
      </c>
      <c r="AB106" s="55">
        <f t="shared" si="23"/>
        <v>0.6677477128612227</v>
      </c>
      <c r="AC106" s="30" t="str">
        <f t="shared" si="24"/>
        <v>Cost-Effective</v>
      </c>
      <c r="AD106" s="55">
        <f t="shared" si="25"/>
        <v>0.16578730819497556</v>
      </c>
      <c r="AE106" s="30" t="str">
        <f t="shared" si="29"/>
        <v>Not Cost-Effective</v>
      </c>
      <c r="AF106" s="30" t="s">
        <v>176</v>
      </c>
      <c r="AG106" s="30" t="s">
        <v>382</v>
      </c>
    </row>
    <row r="107" spans="1:34" ht="12.75" customHeight="1">
      <c r="A107" s="40">
        <f t="shared" si="26"/>
        <v>35</v>
      </c>
      <c r="B107" s="40">
        <f t="shared" si="27"/>
        <v>3</v>
      </c>
      <c r="C107" s="51" t="str">
        <f t="shared" si="15"/>
        <v>3503</v>
      </c>
      <c r="D107" s="30" t="s">
        <v>261</v>
      </c>
      <c r="E107" s="33">
        <v>2012</v>
      </c>
      <c r="F107" s="30" t="s">
        <v>625</v>
      </c>
      <c r="G107" s="30" t="s">
        <v>241</v>
      </c>
      <c r="H107" s="44" t="s">
        <v>971</v>
      </c>
      <c r="I107" s="40" t="s">
        <v>167</v>
      </c>
      <c r="J107" s="40" t="s">
        <v>166</v>
      </c>
      <c r="K107" s="49" t="s">
        <v>368</v>
      </c>
      <c r="L107" s="40">
        <v>3</v>
      </c>
      <c r="M107" s="40" t="s">
        <v>155</v>
      </c>
      <c r="N107" s="30" t="s">
        <v>149</v>
      </c>
      <c r="O107" s="30" t="s">
        <v>845</v>
      </c>
      <c r="P107" s="40">
        <v>2009</v>
      </c>
      <c r="Q107" s="30" t="s">
        <v>973</v>
      </c>
      <c r="R107" s="35">
        <v>9516</v>
      </c>
      <c r="S107" s="43">
        <v>9516</v>
      </c>
      <c r="T107" s="32">
        <f t="shared" si="16"/>
        <v>5246</v>
      </c>
      <c r="U107" s="30" t="str">
        <f t="shared" si="17"/>
        <v>Not Cost-Effective</v>
      </c>
      <c r="V107" s="30" t="str">
        <f t="shared" si="18"/>
        <v>Cost-Effective</v>
      </c>
      <c r="W107" s="41">
        <f t="shared" si="19"/>
        <v>1.8139534883720929</v>
      </c>
      <c r="X107" s="55">
        <f t="shared" si="20"/>
        <v>1.89</v>
      </c>
      <c r="Y107" s="30" t="str">
        <f t="shared" si="21"/>
        <v>Cost-Effective</v>
      </c>
      <c r="Z107" s="55">
        <f t="shared" si="22"/>
        <v>1.17</v>
      </c>
      <c r="AA107" s="30" t="str">
        <f t="shared" si="28"/>
        <v>Not Cost-Effective</v>
      </c>
      <c r="AB107" s="55">
        <f t="shared" si="23"/>
        <v>0.6677477128612227</v>
      </c>
      <c r="AC107" s="30" t="str">
        <f t="shared" si="24"/>
        <v>Not Cost-Effective</v>
      </c>
      <c r="AD107" s="55">
        <f t="shared" si="25"/>
        <v>0.16578730819497556</v>
      </c>
      <c r="AE107" s="30" t="str">
        <f t="shared" si="29"/>
        <v>Not Cost-Effective</v>
      </c>
      <c r="AF107" s="30" t="s">
        <v>176</v>
      </c>
      <c r="AG107" s="30" t="s">
        <v>382</v>
      </c>
    </row>
    <row r="108" spans="1:34" ht="12.75" customHeight="1">
      <c r="A108" s="40">
        <f t="shared" si="26"/>
        <v>36</v>
      </c>
      <c r="B108" s="40">
        <f t="shared" si="27"/>
        <v>1</v>
      </c>
      <c r="C108" s="51" t="str">
        <f t="shared" si="15"/>
        <v>3601</v>
      </c>
      <c r="D108" s="30" t="s">
        <v>27</v>
      </c>
      <c r="E108" s="33">
        <v>2013</v>
      </c>
      <c r="F108" s="30" t="s">
        <v>633</v>
      </c>
      <c r="G108" s="30" t="s">
        <v>234</v>
      </c>
      <c r="H108" s="44" t="s">
        <v>974</v>
      </c>
      <c r="I108" s="40" t="s">
        <v>146</v>
      </c>
      <c r="J108" s="40" t="s">
        <v>147</v>
      </c>
      <c r="K108" s="49" t="s">
        <v>514</v>
      </c>
      <c r="L108" s="40">
        <v>3</v>
      </c>
      <c r="M108" s="40" t="s">
        <v>155</v>
      </c>
      <c r="N108" s="30" t="s">
        <v>377</v>
      </c>
      <c r="O108" s="30" t="s">
        <v>845</v>
      </c>
      <c r="P108" s="40">
        <v>2009</v>
      </c>
      <c r="Q108" s="30" t="s">
        <v>975</v>
      </c>
      <c r="R108" s="35">
        <v>6014</v>
      </c>
      <c r="S108" s="43">
        <v>6014</v>
      </c>
      <c r="T108" s="32">
        <f t="shared" si="16"/>
        <v>4165</v>
      </c>
      <c r="U108" s="30" t="str">
        <f t="shared" si="17"/>
        <v>Not Cost-Effective</v>
      </c>
      <c r="V108" s="30" t="str">
        <f t="shared" si="18"/>
        <v>Cost-Effective</v>
      </c>
      <c r="W108" s="41">
        <f t="shared" si="19"/>
        <v>1.4439375750300121</v>
      </c>
      <c r="X108" s="55">
        <f t="shared" si="20"/>
        <v>1.08</v>
      </c>
      <c r="Y108" s="30" t="str">
        <f t="shared" si="21"/>
        <v>Not Cost-Effective</v>
      </c>
      <c r="Z108" s="55">
        <f t="shared" si="22"/>
        <v>0.64</v>
      </c>
      <c r="AA108" s="30" t="str">
        <f t="shared" si="28"/>
        <v>Not Cost-Effective</v>
      </c>
      <c r="AB108" s="55">
        <f t="shared" si="23"/>
        <v>0.65445260705966679</v>
      </c>
      <c r="AC108" s="30" t="str">
        <f t="shared" si="24"/>
        <v>Not Cost-Effective</v>
      </c>
      <c r="AD108" s="55">
        <f t="shared" si="25"/>
        <v>0.16633817117601385</v>
      </c>
      <c r="AE108" s="30" t="str">
        <f t="shared" si="29"/>
        <v>Not Cost-Effective</v>
      </c>
      <c r="AF108" s="30" t="s">
        <v>161</v>
      </c>
      <c r="AG108" s="30" t="s">
        <v>382</v>
      </c>
    </row>
    <row r="109" spans="1:34" ht="12.75" customHeight="1">
      <c r="A109" s="40">
        <f t="shared" si="26"/>
        <v>36</v>
      </c>
      <c r="B109" s="40">
        <f t="shared" si="27"/>
        <v>2</v>
      </c>
      <c r="C109" s="51" t="str">
        <f t="shared" si="15"/>
        <v>3602</v>
      </c>
      <c r="D109" s="30" t="s">
        <v>27</v>
      </c>
      <c r="E109" s="33">
        <v>2013</v>
      </c>
      <c r="F109" s="30" t="s">
        <v>633</v>
      </c>
      <c r="G109" s="30" t="s">
        <v>234</v>
      </c>
      <c r="H109" s="44" t="s">
        <v>976</v>
      </c>
      <c r="I109" s="40" t="s">
        <v>167</v>
      </c>
      <c r="J109" s="40" t="s">
        <v>147</v>
      </c>
      <c r="K109" s="49" t="s">
        <v>514</v>
      </c>
      <c r="L109" s="40">
        <v>3</v>
      </c>
      <c r="M109" s="40" t="s">
        <v>155</v>
      </c>
      <c r="N109" s="30" t="s">
        <v>377</v>
      </c>
      <c r="O109" s="30" t="s">
        <v>845</v>
      </c>
      <c r="P109" s="40">
        <v>2009</v>
      </c>
      <c r="Q109" s="30" t="s">
        <v>977</v>
      </c>
      <c r="R109" s="35">
        <v>5327</v>
      </c>
      <c r="S109" s="43">
        <v>5327</v>
      </c>
      <c r="T109" s="32">
        <f t="shared" si="16"/>
        <v>4165</v>
      </c>
      <c r="U109" s="30" t="str">
        <f t="shared" si="17"/>
        <v>Not Cost-Effective</v>
      </c>
      <c r="V109" s="30" t="str">
        <f t="shared" si="18"/>
        <v>Cost-Effective</v>
      </c>
      <c r="W109" s="41">
        <f t="shared" si="19"/>
        <v>1.2789915966386554</v>
      </c>
      <c r="X109" s="55">
        <f t="shared" si="20"/>
        <v>1.08</v>
      </c>
      <c r="Y109" s="30" t="str">
        <f t="shared" si="21"/>
        <v>Not Cost-Effective</v>
      </c>
      <c r="Z109" s="55">
        <f t="shared" si="22"/>
        <v>0.64</v>
      </c>
      <c r="AA109" s="30" t="str">
        <f t="shared" si="28"/>
        <v>Not Cost-Effective</v>
      </c>
      <c r="AB109" s="55">
        <f t="shared" si="23"/>
        <v>0.65445260705966679</v>
      </c>
      <c r="AC109" s="30" t="str">
        <f t="shared" si="24"/>
        <v>Not Cost-Effective</v>
      </c>
      <c r="AD109" s="55">
        <f t="shared" si="25"/>
        <v>0.16633817117601385</v>
      </c>
      <c r="AE109" s="30" t="str">
        <f t="shared" si="29"/>
        <v>Not Cost-Effective</v>
      </c>
      <c r="AF109" s="30" t="s">
        <v>161</v>
      </c>
      <c r="AG109" s="30" t="s">
        <v>382</v>
      </c>
    </row>
    <row r="110" spans="1:34" ht="12.75" customHeight="1">
      <c r="A110" s="40">
        <f t="shared" si="26"/>
        <v>36</v>
      </c>
      <c r="B110" s="40">
        <f t="shared" si="27"/>
        <v>3</v>
      </c>
      <c r="C110" s="51" t="str">
        <f t="shared" si="15"/>
        <v>3603</v>
      </c>
      <c r="D110" s="30" t="s">
        <v>27</v>
      </c>
      <c r="E110" s="33">
        <v>2013</v>
      </c>
      <c r="F110" s="30" t="s">
        <v>633</v>
      </c>
      <c r="G110" s="30" t="s">
        <v>234</v>
      </c>
      <c r="H110" s="44" t="s">
        <v>978</v>
      </c>
      <c r="I110" s="40" t="s">
        <v>166</v>
      </c>
      <c r="J110" s="40" t="s">
        <v>147</v>
      </c>
      <c r="K110" s="49" t="s">
        <v>514</v>
      </c>
      <c r="L110" s="40">
        <v>3</v>
      </c>
      <c r="M110" s="40" t="s">
        <v>155</v>
      </c>
      <c r="N110" s="30" t="s">
        <v>377</v>
      </c>
      <c r="O110" s="30" t="s">
        <v>845</v>
      </c>
      <c r="P110" s="40">
        <v>2009</v>
      </c>
      <c r="Q110" s="30" t="s">
        <v>979</v>
      </c>
      <c r="R110" s="35">
        <v>4500</v>
      </c>
      <c r="S110" s="43">
        <v>4500</v>
      </c>
      <c r="T110" s="32">
        <f t="shared" si="16"/>
        <v>4165</v>
      </c>
      <c r="U110" s="30" t="str">
        <f t="shared" si="17"/>
        <v>Not Cost-Effective</v>
      </c>
      <c r="V110" s="30" t="str">
        <f t="shared" si="18"/>
        <v>Cost-Effective</v>
      </c>
      <c r="W110" s="41">
        <f t="shared" si="19"/>
        <v>1.0804321728691477</v>
      </c>
      <c r="X110" s="55">
        <f t="shared" si="20"/>
        <v>1.08</v>
      </c>
      <c r="Y110" s="30" t="str">
        <f t="shared" si="21"/>
        <v>Not Cost-Effective</v>
      </c>
      <c r="Z110" s="55">
        <f t="shared" si="22"/>
        <v>0.64</v>
      </c>
      <c r="AA110" s="30" t="str">
        <f t="shared" si="28"/>
        <v>Not Cost-Effective</v>
      </c>
      <c r="AB110" s="55">
        <f t="shared" si="23"/>
        <v>0.65445260705966679</v>
      </c>
      <c r="AC110" s="30" t="str">
        <f t="shared" si="24"/>
        <v>Not Cost-Effective</v>
      </c>
      <c r="AD110" s="55">
        <f t="shared" si="25"/>
        <v>0.16633817117601385</v>
      </c>
      <c r="AE110" s="30" t="str">
        <f t="shared" si="29"/>
        <v>Not Cost-Effective</v>
      </c>
      <c r="AF110" s="30" t="s">
        <v>161</v>
      </c>
      <c r="AG110" s="30" t="s">
        <v>382</v>
      </c>
    </row>
    <row r="111" spans="1:34" ht="12.75" customHeight="1">
      <c r="A111" s="40">
        <f t="shared" si="26"/>
        <v>36</v>
      </c>
      <c r="B111" s="40">
        <f t="shared" si="27"/>
        <v>4</v>
      </c>
      <c r="C111" s="51" t="str">
        <f t="shared" si="15"/>
        <v>3604</v>
      </c>
      <c r="D111" s="30" t="s">
        <v>27</v>
      </c>
      <c r="E111" s="33">
        <v>2013</v>
      </c>
      <c r="F111" s="30" t="s">
        <v>633</v>
      </c>
      <c r="G111" s="30" t="s">
        <v>234</v>
      </c>
      <c r="H111" s="44" t="s">
        <v>623</v>
      </c>
      <c r="I111" s="40" t="s">
        <v>166</v>
      </c>
      <c r="J111" s="40" t="s">
        <v>146</v>
      </c>
      <c r="K111" s="49" t="s">
        <v>514</v>
      </c>
      <c r="L111" s="40">
        <v>3</v>
      </c>
      <c r="M111" s="40" t="s">
        <v>155</v>
      </c>
      <c r="N111" s="30" t="s">
        <v>377</v>
      </c>
      <c r="O111" s="30" t="s">
        <v>845</v>
      </c>
      <c r="P111" s="40">
        <v>2009</v>
      </c>
      <c r="Q111" s="30" t="s">
        <v>980</v>
      </c>
      <c r="R111" s="35">
        <v>-2727</v>
      </c>
      <c r="S111" s="43">
        <v>-2727</v>
      </c>
      <c r="T111" s="32">
        <f t="shared" si="16"/>
        <v>4165</v>
      </c>
      <c r="U111" s="30" t="str">
        <f t="shared" si="17"/>
        <v>Cost-Effective</v>
      </c>
      <c r="V111" s="30" t="str">
        <f t="shared" si="18"/>
        <v>Cost-Effective</v>
      </c>
      <c r="W111" s="41">
        <f t="shared" si="19"/>
        <v>-0.65474189675870353</v>
      </c>
      <c r="X111" s="55">
        <f t="shared" si="20"/>
        <v>1.08</v>
      </c>
      <c r="Y111" s="30" t="str">
        <f t="shared" si="21"/>
        <v>Cost-Effective</v>
      </c>
      <c r="Z111" s="55">
        <f t="shared" si="22"/>
        <v>0.64</v>
      </c>
      <c r="AA111" s="30" t="str">
        <f t="shared" si="28"/>
        <v>Cost-Effective</v>
      </c>
      <c r="AB111" s="55">
        <f t="shared" si="23"/>
        <v>0.65445260705966679</v>
      </c>
      <c r="AC111" s="30" t="str">
        <f t="shared" si="24"/>
        <v>Cost-Effective</v>
      </c>
      <c r="AD111" s="55">
        <f t="shared" si="25"/>
        <v>0.16633817117601385</v>
      </c>
      <c r="AE111" s="30" t="str">
        <f t="shared" si="29"/>
        <v>Cost-Effective</v>
      </c>
      <c r="AF111" s="30" t="s">
        <v>161</v>
      </c>
      <c r="AG111" s="30" t="s">
        <v>439</v>
      </c>
    </row>
    <row r="112" spans="1:34" ht="12.75" customHeight="1">
      <c r="A112" s="40">
        <f t="shared" si="26"/>
        <v>36</v>
      </c>
      <c r="B112" s="40">
        <f t="shared" si="27"/>
        <v>5</v>
      </c>
      <c r="C112" s="51" t="str">
        <f t="shared" si="15"/>
        <v>3605</v>
      </c>
      <c r="D112" s="30" t="s">
        <v>27</v>
      </c>
      <c r="E112" s="33">
        <v>2013</v>
      </c>
      <c r="F112" s="30" t="s">
        <v>633</v>
      </c>
      <c r="G112" s="30" t="s">
        <v>234</v>
      </c>
      <c r="H112" s="44" t="s">
        <v>638</v>
      </c>
      <c r="I112" s="40" t="s">
        <v>167</v>
      </c>
      <c r="J112" s="40" t="s">
        <v>146</v>
      </c>
      <c r="K112" s="49" t="s">
        <v>514</v>
      </c>
      <c r="L112" s="40">
        <v>3</v>
      </c>
      <c r="M112" s="40" t="s">
        <v>155</v>
      </c>
      <c r="N112" s="30" t="s">
        <v>377</v>
      </c>
      <c r="O112" s="30" t="s">
        <v>845</v>
      </c>
      <c r="P112" s="40">
        <v>2009</v>
      </c>
      <c r="Q112" s="30" t="s">
        <v>639</v>
      </c>
      <c r="R112" s="31">
        <f>1310954/719</f>
        <v>1823.3018080667593</v>
      </c>
      <c r="S112" s="43">
        <f>R112</f>
        <v>1823.3018080667593</v>
      </c>
      <c r="T112" s="32">
        <f t="shared" si="16"/>
        <v>4165</v>
      </c>
      <c r="U112" s="30" t="str">
        <f t="shared" si="17"/>
        <v>Cost-Effective</v>
      </c>
      <c r="V112" s="30" t="str">
        <f t="shared" si="18"/>
        <v>Cost-Effective</v>
      </c>
      <c r="W112" s="41">
        <f t="shared" si="19"/>
        <v>0.43776754095240322</v>
      </c>
      <c r="X112" s="55">
        <f t="shared" si="20"/>
        <v>1.08</v>
      </c>
      <c r="Y112" s="30" t="str">
        <f t="shared" si="21"/>
        <v>Cost-Effective</v>
      </c>
      <c r="Z112" s="55">
        <f t="shared" si="22"/>
        <v>0.64</v>
      </c>
      <c r="AA112" s="30" t="str">
        <f t="shared" si="28"/>
        <v>Cost-Effective</v>
      </c>
      <c r="AB112" s="55">
        <f t="shared" si="23"/>
        <v>0.65445260705966679</v>
      </c>
      <c r="AC112" s="30" t="str">
        <f t="shared" si="24"/>
        <v>Cost-Effective</v>
      </c>
      <c r="AD112" s="55">
        <f t="shared" si="25"/>
        <v>0.16633817117601385</v>
      </c>
      <c r="AE112" s="30" t="str">
        <f t="shared" si="29"/>
        <v>Not Cost-Effective</v>
      </c>
      <c r="AF112" s="30" t="s">
        <v>161</v>
      </c>
      <c r="AG112" s="30" t="s">
        <v>382</v>
      </c>
      <c r="AH112" s="30" t="s">
        <v>972</v>
      </c>
    </row>
    <row r="113" spans="1:34" ht="12.75" customHeight="1">
      <c r="A113" s="40">
        <f t="shared" si="26"/>
        <v>37</v>
      </c>
      <c r="B113" s="40">
        <f t="shared" si="27"/>
        <v>1</v>
      </c>
      <c r="C113" s="51" t="str">
        <f t="shared" si="15"/>
        <v>3701</v>
      </c>
      <c r="D113" s="30" t="s">
        <v>265</v>
      </c>
      <c r="E113" s="33">
        <v>2015</v>
      </c>
      <c r="F113" s="30" t="s">
        <v>640</v>
      </c>
      <c r="G113" s="30" t="s">
        <v>267</v>
      </c>
      <c r="H113" s="44" t="s">
        <v>981</v>
      </c>
      <c r="I113" s="40" t="s">
        <v>166</v>
      </c>
      <c r="J113" s="40" t="s">
        <v>147</v>
      </c>
      <c r="K113" s="49" t="s">
        <v>368</v>
      </c>
      <c r="L113" s="40">
        <v>3</v>
      </c>
      <c r="M113" s="40" t="s">
        <v>155</v>
      </c>
      <c r="N113" s="30" t="s">
        <v>377</v>
      </c>
      <c r="O113" s="30" t="s">
        <v>845</v>
      </c>
      <c r="P113" s="40">
        <v>2009</v>
      </c>
      <c r="Q113" s="30" t="s">
        <v>982</v>
      </c>
      <c r="R113" s="35">
        <v>3851</v>
      </c>
      <c r="S113" s="43">
        <v>3851</v>
      </c>
      <c r="T113" s="32">
        <f t="shared" si="16"/>
        <v>3920.2</v>
      </c>
      <c r="U113" s="30" t="str">
        <f t="shared" si="17"/>
        <v>Cost-Effective</v>
      </c>
      <c r="V113" s="30" t="str">
        <f t="shared" si="18"/>
        <v>Cost-Effective</v>
      </c>
      <c r="W113" s="41">
        <f t="shared" si="19"/>
        <v>0.98234783939594927</v>
      </c>
      <c r="X113" s="55">
        <f t="shared" si="20"/>
        <v>1.42</v>
      </c>
      <c r="Y113" s="30" t="str">
        <f t="shared" si="21"/>
        <v>Cost-Effective</v>
      </c>
      <c r="Z113" s="55">
        <f t="shared" si="22"/>
        <v>0.83</v>
      </c>
      <c r="AA113" s="30" t="str">
        <f t="shared" si="28"/>
        <v>Not Cost-Effective</v>
      </c>
      <c r="AB113" s="55">
        <f t="shared" si="23"/>
        <v>0.33989517688899978</v>
      </c>
      <c r="AC113" s="30" t="str">
        <f t="shared" si="24"/>
        <v>Not Cost-Effective</v>
      </c>
      <c r="AD113" s="55">
        <f t="shared" si="25"/>
        <v>7.549759780370624E-2</v>
      </c>
      <c r="AE113" s="30" t="str">
        <f t="shared" si="29"/>
        <v>Not Cost-Effective</v>
      </c>
      <c r="AF113" s="30" t="s">
        <v>161</v>
      </c>
      <c r="AG113" s="30" t="s">
        <v>382</v>
      </c>
    </row>
    <row r="114" spans="1:34" ht="12.75" customHeight="1">
      <c r="A114" s="40">
        <f t="shared" si="26"/>
        <v>37</v>
      </c>
      <c r="B114" s="40">
        <f t="shared" si="27"/>
        <v>2</v>
      </c>
      <c r="C114" s="51" t="str">
        <f t="shared" si="15"/>
        <v>3702</v>
      </c>
      <c r="D114" s="30" t="s">
        <v>265</v>
      </c>
      <c r="E114" s="33">
        <v>2015</v>
      </c>
      <c r="F114" s="30" t="s">
        <v>640</v>
      </c>
      <c r="G114" s="30" t="s">
        <v>267</v>
      </c>
      <c r="H114" s="44" t="s">
        <v>981</v>
      </c>
      <c r="I114" s="40" t="s">
        <v>166</v>
      </c>
      <c r="J114" s="40" t="s">
        <v>147</v>
      </c>
      <c r="K114" s="49" t="s">
        <v>368</v>
      </c>
      <c r="L114" s="40">
        <v>3</v>
      </c>
      <c r="M114" s="40" t="s">
        <v>155</v>
      </c>
      <c r="N114" s="30" t="s">
        <v>149</v>
      </c>
      <c r="O114" s="30" t="s">
        <v>845</v>
      </c>
      <c r="P114" s="40">
        <v>2009</v>
      </c>
      <c r="Q114" s="30" t="s">
        <v>983</v>
      </c>
      <c r="R114" s="35">
        <v>1920</v>
      </c>
      <c r="S114" s="43">
        <v>1920</v>
      </c>
      <c r="T114" s="32">
        <f t="shared" si="16"/>
        <v>3920.2</v>
      </c>
      <c r="U114" s="30" t="str">
        <f t="shared" si="17"/>
        <v>Cost-Effective</v>
      </c>
      <c r="V114" s="30" t="str">
        <f t="shared" si="18"/>
        <v>Cost-Effective</v>
      </c>
      <c r="W114" s="41">
        <f t="shared" si="19"/>
        <v>0.48977093005458905</v>
      </c>
      <c r="X114" s="55">
        <f t="shared" si="20"/>
        <v>1.42</v>
      </c>
      <c r="Y114" s="30" t="str">
        <f t="shared" si="21"/>
        <v>Cost-Effective</v>
      </c>
      <c r="Z114" s="55">
        <f t="shared" si="22"/>
        <v>0.83</v>
      </c>
      <c r="AA114" s="30" t="str">
        <f t="shared" si="28"/>
        <v>Cost-Effective</v>
      </c>
      <c r="AB114" s="55">
        <f t="shared" si="23"/>
        <v>0.33989517688899978</v>
      </c>
      <c r="AC114" s="30" t="str">
        <f t="shared" si="24"/>
        <v>Not Cost-Effective</v>
      </c>
      <c r="AD114" s="55">
        <f t="shared" si="25"/>
        <v>7.549759780370624E-2</v>
      </c>
      <c r="AE114" s="30" t="str">
        <f t="shared" si="29"/>
        <v>Not Cost-Effective</v>
      </c>
      <c r="AF114" s="30" t="s">
        <v>161</v>
      </c>
      <c r="AG114" s="30" t="s">
        <v>382</v>
      </c>
    </row>
    <row r="115" spans="1:34" ht="12.75" customHeight="1">
      <c r="A115" s="40">
        <f t="shared" si="26"/>
        <v>37</v>
      </c>
      <c r="B115" s="40">
        <f t="shared" si="27"/>
        <v>3</v>
      </c>
      <c r="C115" s="51" t="str">
        <f t="shared" si="15"/>
        <v>3703</v>
      </c>
      <c r="D115" s="30" t="s">
        <v>265</v>
      </c>
      <c r="E115" s="33">
        <v>2015</v>
      </c>
      <c r="F115" s="30" t="s">
        <v>640</v>
      </c>
      <c r="G115" s="30" t="s">
        <v>267</v>
      </c>
      <c r="H115" s="44" t="s">
        <v>984</v>
      </c>
      <c r="I115" s="40" t="s">
        <v>167</v>
      </c>
      <c r="J115" s="40" t="s">
        <v>147</v>
      </c>
      <c r="K115" s="49" t="s">
        <v>368</v>
      </c>
      <c r="L115" s="40">
        <v>3</v>
      </c>
      <c r="M115" s="40" t="s">
        <v>155</v>
      </c>
      <c r="N115" s="30" t="s">
        <v>377</v>
      </c>
      <c r="O115" s="30" t="s">
        <v>845</v>
      </c>
      <c r="P115" s="40">
        <v>2009</v>
      </c>
      <c r="Q115" s="30" t="s">
        <v>985</v>
      </c>
      <c r="R115" s="35">
        <v>4901</v>
      </c>
      <c r="S115" s="43">
        <v>4901</v>
      </c>
      <c r="T115" s="32">
        <f t="shared" si="16"/>
        <v>3920.2</v>
      </c>
      <c r="U115" s="30" t="str">
        <f t="shared" si="17"/>
        <v>Not Cost-Effective</v>
      </c>
      <c r="V115" s="30" t="str">
        <f t="shared" si="18"/>
        <v>Cost-Effective</v>
      </c>
      <c r="W115" s="41">
        <f t="shared" si="19"/>
        <v>1.2501913167695526</v>
      </c>
      <c r="X115" s="55">
        <f t="shared" si="20"/>
        <v>1.42</v>
      </c>
      <c r="Y115" s="30" t="str">
        <f t="shared" si="21"/>
        <v>Cost-Effective</v>
      </c>
      <c r="Z115" s="55">
        <f t="shared" si="22"/>
        <v>0.83</v>
      </c>
      <c r="AA115" s="30" t="str">
        <f t="shared" si="28"/>
        <v>Not Cost-Effective</v>
      </c>
      <c r="AB115" s="55">
        <f t="shared" si="23"/>
        <v>0.33989517688899978</v>
      </c>
      <c r="AC115" s="30" t="str">
        <f t="shared" si="24"/>
        <v>Not Cost-Effective</v>
      </c>
      <c r="AD115" s="55">
        <f t="shared" si="25"/>
        <v>7.549759780370624E-2</v>
      </c>
      <c r="AE115" s="30" t="str">
        <f t="shared" si="29"/>
        <v>Not Cost-Effective</v>
      </c>
      <c r="AF115" s="30" t="s">
        <v>161</v>
      </c>
      <c r="AG115" s="30" t="s">
        <v>382</v>
      </c>
    </row>
    <row r="116" spans="1:34" ht="12.75" customHeight="1">
      <c r="A116" s="40">
        <f t="shared" si="26"/>
        <v>37</v>
      </c>
      <c r="B116" s="40">
        <f t="shared" si="27"/>
        <v>4</v>
      </c>
      <c r="C116" s="51" t="str">
        <f t="shared" si="15"/>
        <v>3704</v>
      </c>
      <c r="D116" s="30" t="s">
        <v>265</v>
      </c>
      <c r="E116" s="33">
        <v>2015</v>
      </c>
      <c r="F116" s="30" t="s">
        <v>640</v>
      </c>
      <c r="G116" s="30" t="s">
        <v>267</v>
      </c>
      <c r="H116" s="44" t="s">
        <v>984</v>
      </c>
      <c r="I116" s="40" t="s">
        <v>167</v>
      </c>
      <c r="J116" s="40" t="s">
        <v>147</v>
      </c>
      <c r="K116" s="49" t="s">
        <v>368</v>
      </c>
      <c r="L116" s="40">
        <v>3</v>
      </c>
      <c r="M116" s="40" t="s">
        <v>155</v>
      </c>
      <c r="N116" s="30" t="s">
        <v>149</v>
      </c>
      <c r="O116" s="30" t="s">
        <v>845</v>
      </c>
      <c r="P116" s="40">
        <v>2009</v>
      </c>
      <c r="Q116" s="30" t="s">
        <v>986</v>
      </c>
      <c r="R116" s="35">
        <v>3657</v>
      </c>
      <c r="S116" s="43">
        <v>3657</v>
      </c>
      <c r="T116" s="32">
        <f t="shared" si="16"/>
        <v>3920.2</v>
      </c>
      <c r="U116" s="30" t="str">
        <f t="shared" si="17"/>
        <v>Cost-Effective</v>
      </c>
      <c r="V116" s="30" t="str">
        <f t="shared" si="18"/>
        <v>Cost-Effective</v>
      </c>
      <c r="W116" s="41">
        <f t="shared" si="19"/>
        <v>0.93286056833835018</v>
      </c>
      <c r="X116" s="55">
        <f t="shared" si="20"/>
        <v>1.42</v>
      </c>
      <c r="Y116" s="30" t="str">
        <f t="shared" si="21"/>
        <v>Cost-Effective</v>
      </c>
      <c r="Z116" s="55">
        <f t="shared" si="22"/>
        <v>0.83</v>
      </c>
      <c r="AA116" s="30" t="str">
        <f t="shared" si="28"/>
        <v>Not Cost-Effective</v>
      </c>
      <c r="AB116" s="55">
        <f t="shared" si="23"/>
        <v>0.33989517688899978</v>
      </c>
      <c r="AC116" s="30" t="str">
        <f t="shared" si="24"/>
        <v>Not Cost-Effective</v>
      </c>
      <c r="AD116" s="55">
        <f t="shared" si="25"/>
        <v>7.549759780370624E-2</v>
      </c>
      <c r="AE116" s="30" t="str">
        <f t="shared" si="29"/>
        <v>Not Cost-Effective</v>
      </c>
      <c r="AF116" s="30" t="s">
        <v>161</v>
      </c>
      <c r="AG116" s="30" t="s">
        <v>382</v>
      </c>
    </row>
    <row r="117" spans="1:34" ht="12.75" customHeight="1">
      <c r="A117" s="40">
        <f t="shared" si="26"/>
        <v>37</v>
      </c>
      <c r="B117" s="40">
        <f t="shared" si="27"/>
        <v>5</v>
      </c>
      <c r="C117" s="51" t="str">
        <f t="shared" si="15"/>
        <v>3705</v>
      </c>
      <c r="D117" s="30" t="s">
        <v>265</v>
      </c>
      <c r="E117" s="33">
        <v>2015</v>
      </c>
      <c r="F117" s="30" t="s">
        <v>640</v>
      </c>
      <c r="G117" s="30" t="s">
        <v>267</v>
      </c>
      <c r="H117" s="44" t="s">
        <v>940</v>
      </c>
      <c r="I117" s="40" t="s">
        <v>167</v>
      </c>
      <c r="J117" s="40" t="s">
        <v>166</v>
      </c>
      <c r="K117" s="49" t="s">
        <v>368</v>
      </c>
      <c r="L117" s="40">
        <v>3</v>
      </c>
      <c r="M117" s="40" t="s">
        <v>155</v>
      </c>
      <c r="N117" s="30" t="s">
        <v>377</v>
      </c>
      <c r="O117" s="30" t="s">
        <v>845</v>
      </c>
      <c r="P117" s="40">
        <v>2009</v>
      </c>
      <c r="Q117" s="30" t="s">
        <v>987</v>
      </c>
      <c r="R117" s="35">
        <v>12181</v>
      </c>
      <c r="S117" s="43">
        <v>12181</v>
      </c>
      <c r="T117" s="32">
        <f t="shared" si="16"/>
        <v>3920.2</v>
      </c>
      <c r="U117" s="30" t="str">
        <f t="shared" si="17"/>
        <v>Not Cost-Effective</v>
      </c>
      <c r="V117" s="30" t="str">
        <f t="shared" si="18"/>
        <v>Not Cost-Effective</v>
      </c>
      <c r="W117" s="41">
        <f t="shared" si="19"/>
        <v>3.1072394265598695</v>
      </c>
      <c r="X117" s="55">
        <f t="shared" si="20"/>
        <v>1.42</v>
      </c>
      <c r="Y117" s="30" t="str">
        <f t="shared" si="21"/>
        <v>Not Cost-Effective</v>
      </c>
      <c r="Z117" s="55">
        <f t="shared" si="22"/>
        <v>0.83</v>
      </c>
      <c r="AA117" s="30" t="str">
        <f t="shared" si="28"/>
        <v>Not Cost-Effective</v>
      </c>
      <c r="AB117" s="55">
        <f t="shared" si="23"/>
        <v>0.33989517688899978</v>
      </c>
      <c r="AC117" s="30" t="str">
        <f t="shared" si="24"/>
        <v>Not Cost-Effective</v>
      </c>
      <c r="AD117" s="55">
        <f t="shared" si="25"/>
        <v>7.549759780370624E-2</v>
      </c>
      <c r="AE117" s="30" t="str">
        <f t="shared" si="29"/>
        <v>Not Cost-Effective</v>
      </c>
      <c r="AF117" s="30" t="s">
        <v>161</v>
      </c>
      <c r="AG117" s="30" t="s">
        <v>371</v>
      </c>
    </row>
    <row r="118" spans="1:34" ht="12.75" customHeight="1">
      <c r="A118" s="40">
        <f t="shared" si="26"/>
        <v>37</v>
      </c>
      <c r="B118" s="40">
        <f t="shared" si="27"/>
        <v>6</v>
      </c>
      <c r="C118" s="51" t="str">
        <f t="shared" si="15"/>
        <v>3706</v>
      </c>
      <c r="D118" s="30" t="s">
        <v>265</v>
      </c>
      <c r="E118" s="33">
        <v>2015</v>
      </c>
      <c r="F118" s="30" t="s">
        <v>640</v>
      </c>
      <c r="G118" s="30" t="s">
        <v>267</v>
      </c>
      <c r="H118" s="44" t="s">
        <v>940</v>
      </c>
      <c r="I118" s="40" t="s">
        <v>167</v>
      </c>
      <c r="J118" s="40" t="s">
        <v>166</v>
      </c>
      <c r="K118" s="49" t="s">
        <v>368</v>
      </c>
      <c r="L118" s="40">
        <v>3</v>
      </c>
      <c r="M118" s="40" t="s">
        <v>155</v>
      </c>
      <c r="N118" s="30" t="s">
        <v>149</v>
      </c>
      <c r="O118" s="30" t="s">
        <v>845</v>
      </c>
      <c r="P118" s="40">
        <v>2009</v>
      </c>
      <c r="Q118" s="30" t="s">
        <v>988</v>
      </c>
      <c r="R118" s="35">
        <v>3851</v>
      </c>
      <c r="S118" s="43">
        <v>3851</v>
      </c>
      <c r="T118" s="32">
        <f t="shared" si="16"/>
        <v>3920.2</v>
      </c>
      <c r="U118" s="30" t="str">
        <f t="shared" si="17"/>
        <v>Cost-Effective</v>
      </c>
      <c r="V118" s="30" t="str">
        <f t="shared" si="18"/>
        <v>Cost-Effective</v>
      </c>
      <c r="W118" s="41">
        <f t="shared" si="19"/>
        <v>0.98234783939594927</v>
      </c>
      <c r="X118" s="55">
        <f t="shared" si="20"/>
        <v>1.42</v>
      </c>
      <c r="Y118" s="30" t="str">
        <f t="shared" si="21"/>
        <v>Cost-Effective</v>
      </c>
      <c r="Z118" s="55">
        <f t="shared" si="22"/>
        <v>0.83</v>
      </c>
      <c r="AA118" s="30" t="str">
        <f t="shared" si="28"/>
        <v>Not Cost-Effective</v>
      </c>
      <c r="AB118" s="55">
        <f t="shared" si="23"/>
        <v>0.33989517688899978</v>
      </c>
      <c r="AC118" s="30" t="str">
        <f t="shared" si="24"/>
        <v>Not Cost-Effective</v>
      </c>
      <c r="AD118" s="55">
        <f t="shared" si="25"/>
        <v>7.549759780370624E-2</v>
      </c>
      <c r="AE118" s="30" t="str">
        <f t="shared" si="29"/>
        <v>Not Cost-Effective</v>
      </c>
      <c r="AF118" s="30" t="s">
        <v>161</v>
      </c>
      <c r="AG118" s="30" t="s">
        <v>382</v>
      </c>
    </row>
    <row r="119" spans="1:34" ht="12.75" customHeight="1">
      <c r="A119" s="40">
        <f t="shared" si="26"/>
        <v>38</v>
      </c>
      <c r="B119" s="40">
        <f t="shared" si="27"/>
        <v>1</v>
      </c>
      <c r="C119" s="51" t="str">
        <f t="shared" si="15"/>
        <v>3801</v>
      </c>
      <c r="D119" s="30" t="s">
        <v>268</v>
      </c>
      <c r="E119" s="33">
        <v>2015</v>
      </c>
      <c r="F119" s="30" t="s">
        <v>650</v>
      </c>
      <c r="G119" s="30" t="s">
        <v>270</v>
      </c>
      <c r="H119" s="44" t="s">
        <v>978</v>
      </c>
      <c r="I119" s="40" t="s">
        <v>166</v>
      </c>
      <c r="J119" s="40" t="s">
        <v>147</v>
      </c>
      <c r="K119" s="49" t="s">
        <v>514</v>
      </c>
      <c r="L119" s="40">
        <v>3</v>
      </c>
      <c r="M119" s="40" t="s">
        <v>155</v>
      </c>
      <c r="N119" s="30" t="s">
        <v>377</v>
      </c>
      <c r="O119" s="30" t="s">
        <v>845</v>
      </c>
      <c r="P119" s="40">
        <v>2014</v>
      </c>
      <c r="Q119" s="30" t="s">
        <v>989</v>
      </c>
      <c r="R119" s="35">
        <v>1599</v>
      </c>
      <c r="S119" s="43">
        <v>1599</v>
      </c>
      <c r="T119" s="32">
        <f t="shared" si="16"/>
        <v>4830.3</v>
      </c>
      <c r="U119" s="30" t="str">
        <f t="shared" si="17"/>
        <v>Cost-Effective</v>
      </c>
      <c r="V119" s="30" t="str">
        <f t="shared" si="18"/>
        <v>Cost-Effective</v>
      </c>
      <c r="W119" s="41">
        <f t="shared" si="19"/>
        <v>0.33103533941991181</v>
      </c>
      <c r="X119" s="55">
        <f t="shared" si="20"/>
        <v>0.27</v>
      </c>
      <c r="Y119" s="30" t="str">
        <f t="shared" si="21"/>
        <v>Not Cost-Effective</v>
      </c>
      <c r="Z119" s="55">
        <f t="shared" si="22"/>
        <v>0.2</v>
      </c>
      <c r="AA119" s="30" t="str">
        <f t="shared" si="28"/>
        <v>Not Cost-Effective</v>
      </c>
      <c r="AB119" s="55">
        <f t="shared" si="23"/>
        <v>0.39261460101867574</v>
      </c>
      <c r="AC119" s="30" t="str">
        <f t="shared" si="24"/>
        <v>Cost-Effective</v>
      </c>
      <c r="AD119" s="55">
        <f t="shared" si="25"/>
        <v>7.7674023769100167E-2</v>
      </c>
      <c r="AE119" s="30" t="str">
        <f t="shared" si="29"/>
        <v>Not Cost-Effective</v>
      </c>
      <c r="AF119" s="30" t="s">
        <v>176</v>
      </c>
      <c r="AG119" s="30" t="s">
        <v>382</v>
      </c>
    </row>
    <row r="120" spans="1:34" ht="12.75" customHeight="1">
      <c r="A120" s="40">
        <f t="shared" ref="A120:A149" si="30">IF(F120=F119,A119,A119+1)</f>
        <v>39</v>
      </c>
      <c r="B120" s="40">
        <f t="shared" ref="B120:B149" si="31">IF(F120=F119,B119+1,1)</f>
        <v>1</v>
      </c>
      <c r="C120" s="51" t="str">
        <f t="shared" ref="C120:C149" si="32">_xlfn.CONCAT(TEXT(A120,"00"),TEXT(B120,"00"))</f>
        <v>3901</v>
      </c>
      <c r="D120" s="30" t="s">
        <v>271</v>
      </c>
      <c r="E120" s="33">
        <v>2015</v>
      </c>
      <c r="F120" s="30" t="s">
        <v>658</v>
      </c>
      <c r="G120" s="30" t="s">
        <v>241</v>
      </c>
      <c r="H120" s="44" t="s">
        <v>984</v>
      </c>
      <c r="I120" s="40" t="s">
        <v>167</v>
      </c>
      <c r="J120" s="40" t="s">
        <v>147</v>
      </c>
      <c r="K120" s="49" t="s">
        <v>403</v>
      </c>
      <c r="L120" s="40">
        <v>4</v>
      </c>
      <c r="M120" s="40" t="s">
        <v>155</v>
      </c>
      <c r="N120" s="30" t="s">
        <v>377</v>
      </c>
      <c r="O120" s="30" t="s">
        <v>845</v>
      </c>
      <c r="P120" s="40">
        <v>2013</v>
      </c>
      <c r="Q120" s="30" t="s">
        <v>990</v>
      </c>
      <c r="R120" s="35">
        <v>489.26</v>
      </c>
      <c r="S120" s="43">
        <v>489.26</v>
      </c>
      <c r="T120" s="32">
        <f t="shared" si="16"/>
        <v>8263.6</v>
      </c>
      <c r="U120" s="30" t="str">
        <f t="shared" si="17"/>
        <v>Cost-Effective</v>
      </c>
      <c r="V120" s="30" t="str">
        <f t="shared" si="18"/>
        <v>Cost-Effective</v>
      </c>
      <c r="W120" s="41">
        <f t="shared" si="19"/>
        <v>5.9206641173338494E-2</v>
      </c>
      <c r="X120" s="55">
        <f t="shared" si="20"/>
        <v>1.89</v>
      </c>
      <c r="Y120" s="30" t="str">
        <f t="shared" si="21"/>
        <v>Cost-Effective</v>
      </c>
      <c r="Z120" s="55">
        <f t="shared" si="22"/>
        <v>1.17</v>
      </c>
      <c r="AA120" s="30" t="str">
        <f t="shared" si="28"/>
        <v>Cost-Effective</v>
      </c>
      <c r="AB120" s="55">
        <f t="shared" si="23"/>
        <v>0.6677477128612227</v>
      </c>
      <c r="AC120" s="30" t="str">
        <f t="shared" si="24"/>
        <v>Cost-Effective</v>
      </c>
      <c r="AD120" s="55">
        <f t="shared" si="25"/>
        <v>0.16578730819497556</v>
      </c>
      <c r="AE120" s="30" t="str">
        <f t="shared" si="29"/>
        <v>Cost-Effective</v>
      </c>
      <c r="AF120" s="30" t="s">
        <v>176</v>
      </c>
      <c r="AG120" s="30" t="s">
        <v>382</v>
      </c>
      <c r="AH120" s="30" t="s">
        <v>991</v>
      </c>
    </row>
    <row r="121" spans="1:34" ht="12.75" customHeight="1">
      <c r="A121" s="40">
        <f t="shared" si="30"/>
        <v>39</v>
      </c>
      <c r="B121" s="40">
        <f t="shared" si="31"/>
        <v>2</v>
      </c>
      <c r="C121" s="51" t="str">
        <f t="shared" si="32"/>
        <v>3902</v>
      </c>
      <c r="D121" s="30" t="s">
        <v>271</v>
      </c>
      <c r="E121" s="33">
        <v>2015</v>
      </c>
      <c r="F121" s="30" t="s">
        <v>658</v>
      </c>
      <c r="G121" s="30" t="s">
        <v>241</v>
      </c>
      <c r="H121" s="44" t="s">
        <v>981</v>
      </c>
      <c r="I121" s="40" t="s">
        <v>166</v>
      </c>
      <c r="J121" s="40" t="s">
        <v>147</v>
      </c>
      <c r="K121" s="49" t="s">
        <v>403</v>
      </c>
      <c r="L121" s="40">
        <v>4</v>
      </c>
      <c r="M121" s="40" t="s">
        <v>155</v>
      </c>
      <c r="N121" s="30" t="s">
        <v>377</v>
      </c>
      <c r="O121" s="30" t="s">
        <v>845</v>
      </c>
      <c r="P121" s="40">
        <v>2013</v>
      </c>
      <c r="Q121" s="30" t="s">
        <v>992</v>
      </c>
      <c r="R121" s="35">
        <v>813.41</v>
      </c>
      <c r="S121" s="43">
        <v>813.41</v>
      </c>
      <c r="T121" s="32">
        <f t="shared" si="16"/>
        <v>8263.6</v>
      </c>
      <c r="U121" s="30" t="str">
        <f t="shared" si="17"/>
        <v>Cost-Effective</v>
      </c>
      <c r="V121" s="30" t="str">
        <f t="shared" si="18"/>
        <v>Cost-Effective</v>
      </c>
      <c r="W121" s="41">
        <f t="shared" si="19"/>
        <v>9.8432886393339455E-2</v>
      </c>
      <c r="X121" s="55">
        <f t="shared" si="20"/>
        <v>1.89</v>
      </c>
      <c r="Y121" s="30" t="str">
        <f t="shared" si="21"/>
        <v>Cost-Effective</v>
      </c>
      <c r="Z121" s="55">
        <f t="shared" si="22"/>
        <v>1.17</v>
      </c>
      <c r="AA121" s="30" t="str">
        <f t="shared" si="28"/>
        <v>Cost-Effective</v>
      </c>
      <c r="AB121" s="55">
        <f t="shared" si="23"/>
        <v>0.6677477128612227</v>
      </c>
      <c r="AC121" s="30" t="str">
        <f t="shared" si="24"/>
        <v>Cost-Effective</v>
      </c>
      <c r="AD121" s="55">
        <f t="shared" si="25"/>
        <v>0.16578730819497556</v>
      </c>
      <c r="AE121" s="30" t="str">
        <f t="shared" si="29"/>
        <v>Cost-Effective</v>
      </c>
      <c r="AF121" s="30" t="s">
        <v>176</v>
      </c>
      <c r="AG121" s="30" t="s">
        <v>382</v>
      </c>
      <c r="AH121" s="30" t="s">
        <v>991</v>
      </c>
    </row>
    <row r="122" spans="1:34" s="64" customFormat="1" ht="12.75" customHeight="1">
      <c r="A122" s="40">
        <f t="shared" si="30"/>
        <v>39</v>
      </c>
      <c r="B122" s="40">
        <f t="shared" si="31"/>
        <v>3</v>
      </c>
      <c r="C122" s="51" t="str">
        <f t="shared" si="32"/>
        <v>3903</v>
      </c>
      <c r="D122" s="64" t="s">
        <v>271</v>
      </c>
      <c r="E122" s="72">
        <v>2015</v>
      </c>
      <c r="F122" s="64" t="s">
        <v>658</v>
      </c>
      <c r="G122" s="64" t="s">
        <v>241</v>
      </c>
      <c r="H122" s="64" t="s">
        <v>993</v>
      </c>
      <c r="I122" s="63" t="s">
        <v>167</v>
      </c>
      <c r="J122" s="63" t="s">
        <v>166</v>
      </c>
      <c r="K122" s="65" t="s">
        <v>403</v>
      </c>
      <c r="L122" s="63">
        <v>4</v>
      </c>
      <c r="M122" s="63" t="s">
        <v>155</v>
      </c>
      <c r="N122" s="73" t="s">
        <v>377</v>
      </c>
      <c r="O122" s="64" t="s">
        <v>845</v>
      </c>
      <c r="P122" s="72">
        <v>2013</v>
      </c>
      <c r="Q122" s="64" t="s">
        <v>994</v>
      </c>
      <c r="R122" s="66">
        <v>417.53</v>
      </c>
      <c r="S122" s="74">
        <f>R122</f>
        <v>417.53</v>
      </c>
      <c r="T122" s="74">
        <f t="shared" si="16"/>
        <v>8263.6</v>
      </c>
      <c r="U122" s="64" t="str">
        <f t="shared" si="17"/>
        <v>Cost-Effective</v>
      </c>
      <c r="V122" s="64" t="str">
        <f t="shared" si="18"/>
        <v>Cost-Effective</v>
      </c>
      <c r="W122" s="75">
        <f t="shared" si="19"/>
        <v>5.052640495667747E-2</v>
      </c>
      <c r="X122" s="76">
        <f t="shared" si="20"/>
        <v>1.89</v>
      </c>
      <c r="Y122" s="64" t="str">
        <f t="shared" si="21"/>
        <v>Cost-Effective</v>
      </c>
      <c r="Z122" s="76">
        <f t="shared" si="22"/>
        <v>1.17</v>
      </c>
      <c r="AA122" s="64" t="str">
        <f t="shared" si="28"/>
        <v>Cost-Effective</v>
      </c>
      <c r="AB122" s="76">
        <f t="shared" si="23"/>
        <v>0.6677477128612227</v>
      </c>
      <c r="AC122" s="64" t="str">
        <f t="shared" si="24"/>
        <v>Cost-Effective</v>
      </c>
      <c r="AD122" s="76">
        <f t="shared" si="25"/>
        <v>0.16578730819497556</v>
      </c>
      <c r="AE122" s="64" t="str">
        <f t="shared" si="29"/>
        <v>Cost-Effective</v>
      </c>
      <c r="AF122" s="64" t="s">
        <v>176</v>
      </c>
      <c r="AG122" s="64" t="s">
        <v>382</v>
      </c>
      <c r="AH122" s="64" t="s">
        <v>867</v>
      </c>
    </row>
    <row r="123" spans="1:34" ht="12.75" customHeight="1">
      <c r="A123" s="40">
        <f t="shared" si="30"/>
        <v>40</v>
      </c>
      <c r="B123" s="40">
        <f t="shared" si="31"/>
        <v>1</v>
      </c>
      <c r="C123" s="51" t="str">
        <f t="shared" si="32"/>
        <v>4001</v>
      </c>
      <c r="D123" s="30" t="s">
        <v>273</v>
      </c>
      <c r="E123" s="33">
        <v>2010</v>
      </c>
      <c r="F123" s="30" t="s">
        <v>662</v>
      </c>
      <c r="G123" s="30" t="s">
        <v>211</v>
      </c>
      <c r="H123" s="44" t="s">
        <v>978</v>
      </c>
      <c r="I123" s="40" t="s">
        <v>166</v>
      </c>
      <c r="J123" s="40" t="s">
        <v>147</v>
      </c>
      <c r="K123" s="49" t="s">
        <v>514</v>
      </c>
      <c r="L123" s="40">
        <v>3</v>
      </c>
      <c r="M123" s="40" t="s">
        <v>155</v>
      </c>
      <c r="N123" s="30" t="s">
        <v>149</v>
      </c>
      <c r="O123" s="30" t="s">
        <v>904</v>
      </c>
      <c r="P123" s="40">
        <v>2004</v>
      </c>
      <c r="Q123" s="30" t="s">
        <v>664</v>
      </c>
      <c r="R123" s="35">
        <v>22066</v>
      </c>
      <c r="S123" s="43">
        <f>R123/xRates!$J$28</f>
        <v>13213.173652694612</v>
      </c>
      <c r="T123" s="32">
        <f t="shared" si="16"/>
        <v>3623.2</v>
      </c>
      <c r="U123" s="30" t="str">
        <f t="shared" si="17"/>
        <v>Not Cost-Effective</v>
      </c>
      <c r="V123" s="30" t="str">
        <f t="shared" si="18"/>
        <v>Not Cost-Effective</v>
      </c>
      <c r="W123" s="41">
        <f t="shared" si="19"/>
        <v>3.6468242583060864</v>
      </c>
      <c r="X123" s="55">
        <f t="shared" si="20"/>
        <v>1.0900000000000001</v>
      </c>
      <c r="Y123" s="30" t="str">
        <f t="shared" si="21"/>
        <v>Not Cost-Effective</v>
      </c>
      <c r="Z123" s="55">
        <f t="shared" si="22"/>
        <v>0.71</v>
      </c>
      <c r="AA123" s="30" t="str">
        <f t="shared" si="28"/>
        <v>Not Cost-Effective</v>
      </c>
      <c r="AB123" s="55">
        <f t="shared" si="23"/>
        <v>0.61540469547909216</v>
      </c>
      <c r="AC123" s="30" t="str">
        <f t="shared" si="24"/>
        <v>Not Cost-Effective</v>
      </c>
      <c r="AD123" s="55">
        <f t="shared" si="25"/>
        <v>0.19520989346254874</v>
      </c>
      <c r="AE123" s="30" t="str">
        <f t="shared" si="29"/>
        <v>Not Cost-Effective</v>
      </c>
      <c r="AF123" s="30" t="s">
        <v>161</v>
      </c>
      <c r="AG123" s="30" t="s">
        <v>382</v>
      </c>
    </row>
    <row r="124" spans="1:34" ht="12.75" customHeight="1">
      <c r="A124" s="40">
        <f t="shared" si="30"/>
        <v>40</v>
      </c>
      <c r="B124" s="40">
        <f t="shared" si="31"/>
        <v>2</v>
      </c>
      <c r="C124" s="51" t="str">
        <f t="shared" si="32"/>
        <v>4002</v>
      </c>
      <c r="D124" s="30" t="s">
        <v>273</v>
      </c>
      <c r="E124" s="33">
        <v>2010</v>
      </c>
      <c r="F124" s="30" t="s">
        <v>662</v>
      </c>
      <c r="G124" s="30" t="s">
        <v>211</v>
      </c>
      <c r="H124" s="44" t="s">
        <v>978</v>
      </c>
      <c r="I124" s="40" t="s">
        <v>166</v>
      </c>
      <c r="J124" s="40" t="s">
        <v>147</v>
      </c>
      <c r="K124" s="49" t="s">
        <v>514</v>
      </c>
      <c r="L124" s="40">
        <v>3</v>
      </c>
      <c r="M124" s="40" t="s">
        <v>155</v>
      </c>
      <c r="N124" s="30" t="s">
        <v>377</v>
      </c>
      <c r="O124" s="30" t="s">
        <v>904</v>
      </c>
      <c r="P124" s="40">
        <v>2004</v>
      </c>
      <c r="Q124" s="30" t="s">
        <v>666</v>
      </c>
      <c r="R124" s="35">
        <v>24930</v>
      </c>
      <c r="S124" s="43">
        <f>R124/xRates!$J$28</f>
        <v>14928.143712574851</v>
      </c>
      <c r="T124" s="32">
        <f t="shared" si="16"/>
        <v>3623.2</v>
      </c>
      <c r="U124" s="30" t="str">
        <f t="shared" si="17"/>
        <v>Not Cost-Effective</v>
      </c>
      <c r="V124" s="30" t="str">
        <f t="shared" si="18"/>
        <v>Not Cost-Effective</v>
      </c>
      <c r="W124" s="41">
        <f t="shared" si="19"/>
        <v>4.1201544801763221</v>
      </c>
      <c r="X124" s="55">
        <f t="shared" si="20"/>
        <v>1.0900000000000001</v>
      </c>
      <c r="Y124" s="30" t="str">
        <f t="shared" si="21"/>
        <v>Not Cost-Effective</v>
      </c>
      <c r="Z124" s="55">
        <f t="shared" si="22"/>
        <v>0.71</v>
      </c>
      <c r="AA124" s="30" t="str">
        <f t="shared" si="28"/>
        <v>Not Cost-Effective</v>
      </c>
      <c r="AB124" s="55">
        <f t="shared" si="23"/>
        <v>0.61540469547909216</v>
      </c>
      <c r="AC124" s="30" t="str">
        <f t="shared" si="24"/>
        <v>Not Cost-Effective</v>
      </c>
      <c r="AD124" s="55">
        <f t="shared" si="25"/>
        <v>0.19520989346254874</v>
      </c>
      <c r="AE124" s="30" t="str">
        <f t="shared" si="29"/>
        <v>Not Cost-Effective</v>
      </c>
      <c r="AF124" s="30" t="s">
        <v>161</v>
      </c>
      <c r="AG124" s="30" t="s">
        <v>382</v>
      </c>
    </row>
    <row r="125" spans="1:34" ht="12.75" customHeight="1">
      <c r="A125" s="40">
        <f t="shared" si="30"/>
        <v>41</v>
      </c>
      <c r="B125" s="40">
        <f t="shared" si="31"/>
        <v>1</v>
      </c>
      <c r="C125" s="51" t="str">
        <f t="shared" si="32"/>
        <v>4101</v>
      </c>
      <c r="D125" s="30" t="s">
        <v>275</v>
      </c>
      <c r="E125" s="33">
        <v>2013</v>
      </c>
      <c r="F125" s="30" t="s">
        <v>667</v>
      </c>
      <c r="G125" s="30" t="s">
        <v>616</v>
      </c>
      <c r="H125" s="44" t="s">
        <v>668</v>
      </c>
      <c r="I125" s="40" t="s">
        <v>146</v>
      </c>
      <c r="J125" s="40" t="s">
        <v>147</v>
      </c>
      <c r="K125" s="49" t="s">
        <v>376</v>
      </c>
      <c r="L125" s="40">
        <v>4</v>
      </c>
      <c r="M125" s="40" t="s">
        <v>155</v>
      </c>
      <c r="N125" s="30" t="s">
        <v>377</v>
      </c>
      <c r="O125" s="30" t="s">
        <v>845</v>
      </c>
      <c r="P125" s="40">
        <v>2011</v>
      </c>
      <c r="Q125" s="30" t="s">
        <v>995</v>
      </c>
      <c r="R125" s="35">
        <v>7109</v>
      </c>
      <c r="S125" s="43">
        <v>7109</v>
      </c>
      <c r="T125" s="32" t="e">
        <f t="shared" si="16"/>
        <v>#N/A</v>
      </c>
      <c r="U125" s="30" t="e">
        <f t="shared" si="17"/>
        <v>#N/A</v>
      </c>
      <c r="V125" s="30" t="e">
        <f t="shared" si="18"/>
        <v>#N/A</v>
      </c>
      <c r="W125" s="41" t="e">
        <f t="shared" si="19"/>
        <v>#N/A</v>
      </c>
      <c r="X125" s="55">
        <f t="shared" si="20"/>
        <v>0</v>
      </c>
      <c r="Y125" s="30" t="e">
        <f t="shared" si="21"/>
        <v>#N/A</v>
      </c>
      <c r="Z125" s="55">
        <f t="shared" si="22"/>
        <v>0</v>
      </c>
      <c r="AA125" s="30" t="e">
        <f t="shared" si="28"/>
        <v>#N/A</v>
      </c>
      <c r="AB125" s="55">
        <f t="shared" si="23"/>
        <v>0</v>
      </c>
      <c r="AC125" s="30" t="e">
        <f t="shared" si="24"/>
        <v>#N/A</v>
      </c>
      <c r="AD125" s="55">
        <f t="shared" si="25"/>
        <v>0</v>
      </c>
      <c r="AE125" s="30" t="e">
        <f t="shared" si="29"/>
        <v>#N/A</v>
      </c>
      <c r="AF125" s="30" t="s">
        <v>176</v>
      </c>
      <c r="AG125" s="30" t="s">
        <v>382</v>
      </c>
    </row>
    <row r="126" spans="1:34" ht="12.75" customHeight="1">
      <c r="A126" s="40">
        <f t="shared" si="30"/>
        <v>41</v>
      </c>
      <c r="B126" s="40">
        <f t="shared" si="31"/>
        <v>2</v>
      </c>
      <c r="C126" s="51" t="str">
        <f t="shared" si="32"/>
        <v>4102</v>
      </c>
      <c r="D126" s="30" t="s">
        <v>275</v>
      </c>
      <c r="E126" s="33">
        <v>2013</v>
      </c>
      <c r="F126" s="30" t="s">
        <v>667</v>
      </c>
      <c r="G126" s="30" t="s">
        <v>616</v>
      </c>
      <c r="H126" s="44" t="s">
        <v>670</v>
      </c>
      <c r="I126" s="40" t="s">
        <v>166</v>
      </c>
      <c r="J126" s="40" t="s">
        <v>147</v>
      </c>
      <c r="K126" s="49" t="s">
        <v>376</v>
      </c>
      <c r="L126" s="40">
        <v>4</v>
      </c>
      <c r="M126" s="40" t="s">
        <v>155</v>
      </c>
      <c r="N126" s="30" t="s">
        <v>377</v>
      </c>
      <c r="O126" s="30" t="s">
        <v>845</v>
      </c>
      <c r="P126" s="40">
        <v>2011</v>
      </c>
      <c r="Q126" s="30" t="s">
        <v>996</v>
      </c>
      <c r="R126" s="35">
        <v>6784</v>
      </c>
      <c r="S126" s="43">
        <v>6784</v>
      </c>
      <c r="T126" s="32" t="e">
        <f t="shared" si="16"/>
        <v>#N/A</v>
      </c>
      <c r="U126" s="30" t="e">
        <f t="shared" si="17"/>
        <v>#N/A</v>
      </c>
      <c r="V126" s="30" t="e">
        <f t="shared" si="18"/>
        <v>#N/A</v>
      </c>
      <c r="W126" s="41" t="e">
        <f t="shared" si="19"/>
        <v>#N/A</v>
      </c>
      <c r="X126" s="55">
        <f t="shared" si="20"/>
        <v>0</v>
      </c>
      <c r="Y126" s="30" t="e">
        <f t="shared" si="21"/>
        <v>#N/A</v>
      </c>
      <c r="Z126" s="55">
        <f t="shared" si="22"/>
        <v>0</v>
      </c>
      <c r="AA126" s="30" t="e">
        <f t="shared" si="28"/>
        <v>#N/A</v>
      </c>
      <c r="AB126" s="55">
        <f t="shared" si="23"/>
        <v>0</v>
      </c>
      <c r="AC126" s="30" t="e">
        <f t="shared" si="24"/>
        <v>#N/A</v>
      </c>
      <c r="AD126" s="55">
        <f t="shared" si="25"/>
        <v>0</v>
      </c>
      <c r="AE126" s="30" t="e">
        <f t="shared" si="29"/>
        <v>#N/A</v>
      </c>
      <c r="AF126" s="30" t="s">
        <v>176</v>
      </c>
      <c r="AG126" s="30" t="s">
        <v>382</v>
      </c>
    </row>
    <row r="127" spans="1:34" ht="12.75" customHeight="1">
      <c r="A127" s="40">
        <f t="shared" si="30"/>
        <v>41</v>
      </c>
      <c r="B127" s="40">
        <f t="shared" si="31"/>
        <v>3</v>
      </c>
      <c r="C127" s="51" t="str">
        <f t="shared" si="32"/>
        <v>4103</v>
      </c>
      <c r="D127" s="30" t="s">
        <v>275</v>
      </c>
      <c r="E127" s="33">
        <v>2013</v>
      </c>
      <c r="F127" s="30" t="s">
        <v>667</v>
      </c>
      <c r="G127" s="30" t="s">
        <v>616</v>
      </c>
      <c r="H127" s="44" t="s">
        <v>672</v>
      </c>
      <c r="I127" s="40" t="s">
        <v>167</v>
      </c>
      <c r="J127" s="40" t="s">
        <v>147</v>
      </c>
      <c r="K127" s="49" t="s">
        <v>376</v>
      </c>
      <c r="L127" s="40">
        <v>4</v>
      </c>
      <c r="M127" s="40" t="s">
        <v>155</v>
      </c>
      <c r="N127" s="30" t="s">
        <v>377</v>
      </c>
      <c r="O127" s="30" t="s">
        <v>845</v>
      </c>
      <c r="P127" s="40">
        <v>2011</v>
      </c>
      <c r="Q127" s="30" t="s">
        <v>997</v>
      </c>
      <c r="R127" s="35">
        <v>6696</v>
      </c>
      <c r="S127" s="43">
        <v>6696</v>
      </c>
      <c r="T127" s="32" t="e">
        <f t="shared" si="16"/>
        <v>#N/A</v>
      </c>
      <c r="U127" s="30" t="e">
        <f t="shared" si="17"/>
        <v>#N/A</v>
      </c>
      <c r="V127" s="30" t="e">
        <f t="shared" si="18"/>
        <v>#N/A</v>
      </c>
      <c r="W127" s="41" t="e">
        <f t="shared" si="19"/>
        <v>#N/A</v>
      </c>
      <c r="X127" s="55">
        <f t="shared" si="20"/>
        <v>0</v>
      </c>
      <c r="Y127" s="30" t="e">
        <f t="shared" si="21"/>
        <v>#N/A</v>
      </c>
      <c r="Z127" s="55">
        <f t="shared" si="22"/>
        <v>0</v>
      </c>
      <c r="AA127" s="30" t="e">
        <f t="shared" si="28"/>
        <v>#N/A</v>
      </c>
      <c r="AB127" s="55">
        <f t="shared" si="23"/>
        <v>0</v>
      </c>
      <c r="AC127" s="30" t="e">
        <f t="shared" si="24"/>
        <v>#N/A</v>
      </c>
      <c r="AD127" s="55">
        <f t="shared" si="25"/>
        <v>0</v>
      </c>
      <c r="AE127" s="30" t="e">
        <f t="shared" si="29"/>
        <v>#N/A</v>
      </c>
      <c r="AF127" s="30" t="s">
        <v>176</v>
      </c>
      <c r="AG127" s="30" t="s">
        <v>382</v>
      </c>
    </row>
    <row r="128" spans="1:34" ht="12.75" customHeight="1">
      <c r="A128" s="40">
        <f t="shared" si="30"/>
        <v>42</v>
      </c>
      <c r="B128" s="40">
        <f t="shared" si="31"/>
        <v>1</v>
      </c>
      <c r="C128" s="51" t="str">
        <f t="shared" si="32"/>
        <v>4201</v>
      </c>
      <c r="D128" s="30" t="s">
        <v>277</v>
      </c>
      <c r="E128" s="40">
        <v>2010</v>
      </c>
      <c r="F128" s="30" t="s">
        <v>674</v>
      </c>
      <c r="G128" s="30" t="s">
        <v>241</v>
      </c>
      <c r="H128" s="44" t="s">
        <v>974</v>
      </c>
      <c r="I128" s="40" t="s">
        <v>146</v>
      </c>
      <c r="J128" s="40" t="s">
        <v>147</v>
      </c>
      <c r="K128" s="49" t="s">
        <v>998</v>
      </c>
      <c r="L128" s="40">
        <v>3</v>
      </c>
      <c r="M128" s="40" t="s">
        <v>155</v>
      </c>
      <c r="N128" s="30" t="s">
        <v>377</v>
      </c>
      <c r="O128" s="30" t="s">
        <v>845</v>
      </c>
      <c r="P128" s="40">
        <v>2006</v>
      </c>
      <c r="Q128" s="30" t="s">
        <v>999</v>
      </c>
      <c r="R128" s="35">
        <v>752</v>
      </c>
      <c r="S128" s="43">
        <v>752</v>
      </c>
      <c r="T128" s="32">
        <f t="shared" ref="T128:T190" si="33">VLOOKUP(G128,gdppc,P128-1958,FALSE)</f>
        <v>3782.6</v>
      </c>
      <c r="U128" s="30" t="str">
        <f t="shared" ref="U128:U190" si="34">IF(S128&lt;T128,"Cost-Effective","Not Cost-Effective")</f>
        <v>Cost-Effective</v>
      </c>
      <c r="V128" s="30" t="str">
        <f t="shared" ref="V128:V190" si="35">IF(S128&lt;T128*3,"Cost-Effective","Not Cost-Effective")</f>
        <v>Cost-Effective</v>
      </c>
      <c r="W128" s="41">
        <f t="shared" ref="W128:W190" si="36">S128/T128</f>
        <v>0.19880505472426374</v>
      </c>
      <c r="X128" s="55">
        <f t="shared" ref="X128:X190" si="37">IFERROR(VLOOKUP(G128,ochalek,11,FALSE),0)</f>
        <v>1.89</v>
      </c>
      <c r="Y128" s="30" t="str">
        <f t="shared" ref="Y128:Y190" si="38">IF( W128&lt;X128, "Cost-Effective", IF( W128-X128=W128, "No Threshold", "Not Cost-Effective"))</f>
        <v>Cost-Effective</v>
      </c>
      <c r="Z128" s="55">
        <f t="shared" ref="Z128:Z190" si="39">IFERROR(VLOOKUP(G128,ochalek,10,FALSE),0)</f>
        <v>1.17</v>
      </c>
      <c r="AA128" s="30" t="str">
        <f t="shared" si="28"/>
        <v>Cost-Effective</v>
      </c>
      <c r="AB128" s="55">
        <f t="shared" ref="AB128:AB190" si="40">IFERROR(VLOOKUP(G128,woods,6,FALSE),0)</f>
        <v>0.6677477128612227</v>
      </c>
      <c r="AC128" s="30" t="str">
        <f t="shared" ref="AC128:AC190" si="41">IF( W128&lt;AB128, "Cost-Effective", IF( W128-AB128=W128, "No Threshold", "Not Cost-Effective"))</f>
        <v>Cost-Effective</v>
      </c>
      <c r="AD128" s="55">
        <f t="shared" ref="AD128:AD190" si="42">IFERROR(VLOOKUP(G128,woods,5,FALSE),0)</f>
        <v>0.16578730819497556</v>
      </c>
      <c r="AE128" s="30" t="str">
        <f t="shared" si="29"/>
        <v>Not Cost-Effective</v>
      </c>
      <c r="AF128" s="30" t="s">
        <v>176</v>
      </c>
      <c r="AG128" s="30" t="s">
        <v>382</v>
      </c>
    </row>
    <row r="129" spans="1:33" ht="12.75" customHeight="1">
      <c r="A129" s="40">
        <f t="shared" si="30"/>
        <v>43</v>
      </c>
      <c r="B129" s="40">
        <f t="shared" si="31"/>
        <v>1</v>
      </c>
      <c r="C129" s="51" t="str">
        <f t="shared" si="32"/>
        <v>4301</v>
      </c>
      <c r="D129" s="30" t="s">
        <v>279</v>
      </c>
      <c r="E129" s="40">
        <v>2013</v>
      </c>
      <c r="F129" s="30" t="s">
        <v>676</v>
      </c>
      <c r="G129" s="9" t="s">
        <v>221</v>
      </c>
      <c r="H129" s="44" t="s">
        <v>981</v>
      </c>
      <c r="I129" s="40" t="s">
        <v>166</v>
      </c>
      <c r="J129" s="40" t="s">
        <v>147</v>
      </c>
      <c r="K129" s="49" t="s">
        <v>403</v>
      </c>
      <c r="L129" s="40">
        <v>4</v>
      </c>
      <c r="M129" s="40" t="s">
        <v>155</v>
      </c>
      <c r="N129" s="30" t="s">
        <v>377</v>
      </c>
      <c r="O129" s="30" t="s">
        <v>845</v>
      </c>
      <c r="P129" s="40">
        <v>2009</v>
      </c>
      <c r="Q129" s="30" t="s">
        <v>1000</v>
      </c>
      <c r="R129" s="31">
        <v>3347.53</v>
      </c>
      <c r="S129" s="43">
        <v>3347.53</v>
      </c>
      <c r="T129" s="32">
        <f t="shared" si="33"/>
        <v>8184.4</v>
      </c>
      <c r="U129" s="30" t="str">
        <f t="shared" si="34"/>
        <v>Cost-Effective</v>
      </c>
      <c r="V129" s="30" t="str">
        <f t="shared" si="35"/>
        <v>Cost-Effective</v>
      </c>
      <c r="W129" s="41">
        <f t="shared" si="36"/>
        <v>0.40901348907678026</v>
      </c>
      <c r="X129" s="55">
        <f t="shared" si="37"/>
        <v>0.56000000000000005</v>
      </c>
      <c r="Y129" s="30" t="str">
        <f t="shared" si="38"/>
        <v>Cost-Effective</v>
      </c>
      <c r="Z129" s="55">
        <f t="shared" si="39"/>
        <v>0.37</v>
      </c>
      <c r="AA129" s="30" t="str">
        <f t="shared" ref="AA129:AA190" si="43">IF( W129&lt;Z129, "Cost-Effective", IF( W129-Z129=W129, "No Threshold", "Not Cost-Effective"))</f>
        <v>Not Cost-Effective</v>
      </c>
      <c r="AB129" s="55">
        <f t="shared" si="40"/>
        <v>0</v>
      </c>
      <c r="AC129" s="30" t="str">
        <f t="shared" si="41"/>
        <v>No Threshold</v>
      </c>
      <c r="AD129" s="55">
        <f t="shared" si="42"/>
        <v>0</v>
      </c>
      <c r="AE129" s="30" t="str">
        <f t="shared" ref="AE129:AE190" si="44">IF( W129&lt;AD129, "Cost-Effective", IF( W129-AD129=W129, "No Threshold", "Not Cost-Effective"))</f>
        <v>No Threshold</v>
      </c>
      <c r="AF129" s="30" t="s">
        <v>161</v>
      </c>
      <c r="AG129" s="30" t="s">
        <v>382</v>
      </c>
    </row>
    <row r="130" spans="1:33" ht="12.75" customHeight="1">
      <c r="A130" s="40">
        <f t="shared" si="30"/>
        <v>43</v>
      </c>
      <c r="B130" s="40">
        <f t="shared" si="31"/>
        <v>2</v>
      </c>
      <c r="C130" s="51" t="str">
        <f t="shared" si="32"/>
        <v>4302</v>
      </c>
      <c r="D130" s="30" t="s">
        <v>279</v>
      </c>
      <c r="E130" s="40">
        <v>2013</v>
      </c>
      <c r="F130" s="30" t="s">
        <v>676</v>
      </c>
      <c r="G130" s="9" t="s">
        <v>221</v>
      </c>
      <c r="H130" s="44" t="s">
        <v>981</v>
      </c>
      <c r="I130" s="40" t="s">
        <v>166</v>
      </c>
      <c r="J130" s="40" t="s">
        <v>147</v>
      </c>
      <c r="K130" s="49" t="s">
        <v>403</v>
      </c>
      <c r="L130" s="40">
        <v>4</v>
      </c>
      <c r="M130" s="40" t="s">
        <v>155</v>
      </c>
      <c r="N130" s="30" t="s">
        <v>149</v>
      </c>
      <c r="O130" s="30" t="s">
        <v>845</v>
      </c>
      <c r="P130" s="40">
        <v>2009</v>
      </c>
      <c r="Q130" s="30" t="s">
        <v>1001</v>
      </c>
      <c r="R130" s="31">
        <v>1509.59</v>
      </c>
      <c r="S130" s="43">
        <v>1509.59</v>
      </c>
      <c r="T130" s="32">
        <f t="shared" si="33"/>
        <v>8184.4</v>
      </c>
      <c r="U130" s="30" t="str">
        <f t="shared" si="34"/>
        <v>Cost-Effective</v>
      </c>
      <c r="V130" s="30" t="str">
        <f t="shared" si="35"/>
        <v>Cost-Effective</v>
      </c>
      <c r="W130" s="41">
        <f t="shared" si="36"/>
        <v>0.18444724109281072</v>
      </c>
      <c r="X130" s="55">
        <f t="shared" si="37"/>
        <v>0.56000000000000005</v>
      </c>
      <c r="Y130" s="30" t="str">
        <f t="shared" si="38"/>
        <v>Cost-Effective</v>
      </c>
      <c r="Z130" s="55">
        <f t="shared" si="39"/>
        <v>0.37</v>
      </c>
      <c r="AA130" s="30" t="str">
        <f t="shared" si="43"/>
        <v>Cost-Effective</v>
      </c>
      <c r="AB130" s="55">
        <f t="shared" si="40"/>
        <v>0</v>
      </c>
      <c r="AC130" s="30" t="str">
        <f t="shared" si="41"/>
        <v>No Threshold</v>
      </c>
      <c r="AD130" s="55">
        <f t="shared" si="42"/>
        <v>0</v>
      </c>
      <c r="AE130" s="30" t="str">
        <f t="shared" si="44"/>
        <v>No Threshold</v>
      </c>
      <c r="AF130" s="30" t="s">
        <v>161</v>
      </c>
      <c r="AG130" s="30" t="s">
        <v>382</v>
      </c>
    </row>
    <row r="131" spans="1:33" ht="12.75" customHeight="1">
      <c r="A131" s="40">
        <f t="shared" si="30"/>
        <v>43</v>
      </c>
      <c r="B131" s="40">
        <f t="shared" si="31"/>
        <v>3</v>
      </c>
      <c r="C131" s="51" t="str">
        <f t="shared" si="32"/>
        <v>4303</v>
      </c>
      <c r="D131" s="30" t="s">
        <v>279</v>
      </c>
      <c r="E131" s="40">
        <v>2013</v>
      </c>
      <c r="F131" s="30" t="s">
        <v>676</v>
      </c>
      <c r="G131" s="9" t="s">
        <v>221</v>
      </c>
      <c r="H131" s="44" t="s">
        <v>981</v>
      </c>
      <c r="I131" s="40" t="s">
        <v>166</v>
      </c>
      <c r="J131" s="40" t="s">
        <v>147</v>
      </c>
      <c r="K131" s="49" t="s">
        <v>403</v>
      </c>
      <c r="L131" s="40">
        <v>4</v>
      </c>
      <c r="M131" s="40" t="s">
        <v>148</v>
      </c>
      <c r="N131" s="30" t="s">
        <v>377</v>
      </c>
      <c r="O131" s="30" t="s">
        <v>845</v>
      </c>
      <c r="P131" s="40">
        <v>2009</v>
      </c>
      <c r="Q131" s="30" t="s">
        <v>1002</v>
      </c>
      <c r="R131" s="31">
        <v>3295.13</v>
      </c>
      <c r="S131" s="43">
        <v>3295.13</v>
      </c>
      <c r="T131" s="32">
        <f t="shared" si="33"/>
        <v>8184.4</v>
      </c>
      <c r="U131" s="30" t="str">
        <f t="shared" si="34"/>
        <v>Cost-Effective</v>
      </c>
      <c r="V131" s="30" t="str">
        <f t="shared" si="35"/>
        <v>Cost-Effective</v>
      </c>
      <c r="W131" s="41">
        <f t="shared" si="36"/>
        <v>0.40261106495283716</v>
      </c>
      <c r="X131" s="55">
        <f t="shared" si="37"/>
        <v>0.56000000000000005</v>
      </c>
      <c r="Y131" s="30" t="str">
        <f t="shared" si="38"/>
        <v>Cost-Effective</v>
      </c>
      <c r="Z131" s="55">
        <f t="shared" si="39"/>
        <v>0.37</v>
      </c>
      <c r="AA131" s="30" t="str">
        <f t="shared" si="43"/>
        <v>Not Cost-Effective</v>
      </c>
      <c r="AB131" s="55">
        <f t="shared" si="40"/>
        <v>0</v>
      </c>
      <c r="AC131" s="30" t="str">
        <f t="shared" si="41"/>
        <v>No Threshold</v>
      </c>
      <c r="AD131" s="55">
        <f t="shared" si="42"/>
        <v>0</v>
      </c>
      <c r="AE131" s="30" t="str">
        <f t="shared" si="44"/>
        <v>No Threshold</v>
      </c>
      <c r="AF131" s="30" t="s">
        <v>161</v>
      </c>
      <c r="AG131" s="30" t="s">
        <v>382</v>
      </c>
    </row>
    <row r="132" spans="1:33" ht="12.75" customHeight="1">
      <c r="A132" s="40">
        <f t="shared" si="30"/>
        <v>43</v>
      </c>
      <c r="B132" s="40">
        <f t="shared" si="31"/>
        <v>4</v>
      </c>
      <c r="C132" s="51" t="str">
        <f t="shared" si="32"/>
        <v>4304</v>
      </c>
      <c r="D132" s="30" t="s">
        <v>279</v>
      </c>
      <c r="E132" s="40">
        <v>2013</v>
      </c>
      <c r="F132" s="30" t="s">
        <v>676</v>
      </c>
      <c r="G132" s="9" t="s">
        <v>221</v>
      </c>
      <c r="H132" s="44" t="s">
        <v>981</v>
      </c>
      <c r="I132" s="40" t="s">
        <v>166</v>
      </c>
      <c r="J132" s="40" t="s">
        <v>147</v>
      </c>
      <c r="K132" s="49" t="s">
        <v>403</v>
      </c>
      <c r="L132" s="40">
        <v>4</v>
      </c>
      <c r="M132" s="40" t="s">
        <v>148</v>
      </c>
      <c r="N132" s="30" t="s">
        <v>149</v>
      </c>
      <c r="O132" s="30" t="s">
        <v>845</v>
      </c>
      <c r="P132" s="40">
        <v>2009</v>
      </c>
      <c r="Q132" s="30" t="s">
        <v>1003</v>
      </c>
      <c r="R132" s="31">
        <v>1454.51</v>
      </c>
      <c r="S132" s="43">
        <v>1454.51</v>
      </c>
      <c r="T132" s="32">
        <f t="shared" si="33"/>
        <v>8184.4</v>
      </c>
      <c r="U132" s="30" t="str">
        <f t="shared" si="34"/>
        <v>Cost-Effective</v>
      </c>
      <c r="V132" s="30" t="str">
        <f t="shared" si="35"/>
        <v>Cost-Effective</v>
      </c>
      <c r="W132" s="41">
        <f t="shared" si="36"/>
        <v>0.17771736474268121</v>
      </c>
      <c r="X132" s="55">
        <f t="shared" si="37"/>
        <v>0.56000000000000005</v>
      </c>
      <c r="Y132" s="30" t="str">
        <f t="shared" si="38"/>
        <v>Cost-Effective</v>
      </c>
      <c r="Z132" s="55">
        <f t="shared" si="39"/>
        <v>0.37</v>
      </c>
      <c r="AA132" s="30" t="str">
        <f t="shared" si="43"/>
        <v>Cost-Effective</v>
      </c>
      <c r="AB132" s="55">
        <f t="shared" si="40"/>
        <v>0</v>
      </c>
      <c r="AC132" s="30" t="str">
        <f t="shared" si="41"/>
        <v>No Threshold</v>
      </c>
      <c r="AD132" s="55">
        <f t="shared" si="42"/>
        <v>0</v>
      </c>
      <c r="AE132" s="30" t="str">
        <f t="shared" si="44"/>
        <v>No Threshold</v>
      </c>
      <c r="AF132" s="30" t="s">
        <v>161</v>
      </c>
      <c r="AG132" s="30" t="s">
        <v>382</v>
      </c>
    </row>
    <row r="133" spans="1:33" ht="12.75" customHeight="1">
      <c r="A133" s="40">
        <f t="shared" si="30"/>
        <v>43</v>
      </c>
      <c r="B133" s="40">
        <f t="shared" si="31"/>
        <v>5</v>
      </c>
      <c r="C133" s="51" t="str">
        <f t="shared" si="32"/>
        <v>4305</v>
      </c>
      <c r="D133" s="30" t="s">
        <v>279</v>
      </c>
      <c r="E133" s="40">
        <v>2013</v>
      </c>
      <c r="F133" s="30" t="s">
        <v>676</v>
      </c>
      <c r="G133" s="9" t="s">
        <v>211</v>
      </c>
      <c r="H133" s="44" t="s">
        <v>981</v>
      </c>
      <c r="I133" s="40" t="s">
        <v>166</v>
      </c>
      <c r="J133" s="40" t="s">
        <v>147</v>
      </c>
      <c r="K133" s="49" t="s">
        <v>403</v>
      </c>
      <c r="L133" s="40">
        <v>4</v>
      </c>
      <c r="M133" s="40" t="s">
        <v>155</v>
      </c>
      <c r="N133" s="30" t="s">
        <v>377</v>
      </c>
      <c r="O133" s="30" t="s">
        <v>845</v>
      </c>
      <c r="P133" s="40">
        <v>2008</v>
      </c>
      <c r="Q133" s="30" t="s">
        <v>1004</v>
      </c>
      <c r="R133" s="31">
        <v>7088.64</v>
      </c>
      <c r="S133" s="43">
        <v>7088.64</v>
      </c>
      <c r="T133" s="32">
        <f t="shared" si="33"/>
        <v>8801.7999999999993</v>
      </c>
      <c r="U133" s="30" t="str">
        <f t="shared" si="34"/>
        <v>Cost-Effective</v>
      </c>
      <c r="V133" s="30" t="str">
        <f t="shared" si="35"/>
        <v>Cost-Effective</v>
      </c>
      <c r="W133" s="41">
        <f t="shared" si="36"/>
        <v>0.80536253948056091</v>
      </c>
      <c r="X133" s="55">
        <f t="shared" si="37"/>
        <v>1.0900000000000001</v>
      </c>
      <c r="Y133" s="30" t="str">
        <f t="shared" si="38"/>
        <v>Cost-Effective</v>
      </c>
      <c r="Z133" s="55">
        <f t="shared" si="39"/>
        <v>0.71</v>
      </c>
      <c r="AA133" s="30" t="str">
        <f t="shared" si="43"/>
        <v>Not Cost-Effective</v>
      </c>
      <c r="AB133" s="55">
        <f t="shared" si="40"/>
        <v>0.61540469547909216</v>
      </c>
      <c r="AC133" s="30" t="str">
        <f t="shared" si="41"/>
        <v>Not Cost-Effective</v>
      </c>
      <c r="AD133" s="55">
        <f t="shared" si="42"/>
        <v>0.19520989346254874</v>
      </c>
      <c r="AE133" s="30" t="str">
        <f t="shared" si="44"/>
        <v>Not Cost-Effective</v>
      </c>
      <c r="AF133" s="30" t="s">
        <v>161</v>
      </c>
      <c r="AG133" s="30" t="s">
        <v>382</v>
      </c>
    </row>
    <row r="134" spans="1:33" ht="12.75" customHeight="1">
      <c r="A134" s="40">
        <f t="shared" si="30"/>
        <v>43</v>
      </c>
      <c r="B134" s="40">
        <f t="shared" si="31"/>
        <v>6</v>
      </c>
      <c r="C134" s="51" t="str">
        <f t="shared" si="32"/>
        <v>4306</v>
      </c>
      <c r="D134" s="30" t="s">
        <v>279</v>
      </c>
      <c r="E134" s="40">
        <v>2013</v>
      </c>
      <c r="F134" s="30" t="s">
        <v>676</v>
      </c>
      <c r="G134" s="9" t="s">
        <v>211</v>
      </c>
      <c r="H134" s="44" t="s">
        <v>981</v>
      </c>
      <c r="I134" s="40" t="s">
        <v>166</v>
      </c>
      <c r="J134" s="40" t="s">
        <v>147</v>
      </c>
      <c r="K134" s="49" t="s">
        <v>403</v>
      </c>
      <c r="L134" s="40">
        <v>4</v>
      </c>
      <c r="M134" s="40" t="s">
        <v>155</v>
      </c>
      <c r="N134" s="30" t="s">
        <v>149</v>
      </c>
      <c r="O134" s="30" t="s">
        <v>845</v>
      </c>
      <c r="P134" s="40">
        <v>2008</v>
      </c>
      <c r="Q134" s="30" t="s">
        <v>1005</v>
      </c>
      <c r="R134" s="31">
        <v>4810.99</v>
      </c>
      <c r="S134" s="43">
        <v>4810.99</v>
      </c>
      <c r="T134" s="32">
        <f t="shared" si="33"/>
        <v>8801.7999999999993</v>
      </c>
      <c r="U134" s="30" t="str">
        <f t="shared" si="34"/>
        <v>Cost-Effective</v>
      </c>
      <c r="V134" s="30" t="str">
        <f t="shared" si="35"/>
        <v>Cost-Effective</v>
      </c>
      <c r="W134" s="41">
        <f t="shared" si="36"/>
        <v>0.54659160626235548</v>
      </c>
      <c r="X134" s="55">
        <f t="shared" si="37"/>
        <v>1.0900000000000001</v>
      </c>
      <c r="Y134" s="30" t="str">
        <f t="shared" si="38"/>
        <v>Cost-Effective</v>
      </c>
      <c r="Z134" s="55">
        <f t="shared" si="39"/>
        <v>0.71</v>
      </c>
      <c r="AA134" s="30" t="str">
        <f t="shared" si="43"/>
        <v>Cost-Effective</v>
      </c>
      <c r="AB134" s="55">
        <f t="shared" si="40"/>
        <v>0.61540469547909216</v>
      </c>
      <c r="AC134" s="30" t="str">
        <f t="shared" si="41"/>
        <v>Cost-Effective</v>
      </c>
      <c r="AD134" s="55">
        <f t="shared" si="42"/>
        <v>0.19520989346254874</v>
      </c>
      <c r="AE134" s="30" t="str">
        <f t="shared" si="44"/>
        <v>Not Cost-Effective</v>
      </c>
      <c r="AF134" s="30" t="s">
        <v>161</v>
      </c>
      <c r="AG134" s="30" t="s">
        <v>382</v>
      </c>
    </row>
    <row r="135" spans="1:33" ht="12.75" customHeight="1">
      <c r="A135" s="40">
        <f t="shared" si="30"/>
        <v>43</v>
      </c>
      <c r="B135" s="40">
        <f t="shared" si="31"/>
        <v>7</v>
      </c>
      <c r="C135" s="51" t="str">
        <f t="shared" si="32"/>
        <v>4307</v>
      </c>
      <c r="D135" s="30" t="s">
        <v>279</v>
      </c>
      <c r="E135" s="40">
        <v>2013</v>
      </c>
      <c r="F135" s="30" t="s">
        <v>676</v>
      </c>
      <c r="G135" s="9" t="s">
        <v>211</v>
      </c>
      <c r="H135" s="44" t="s">
        <v>981</v>
      </c>
      <c r="I135" s="40" t="s">
        <v>166</v>
      </c>
      <c r="J135" s="40" t="s">
        <v>147</v>
      </c>
      <c r="K135" s="49" t="s">
        <v>403</v>
      </c>
      <c r="L135" s="40">
        <v>4</v>
      </c>
      <c r="M135" s="40" t="s">
        <v>148</v>
      </c>
      <c r="N135" s="30" t="s">
        <v>377</v>
      </c>
      <c r="O135" s="30" t="s">
        <v>845</v>
      </c>
      <c r="P135" s="40">
        <v>2008</v>
      </c>
      <c r="Q135" s="30" t="s">
        <v>1006</v>
      </c>
      <c r="R135" s="31">
        <v>6293.05</v>
      </c>
      <c r="S135" s="43">
        <v>6293.05</v>
      </c>
      <c r="T135" s="32">
        <f t="shared" si="33"/>
        <v>8801.7999999999993</v>
      </c>
      <c r="U135" s="30" t="str">
        <f t="shared" si="34"/>
        <v>Cost-Effective</v>
      </c>
      <c r="V135" s="30" t="str">
        <f t="shared" si="35"/>
        <v>Cost-Effective</v>
      </c>
      <c r="W135" s="41">
        <f t="shared" si="36"/>
        <v>0.71497307368947272</v>
      </c>
      <c r="X135" s="55">
        <f t="shared" si="37"/>
        <v>1.0900000000000001</v>
      </c>
      <c r="Y135" s="30" t="str">
        <f t="shared" si="38"/>
        <v>Cost-Effective</v>
      </c>
      <c r="Z135" s="55">
        <f t="shared" si="39"/>
        <v>0.71</v>
      </c>
      <c r="AA135" s="30" t="str">
        <f t="shared" si="43"/>
        <v>Not Cost-Effective</v>
      </c>
      <c r="AB135" s="55">
        <f t="shared" si="40"/>
        <v>0.61540469547909216</v>
      </c>
      <c r="AC135" s="30" t="str">
        <f t="shared" si="41"/>
        <v>Not Cost-Effective</v>
      </c>
      <c r="AD135" s="55">
        <f t="shared" si="42"/>
        <v>0.19520989346254874</v>
      </c>
      <c r="AE135" s="30" t="str">
        <f t="shared" si="44"/>
        <v>Not Cost-Effective</v>
      </c>
      <c r="AF135" s="30" t="s">
        <v>161</v>
      </c>
      <c r="AG135" s="30" t="s">
        <v>382</v>
      </c>
    </row>
    <row r="136" spans="1:33" ht="12.75" customHeight="1">
      <c r="A136" s="40">
        <f t="shared" si="30"/>
        <v>43</v>
      </c>
      <c r="B136" s="40">
        <f t="shared" si="31"/>
        <v>8</v>
      </c>
      <c r="C136" s="51" t="str">
        <f t="shared" si="32"/>
        <v>4308</v>
      </c>
      <c r="D136" s="30" t="s">
        <v>279</v>
      </c>
      <c r="E136" s="40">
        <v>2013</v>
      </c>
      <c r="F136" s="30" t="s">
        <v>676</v>
      </c>
      <c r="G136" s="9" t="s">
        <v>211</v>
      </c>
      <c r="H136" s="44" t="s">
        <v>981</v>
      </c>
      <c r="I136" s="40" t="s">
        <v>166</v>
      </c>
      <c r="J136" s="40" t="s">
        <v>147</v>
      </c>
      <c r="K136" s="49" t="s">
        <v>403</v>
      </c>
      <c r="L136" s="40">
        <v>4</v>
      </c>
      <c r="M136" s="40" t="s">
        <v>148</v>
      </c>
      <c r="N136" s="30" t="s">
        <v>149</v>
      </c>
      <c r="O136" s="30" t="s">
        <v>845</v>
      </c>
      <c r="P136" s="40">
        <v>2008</v>
      </c>
      <c r="Q136" s="30" t="s">
        <v>1007</v>
      </c>
      <c r="R136" s="31">
        <v>4024.69</v>
      </c>
      <c r="S136" s="43">
        <v>4024.69</v>
      </c>
      <c r="T136" s="32">
        <f t="shared" si="33"/>
        <v>8801.7999999999993</v>
      </c>
      <c r="U136" s="30" t="str">
        <f t="shared" si="34"/>
        <v>Cost-Effective</v>
      </c>
      <c r="V136" s="30" t="str">
        <f t="shared" si="35"/>
        <v>Cost-Effective</v>
      </c>
      <c r="W136" s="41">
        <f t="shared" si="36"/>
        <v>0.45725760639869123</v>
      </c>
      <c r="X136" s="55">
        <f t="shared" si="37"/>
        <v>1.0900000000000001</v>
      </c>
      <c r="Y136" s="30" t="str">
        <f t="shared" si="38"/>
        <v>Cost-Effective</v>
      </c>
      <c r="Z136" s="55">
        <f t="shared" si="39"/>
        <v>0.71</v>
      </c>
      <c r="AA136" s="30" t="str">
        <f t="shared" si="43"/>
        <v>Cost-Effective</v>
      </c>
      <c r="AB136" s="55">
        <f t="shared" si="40"/>
        <v>0.61540469547909216</v>
      </c>
      <c r="AC136" s="30" t="str">
        <f t="shared" si="41"/>
        <v>Cost-Effective</v>
      </c>
      <c r="AD136" s="55">
        <f t="shared" si="42"/>
        <v>0.19520989346254874</v>
      </c>
      <c r="AE136" s="30" t="str">
        <f t="shared" si="44"/>
        <v>Not Cost-Effective</v>
      </c>
      <c r="AF136" s="30" t="s">
        <v>161</v>
      </c>
      <c r="AG136" s="30" t="s">
        <v>382</v>
      </c>
    </row>
    <row r="137" spans="1:33" ht="12.75" customHeight="1">
      <c r="A137" s="40">
        <f t="shared" si="30"/>
        <v>43</v>
      </c>
      <c r="B137" s="40">
        <f t="shared" si="31"/>
        <v>9</v>
      </c>
      <c r="C137" s="51" t="str">
        <f t="shared" si="32"/>
        <v>4309</v>
      </c>
      <c r="D137" s="30" t="s">
        <v>279</v>
      </c>
      <c r="E137" s="40">
        <v>2013</v>
      </c>
      <c r="F137" s="30" t="s">
        <v>676</v>
      </c>
      <c r="G137" s="9" t="s">
        <v>241</v>
      </c>
      <c r="H137" s="44" t="s">
        <v>981</v>
      </c>
      <c r="I137" s="40" t="s">
        <v>166</v>
      </c>
      <c r="J137" s="40" t="s">
        <v>147</v>
      </c>
      <c r="K137" s="49" t="s">
        <v>403</v>
      </c>
      <c r="L137" s="40">
        <v>4</v>
      </c>
      <c r="M137" s="40" t="s">
        <v>155</v>
      </c>
      <c r="N137" s="30" t="s">
        <v>377</v>
      </c>
      <c r="O137" s="30" t="s">
        <v>845</v>
      </c>
      <c r="P137" s="40">
        <v>2008</v>
      </c>
      <c r="Q137" s="30" t="s">
        <v>1008</v>
      </c>
      <c r="R137" s="31">
        <v>4021.37</v>
      </c>
      <c r="S137" s="43">
        <v>4021.37</v>
      </c>
      <c r="T137" s="32">
        <f t="shared" si="33"/>
        <v>5534.7</v>
      </c>
      <c r="U137" s="30" t="str">
        <f t="shared" si="34"/>
        <v>Cost-Effective</v>
      </c>
      <c r="V137" s="30" t="str">
        <f t="shared" si="35"/>
        <v>Cost-Effective</v>
      </c>
      <c r="W137" s="41">
        <f t="shared" si="36"/>
        <v>0.72657415939436643</v>
      </c>
      <c r="X137" s="55">
        <f t="shared" si="37"/>
        <v>1.89</v>
      </c>
      <c r="Y137" s="30" t="str">
        <f t="shared" si="38"/>
        <v>Cost-Effective</v>
      </c>
      <c r="Z137" s="55">
        <f t="shared" si="39"/>
        <v>1.17</v>
      </c>
      <c r="AA137" s="30" t="str">
        <f t="shared" si="43"/>
        <v>Cost-Effective</v>
      </c>
      <c r="AB137" s="55">
        <f t="shared" si="40"/>
        <v>0.6677477128612227</v>
      </c>
      <c r="AC137" s="30" t="str">
        <f t="shared" si="41"/>
        <v>Not Cost-Effective</v>
      </c>
      <c r="AD137" s="55">
        <f t="shared" si="42"/>
        <v>0.16578730819497556</v>
      </c>
      <c r="AE137" s="30" t="str">
        <f t="shared" si="44"/>
        <v>Not Cost-Effective</v>
      </c>
      <c r="AF137" s="30" t="s">
        <v>161</v>
      </c>
      <c r="AG137" s="30" t="s">
        <v>382</v>
      </c>
    </row>
    <row r="138" spans="1:33" ht="12.75" customHeight="1">
      <c r="A138" s="40">
        <f t="shared" si="30"/>
        <v>43</v>
      </c>
      <c r="B138" s="40">
        <f t="shared" si="31"/>
        <v>10</v>
      </c>
      <c r="C138" s="51" t="str">
        <f t="shared" si="32"/>
        <v>4310</v>
      </c>
      <c r="D138" s="30" t="s">
        <v>279</v>
      </c>
      <c r="E138" s="40">
        <v>2013</v>
      </c>
      <c r="F138" s="30" t="s">
        <v>676</v>
      </c>
      <c r="G138" s="9" t="s">
        <v>241</v>
      </c>
      <c r="H138" s="44" t="s">
        <v>981</v>
      </c>
      <c r="I138" s="40" t="s">
        <v>166</v>
      </c>
      <c r="J138" s="40" t="s">
        <v>147</v>
      </c>
      <c r="K138" s="49" t="s">
        <v>403</v>
      </c>
      <c r="L138" s="40">
        <v>4</v>
      </c>
      <c r="M138" s="40" t="s">
        <v>155</v>
      </c>
      <c r="N138" s="30" t="s">
        <v>149</v>
      </c>
      <c r="O138" s="30" t="s">
        <v>845</v>
      </c>
      <c r="P138" s="40">
        <v>2008</v>
      </c>
      <c r="Q138" s="30" t="s">
        <v>1009</v>
      </c>
      <c r="R138" s="31">
        <v>2433.3200000000002</v>
      </c>
      <c r="S138" s="43">
        <v>2433.3200000000002</v>
      </c>
      <c r="T138" s="32">
        <f t="shared" si="33"/>
        <v>5534.7</v>
      </c>
      <c r="U138" s="30" t="str">
        <f t="shared" si="34"/>
        <v>Cost-Effective</v>
      </c>
      <c r="V138" s="30" t="str">
        <f t="shared" si="35"/>
        <v>Cost-Effective</v>
      </c>
      <c r="W138" s="41">
        <f t="shared" si="36"/>
        <v>0.43964803873742031</v>
      </c>
      <c r="X138" s="55">
        <f t="shared" si="37"/>
        <v>1.89</v>
      </c>
      <c r="Y138" s="30" t="str">
        <f t="shared" si="38"/>
        <v>Cost-Effective</v>
      </c>
      <c r="Z138" s="55">
        <f t="shared" si="39"/>
        <v>1.17</v>
      </c>
      <c r="AA138" s="30" t="str">
        <f t="shared" si="43"/>
        <v>Cost-Effective</v>
      </c>
      <c r="AB138" s="55">
        <f t="shared" si="40"/>
        <v>0.6677477128612227</v>
      </c>
      <c r="AC138" s="30" t="str">
        <f t="shared" si="41"/>
        <v>Cost-Effective</v>
      </c>
      <c r="AD138" s="55">
        <f t="shared" si="42"/>
        <v>0.16578730819497556</v>
      </c>
      <c r="AE138" s="30" t="str">
        <f t="shared" si="44"/>
        <v>Not Cost-Effective</v>
      </c>
      <c r="AF138" s="30" t="s">
        <v>161</v>
      </c>
      <c r="AG138" s="30" t="s">
        <v>382</v>
      </c>
    </row>
    <row r="139" spans="1:33" ht="12.75" customHeight="1">
      <c r="A139" s="40">
        <f t="shared" si="30"/>
        <v>43</v>
      </c>
      <c r="B139" s="40">
        <f t="shared" si="31"/>
        <v>11</v>
      </c>
      <c r="C139" s="51" t="str">
        <f t="shared" si="32"/>
        <v>4311</v>
      </c>
      <c r="D139" s="30" t="s">
        <v>279</v>
      </c>
      <c r="E139" s="40">
        <v>2013</v>
      </c>
      <c r="F139" s="30" t="s">
        <v>676</v>
      </c>
      <c r="G139" s="9" t="s">
        <v>241</v>
      </c>
      <c r="H139" s="44" t="s">
        <v>981</v>
      </c>
      <c r="I139" s="40" t="s">
        <v>166</v>
      </c>
      <c r="J139" s="40" t="s">
        <v>147</v>
      </c>
      <c r="K139" s="49" t="s">
        <v>403</v>
      </c>
      <c r="L139" s="40">
        <v>4</v>
      </c>
      <c r="M139" s="40" t="s">
        <v>148</v>
      </c>
      <c r="N139" s="30" t="s">
        <v>377</v>
      </c>
      <c r="O139" s="30" t="s">
        <v>845</v>
      </c>
      <c r="P139" s="40">
        <v>2008</v>
      </c>
      <c r="Q139" s="30" t="s">
        <v>1010</v>
      </c>
      <c r="R139" s="31">
        <v>3885.8</v>
      </c>
      <c r="S139" s="43">
        <v>3885.8</v>
      </c>
      <c r="T139" s="32">
        <f t="shared" si="33"/>
        <v>5534.7</v>
      </c>
      <c r="U139" s="30" t="str">
        <f t="shared" si="34"/>
        <v>Cost-Effective</v>
      </c>
      <c r="V139" s="30" t="str">
        <f t="shared" si="35"/>
        <v>Cost-Effective</v>
      </c>
      <c r="W139" s="41">
        <f t="shared" si="36"/>
        <v>0.70207960684409276</v>
      </c>
      <c r="X139" s="55">
        <f t="shared" si="37"/>
        <v>1.89</v>
      </c>
      <c r="Y139" s="30" t="str">
        <f t="shared" si="38"/>
        <v>Cost-Effective</v>
      </c>
      <c r="Z139" s="55">
        <f t="shared" si="39"/>
        <v>1.17</v>
      </c>
      <c r="AA139" s="30" t="str">
        <f t="shared" si="43"/>
        <v>Cost-Effective</v>
      </c>
      <c r="AB139" s="55">
        <f t="shared" si="40"/>
        <v>0.6677477128612227</v>
      </c>
      <c r="AC139" s="30" t="str">
        <f t="shared" si="41"/>
        <v>Not Cost-Effective</v>
      </c>
      <c r="AD139" s="55">
        <f t="shared" si="42"/>
        <v>0.16578730819497556</v>
      </c>
      <c r="AE139" s="30" t="str">
        <f t="shared" si="44"/>
        <v>Not Cost-Effective</v>
      </c>
      <c r="AF139" s="30" t="s">
        <v>161</v>
      </c>
      <c r="AG139" s="30" t="s">
        <v>382</v>
      </c>
    </row>
    <row r="140" spans="1:33" ht="12.75" customHeight="1">
      <c r="A140" s="40">
        <f t="shared" si="30"/>
        <v>43</v>
      </c>
      <c r="B140" s="40">
        <f t="shared" si="31"/>
        <v>12</v>
      </c>
      <c r="C140" s="51" t="str">
        <f t="shared" si="32"/>
        <v>4312</v>
      </c>
      <c r="D140" s="30" t="s">
        <v>279</v>
      </c>
      <c r="E140" s="40">
        <v>2013</v>
      </c>
      <c r="F140" s="30" t="s">
        <v>676</v>
      </c>
      <c r="G140" s="9" t="s">
        <v>241</v>
      </c>
      <c r="H140" s="44" t="s">
        <v>981</v>
      </c>
      <c r="I140" s="40" t="s">
        <v>166</v>
      </c>
      <c r="J140" s="40" t="s">
        <v>147</v>
      </c>
      <c r="K140" s="49" t="s">
        <v>403</v>
      </c>
      <c r="L140" s="40">
        <v>4</v>
      </c>
      <c r="M140" s="40" t="s">
        <v>148</v>
      </c>
      <c r="N140" s="30" t="s">
        <v>149</v>
      </c>
      <c r="O140" s="30" t="s">
        <v>845</v>
      </c>
      <c r="P140" s="40">
        <v>2008</v>
      </c>
      <c r="Q140" s="30" t="s">
        <v>1011</v>
      </c>
      <c r="R140" s="31">
        <v>2295.77</v>
      </c>
      <c r="S140" s="43">
        <v>2295.77</v>
      </c>
      <c r="T140" s="32">
        <f t="shared" si="33"/>
        <v>5534.7</v>
      </c>
      <c r="U140" s="30" t="str">
        <f t="shared" si="34"/>
        <v>Cost-Effective</v>
      </c>
      <c r="V140" s="30" t="str">
        <f t="shared" si="35"/>
        <v>Cost-Effective</v>
      </c>
      <c r="W140" s="41">
        <f t="shared" si="36"/>
        <v>0.41479574322004809</v>
      </c>
      <c r="X140" s="55">
        <f t="shared" si="37"/>
        <v>1.89</v>
      </c>
      <c r="Y140" s="30" t="str">
        <f t="shared" si="38"/>
        <v>Cost-Effective</v>
      </c>
      <c r="Z140" s="55">
        <f t="shared" si="39"/>
        <v>1.17</v>
      </c>
      <c r="AA140" s="30" t="str">
        <f t="shared" si="43"/>
        <v>Cost-Effective</v>
      </c>
      <c r="AB140" s="55">
        <f t="shared" si="40"/>
        <v>0.6677477128612227</v>
      </c>
      <c r="AC140" s="30" t="str">
        <f t="shared" si="41"/>
        <v>Cost-Effective</v>
      </c>
      <c r="AD140" s="55">
        <f t="shared" si="42"/>
        <v>0.16578730819497556</v>
      </c>
      <c r="AE140" s="30" t="str">
        <f t="shared" si="44"/>
        <v>Not Cost-Effective</v>
      </c>
      <c r="AF140" s="30" t="s">
        <v>161</v>
      </c>
      <c r="AG140" s="30" t="s">
        <v>382</v>
      </c>
    </row>
    <row r="141" spans="1:33" ht="12.75" customHeight="1">
      <c r="A141" s="40">
        <f t="shared" si="30"/>
        <v>43</v>
      </c>
      <c r="B141" s="40">
        <f t="shared" si="31"/>
        <v>13</v>
      </c>
      <c r="C141" s="51" t="str">
        <f t="shared" si="32"/>
        <v>4313</v>
      </c>
      <c r="D141" s="30" t="s">
        <v>279</v>
      </c>
      <c r="E141" s="40">
        <v>2013</v>
      </c>
      <c r="F141" s="30" t="s">
        <v>676</v>
      </c>
      <c r="G141" s="9" t="s">
        <v>281</v>
      </c>
      <c r="H141" s="44" t="s">
        <v>981</v>
      </c>
      <c r="I141" s="40" t="s">
        <v>166</v>
      </c>
      <c r="J141" s="40" t="s">
        <v>147</v>
      </c>
      <c r="K141" s="49" t="s">
        <v>403</v>
      </c>
      <c r="L141" s="40">
        <v>4</v>
      </c>
      <c r="M141" s="40" t="s">
        <v>155</v>
      </c>
      <c r="N141" s="30" t="s">
        <v>377</v>
      </c>
      <c r="O141" s="30" t="s">
        <v>845</v>
      </c>
      <c r="P141" s="40">
        <v>2008</v>
      </c>
      <c r="Q141" s="30" t="s">
        <v>1012</v>
      </c>
      <c r="R141" s="31">
        <v>4594.33</v>
      </c>
      <c r="S141" s="43">
        <v>4594.33</v>
      </c>
      <c r="T141" s="32">
        <f t="shared" si="33"/>
        <v>10590</v>
      </c>
      <c r="U141" s="30" t="str">
        <f t="shared" si="34"/>
        <v>Cost-Effective</v>
      </c>
      <c r="V141" s="30" t="str">
        <f t="shared" si="35"/>
        <v>Cost-Effective</v>
      </c>
      <c r="W141" s="41">
        <f t="shared" si="36"/>
        <v>0.43383663833805475</v>
      </c>
      <c r="X141" s="55">
        <f t="shared" si="37"/>
        <v>0.97</v>
      </c>
      <c r="Y141" s="30" t="str">
        <f t="shared" si="38"/>
        <v>Cost-Effective</v>
      </c>
      <c r="Z141" s="55">
        <f t="shared" si="39"/>
        <v>0.64</v>
      </c>
      <c r="AA141" s="30" t="str">
        <f t="shared" si="43"/>
        <v>Cost-Effective</v>
      </c>
      <c r="AB141" s="55">
        <f t="shared" si="40"/>
        <v>0.59633311243649212</v>
      </c>
      <c r="AC141" s="30" t="str">
        <f t="shared" si="41"/>
        <v>Cost-Effective</v>
      </c>
      <c r="AD141" s="55">
        <f t="shared" si="42"/>
        <v>0.21294455489286504</v>
      </c>
      <c r="AE141" s="30" t="str">
        <f t="shared" si="44"/>
        <v>Not Cost-Effective</v>
      </c>
      <c r="AF141" s="30" t="s">
        <v>161</v>
      </c>
      <c r="AG141" s="30" t="s">
        <v>382</v>
      </c>
    </row>
    <row r="142" spans="1:33" ht="12.75" customHeight="1">
      <c r="A142" s="40">
        <f t="shared" si="30"/>
        <v>43</v>
      </c>
      <c r="B142" s="40">
        <f t="shared" si="31"/>
        <v>14</v>
      </c>
      <c r="C142" s="51" t="str">
        <f t="shared" si="32"/>
        <v>4314</v>
      </c>
      <c r="D142" s="30" t="s">
        <v>279</v>
      </c>
      <c r="E142" s="40">
        <v>2013</v>
      </c>
      <c r="F142" s="30" t="s">
        <v>676</v>
      </c>
      <c r="G142" s="9" t="s">
        <v>281</v>
      </c>
      <c r="H142" s="44" t="s">
        <v>981</v>
      </c>
      <c r="I142" s="40" t="s">
        <v>166</v>
      </c>
      <c r="J142" s="40" t="s">
        <v>147</v>
      </c>
      <c r="K142" s="49" t="s">
        <v>403</v>
      </c>
      <c r="L142" s="40">
        <v>4</v>
      </c>
      <c r="M142" s="40" t="s">
        <v>155</v>
      </c>
      <c r="N142" s="30" t="s">
        <v>149</v>
      </c>
      <c r="O142" s="30" t="s">
        <v>845</v>
      </c>
      <c r="P142" s="40">
        <v>2008</v>
      </c>
      <c r="Q142" s="30" t="s">
        <v>1013</v>
      </c>
      <c r="R142" s="31">
        <v>3243.41</v>
      </c>
      <c r="S142" s="43">
        <v>3243.41</v>
      </c>
      <c r="T142" s="32">
        <f t="shared" si="33"/>
        <v>10590</v>
      </c>
      <c r="U142" s="30" t="str">
        <f t="shared" si="34"/>
        <v>Cost-Effective</v>
      </c>
      <c r="V142" s="30" t="str">
        <f t="shared" si="35"/>
        <v>Cost-Effective</v>
      </c>
      <c r="W142" s="41">
        <f t="shared" si="36"/>
        <v>0.3062710103871577</v>
      </c>
      <c r="X142" s="55">
        <f t="shared" si="37"/>
        <v>0.97</v>
      </c>
      <c r="Y142" s="30" t="str">
        <f t="shared" si="38"/>
        <v>Cost-Effective</v>
      </c>
      <c r="Z142" s="55">
        <f t="shared" si="39"/>
        <v>0.64</v>
      </c>
      <c r="AA142" s="30" t="str">
        <f t="shared" si="43"/>
        <v>Cost-Effective</v>
      </c>
      <c r="AB142" s="55">
        <f t="shared" si="40"/>
        <v>0.59633311243649212</v>
      </c>
      <c r="AC142" s="30" t="str">
        <f t="shared" si="41"/>
        <v>Cost-Effective</v>
      </c>
      <c r="AD142" s="55">
        <f t="shared" si="42"/>
        <v>0.21294455489286504</v>
      </c>
      <c r="AE142" s="30" t="str">
        <f t="shared" si="44"/>
        <v>Not Cost-Effective</v>
      </c>
      <c r="AF142" s="30" t="s">
        <v>161</v>
      </c>
      <c r="AG142" s="30" t="s">
        <v>382</v>
      </c>
    </row>
    <row r="143" spans="1:33" ht="12.75" customHeight="1">
      <c r="A143" s="40">
        <f t="shared" si="30"/>
        <v>43</v>
      </c>
      <c r="B143" s="40">
        <f t="shared" si="31"/>
        <v>15</v>
      </c>
      <c r="C143" s="51" t="str">
        <f t="shared" si="32"/>
        <v>4315</v>
      </c>
      <c r="D143" s="30" t="s">
        <v>279</v>
      </c>
      <c r="E143" s="40">
        <v>2013</v>
      </c>
      <c r="F143" s="30" t="s">
        <v>676</v>
      </c>
      <c r="G143" s="9" t="s">
        <v>281</v>
      </c>
      <c r="H143" s="44" t="s">
        <v>981</v>
      </c>
      <c r="I143" s="40" t="s">
        <v>166</v>
      </c>
      <c r="J143" s="40" t="s">
        <v>147</v>
      </c>
      <c r="K143" s="49" t="s">
        <v>403</v>
      </c>
      <c r="L143" s="40">
        <v>4</v>
      </c>
      <c r="M143" s="40" t="s">
        <v>148</v>
      </c>
      <c r="N143" s="30" t="s">
        <v>377</v>
      </c>
      <c r="O143" s="30" t="s">
        <v>845</v>
      </c>
      <c r="P143" s="40">
        <v>2008</v>
      </c>
      <c r="Q143" s="30" t="s">
        <v>1014</v>
      </c>
      <c r="R143" s="31">
        <v>4144.01</v>
      </c>
      <c r="S143" s="43">
        <v>4144.01</v>
      </c>
      <c r="T143" s="32">
        <f t="shared" si="33"/>
        <v>10590</v>
      </c>
      <c r="U143" s="30" t="str">
        <f t="shared" si="34"/>
        <v>Cost-Effective</v>
      </c>
      <c r="V143" s="30" t="str">
        <f t="shared" si="35"/>
        <v>Cost-Effective</v>
      </c>
      <c r="W143" s="41">
        <f t="shared" si="36"/>
        <v>0.39131350330500475</v>
      </c>
      <c r="X143" s="55">
        <f t="shared" si="37"/>
        <v>0.97</v>
      </c>
      <c r="Y143" s="30" t="str">
        <f t="shared" si="38"/>
        <v>Cost-Effective</v>
      </c>
      <c r="Z143" s="55">
        <f t="shared" si="39"/>
        <v>0.64</v>
      </c>
      <c r="AA143" s="30" t="str">
        <f t="shared" si="43"/>
        <v>Cost-Effective</v>
      </c>
      <c r="AB143" s="55">
        <f t="shared" si="40"/>
        <v>0.59633311243649212</v>
      </c>
      <c r="AC143" s="30" t="str">
        <f t="shared" si="41"/>
        <v>Cost-Effective</v>
      </c>
      <c r="AD143" s="55">
        <f t="shared" si="42"/>
        <v>0.21294455489286504</v>
      </c>
      <c r="AE143" s="30" t="str">
        <f t="shared" si="44"/>
        <v>Not Cost-Effective</v>
      </c>
      <c r="AF143" s="30" t="s">
        <v>161</v>
      </c>
      <c r="AG143" s="30" t="s">
        <v>382</v>
      </c>
    </row>
    <row r="144" spans="1:33" ht="12.75" customHeight="1">
      <c r="A144" s="40">
        <f t="shared" si="30"/>
        <v>43</v>
      </c>
      <c r="B144" s="40">
        <f t="shared" si="31"/>
        <v>16</v>
      </c>
      <c r="C144" s="51" t="str">
        <f t="shared" si="32"/>
        <v>4316</v>
      </c>
      <c r="D144" s="30" t="s">
        <v>279</v>
      </c>
      <c r="E144" s="40">
        <v>2013</v>
      </c>
      <c r="F144" s="30" t="s">
        <v>676</v>
      </c>
      <c r="G144" s="9" t="s">
        <v>281</v>
      </c>
      <c r="H144" s="44" t="s">
        <v>981</v>
      </c>
      <c r="I144" s="40" t="s">
        <v>166</v>
      </c>
      <c r="J144" s="40" t="s">
        <v>147</v>
      </c>
      <c r="K144" s="49" t="s">
        <v>403</v>
      </c>
      <c r="L144" s="40">
        <v>4</v>
      </c>
      <c r="M144" s="40" t="s">
        <v>148</v>
      </c>
      <c r="N144" s="30" t="s">
        <v>149</v>
      </c>
      <c r="O144" s="30" t="s">
        <v>845</v>
      </c>
      <c r="P144" s="40">
        <v>2008</v>
      </c>
      <c r="Q144" s="30" t="s">
        <v>1015</v>
      </c>
      <c r="R144" s="31">
        <v>2790.71</v>
      </c>
      <c r="S144" s="43">
        <v>2790.71</v>
      </c>
      <c r="T144" s="32">
        <f t="shared" si="33"/>
        <v>10590</v>
      </c>
      <c r="U144" s="30" t="str">
        <f t="shared" si="34"/>
        <v>Cost-Effective</v>
      </c>
      <c r="V144" s="30" t="str">
        <f t="shared" si="35"/>
        <v>Cost-Effective</v>
      </c>
      <c r="W144" s="41">
        <f t="shared" si="36"/>
        <v>0.26352313503305003</v>
      </c>
      <c r="X144" s="55">
        <f t="shared" si="37"/>
        <v>0.97</v>
      </c>
      <c r="Y144" s="30" t="str">
        <f t="shared" si="38"/>
        <v>Cost-Effective</v>
      </c>
      <c r="Z144" s="55">
        <f t="shared" si="39"/>
        <v>0.64</v>
      </c>
      <c r="AA144" s="30" t="str">
        <f t="shared" si="43"/>
        <v>Cost-Effective</v>
      </c>
      <c r="AB144" s="55">
        <f t="shared" si="40"/>
        <v>0.59633311243649212</v>
      </c>
      <c r="AC144" s="30" t="str">
        <f t="shared" si="41"/>
        <v>Cost-Effective</v>
      </c>
      <c r="AD144" s="55">
        <f t="shared" si="42"/>
        <v>0.21294455489286504</v>
      </c>
      <c r="AE144" s="30" t="str">
        <f t="shared" si="44"/>
        <v>Not Cost-Effective</v>
      </c>
      <c r="AF144" s="30" t="s">
        <v>161</v>
      </c>
      <c r="AG144" s="30" t="s">
        <v>382</v>
      </c>
    </row>
    <row r="145" spans="1:34" ht="12.75" customHeight="1">
      <c r="A145" s="40">
        <f t="shared" si="30"/>
        <v>43</v>
      </c>
      <c r="B145" s="40">
        <f t="shared" si="31"/>
        <v>17</v>
      </c>
      <c r="C145" s="51" t="str">
        <f t="shared" si="32"/>
        <v>4317</v>
      </c>
      <c r="D145" s="30" t="s">
        <v>279</v>
      </c>
      <c r="E145" s="40">
        <v>2013</v>
      </c>
      <c r="F145" s="30" t="s">
        <v>676</v>
      </c>
      <c r="G145" s="9" t="s">
        <v>234</v>
      </c>
      <c r="H145" s="44" t="s">
        <v>981</v>
      </c>
      <c r="I145" s="40" t="s">
        <v>166</v>
      </c>
      <c r="J145" s="40" t="s">
        <v>147</v>
      </c>
      <c r="K145" s="49" t="s">
        <v>403</v>
      </c>
      <c r="L145" s="40">
        <v>4</v>
      </c>
      <c r="M145" s="40" t="s">
        <v>155</v>
      </c>
      <c r="N145" s="30" t="s">
        <v>377</v>
      </c>
      <c r="O145" s="30" t="s">
        <v>845</v>
      </c>
      <c r="P145" s="40">
        <v>2009</v>
      </c>
      <c r="Q145" s="30" t="s">
        <v>1016</v>
      </c>
      <c r="R145" s="31">
        <v>2975.23</v>
      </c>
      <c r="S145" s="43">
        <v>2975.23</v>
      </c>
      <c r="T145" s="32">
        <f t="shared" si="33"/>
        <v>4165</v>
      </c>
      <c r="U145" s="30" t="str">
        <f t="shared" si="34"/>
        <v>Cost-Effective</v>
      </c>
      <c r="V145" s="30" t="str">
        <f t="shared" si="35"/>
        <v>Cost-Effective</v>
      </c>
      <c r="W145" s="41">
        <f t="shared" si="36"/>
        <v>0.71434093637454987</v>
      </c>
      <c r="X145" s="55">
        <f t="shared" si="37"/>
        <v>1.08</v>
      </c>
      <c r="Y145" s="30" t="str">
        <f t="shared" si="38"/>
        <v>Cost-Effective</v>
      </c>
      <c r="Z145" s="55">
        <f t="shared" si="39"/>
        <v>0.64</v>
      </c>
      <c r="AA145" s="30" t="str">
        <f t="shared" si="43"/>
        <v>Not Cost-Effective</v>
      </c>
      <c r="AB145" s="55">
        <f t="shared" si="40"/>
        <v>0.65445260705966679</v>
      </c>
      <c r="AC145" s="30" t="str">
        <f t="shared" si="41"/>
        <v>Not Cost-Effective</v>
      </c>
      <c r="AD145" s="55">
        <f t="shared" si="42"/>
        <v>0.16633817117601385</v>
      </c>
      <c r="AE145" s="30" t="str">
        <f t="shared" si="44"/>
        <v>Not Cost-Effective</v>
      </c>
      <c r="AF145" s="30" t="s">
        <v>161</v>
      </c>
      <c r="AG145" s="30" t="s">
        <v>382</v>
      </c>
    </row>
    <row r="146" spans="1:34" ht="12.75" customHeight="1">
      <c r="A146" s="40">
        <f t="shared" si="30"/>
        <v>43</v>
      </c>
      <c r="B146" s="40">
        <f t="shared" si="31"/>
        <v>18</v>
      </c>
      <c r="C146" s="51" t="str">
        <f t="shared" si="32"/>
        <v>4318</v>
      </c>
      <c r="D146" s="30" t="s">
        <v>279</v>
      </c>
      <c r="E146" s="40">
        <v>2013</v>
      </c>
      <c r="F146" s="30" t="s">
        <v>676</v>
      </c>
      <c r="G146" s="9" t="s">
        <v>234</v>
      </c>
      <c r="H146" s="44" t="s">
        <v>981</v>
      </c>
      <c r="I146" s="40" t="s">
        <v>166</v>
      </c>
      <c r="J146" s="40" t="s">
        <v>147</v>
      </c>
      <c r="K146" s="49" t="s">
        <v>403</v>
      </c>
      <c r="L146" s="40">
        <v>4</v>
      </c>
      <c r="M146" s="40" t="s">
        <v>155</v>
      </c>
      <c r="N146" s="30" t="s">
        <v>149</v>
      </c>
      <c r="O146" s="30" t="s">
        <v>845</v>
      </c>
      <c r="P146" s="40">
        <v>2009</v>
      </c>
      <c r="Q146" s="30" t="s">
        <v>1017</v>
      </c>
      <c r="R146" s="31">
        <v>1535.87</v>
      </c>
      <c r="S146" s="43">
        <v>1535.87</v>
      </c>
      <c r="T146" s="32">
        <f t="shared" si="33"/>
        <v>4165</v>
      </c>
      <c r="U146" s="30" t="str">
        <f t="shared" si="34"/>
        <v>Cost-Effective</v>
      </c>
      <c r="V146" s="30" t="str">
        <f t="shared" si="35"/>
        <v>Cost-Effective</v>
      </c>
      <c r="W146" s="41">
        <f t="shared" si="36"/>
        <v>0.36875630252100838</v>
      </c>
      <c r="X146" s="55">
        <f t="shared" si="37"/>
        <v>1.08</v>
      </c>
      <c r="Y146" s="30" t="str">
        <f t="shared" si="38"/>
        <v>Cost-Effective</v>
      </c>
      <c r="Z146" s="55">
        <f t="shared" si="39"/>
        <v>0.64</v>
      </c>
      <c r="AA146" s="30" t="str">
        <f t="shared" si="43"/>
        <v>Cost-Effective</v>
      </c>
      <c r="AB146" s="55">
        <f t="shared" si="40"/>
        <v>0.65445260705966679</v>
      </c>
      <c r="AC146" s="30" t="str">
        <f t="shared" si="41"/>
        <v>Cost-Effective</v>
      </c>
      <c r="AD146" s="55">
        <f t="shared" si="42"/>
        <v>0.16633817117601385</v>
      </c>
      <c r="AE146" s="30" t="str">
        <f t="shared" si="44"/>
        <v>Not Cost-Effective</v>
      </c>
      <c r="AF146" s="30" t="s">
        <v>161</v>
      </c>
      <c r="AG146" s="30" t="s">
        <v>382</v>
      </c>
    </row>
    <row r="147" spans="1:34" ht="12.75" customHeight="1">
      <c r="A147" s="40">
        <f t="shared" si="30"/>
        <v>43</v>
      </c>
      <c r="B147" s="40">
        <f t="shared" si="31"/>
        <v>19</v>
      </c>
      <c r="C147" s="51" t="str">
        <f t="shared" si="32"/>
        <v>4319</v>
      </c>
      <c r="D147" s="30" t="s">
        <v>279</v>
      </c>
      <c r="E147" s="40">
        <v>2013</v>
      </c>
      <c r="F147" s="30" t="s">
        <v>676</v>
      </c>
      <c r="G147" s="9" t="s">
        <v>234</v>
      </c>
      <c r="H147" s="44" t="s">
        <v>981</v>
      </c>
      <c r="I147" s="40" t="s">
        <v>166</v>
      </c>
      <c r="J147" s="40" t="s">
        <v>147</v>
      </c>
      <c r="K147" s="49" t="s">
        <v>403</v>
      </c>
      <c r="L147" s="40">
        <v>4</v>
      </c>
      <c r="M147" s="40" t="s">
        <v>148</v>
      </c>
      <c r="N147" s="30" t="s">
        <v>377</v>
      </c>
      <c r="O147" s="30" t="s">
        <v>845</v>
      </c>
      <c r="P147" s="40">
        <v>2009</v>
      </c>
      <c r="Q147" s="30" t="s">
        <v>1018</v>
      </c>
      <c r="R147" s="31">
        <v>2920.73</v>
      </c>
      <c r="S147" s="43">
        <v>2920.73</v>
      </c>
      <c r="T147" s="32">
        <f t="shared" si="33"/>
        <v>4165</v>
      </c>
      <c r="U147" s="30" t="str">
        <f t="shared" si="34"/>
        <v>Cost-Effective</v>
      </c>
      <c r="V147" s="30" t="str">
        <f t="shared" si="35"/>
        <v>Cost-Effective</v>
      </c>
      <c r="W147" s="41">
        <f t="shared" si="36"/>
        <v>0.70125570228091239</v>
      </c>
      <c r="X147" s="55">
        <f t="shared" si="37"/>
        <v>1.08</v>
      </c>
      <c r="Y147" s="30" t="str">
        <f t="shared" si="38"/>
        <v>Cost-Effective</v>
      </c>
      <c r="Z147" s="55">
        <f t="shared" si="39"/>
        <v>0.64</v>
      </c>
      <c r="AA147" s="30" t="str">
        <f t="shared" si="43"/>
        <v>Not Cost-Effective</v>
      </c>
      <c r="AB147" s="55">
        <f t="shared" si="40"/>
        <v>0.65445260705966679</v>
      </c>
      <c r="AC147" s="30" t="str">
        <f t="shared" si="41"/>
        <v>Not Cost-Effective</v>
      </c>
      <c r="AD147" s="55">
        <f t="shared" si="42"/>
        <v>0.16633817117601385</v>
      </c>
      <c r="AE147" s="30" t="str">
        <f t="shared" si="44"/>
        <v>Not Cost-Effective</v>
      </c>
      <c r="AF147" s="30" t="s">
        <v>161</v>
      </c>
      <c r="AG147" s="30" t="s">
        <v>382</v>
      </c>
    </row>
    <row r="148" spans="1:34" ht="12.75" customHeight="1">
      <c r="A148" s="40">
        <f t="shared" si="30"/>
        <v>43</v>
      </c>
      <c r="B148" s="40">
        <f t="shared" si="31"/>
        <v>20</v>
      </c>
      <c r="C148" s="51" t="str">
        <f t="shared" si="32"/>
        <v>4320</v>
      </c>
      <c r="D148" s="30" t="s">
        <v>279</v>
      </c>
      <c r="E148" s="40">
        <v>2013</v>
      </c>
      <c r="F148" s="30" t="s">
        <v>676</v>
      </c>
      <c r="G148" s="9" t="s">
        <v>234</v>
      </c>
      <c r="H148" s="44" t="s">
        <v>981</v>
      </c>
      <c r="I148" s="40" t="s">
        <v>166</v>
      </c>
      <c r="J148" s="40" t="s">
        <v>147</v>
      </c>
      <c r="K148" s="49" t="s">
        <v>403</v>
      </c>
      <c r="L148" s="40">
        <v>4</v>
      </c>
      <c r="M148" s="40" t="s">
        <v>148</v>
      </c>
      <c r="N148" s="30" t="s">
        <v>149</v>
      </c>
      <c r="O148" s="30" t="s">
        <v>845</v>
      </c>
      <c r="P148" s="40">
        <v>2009</v>
      </c>
      <c r="Q148" s="30" t="s">
        <v>1019</v>
      </c>
      <c r="R148" s="31">
        <v>1478.95</v>
      </c>
      <c r="S148" s="43">
        <v>1478.95</v>
      </c>
      <c r="T148" s="32">
        <f t="shared" si="33"/>
        <v>4165</v>
      </c>
      <c r="U148" s="30" t="str">
        <f t="shared" si="34"/>
        <v>Cost-Effective</v>
      </c>
      <c r="V148" s="30" t="str">
        <f t="shared" si="35"/>
        <v>Cost-Effective</v>
      </c>
      <c r="W148" s="41">
        <f t="shared" si="36"/>
        <v>0.35509003601440575</v>
      </c>
      <c r="X148" s="55">
        <f t="shared" si="37"/>
        <v>1.08</v>
      </c>
      <c r="Y148" s="30" t="str">
        <f t="shared" si="38"/>
        <v>Cost-Effective</v>
      </c>
      <c r="Z148" s="55">
        <f t="shared" si="39"/>
        <v>0.64</v>
      </c>
      <c r="AA148" s="30" t="str">
        <f t="shared" si="43"/>
        <v>Cost-Effective</v>
      </c>
      <c r="AB148" s="55">
        <f t="shared" si="40"/>
        <v>0.65445260705966679</v>
      </c>
      <c r="AC148" s="30" t="str">
        <f t="shared" si="41"/>
        <v>Cost-Effective</v>
      </c>
      <c r="AD148" s="55">
        <f t="shared" si="42"/>
        <v>0.16633817117601385</v>
      </c>
      <c r="AE148" s="30" t="str">
        <f t="shared" si="44"/>
        <v>Not Cost-Effective</v>
      </c>
      <c r="AF148" s="30" t="s">
        <v>161</v>
      </c>
      <c r="AG148" s="30" t="s">
        <v>382</v>
      </c>
    </row>
    <row r="149" spans="1:34" ht="12.75" customHeight="1">
      <c r="A149" s="40">
        <f t="shared" si="30"/>
        <v>44</v>
      </c>
      <c r="B149" s="40">
        <f t="shared" si="31"/>
        <v>1</v>
      </c>
      <c r="C149" s="51" t="str">
        <f t="shared" si="32"/>
        <v>4401</v>
      </c>
      <c r="D149" s="30" t="s">
        <v>58</v>
      </c>
      <c r="E149" s="40">
        <v>2010</v>
      </c>
      <c r="F149" s="30" t="s">
        <v>1020</v>
      </c>
      <c r="G149" s="9" t="s">
        <v>221</v>
      </c>
      <c r="H149" s="44" t="s">
        <v>1021</v>
      </c>
      <c r="I149" s="40" t="s">
        <v>146</v>
      </c>
      <c r="J149" s="40" t="s">
        <v>147</v>
      </c>
      <c r="K149" s="49" t="s">
        <v>403</v>
      </c>
      <c r="L149" s="40">
        <v>4</v>
      </c>
      <c r="M149" s="40" t="s">
        <v>155</v>
      </c>
      <c r="N149" s="30" t="s">
        <v>149</v>
      </c>
      <c r="O149" s="30" t="s">
        <v>845</v>
      </c>
      <c r="P149" s="40">
        <v>2007</v>
      </c>
      <c r="Q149" s="30" t="s">
        <v>1022</v>
      </c>
      <c r="R149" s="31">
        <v>5599.42</v>
      </c>
      <c r="S149" s="43">
        <v>5599.42</v>
      </c>
      <c r="T149" s="32">
        <f t="shared" si="33"/>
        <v>7210.6</v>
      </c>
      <c r="U149" s="30" t="str">
        <f t="shared" si="34"/>
        <v>Cost-Effective</v>
      </c>
      <c r="V149" s="30" t="str">
        <f t="shared" si="35"/>
        <v>Cost-Effective</v>
      </c>
      <c r="W149" s="41">
        <f t="shared" si="36"/>
        <v>0.77655396222228379</v>
      </c>
      <c r="X149" s="55">
        <f t="shared" si="37"/>
        <v>0.56000000000000005</v>
      </c>
      <c r="Y149" s="30" t="str">
        <f t="shared" si="38"/>
        <v>Not Cost-Effective</v>
      </c>
      <c r="Z149" s="55">
        <f t="shared" si="39"/>
        <v>0.37</v>
      </c>
      <c r="AA149" s="30" t="str">
        <f t="shared" si="43"/>
        <v>Not Cost-Effective</v>
      </c>
      <c r="AB149" s="55">
        <f t="shared" si="40"/>
        <v>0</v>
      </c>
      <c r="AC149" s="30" t="str">
        <f t="shared" si="41"/>
        <v>No Threshold</v>
      </c>
      <c r="AD149" s="55">
        <f t="shared" si="42"/>
        <v>0</v>
      </c>
      <c r="AE149" s="30" t="str">
        <f t="shared" si="44"/>
        <v>No Threshold</v>
      </c>
      <c r="AF149" s="30" t="s">
        <v>161</v>
      </c>
      <c r="AG149" s="30" t="s">
        <v>382</v>
      </c>
      <c r="AH149" s="30" t="s">
        <v>991</v>
      </c>
    </row>
    <row r="150" spans="1:34" ht="12.75" customHeight="1">
      <c r="A150" s="40">
        <f t="shared" ref="A150:A190" si="45">IF(F150=F149,A149,A149+1)</f>
        <v>44</v>
      </c>
      <c r="B150" s="40">
        <f t="shared" ref="B150:B190" si="46">IF(F150=F149,B149+1,1)</f>
        <v>2</v>
      </c>
      <c r="C150" s="51" t="str">
        <f t="shared" ref="C150:C190" si="47">_xlfn.CONCAT(TEXT(A150,"00"),TEXT(B150,"00"))</f>
        <v>4402</v>
      </c>
      <c r="D150" s="30" t="s">
        <v>58</v>
      </c>
      <c r="E150" s="40">
        <v>2010</v>
      </c>
      <c r="F150" s="30" t="s">
        <v>1020</v>
      </c>
      <c r="G150" s="9" t="s">
        <v>221</v>
      </c>
      <c r="H150" s="44" t="s">
        <v>1021</v>
      </c>
      <c r="I150" s="40" t="s">
        <v>146</v>
      </c>
      <c r="J150" s="40" t="s">
        <v>147</v>
      </c>
      <c r="K150" s="49" t="s">
        <v>403</v>
      </c>
      <c r="L150" s="40">
        <v>4</v>
      </c>
      <c r="M150" s="40" t="s">
        <v>148</v>
      </c>
      <c r="N150" s="30" t="s">
        <v>149</v>
      </c>
      <c r="O150" s="30" t="s">
        <v>845</v>
      </c>
      <c r="P150" s="40">
        <v>2007</v>
      </c>
      <c r="Q150" s="30" t="s">
        <v>1023</v>
      </c>
      <c r="R150" s="31">
        <v>2821.83</v>
      </c>
      <c r="S150" s="43">
        <v>2821.83</v>
      </c>
      <c r="T150" s="32">
        <f t="shared" si="33"/>
        <v>7210.6</v>
      </c>
      <c r="U150" s="30" t="str">
        <f t="shared" si="34"/>
        <v>Cost-Effective</v>
      </c>
      <c r="V150" s="30" t="str">
        <f t="shared" si="35"/>
        <v>Cost-Effective</v>
      </c>
      <c r="W150" s="41">
        <f t="shared" si="36"/>
        <v>0.39134468698860009</v>
      </c>
      <c r="X150" s="55">
        <f t="shared" si="37"/>
        <v>0.56000000000000005</v>
      </c>
      <c r="Y150" s="30" t="str">
        <f t="shared" si="38"/>
        <v>Cost-Effective</v>
      </c>
      <c r="Z150" s="55">
        <f t="shared" si="39"/>
        <v>0.37</v>
      </c>
      <c r="AA150" s="30" t="str">
        <f t="shared" si="43"/>
        <v>Not Cost-Effective</v>
      </c>
      <c r="AB150" s="55">
        <f t="shared" si="40"/>
        <v>0</v>
      </c>
      <c r="AC150" s="30" t="str">
        <f t="shared" si="41"/>
        <v>No Threshold</v>
      </c>
      <c r="AD150" s="55">
        <f t="shared" si="42"/>
        <v>0</v>
      </c>
      <c r="AE150" s="30" t="str">
        <f t="shared" si="44"/>
        <v>No Threshold</v>
      </c>
      <c r="AF150" s="30" t="s">
        <v>176</v>
      </c>
      <c r="AG150" s="30" t="s">
        <v>382</v>
      </c>
      <c r="AH150" s="30" t="s">
        <v>991</v>
      </c>
    </row>
    <row r="151" spans="1:34" ht="12.75" customHeight="1">
      <c r="A151" s="40">
        <f t="shared" si="45"/>
        <v>44</v>
      </c>
      <c r="B151" s="40">
        <f t="shared" si="46"/>
        <v>3</v>
      </c>
      <c r="C151" s="51" t="str">
        <f t="shared" si="47"/>
        <v>4403</v>
      </c>
      <c r="D151" s="30" t="s">
        <v>58</v>
      </c>
      <c r="E151" s="40">
        <v>2010</v>
      </c>
      <c r="F151" s="30" t="s">
        <v>1020</v>
      </c>
      <c r="G151" s="9" t="s">
        <v>221</v>
      </c>
      <c r="H151" s="44" t="s">
        <v>1021</v>
      </c>
      <c r="I151" s="40" t="s">
        <v>146</v>
      </c>
      <c r="J151" s="40" t="s">
        <v>147</v>
      </c>
      <c r="K151" s="49" t="s">
        <v>403</v>
      </c>
      <c r="L151" s="40">
        <v>4</v>
      </c>
      <c r="M151" s="40" t="s">
        <v>155</v>
      </c>
      <c r="N151" s="67" t="s">
        <v>1024</v>
      </c>
      <c r="O151" s="30" t="s">
        <v>845</v>
      </c>
      <c r="P151" s="40">
        <v>2007</v>
      </c>
      <c r="Q151" s="30" t="s">
        <v>1025</v>
      </c>
      <c r="R151" s="31">
        <v>5827.76</v>
      </c>
      <c r="S151" s="43">
        <f>R151</f>
        <v>5827.76</v>
      </c>
      <c r="T151" s="32">
        <f t="shared" si="33"/>
        <v>7210.6</v>
      </c>
      <c r="U151" s="30" t="str">
        <f t="shared" si="34"/>
        <v>Cost-Effective</v>
      </c>
      <c r="V151" s="30" t="str">
        <f t="shared" si="35"/>
        <v>Cost-Effective</v>
      </c>
      <c r="W151" s="41">
        <f t="shared" si="36"/>
        <v>0.80822122985604528</v>
      </c>
      <c r="X151" s="55">
        <f t="shared" si="37"/>
        <v>0.56000000000000005</v>
      </c>
      <c r="Y151" s="30" t="str">
        <f t="shared" si="38"/>
        <v>Not Cost-Effective</v>
      </c>
      <c r="Z151" s="55">
        <f t="shared" si="39"/>
        <v>0.37</v>
      </c>
      <c r="AA151" s="30" t="str">
        <f t="shared" si="43"/>
        <v>Not Cost-Effective</v>
      </c>
      <c r="AB151" s="55">
        <f t="shared" si="40"/>
        <v>0</v>
      </c>
      <c r="AC151" s="30" t="str">
        <f t="shared" si="41"/>
        <v>No Threshold</v>
      </c>
      <c r="AD151" s="55">
        <f t="shared" si="42"/>
        <v>0</v>
      </c>
      <c r="AE151" s="30" t="str">
        <f t="shared" si="44"/>
        <v>No Threshold</v>
      </c>
      <c r="AF151" s="30" t="s">
        <v>161</v>
      </c>
      <c r="AG151" s="30" t="s">
        <v>382</v>
      </c>
      <c r="AH151" s="30" t="s">
        <v>991</v>
      </c>
    </row>
    <row r="152" spans="1:34" ht="12.75" customHeight="1">
      <c r="A152" s="40">
        <f t="shared" si="45"/>
        <v>44</v>
      </c>
      <c r="B152" s="40">
        <f t="shared" si="46"/>
        <v>4</v>
      </c>
      <c r="C152" s="51" t="str">
        <f t="shared" si="47"/>
        <v>4404</v>
      </c>
      <c r="D152" s="30" t="s">
        <v>58</v>
      </c>
      <c r="E152" s="40">
        <v>2010</v>
      </c>
      <c r="F152" s="30" t="s">
        <v>1020</v>
      </c>
      <c r="G152" s="9" t="s">
        <v>221</v>
      </c>
      <c r="H152" s="44" t="s">
        <v>1021</v>
      </c>
      <c r="I152" s="40" t="s">
        <v>146</v>
      </c>
      <c r="J152" s="40" t="s">
        <v>147</v>
      </c>
      <c r="K152" s="49" t="s">
        <v>403</v>
      </c>
      <c r="L152" s="40">
        <v>4</v>
      </c>
      <c r="M152" s="40" t="s">
        <v>155</v>
      </c>
      <c r="N152" s="67" t="s">
        <v>1026</v>
      </c>
      <c r="O152" s="30" t="s">
        <v>845</v>
      </c>
      <c r="P152" s="40">
        <v>2007</v>
      </c>
      <c r="Q152" s="30" t="s">
        <v>1027</v>
      </c>
      <c r="R152" s="31">
        <v>5777.68</v>
      </c>
      <c r="S152" s="43">
        <f t="shared" ref="S152:S153" si="48">R152</f>
        <v>5777.68</v>
      </c>
      <c r="T152" s="32">
        <f t="shared" si="33"/>
        <v>7210.6</v>
      </c>
      <c r="U152" s="30" t="str">
        <f t="shared" si="34"/>
        <v>Cost-Effective</v>
      </c>
      <c r="V152" s="30" t="str">
        <f t="shared" si="35"/>
        <v>Cost-Effective</v>
      </c>
      <c r="W152" s="41">
        <f t="shared" si="36"/>
        <v>0.80127589937037136</v>
      </c>
      <c r="X152" s="55">
        <f t="shared" si="37"/>
        <v>0.56000000000000005</v>
      </c>
      <c r="Y152" s="30" t="str">
        <f t="shared" si="38"/>
        <v>Not Cost-Effective</v>
      </c>
      <c r="Z152" s="55">
        <f t="shared" si="39"/>
        <v>0.37</v>
      </c>
      <c r="AA152" s="30" t="str">
        <f t="shared" si="43"/>
        <v>Not Cost-Effective</v>
      </c>
      <c r="AB152" s="55">
        <f t="shared" si="40"/>
        <v>0</v>
      </c>
      <c r="AC152" s="30" t="str">
        <f t="shared" si="41"/>
        <v>No Threshold</v>
      </c>
      <c r="AD152" s="55">
        <f t="shared" si="42"/>
        <v>0</v>
      </c>
      <c r="AE152" s="30" t="str">
        <f t="shared" si="44"/>
        <v>No Threshold</v>
      </c>
      <c r="AF152" s="30" t="s">
        <v>161</v>
      </c>
      <c r="AG152" s="30" t="s">
        <v>382</v>
      </c>
      <c r="AH152" s="30" t="s">
        <v>991</v>
      </c>
    </row>
    <row r="153" spans="1:34" ht="12.75" customHeight="1">
      <c r="A153" s="40">
        <f t="shared" si="45"/>
        <v>44</v>
      </c>
      <c r="B153" s="40">
        <f t="shared" si="46"/>
        <v>5</v>
      </c>
      <c r="C153" s="51" t="str">
        <f t="shared" si="47"/>
        <v>4405</v>
      </c>
      <c r="D153" s="30" t="s">
        <v>58</v>
      </c>
      <c r="E153" s="40">
        <v>2010</v>
      </c>
      <c r="F153" s="30" t="s">
        <v>1020</v>
      </c>
      <c r="G153" s="9" t="s">
        <v>221</v>
      </c>
      <c r="H153" s="44" t="s">
        <v>1021</v>
      </c>
      <c r="I153" s="40" t="s">
        <v>146</v>
      </c>
      <c r="J153" s="40" t="s">
        <v>147</v>
      </c>
      <c r="K153" s="49" t="s">
        <v>403</v>
      </c>
      <c r="L153" s="40">
        <v>4</v>
      </c>
      <c r="M153" s="40" t="s">
        <v>155</v>
      </c>
      <c r="N153" s="67" t="s">
        <v>1028</v>
      </c>
      <c r="O153" s="30" t="s">
        <v>845</v>
      </c>
      <c r="P153" s="40">
        <v>2007</v>
      </c>
      <c r="Q153" s="30" t="s">
        <v>1029</v>
      </c>
      <c r="R153" s="31">
        <v>3412.06</v>
      </c>
      <c r="S153" s="43">
        <f t="shared" si="48"/>
        <v>3412.06</v>
      </c>
      <c r="T153" s="32">
        <f t="shared" si="33"/>
        <v>7210.6</v>
      </c>
      <c r="U153" s="30" t="str">
        <f t="shared" si="34"/>
        <v>Cost-Effective</v>
      </c>
      <c r="V153" s="30" t="str">
        <f t="shared" si="35"/>
        <v>Cost-Effective</v>
      </c>
      <c r="W153" s="41">
        <f t="shared" si="36"/>
        <v>0.47320056583363379</v>
      </c>
      <c r="X153" s="55">
        <f t="shared" si="37"/>
        <v>0.56000000000000005</v>
      </c>
      <c r="Y153" s="30" t="str">
        <f t="shared" si="38"/>
        <v>Cost-Effective</v>
      </c>
      <c r="Z153" s="55">
        <f t="shared" si="39"/>
        <v>0.37</v>
      </c>
      <c r="AA153" s="30" t="str">
        <f t="shared" si="43"/>
        <v>Not Cost-Effective</v>
      </c>
      <c r="AB153" s="55">
        <f t="shared" si="40"/>
        <v>0</v>
      </c>
      <c r="AC153" s="30" t="str">
        <f t="shared" si="41"/>
        <v>No Threshold</v>
      </c>
      <c r="AD153" s="55">
        <f t="shared" si="42"/>
        <v>0</v>
      </c>
      <c r="AE153" s="30" t="str">
        <f t="shared" si="44"/>
        <v>No Threshold</v>
      </c>
      <c r="AF153" s="30" t="s">
        <v>161</v>
      </c>
      <c r="AG153" s="30" t="s">
        <v>382</v>
      </c>
      <c r="AH153" s="30" t="s">
        <v>991</v>
      </c>
    </row>
    <row r="154" spans="1:34" ht="12.75" customHeight="1">
      <c r="A154" s="40">
        <f t="shared" si="45"/>
        <v>45</v>
      </c>
      <c r="B154" s="40">
        <f t="shared" si="46"/>
        <v>1</v>
      </c>
      <c r="C154" s="51" t="str">
        <f t="shared" si="47"/>
        <v>4501</v>
      </c>
      <c r="D154" s="30" t="s">
        <v>64</v>
      </c>
      <c r="E154" s="40">
        <v>2010</v>
      </c>
      <c r="F154" s="30" t="s">
        <v>1030</v>
      </c>
      <c r="G154" s="9" t="s">
        <v>281</v>
      </c>
      <c r="H154" s="44" t="s">
        <v>706</v>
      </c>
      <c r="I154" s="40" t="s">
        <v>166</v>
      </c>
      <c r="J154" s="40" t="s">
        <v>146</v>
      </c>
      <c r="K154" s="49" t="s">
        <v>368</v>
      </c>
      <c r="L154" s="40">
        <v>3</v>
      </c>
      <c r="M154" s="40" t="s">
        <v>155</v>
      </c>
      <c r="N154" s="30" t="s">
        <v>377</v>
      </c>
      <c r="O154" s="30" t="s">
        <v>1031</v>
      </c>
      <c r="P154" s="40">
        <v>2008</v>
      </c>
      <c r="Q154" s="30" t="s">
        <v>709</v>
      </c>
      <c r="R154" s="31">
        <f>-228800000/3232.4</f>
        <v>-70783.318896176221</v>
      </c>
      <c r="S154" s="43">
        <f>R154/xRates!N129</f>
        <v>-214494.90574598854</v>
      </c>
      <c r="T154" s="32">
        <f t="shared" si="33"/>
        <v>10590</v>
      </c>
      <c r="U154" s="30" t="str">
        <f t="shared" si="34"/>
        <v>Cost-Effective</v>
      </c>
      <c r="V154" s="30" t="str">
        <f t="shared" si="35"/>
        <v>Cost-Effective</v>
      </c>
      <c r="W154" s="41">
        <f t="shared" si="36"/>
        <v>-20.254476463266151</v>
      </c>
      <c r="X154" s="55">
        <f t="shared" si="37"/>
        <v>0.97</v>
      </c>
      <c r="Y154" s="30" t="str">
        <f t="shared" si="38"/>
        <v>Cost-Effective</v>
      </c>
      <c r="Z154" s="55">
        <f t="shared" si="39"/>
        <v>0.64</v>
      </c>
      <c r="AA154" s="30" t="str">
        <f t="shared" si="43"/>
        <v>Cost-Effective</v>
      </c>
      <c r="AB154" s="55">
        <f t="shared" si="40"/>
        <v>0.59633311243649212</v>
      </c>
      <c r="AC154" s="30" t="str">
        <f t="shared" si="41"/>
        <v>Cost-Effective</v>
      </c>
      <c r="AD154" s="55">
        <f t="shared" si="42"/>
        <v>0.21294455489286504</v>
      </c>
      <c r="AE154" s="30" t="str">
        <f t="shared" si="44"/>
        <v>Cost-Effective</v>
      </c>
      <c r="AF154" s="30" t="s">
        <v>161</v>
      </c>
      <c r="AG154" s="30" t="s">
        <v>439</v>
      </c>
      <c r="AH154" s="30" t="s">
        <v>991</v>
      </c>
    </row>
    <row r="155" spans="1:34" ht="12.75" customHeight="1">
      <c r="A155" s="40">
        <f t="shared" si="45"/>
        <v>46</v>
      </c>
      <c r="B155" s="40">
        <f t="shared" si="46"/>
        <v>1</v>
      </c>
      <c r="C155" s="51" t="str">
        <f t="shared" si="47"/>
        <v>4601</v>
      </c>
      <c r="D155" s="30" t="s">
        <v>66</v>
      </c>
      <c r="E155" s="40">
        <v>2015</v>
      </c>
      <c r="F155" s="30" t="s">
        <v>67</v>
      </c>
      <c r="G155" s="9" t="s">
        <v>286</v>
      </c>
      <c r="H155" s="44" t="s">
        <v>1032</v>
      </c>
      <c r="I155" s="40" t="s">
        <v>166</v>
      </c>
      <c r="J155" s="40" t="s">
        <v>147</v>
      </c>
      <c r="K155" s="49" t="s">
        <v>385</v>
      </c>
      <c r="L155" s="40">
        <v>0</v>
      </c>
      <c r="M155" s="40" t="s">
        <v>155</v>
      </c>
      <c r="N155" s="30" t="s">
        <v>1033</v>
      </c>
      <c r="O155" s="30" t="s">
        <v>845</v>
      </c>
      <c r="P155" s="40">
        <v>2014</v>
      </c>
      <c r="Q155" s="30" t="s">
        <v>715</v>
      </c>
      <c r="R155" s="31">
        <v>1340</v>
      </c>
      <c r="S155" s="43">
        <f>(R155*ppp!$P$68)/xRates!$T$59</f>
        <v>270.20238770378973</v>
      </c>
      <c r="T155" s="32">
        <f t="shared" si="33"/>
        <v>6436.8</v>
      </c>
      <c r="U155" s="30" t="str">
        <f t="shared" si="34"/>
        <v>Cost-Effective</v>
      </c>
      <c r="V155" s="30" t="str">
        <f t="shared" si="35"/>
        <v>Cost-Effective</v>
      </c>
      <c r="W155" s="41">
        <f t="shared" si="36"/>
        <v>4.1977751010407301E-2</v>
      </c>
      <c r="X155" s="55">
        <f t="shared" si="37"/>
        <v>1.1200000000000001</v>
      </c>
      <c r="Y155" s="30" t="str">
        <f t="shared" si="38"/>
        <v>Cost-Effective</v>
      </c>
      <c r="Z155" s="55">
        <f t="shared" si="39"/>
        <v>0.72</v>
      </c>
      <c r="AA155" s="30" t="str">
        <f t="shared" si="43"/>
        <v>Cost-Effective</v>
      </c>
      <c r="AB155" s="55">
        <f t="shared" si="40"/>
        <v>0.51953760989905573</v>
      </c>
      <c r="AC155" s="30" t="str">
        <f t="shared" si="41"/>
        <v>Cost-Effective</v>
      </c>
      <c r="AD155" s="55">
        <f t="shared" si="42"/>
        <v>0.13969391077824814</v>
      </c>
      <c r="AE155" s="30" t="str">
        <f t="shared" si="44"/>
        <v>Cost-Effective</v>
      </c>
      <c r="AF155" s="30" t="s">
        <v>176</v>
      </c>
      <c r="AG155" s="30" t="s">
        <v>382</v>
      </c>
      <c r="AH155" s="30" t="s">
        <v>991</v>
      </c>
    </row>
    <row r="156" spans="1:34" ht="12.75" customHeight="1">
      <c r="A156" s="40">
        <f t="shared" si="45"/>
        <v>46</v>
      </c>
      <c r="B156" s="40">
        <f t="shared" si="46"/>
        <v>2</v>
      </c>
      <c r="C156" s="51" t="str">
        <f t="shared" si="47"/>
        <v>4602</v>
      </c>
      <c r="D156" s="30" t="s">
        <v>66</v>
      </c>
      <c r="E156" s="40">
        <v>2015</v>
      </c>
      <c r="F156" s="30" t="s">
        <v>67</v>
      </c>
      <c r="G156" s="9" t="s">
        <v>286</v>
      </c>
      <c r="H156" s="44" t="s">
        <v>1034</v>
      </c>
      <c r="I156" s="40" t="s">
        <v>167</v>
      </c>
      <c r="J156" s="40" t="s">
        <v>147</v>
      </c>
      <c r="K156" s="49" t="s">
        <v>385</v>
      </c>
      <c r="L156" s="40">
        <v>0</v>
      </c>
      <c r="M156" s="40" t="s">
        <v>155</v>
      </c>
      <c r="N156" s="30" t="s">
        <v>1033</v>
      </c>
      <c r="O156" s="30" t="s">
        <v>845</v>
      </c>
      <c r="P156" s="40">
        <v>2014</v>
      </c>
      <c r="Q156" s="30" t="s">
        <v>719</v>
      </c>
      <c r="R156" s="31">
        <v>1166</v>
      </c>
      <c r="S156" s="43">
        <f>(R156*ppp!$P$68)/xRates!$T$59</f>
        <v>235.11640601687969</v>
      </c>
      <c r="T156" s="32">
        <f t="shared" si="33"/>
        <v>6436.8</v>
      </c>
      <c r="U156" s="30" t="str">
        <f t="shared" si="34"/>
        <v>Cost-Effective</v>
      </c>
      <c r="V156" s="30" t="str">
        <f t="shared" si="35"/>
        <v>Cost-Effective</v>
      </c>
      <c r="W156" s="41">
        <f t="shared" si="36"/>
        <v>3.6526908715026049E-2</v>
      </c>
      <c r="X156" s="55">
        <f t="shared" si="37"/>
        <v>1.1200000000000001</v>
      </c>
      <c r="Y156" s="30" t="str">
        <f t="shared" si="38"/>
        <v>Cost-Effective</v>
      </c>
      <c r="Z156" s="55">
        <f t="shared" si="39"/>
        <v>0.72</v>
      </c>
      <c r="AA156" s="30" t="str">
        <f t="shared" si="43"/>
        <v>Cost-Effective</v>
      </c>
      <c r="AB156" s="55">
        <f t="shared" si="40"/>
        <v>0.51953760989905573</v>
      </c>
      <c r="AC156" s="30" t="str">
        <f t="shared" si="41"/>
        <v>Cost-Effective</v>
      </c>
      <c r="AD156" s="55">
        <f t="shared" si="42"/>
        <v>0.13969391077824814</v>
      </c>
      <c r="AE156" s="30" t="str">
        <f t="shared" si="44"/>
        <v>Cost-Effective</v>
      </c>
      <c r="AF156" s="30" t="s">
        <v>176</v>
      </c>
      <c r="AG156" s="30" t="s">
        <v>382</v>
      </c>
      <c r="AH156" s="30" t="s">
        <v>991</v>
      </c>
    </row>
    <row r="157" spans="1:34" ht="12.75" customHeight="1">
      <c r="A157" s="40">
        <f t="shared" si="45"/>
        <v>46</v>
      </c>
      <c r="B157" s="40">
        <f t="shared" si="46"/>
        <v>3</v>
      </c>
      <c r="C157" s="51" t="str">
        <f t="shared" si="47"/>
        <v>4603</v>
      </c>
      <c r="D157" s="30" t="s">
        <v>66</v>
      </c>
      <c r="E157" s="40">
        <v>2015</v>
      </c>
      <c r="F157" s="30" t="s">
        <v>67</v>
      </c>
      <c r="G157" s="9" t="s">
        <v>287</v>
      </c>
      <c r="H157" s="44" t="s">
        <v>1032</v>
      </c>
      <c r="I157" s="40" t="s">
        <v>166</v>
      </c>
      <c r="J157" s="40" t="s">
        <v>147</v>
      </c>
      <c r="K157" s="49" t="s">
        <v>385</v>
      </c>
      <c r="L157" s="40">
        <v>0</v>
      </c>
      <c r="M157" s="40" t="s">
        <v>155</v>
      </c>
      <c r="N157" s="30" t="s">
        <v>1033</v>
      </c>
      <c r="O157" s="30" t="s">
        <v>845</v>
      </c>
      <c r="P157" s="40">
        <v>2014</v>
      </c>
      <c r="Q157" s="30" t="s">
        <v>720</v>
      </c>
      <c r="R157" s="31">
        <v>796</v>
      </c>
      <c r="S157" s="43">
        <f>(R157*ppp!$P$99)/xRates!$T$87</f>
        <v>419.72454295438752</v>
      </c>
      <c r="T157" s="32">
        <f t="shared" si="33"/>
        <v>2164.4</v>
      </c>
      <c r="U157" s="30" t="str">
        <f t="shared" si="34"/>
        <v>Cost-Effective</v>
      </c>
      <c r="V157" s="30" t="str">
        <f t="shared" si="35"/>
        <v>Cost-Effective</v>
      </c>
      <c r="W157" s="41">
        <f t="shared" si="36"/>
        <v>0.19392189195822745</v>
      </c>
      <c r="X157" s="55">
        <f t="shared" si="37"/>
        <v>1</v>
      </c>
      <c r="Y157" s="30" t="str">
        <f t="shared" si="38"/>
        <v>Cost-Effective</v>
      </c>
      <c r="Z157" s="55">
        <f t="shared" si="39"/>
        <v>0.68</v>
      </c>
      <c r="AA157" s="30" t="str">
        <f t="shared" si="43"/>
        <v>Cost-Effective</v>
      </c>
      <c r="AB157" s="55">
        <f t="shared" si="40"/>
        <v>0.57008621524750558</v>
      </c>
      <c r="AC157" s="30" t="str">
        <f t="shared" si="41"/>
        <v>Cost-Effective</v>
      </c>
      <c r="AD157" s="55">
        <f t="shared" si="42"/>
        <v>7.2168943136685079E-2</v>
      </c>
      <c r="AE157" s="30" t="str">
        <f t="shared" si="44"/>
        <v>Not Cost-Effective</v>
      </c>
      <c r="AF157" s="30" t="s">
        <v>176</v>
      </c>
      <c r="AG157" s="30" t="s">
        <v>382</v>
      </c>
      <c r="AH157" s="30" t="s">
        <v>991</v>
      </c>
    </row>
    <row r="158" spans="1:34" ht="12.75" customHeight="1">
      <c r="A158" s="40">
        <f t="shared" si="45"/>
        <v>46</v>
      </c>
      <c r="B158" s="40">
        <f t="shared" si="46"/>
        <v>4</v>
      </c>
      <c r="C158" s="51" t="str">
        <f t="shared" si="47"/>
        <v>4604</v>
      </c>
      <c r="D158" s="30" t="s">
        <v>66</v>
      </c>
      <c r="E158" s="40">
        <v>2015</v>
      </c>
      <c r="F158" s="30" t="s">
        <v>67</v>
      </c>
      <c r="G158" s="9" t="s">
        <v>287</v>
      </c>
      <c r="H158" s="44" t="s">
        <v>1034</v>
      </c>
      <c r="I158" s="40" t="s">
        <v>167</v>
      </c>
      <c r="J158" s="40" t="s">
        <v>147</v>
      </c>
      <c r="K158" s="49" t="s">
        <v>385</v>
      </c>
      <c r="L158" s="40">
        <v>0</v>
      </c>
      <c r="M158" s="40" t="s">
        <v>155</v>
      </c>
      <c r="N158" s="30" t="s">
        <v>1033</v>
      </c>
      <c r="O158" s="30" t="s">
        <v>845</v>
      </c>
      <c r="P158" s="40">
        <v>2014</v>
      </c>
      <c r="Q158" s="30" t="s">
        <v>721</v>
      </c>
      <c r="R158" s="31">
        <v>691</v>
      </c>
      <c r="S158" s="43">
        <f>(R158*ppp!$P$99)/xRates!$T$87</f>
        <v>364.35886831844448</v>
      </c>
      <c r="T158" s="32">
        <f t="shared" si="33"/>
        <v>2164.4</v>
      </c>
      <c r="U158" s="30" t="str">
        <f t="shared" si="34"/>
        <v>Cost-Effective</v>
      </c>
      <c r="V158" s="30" t="str">
        <f t="shared" si="35"/>
        <v>Cost-Effective</v>
      </c>
      <c r="W158" s="41">
        <f t="shared" si="36"/>
        <v>0.16834174289338591</v>
      </c>
      <c r="X158" s="55">
        <f t="shared" si="37"/>
        <v>1</v>
      </c>
      <c r="Y158" s="30" t="str">
        <f t="shared" si="38"/>
        <v>Cost-Effective</v>
      </c>
      <c r="Z158" s="55">
        <f t="shared" si="39"/>
        <v>0.68</v>
      </c>
      <c r="AA158" s="30" t="str">
        <f t="shared" si="43"/>
        <v>Cost-Effective</v>
      </c>
      <c r="AB158" s="55">
        <f t="shared" si="40"/>
        <v>0.57008621524750558</v>
      </c>
      <c r="AC158" s="30" t="str">
        <f t="shared" si="41"/>
        <v>Cost-Effective</v>
      </c>
      <c r="AD158" s="55">
        <f t="shared" si="42"/>
        <v>7.2168943136685079E-2</v>
      </c>
      <c r="AE158" s="30" t="str">
        <f t="shared" si="44"/>
        <v>Not Cost-Effective</v>
      </c>
      <c r="AF158" s="30" t="s">
        <v>176</v>
      </c>
      <c r="AG158" s="30" t="s">
        <v>382</v>
      </c>
      <c r="AH158" s="30" t="s">
        <v>991</v>
      </c>
    </row>
    <row r="159" spans="1:34" ht="12.75" customHeight="1">
      <c r="A159" s="40">
        <f t="shared" si="45"/>
        <v>46</v>
      </c>
      <c r="B159" s="40">
        <f t="shared" si="46"/>
        <v>5</v>
      </c>
      <c r="C159" s="51" t="str">
        <f t="shared" si="47"/>
        <v>4605</v>
      </c>
      <c r="D159" s="30" t="s">
        <v>66</v>
      </c>
      <c r="E159" s="40">
        <v>2015</v>
      </c>
      <c r="F159" s="30" t="s">
        <v>67</v>
      </c>
      <c r="G159" s="9" t="s">
        <v>267</v>
      </c>
      <c r="H159" s="44" t="s">
        <v>1032</v>
      </c>
      <c r="I159" s="40" t="s">
        <v>166</v>
      </c>
      <c r="J159" s="40" t="s">
        <v>147</v>
      </c>
      <c r="K159" s="49" t="s">
        <v>385</v>
      </c>
      <c r="L159" s="40">
        <v>0</v>
      </c>
      <c r="M159" s="40" t="s">
        <v>155</v>
      </c>
      <c r="N159" s="30" t="s">
        <v>1033</v>
      </c>
      <c r="O159" s="30" t="s">
        <v>845</v>
      </c>
      <c r="P159" s="40">
        <v>2014</v>
      </c>
      <c r="Q159" s="30" t="s">
        <v>722</v>
      </c>
      <c r="R159" s="31">
        <v>1226</v>
      </c>
      <c r="S159" s="43" t="e">
        <f>(R159*ppp!$P$197)/xRates!$T$155</f>
        <v>#DIV/0!</v>
      </c>
      <c r="T159" s="32">
        <f t="shared" si="33"/>
        <v>6629.4</v>
      </c>
      <c r="U159" s="30" t="e">
        <f t="shared" si="34"/>
        <v>#DIV/0!</v>
      </c>
      <c r="V159" s="30" t="e">
        <f t="shared" si="35"/>
        <v>#DIV/0!</v>
      </c>
      <c r="W159" s="41" t="e">
        <f t="shared" si="36"/>
        <v>#DIV/0!</v>
      </c>
      <c r="X159" s="55">
        <f t="shared" si="37"/>
        <v>1.42</v>
      </c>
      <c r="Y159" s="30" t="e">
        <f t="shared" si="38"/>
        <v>#DIV/0!</v>
      </c>
      <c r="Z159" s="55">
        <f t="shared" si="39"/>
        <v>0.83</v>
      </c>
      <c r="AA159" s="30" t="e">
        <f t="shared" si="43"/>
        <v>#DIV/0!</v>
      </c>
      <c r="AB159" s="55">
        <f t="shared" si="40"/>
        <v>0.33989517688899978</v>
      </c>
      <c r="AC159" s="30" t="e">
        <f t="shared" si="41"/>
        <v>#DIV/0!</v>
      </c>
      <c r="AD159" s="55">
        <f t="shared" si="42"/>
        <v>7.549759780370624E-2</v>
      </c>
      <c r="AE159" s="30" t="e">
        <f t="shared" si="44"/>
        <v>#DIV/0!</v>
      </c>
      <c r="AF159" s="30" t="s">
        <v>161</v>
      </c>
      <c r="AG159" s="30" t="s">
        <v>382</v>
      </c>
      <c r="AH159" s="30" t="s">
        <v>991</v>
      </c>
    </row>
    <row r="160" spans="1:34" ht="12.75" customHeight="1">
      <c r="A160" s="40">
        <f t="shared" si="45"/>
        <v>46</v>
      </c>
      <c r="B160" s="40">
        <f t="shared" si="46"/>
        <v>6</v>
      </c>
      <c r="C160" s="51" t="str">
        <f t="shared" si="47"/>
        <v>4606</v>
      </c>
      <c r="D160" s="30" t="s">
        <v>66</v>
      </c>
      <c r="E160" s="40">
        <v>2015</v>
      </c>
      <c r="F160" s="30" t="s">
        <v>67</v>
      </c>
      <c r="G160" s="9" t="s">
        <v>267</v>
      </c>
      <c r="H160" s="44" t="s">
        <v>1034</v>
      </c>
      <c r="I160" s="40" t="s">
        <v>167</v>
      </c>
      <c r="J160" s="40" t="s">
        <v>147</v>
      </c>
      <c r="K160" s="49" t="s">
        <v>385</v>
      </c>
      <c r="L160" s="40">
        <v>0</v>
      </c>
      <c r="M160" s="40" t="s">
        <v>155</v>
      </c>
      <c r="N160" s="30" t="s">
        <v>1033</v>
      </c>
      <c r="O160" s="30" t="s">
        <v>845</v>
      </c>
      <c r="P160" s="40">
        <v>2014</v>
      </c>
      <c r="Q160" s="30" t="s">
        <v>723</v>
      </c>
      <c r="R160" s="31">
        <v>1026</v>
      </c>
      <c r="S160" s="43" t="e">
        <f>(R160*ppp!$P$197)/xRates!$T$155</f>
        <v>#DIV/0!</v>
      </c>
      <c r="T160" s="32">
        <f t="shared" si="33"/>
        <v>6629.4</v>
      </c>
      <c r="U160" s="30" t="e">
        <f t="shared" si="34"/>
        <v>#DIV/0!</v>
      </c>
      <c r="V160" s="30" t="e">
        <f t="shared" si="35"/>
        <v>#DIV/0!</v>
      </c>
      <c r="W160" s="41" t="e">
        <f t="shared" si="36"/>
        <v>#DIV/0!</v>
      </c>
      <c r="X160" s="55">
        <f t="shared" si="37"/>
        <v>1.42</v>
      </c>
      <c r="Y160" s="30" t="e">
        <f t="shared" si="38"/>
        <v>#DIV/0!</v>
      </c>
      <c r="Z160" s="55">
        <f t="shared" si="39"/>
        <v>0.83</v>
      </c>
      <c r="AA160" s="30" t="e">
        <f t="shared" si="43"/>
        <v>#DIV/0!</v>
      </c>
      <c r="AB160" s="55">
        <f t="shared" si="40"/>
        <v>0.33989517688899978</v>
      </c>
      <c r="AC160" s="30" t="e">
        <f t="shared" si="41"/>
        <v>#DIV/0!</v>
      </c>
      <c r="AD160" s="55">
        <f t="shared" si="42"/>
        <v>7.549759780370624E-2</v>
      </c>
      <c r="AE160" s="30" t="e">
        <f t="shared" si="44"/>
        <v>#DIV/0!</v>
      </c>
      <c r="AF160" s="30" t="s">
        <v>161</v>
      </c>
      <c r="AG160" s="30" t="s">
        <v>382</v>
      </c>
      <c r="AH160" s="30" t="s">
        <v>991</v>
      </c>
    </row>
    <row r="161" spans="1:34" ht="12.75" customHeight="1">
      <c r="A161" s="40">
        <f t="shared" si="45"/>
        <v>47</v>
      </c>
      <c r="B161" s="40">
        <f t="shared" si="46"/>
        <v>1</v>
      </c>
      <c r="C161" s="51" t="str">
        <f t="shared" si="47"/>
        <v>4701</v>
      </c>
      <c r="D161" s="30" t="s">
        <v>69</v>
      </c>
      <c r="E161" s="40">
        <v>2018</v>
      </c>
      <c r="F161" s="30" t="s">
        <v>70</v>
      </c>
      <c r="G161" s="9" t="s">
        <v>241</v>
      </c>
      <c r="H161" s="44" t="s">
        <v>1034</v>
      </c>
      <c r="I161" s="40" t="s">
        <v>167</v>
      </c>
      <c r="J161" s="40" t="s">
        <v>147</v>
      </c>
      <c r="K161" s="49" t="s">
        <v>368</v>
      </c>
      <c r="L161" s="40">
        <v>3</v>
      </c>
      <c r="M161" s="40" t="s">
        <v>155</v>
      </c>
      <c r="N161" s="30" t="s">
        <v>377</v>
      </c>
      <c r="O161" s="30" t="s">
        <v>845</v>
      </c>
      <c r="P161" s="40">
        <v>2014</v>
      </c>
      <c r="Q161" s="30" t="s">
        <v>1035</v>
      </c>
      <c r="R161" s="31">
        <v>2319</v>
      </c>
      <c r="S161" s="43">
        <f t="shared" ref="S161:S163" si="49">R161</f>
        <v>2319</v>
      </c>
      <c r="T161" s="32">
        <f t="shared" si="33"/>
        <v>8167.5</v>
      </c>
      <c r="U161" s="30" t="str">
        <f t="shared" si="34"/>
        <v>Cost-Effective</v>
      </c>
      <c r="V161" s="30" t="str">
        <f t="shared" si="35"/>
        <v>Cost-Effective</v>
      </c>
      <c r="W161" s="41">
        <f t="shared" si="36"/>
        <v>0.28393021120293849</v>
      </c>
      <c r="X161" s="55">
        <f t="shared" si="37"/>
        <v>1.89</v>
      </c>
      <c r="Y161" s="30" t="str">
        <f t="shared" si="38"/>
        <v>Cost-Effective</v>
      </c>
      <c r="Z161" s="55">
        <f t="shared" si="39"/>
        <v>1.17</v>
      </c>
      <c r="AA161" s="30" t="str">
        <f t="shared" si="43"/>
        <v>Cost-Effective</v>
      </c>
      <c r="AB161" s="55">
        <f t="shared" si="40"/>
        <v>0.6677477128612227</v>
      </c>
      <c r="AC161" s="30" t="str">
        <f t="shared" si="41"/>
        <v>Cost-Effective</v>
      </c>
      <c r="AD161" s="55">
        <f t="shared" si="42"/>
        <v>0.16578730819497556</v>
      </c>
      <c r="AE161" s="30" t="str">
        <f t="shared" si="44"/>
        <v>Not Cost-Effective</v>
      </c>
      <c r="AF161" s="30" t="s">
        <v>176</v>
      </c>
      <c r="AG161" s="30" t="s">
        <v>382</v>
      </c>
    </row>
    <row r="162" spans="1:34" ht="12.75" customHeight="1">
      <c r="A162" s="40">
        <f t="shared" si="45"/>
        <v>47</v>
      </c>
      <c r="B162" s="40">
        <f t="shared" si="46"/>
        <v>2</v>
      </c>
      <c r="C162" s="51" t="str">
        <f t="shared" si="47"/>
        <v>4702</v>
      </c>
      <c r="D162" s="30" t="s">
        <v>69</v>
      </c>
      <c r="E162" s="40">
        <v>2018</v>
      </c>
      <c r="F162" s="30" t="s">
        <v>70</v>
      </c>
      <c r="G162" s="9" t="s">
        <v>241</v>
      </c>
      <c r="H162" s="44" t="s">
        <v>1032</v>
      </c>
      <c r="I162" s="40" t="s">
        <v>166</v>
      </c>
      <c r="J162" s="40" t="s">
        <v>147</v>
      </c>
      <c r="K162" s="49" t="s">
        <v>368</v>
      </c>
      <c r="L162" s="40">
        <v>3</v>
      </c>
      <c r="M162" s="40" t="s">
        <v>155</v>
      </c>
      <c r="N162" s="30" t="s">
        <v>377</v>
      </c>
      <c r="O162" s="30" t="s">
        <v>845</v>
      </c>
      <c r="P162" s="40">
        <v>2014</v>
      </c>
      <c r="Q162" s="30" t="s">
        <v>1036</v>
      </c>
      <c r="R162" s="31">
        <v>1770</v>
      </c>
      <c r="S162" s="43">
        <f t="shared" si="49"/>
        <v>1770</v>
      </c>
      <c r="T162" s="32">
        <f t="shared" si="33"/>
        <v>8167.5</v>
      </c>
      <c r="U162" s="30" t="str">
        <f t="shared" si="34"/>
        <v>Cost-Effective</v>
      </c>
      <c r="V162" s="30" t="str">
        <f t="shared" si="35"/>
        <v>Cost-Effective</v>
      </c>
      <c r="W162" s="41">
        <f t="shared" si="36"/>
        <v>0.21671258034894397</v>
      </c>
      <c r="X162" s="55">
        <f t="shared" si="37"/>
        <v>1.89</v>
      </c>
      <c r="Y162" s="30" t="str">
        <f t="shared" si="38"/>
        <v>Cost-Effective</v>
      </c>
      <c r="Z162" s="55">
        <f t="shared" si="39"/>
        <v>1.17</v>
      </c>
      <c r="AA162" s="30" t="str">
        <f t="shared" si="43"/>
        <v>Cost-Effective</v>
      </c>
      <c r="AB162" s="55">
        <f t="shared" si="40"/>
        <v>0.6677477128612227</v>
      </c>
      <c r="AC162" s="30" t="str">
        <f t="shared" si="41"/>
        <v>Cost-Effective</v>
      </c>
      <c r="AD162" s="55">
        <f t="shared" si="42"/>
        <v>0.16578730819497556</v>
      </c>
      <c r="AE162" s="30" t="str">
        <f t="shared" si="44"/>
        <v>Not Cost-Effective</v>
      </c>
      <c r="AF162" s="30" t="s">
        <v>176</v>
      </c>
      <c r="AG162" s="30" t="s">
        <v>382</v>
      </c>
    </row>
    <row r="163" spans="1:34" ht="12.75" customHeight="1">
      <c r="A163" s="40">
        <f t="shared" si="45"/>
        <v>47</v>
      </c>
      <c r="B163" s="40">
        <f t="shared" si="46"/>
        <v>3</v>
      </c>
      <c r="C163" s="51" t="str">
        <f t="shared" si="47"/>
        <v>4703</v>
      </c>
      <c r="D163" s="30" t="s">
        <v>69</v>
      </c>
      <c r="E163" s="40">
        <v>2018</v>
      </c>
      <c r="F163" s="30" t="s">
        <v>70</v>
      </c>
      <c r="G163" s="9" t="s">
        <v>241</v>
      </c>
      <c r="H163" s="44" t="s">
        <v>727</v>
      </c>
      <c r="I163" s="40" t="s">
        <v>167</v>
      </c>
      <c r="J163" s="40" t="s">
        <v>166</v>
      </c>
      <c r="K163" s="49" t="s">
        <v>368</v>
      </c>
      <c r="L163" s="40">
        <v>3</v>
      </c>
      <c r="M163" s="40" t="s">
        <v>155</v>
      </c>
      <c r="N163" s="30" t="s">
        <v>377</v>
      </c>
      <c r="O163" s="30" t="s">
        <v>845</v>
      </c>
      <c r="P163" s="40">
        <v>2014</v>
      </c>
      <c r="Q163" s="30" t="s">
        <v>1037</v>
      </c>
      <c r="R163" s="31">
        <v>2217</v>
      </c>
      <c r="S163" s="43">
        <f t="shared" si="49"/>
        <v>2217</v>
      </c>
      <c r="T163" s="32">
        <f t="shared" si="33"/>
        <v>8167.5</v>
      </c>
      <c r="U163" s="30" t="str">
        <f t="shared" si="34"/>
        <v>Cost-Effective</v>
      </c>
      <c r="V163" s="30" t="str">
        <f t="shared" si="35"/>
        <v>Cost-Effective</v>
      </c>
      <c r="W163" s="41">
        <f t="shared" si="36"/>
        <v>0.27144168962350779</v>
      </c>
      <c r="X163" s="55">
        <f t="shared" si="37"/>
        <v>1.89</v>
      </c>
      <c r="Y163" s="30" t="str">
        <f t="shared" si="38"/>
        <v>Cost-Effective</v>
      </c>
      <c r="Z163" s="55">
        <f t="shared" si="39"/>
        <v>1.17</v>
      </c>
      <c r="AA163" s="30" t="str">
        <f t="shared" si="43"/>
        <v>Cost-Effective</v>
      </c>
      <c r="AB163" s="55">
        <f t="shared" si="40"/>
        <v>0.6677477128612227</v>
      </c>
      <c r="AC163" s="30" t="str">
        <f t="shared" si="41"/>
        <v>Cost-Effective</v>
      </c>
      <c r="AD163" s="55">
        <f t="shared" si="42"/>
        <v>0.16578730819497556</v>
      </c>
      <c r="AE163" s="30" t="str">
        <f t="shared" si="44"/>
        <v>Not Cost-Effective</v>
      </c>
      <c r="AF163" s="30" t="s">
        <v>176</v>
      </c>
      <c r="AG163" s="30" t="s">
        <v>382</v>
      </c>
    </row>
    <row r="164" spans="1:34" s="64" customFormat="1" ht="12.75" customHeight="1">
      <c r="A164" s="40">
        <f t="shared" si="45"/>
        <v>48</v>
      </c>
      <c r="B164" s="40">
        <f t="shared" si="46"/>
        <v>1</v>
      </c>
      <c r="C164" s="51" t="str">
        <f t="shared" si="47"/>
        <v>4801</v>
      </c>
      <c r="D164" s="64" t="s">
        <v>71</v>
      </c>
      <c r="E164" s="72">
        <v>2019</v>
      </c>
      <c r="F164" s="64" t="s">
        <v>72</v>
      </c>
      <c r="G164" s="64" t="s">
        <v>616</v>
      </c>
      <c r="H164" s="64" t="s">
        <v>729</v>
      </c>
      <c r="I164" s="63" t="s">
        <v>167</v>
      </c>
      <c r="J164" s="63" t="s">
        <v>166</v>
      </c>
      <c r="K164" s="65" t="s">
        <v>376</v>
      </c>
      <c r="L164" s="63">
        <v>4</v>
      </c>
      <c r="M164" s="63" t="s">
        <v>155</v>
      </c>
      <c r="N164" s="73" t="s">
        <v>377</v>
      </c>
      <c r="O164" s="64" t="s">
        <v>1038</v>
      </c>
      <c r="P164" s="72">
        <v>2016</v>
      </c>
      <c r="Q164" s="64" t="s">
        <v>1039</v>
      </c>
      <c r="R164" s="66">
        <f>635340/176</f>
        <v>3609.8863636363635</v>
      </c>
      <c r="S164" s="74">
        <f>R164/xRates!V228</f>
        <v>564.92744344857022</v>
      </c>
      <c r="T164" s="74" t="e">
        <f t="shared" si="33"/>
        <v>#N/A</v>
      </c>
      <c r="U164" s="64" t="e">
        <f t="shared" si="34"/>
        <v>#N/A</v>
      </c>
      <c r="V164" s="64" t="e">
        <f t="shared" si="35"/>
        <v>#N/A</v>
      </c>
      <c r="W164" s="75" t="e">
        <f t="shared" si="36"/>
        <v>#N/A</v>
      </c>
      <c r="X164" s="76">
        <f t="shared" si="37"/>
        <v>0</v>
      </c>
      <c r="Y164" s="64" t="e">
        <f t="shared" si="38"/>
        <v>#N/A</v>
      </c>
      <c r="Z164" s="76">
        <f t="shared" si="39"/>
        <v>0</v>
      </c>
      <c r="AA164" s="64" t="e">
        <f t="shared" si="43"/>
        <v>#N/A</v>
      </c>
      <c r="AB164" s="76">
        <f t="shared" si="40"/>
        <v>0</v>
      </c>
      <c r="AC164" s="64" t="e">
        <f t="shared" si="41"/>
        <v>#N/A</v>
      </c>
      <c r="AD164" s="76">
        <f t="shared" si="42"/>
        <v>0</v>
      </c>
      <c r="AE164" s="64" t="e">
        <f t="shared" si="44"/>
        <v>#N/A</v>
      </c>
      <c r="AF164" s="64" t="s">
        <v>176</v>
      </c>
      <c r="AG164" s="64" t="s">
        <v>382</v>
      </c>
      <c r="AH164" s="64" t="s">
        <v>867</v>
      </c>
    </row>
    <row r="165" spans="1:34" ht="12.75" customHeight="1">
      <c r="A165" s="40">
        <f t="shared" si="45"/>
        <v>49</v>
      </c>
      <c r="B165" s="40">
        <f t="shared" si="46"/>
        <v>1</v>
      </c>
      <c r="C165" s="51" t="str">
        <f t="shared" si="47"/>
        <v>4901</v>
      </c>
      <c r="D165" s="30" t="s">
        <v>73</v>
      </c>
      <c r="E165" s="40">
        <v>2019</v>
      </c>
      <c r="F165" s="30" t="s">
        <v>74</v>
      </c>
      <c r="G165" s="9" t="s">
        <v>293</v>
      </c>
      <c r="H165" s="44" t="s">
        <v>1034</v>
      </c>
      <c r="I165" s="40" t="s">
        <v>167</v>
      </c>
      <c r="J165" s="40" t="s">
        <v>147</v>
      </c>
      <c r="K165" s="49" t="s">
        <v>368</v>
      </c>
      <c r="L165" s="40">
        <v>3</v>
      </c>
      <c r="M165" s="40" t="s">
        <v>155</v>
      </c>
      <c r="N165" s="30" t="s">
        <v>377</v>
      </c>
      <c r="O165" s="30" t="s">
        <v>845</v>
      </c>
      <c r="P165" s="40">
        <v>2017</v>
      </c>
      <c r="Q165" s="30" t="s">
        <v>1040</v>
      </c>
      <c r="R165" s="31">
        <v>848</v>
      </c>
      <c r="S165" s="43">
        <f>R165</f>
        <v>848</v>
      </c>
      <c r="T165" s="32">
        <f t="shared" si="33"/>
        <v>3569.7</v>
      </c>
      <c r="U165" s="30" t="str">
        <f t="shared" si="34"/>
        <v>Cost-Effective</v>
      </c>
      <c r="V165" s="30" t="str">
        <f t="shared" si="35"/>
        <v>Cost-Effective</v>
      </c>
      <c r="W165" s="41">
        <f t="shared" si="36"/>
        <v>0.23755497660867861</v>
      </c>
      <c r="X165" s="55">
        <f t="shared" si="37"/>
        <v>1.22</v>
      </c>
      <c r="Y165" s="30" t="str">
        <f t="shared" si="38"/>
        <v>Cost-Effective</v>
      </c>
      <c r="Z165" s="55">
        <f t="shared" si="39"/>
        <v>0.71</v>
      </c>
      <c r="AA165" s="30" t="str">
        <f t="shared" si="43"/>
        <v>Cost-Effective</v>
      </c>
      <c r="AB165" s="55">
        <f t="shared" si="40"/>
        <v>0.60162941299352413</v>
      </c>
      <c r="AC165" s="30" t="str">
        <f t="shared" si="41"/>
        <v>Cost-Effective</v>
      </c>
      <c r="AD165" s="55">
        <f t="shared" si="42"/>
        <v>0.15737065663950978</v>
      </c>
      <c r="AE165" s="30" t="str">
        <f t="shared" si="44"/>
        <v>Not Cost-Effective</v>
      </c>
      <c r="AF165" s="30" t="s">
        <v>176</v>
      </c>
      <c r="AG165" s="30" t="s">
        <v>382</v>
      </c>
      <c r="AH165" s="30" t="s">
        <v>991</v>
      </c>
    </row>
    <row r="166" spans="1:34" ht="12.75" customHeight="1">
      <c r="A166" s="40">
        <f t="shared" si="45"/>
        <v>49</v>
      </c>
      <c r="B166" s="40">
        <f t="shared" si="46"/>
        <v>2</v>
      </c>
      <c r="C166" s="51" t="str">
        <f t="shared" si="47"/>
        <v>4902</v>
      </c>
      <c r="D166" s="30" t="s">
        <v>73</v>
      </c>
      <c r="E166" s="40">
        <v>2019</v>
      </c>
      <c r="F166" s="30" t="s">
        <v>74</v>
      </c>
      <c r="G166" s="9" t="s">
        <v>293</v>
      </c>
      <c r="H166" s="44" t="s">
        <v>1032</v>
      </c>
      <c r="I166" s="40" t="s">
        <v>166</v>
      </c>
      <c r="J166" s="40" t="s">
        <v>147</v>
      </c>
      <c r="K166" s="49" t="s">
        <v>368</v>
      </c>
      <c r="L166" s="40">
        <v>3</v>
      </c>
      <c r="M166" s="40" t="s">
        <v>155</v>
      </c>
      <c r="N166" s="30" t="s">
        <v>377</v>
      </c>
      <c r="O166" s="30" t="s">
        <v>845</v>
      </c>
      <c r="P166" s="40">
        <v>2017</v>
      </c>
      <c r="Q166" s="30" t="s">
        <v>1041</v>
      </c>
      <c r="R166" s="31">
        <v>1366</v>
      </c>
      <c r="S166" s="43">
        <f t="shared" ref="S166:S168" si="50">R166</f>
        <v>1366</v>
      </c>
      <c r="T166" s="32">
        <f t="shared" si="33"/>
        <v>3569.7</v>
      </c>
      <c r="U166" s="30" t="str">
        <f t="shared" si="34"/>
        <v>Cost-Effective</v>
      </c>
      <c r="V166" s="30" t="str">
        <f t="shared" si="35"/>
        <v>Cost-Effective</v>
      </c>
      <c r="W166" s="41">
        <f t="shared" si="36"/>
        <v>0.38266520996162146</v>
      </c>
      <c r="X166" s="55">
        <f t="shared" si="37"/>
        <v>1.22</v>
      </c>
      <c r="Y166" s="30" t="str">
        <f t="shared" si="38"/>
        <v>Cost-Effective</v>
      </c>
      <c r="Z166" s="55">
        <f t="shared" si="39"/>
        <v>0.71</v>
      </c>
      <c r="AA166" s="30" t="str">
        <f t="shared" si="43"/>
        <v>Cost-Effective</v>
      </c>
      <c r="AB166" s="55">
        <f t="shared" si="40"/>
        <v>0.60162941299352413</v>
      </c>
      <c r="AC166" s="30" t="str">
        <f t="shared" si="41"/>
        <v>Cost-Effective</v>
      </c>
      <c r="AD166" s="55">
        <f t="shared" si="42"/>
        <v>0.15737065663950978</v>
      </c>
      <c r="AE166" s="30" t="str">
        <f t="shared" si="44"/>
        <v>Not Cost-Effective</v>
      </c>
      <c r="AF166" s="30" t="s">
        <v>176</v>
      </c>
      <c r="AG166" s="30" t="s">
        <v>382</v>
      </c>
      <c r="AH166" s="30" t="s">
        <v>991</v>
      </c>
    </row>
    <row r="167" spans="1:34" ht="12.75" customHeight="1">
      <c r="A167" s="40">
        <f t="shared" si="45"/>
        <v>49</v>
      </c>
      <c r="B167" s="40">
        <f t="shared" si="46"/>
        <v>3</v>
      </c>
      <c r="C167" s="51" t="str">
        <f t="shared" si="47"/>
        <v>4903</v>
      </c>
      <c r="D167" s="30" t="s">
        <v>73</v>
      </c>
      <c r="E167" s="40">
        <v>2019</v>
      </c>
      <c r="F167" s="30" t="s">
        <v>74</v>
      </c>
      <c r="G167" s="9" t="s">
        <v>294</v>
      </c>
      <c r="H167" s="44" t="s">
        <v>1034</v>
      </c>
      <c r="I167" s="40" t="s">
        <v>167</v>
      </c>
      <c r="J167" s="40" t="s">
        <v>147</v>
      </c>
      <c r="K167" s="49" t="s">
        <v>368</v>
      </c>
      <c r="L167" s="40">
        <v>3</v>
      </c>
      <c r="M167" s="40" t="s">
        <v>155</v>
      </c>
      <c r="N167" s="30" t="s">
        <v>377</v>
      </c>
      <c r="O167" s="30" t="s">
        <v>845</v>
      </c>
      <c r="P167" s="40">
        <v>2017</v>
      </c>
      <c r="Q167" s="30" t="s">
        <v>1042</v>
      </c>
      <c r="R167" s="31">
        <v>308</v>
      </c>
      <c r="S167" s="43">
        <f t="shared" si="50"/>
        <v>308</v>
      </c>
      <c r="T167" s="32">
        <f t="shared" si="33"/>
        <v>4615.8999999999996</v>
      </c>
      <c r="U167" s="30" t="str">
        <f t="shared" si="34"/>
        <v>Cost-Effective</v>
      </c>
      <c r="V167" s="30" t="str">
        <f t="shared" si="35"/>
        <v>Cost-Effective</v>
      </c>
      <c r="W167" s="41">
        <f t="shared" si="36"/>
        <v>6.6725882276479132E-2</v>
      </c>
      <c r="X167" s="55">
        <f t="shared" si="37"/>
        <v>1.54</v>
      </c>
      <c r="Y167" s="30" t="str">
        <f t="shared" si="38"/>
        <v>Cost-Effective</v>
      </c>
      <c r="Z167" s="55">
        <f t="shared" si="39"/>
        <v>0.97</v>
      </c>
      <c r="AA167" s="30" t="str">
        <f t="shared" si="43"/>
        <v>Cost-Effective</v>
      </c>
      <c r="AB167" s="55">
        <f t="shared" si="40"/>
        <v>0.61922014326600161</v>
      </c>
      <c r="AC167" s="30" t="str">
        <f t="shared" si="41"/>
        <v>Cost-Effective</v>
      </c>
      <c r="AD167" s="55">
        <f t="shared" si="42"/>
        <v>0.1674193921948153</v>
      </c>
      <c r="AE167" s="30" t="str">
        <f t="shared" si="44"/>
        <v>Cost-Effective</v>
      </c>
      <c r="AF167" s="30" t="s">
        <v>176</v>
      </c>
      <c r="AG167" s="30" t="s">
        <v>382</v>
      </c>
      <c r="AH167" s="30" t="s">
        <v>991</v>
      </c>
    </row>
    <row r="168" spans="1:34" ht="12.75" customHeight="1">
      <c r="A168" s="40">
        <f t="shared" si="45"/>
        <v>49</v>
      </c>
      <c r="B168" s="40">
        <f t="shared" si="46"/>
        <v>4</v>
      </c>
      <c r="C168" s="51" t="str">
        <f t="shared" si="47"/>
        <v>4904</v>
      </c>
      <c r="D168" s="30" t="s">
        <v>73</v>
      </c>
      <c r="E168" s="40">
        <v>2019</v>
      </c>
      <c r="F168" s="30" t="s">
        <v>74</v>
      </c>
      <c r="G168" s="9" t="s">
        <v>294</v>
      </c>
      <c r="H168" s="44" t="s">
        <v>1032</v>
      </c>
      <c r="I168" s="40" t="s">
        <v>166</v>
      </c>
      <c r="J168" s="40" t="s">
        <v>147</v>
      </c>
      <c r="K168" s="49" t="s">
        <v>368</v>
      </c>
      <c r="L168" s="40">
        <v>3</v>
      </c>
      <c r="M168" s="40" t="s">
        <v>155</v>
      </c>
      <c r="N168" s="30" t="s">
        <v>377</v>
      </c>
      <c r="O168" s="30" t="s">
        <v>845</v>
      </c>
      <c r="P168" s="40">
        <v>2017</v>
      </c>
      <c r="Q168" s="30" t="s">
        <v>1043</v>
      </c>
      <c r="R168" s="31">
        <v>731</v>
      </c>
      <c r="S168" s="43">
        <f t="shared" si="50"/>
        <v>731</v>
      </c>
      <c r="T168" s="32">
        <f t="shared" si="33"/>
        <v>4615.8999999999996</v>
      </c>
      <c r="U168" s="30" t="str">
        <f t="shared" si="34"/>
        <v>Cost-Effective</v>
      </c>
      <c r="V168" s="30" t="str">
        <f t="shared" si="35"/>
        <v>Cost-Effective</v>
      </c>
      <c r="W168" s="41">
        <f t="shared" si="36"/>
        <v>0.15836564916917611</v>
      </c>
      <c r="X168" s="55">
        <f t="shared" si="37"/>
        <v>1.54</v>
      </c>
      <c r="Y168" s="30" t="str">
        <f t="shared" si="38"/>
        <v>Cost-Effective</v>
      </c>
      <c r="Z168" s="55">
        <f t="shared" si="39"/>
        <v>0.97</v>
      </c>
      <c r="AA168" s="30" t="str">
        <f t="shared" si="43"/>
        <v>Cost-Effective</v>
      </c>
      <c r="AB168" s="55">
        <f t="shared" si="40"/>
        <v>0.61922014326600161</v>
      </c>
      <c r="AC168" s="30" t="str">
        <f t="shared" si="41"/>
        <v>Cost-Effective</v>
      </c>
      <c r="AD168" s="55">
        <f t="shared" si="42"/>
        <v>0.1674193921948153</v>
      </c>
      <c r="AE168" s="30" t="str">
        <f t="shared" si="44"/>
        <v>Cost-Effective</v>
      </c>
      <c r="AF168" s="30" t="s">
        <v>176</v>
      </c>
      <c r="AG168" s="30" t="s">
        <v>382</v>
      </c>
      <c r="AH168" s="30" t="s">
        <v>991</v>
      </c>
    </row>
    <row r="169" spans="1:34" ht="12.75" customHeight="1">
      <c r="A169" s="40">
        <f t="shared" si="45"/>
        <v>50</v>
      </c>
      <c r="B169" s="40">
        <f t="shared" si="46"/>
        <v>1</v>
      </c>
      <c r="C169" s="51" t="str">
        <f t="shared" si="47"/>
        <v>5001</v>
      </c>
      <c r="D169" s="30" t="s">
        <v>73</v>
      </c>
      <c r="E169" s="40">
        <v>2020</v>
      </c>
      <c r="F169" s="30" t="s">
        <v>75</v>
      </c>
      <c r="G169" s="9" t="s">
        <v>241</v>
      </c>
      <c r="H169" s="44" t="s">
        <v>727</v>
      </c>
      <c r="I169" s="40" t="s">
        <v>167</v>
      </c>
      <c r="J169" s="40" t="s">
        <v>166</v>
      </c>
      <c r="K169" s="49" t="s">
        <v>368</v>
      </c>
      <c r="L169" s="40">
        <v>3</v>
      </c>
      <c r="M169" s="40" t="s">
        <v>148</v>
      </c>
      <c r="N169" s="30" t="s">
        <v>377</v>
      </c>
      <c r="O169" s="30" t="s">
        <v>845</v>
      </c>
      <c r="P169" s="40">
        <v>2016</v>
      </c>
      <c r="Q169" s="68" t="s">
        <v>738</v>
      </c>
      <c r="R169" s="119">
        <f>-59836109/6406</f>
        <v>-9340.6351857633472</v>
      </c>
      <c r="S169" s="120">
        <f>R169</f>
        <v>-9340.6351857633472</v>
      </c>
      <c r="T169" s="32">
        <f t="shared" si="33"/>
        <v>5936.3</v>
      </c>
      <c r="U169" s="30" t="str">
        <f t="shared" si="34"/>
        <v>Cost-Effective</v>
      </c>
      <c r="V169" s="30" t="str">
        <f t="shared" si="35"/>
        <v>Cost-Effective</v>
      </c>
      <c r="W169" s="41">
        <f t="shared" si="36"/>
        <v>-1.573477618341955</v>
      </c>
      <c r="X169" s="55">
        <f t="shared" si="37"/>
        <v>1.89</v>
      </c>
      <c r="Y169" s="30" t="str">
        <f t="shared" si="38"/>
        <v>Cost-Effective</v>
      </c>
      <c r="Z169" s="55">
        <f t="shared" si="39"/>
        <v>1.17</v>
      </c>
      <c r="AA169" s="30" t="str">
        <f t="shared" si="43"/>
        <v>Cost-Effective</v>
      </c>
      <c r="AB169" s="55">
        <f t="shared" si="40"/>
        <v>0.6677477128612227</v>
      </c>
      <c r="AC169" s="30" t="str">
        <f t="shared" si="41"/>
        <v>Cost-Effective</v>
      </c>
      <c r="AD169" s="55">
        <f t="shared" si="42"/>
        <v>0.16578730819497556</v>
      </c>
      <c r="AE169" s="30" t="str">
        <f t="shared" si="44"/>
        <v>Cost-Effective</v>
      </c>
      <c r="AF169" s="30" t="s">
        <v>176</v>
      </c>
      <c r="AG169" s="30" t="s">
        <v>439</v>
      </c>
      <c r="AH169" s="30" t="s">
        <v>991</v>
      </c>
    </row>
    <row r="170" spans="1:34" ht="12.75" customHeight="1">
      <c r="A170" s="40">
        <f t="shared" si="45"/>
        <v>51</v>
      </c>
      <c r="B170" s="40">
        <f t="shared" si="46"/>
        <v>1</v>
      </c>
      <c r="C170" s="51" t="str">
        <f t="shared" si="47"/>
        <v>5101</v>
      </c>
      <c r="D170" s="30" t="s">
        <v>76</v>
      </c>
      <c r="E170" s="40">
        <v>2021</v>
      </c>
      <c r="F170" s="30" t="s">
        <v>77</v>
      </c>
      <c r="G170" s="30" t="s">
        <v>217</v>
      </c>
      <c r="H170" s="44" t="s">
        <v>1034</v>
      </c>
      <c r="I170" s="40" t="s">
        <v>167</v>
      </c>
      <c r="J170" s="40" t="s">
        <v>147</v>
      </c>
      <c r="K170" s="49" t="s">
        <v>514</v>
      </c>
      <c r="L170" s="40">
        <v>3</v>
      </c>
      <c r="M170" s="40" t="s">
        <v>155</v>
      </c>
      <c r="N170" s="30" t="s">
        <v>377</v>
      </c>
      <c r="O170" s="30" t="s">
        <v>845</v>
      </c>
      <c r="P170" s="40">
        <v>2017</v>
      </c>
      <c r="Q170" s="30" t="s">
        <v>1044</v>
      </c>
      <c r="R170" s="31">
        <v>91</v>
      </c>
      <c r="S170" s="43">
        <v>91</v>
      </c>
      <c r="T170" s="32">
        <f t="shared" si="33"/>
        <v>632</v>
      </c>
      <c r="U170" s="30" t="str">
        <f t="shared" si="34"/>
        <v>Cost-Effective</v>
      </c>
      <c r="V170" s="30" t="str">
        <f t="shared" si="35"/>
        <v>Cost-Effective</v>
      </c>
      <c r="W170" s="41">
        <f t="shared" si="36"/>
        <v>0.14398734177215189</v>
      </c>
      <c r="X170" s="55">
        <f t="shared" si="37"/>
        <v>0.69</v>
      </c>
      <c r="Y170" s="30" t="str">
        <f t="shared" si="38"/>
        <v>Cost-Effective</v>
      </c>
      <c r="Z170" s="55">
        <f t="shared" si="39"/>
        <v>0.52</v>
      </c>
      <c r="AA170" s="30" t="str">
        <f t="shared" si="43"/>
        <v>Cost-Effective</v>
      </c>
      <c r="AB170" s="55">
        <f t="shared" si="40"/>
        <v>0.38924930491195553</v>
      </c>
      <c r="AC170" s="30" t="str">
        <f t="shared" si="41"/>
        <v>Cost-Effective</v>
      </c>
      <c r="AD170" s="55">
        <f t="shared" si="42"/>
        <v>1.8535681186283598E-2</v>
      </c>
      <c r="AE170" s="30" t="str">
        <f t="shared" si="44"/>
        <v>Not Cost-Effective</v>
      </c>
      <c r="AF170" s="30" t="s">
        <v>965</v>
      </c>
      <c r="AG170" s="30" t="s">
        <v>968</v>
      </c>
    </row>
    <row r="171" spans="1:34" ht="12.75" customHeight="1">
      <c r="A171" s="40">
        <f t="shared" si="45"/>
        <v>51</v>
      </c>
      <c r="B171" s="40">
        <f t="shared" si="46"/>
        <v>2</v>
      </c>
      <c r="C171" s="51" t="str">
        <f t="shared" si="47"/>
        <v>5102</v>
      </c>
      <c r="D171" s="30" t="s">
        <v>76</v>
      </c>
      <c r="E171" s="40">
        <v>2021</v>
      </c>
      <c r="F171" s="30" t="s">
        <v>77</v>
      </c>
      <c r="G171" s="30" t="s">
        <v>217</v>
      </c>
      <c r="H171" s="44" t="s">
        <v>1034</v>
      </c>
      <c r="I171" s="40" t="s">
        <v>167</v>
      </c>
      <c r="J171" s="40" t="s">
        <v>147</v>
      </c>
      <c r="K171" s="49" t="s">
        <v>514</v>
      </c>
      <c r="L171" s="40">
        <v>3</v>
      </c>
      <c r="M171" s="40" t="s">
        <v>155</v>
      </c>
      <c r="N171" s="30" t="s">
        <v>1033</v>
      </c>
      <c r="O171" s="30" t="s">
        <v>845</v>
      </c>
      <c r="P171" s="40">
        <v>2017</v>
      </c>
      <c r="Q171" s="30" t="s">
        <v>1045</v>
      </c>
      <c r="R171" s="31">
        <v>56</v>
      </c>
      <c r="S171" s="43">
        <v>56</v>
      </c>
      <c r="T171" s="32">
        <f t="shared" si="33"/>
        <v>632</v>
      </c>
      <c r="U171" s="30" t="str">
        <f t="shared" si="34"/>
        <v>Cost-Effective</v>
      </c>
      <c r="V171" s="30" t="str">
        <f t="shared" si="35"/>
        <v>Cost-Effective</v>
      </c>
      <c r="W171" s="41">
        <f t="shared" si="36"/>
        <v>8.8607594936708861E-2</v>
      </c>
      <c r="X171" s="55">
        <f t="shared" si="37"/>
        <v>0.69</v>
      </c>
      <c r="Y171" s="30" t="str">
        <f t="shared" si="38"/>
        <v>Cost-Effective</v>
      </c>
      <c r="Z171" s="55">
        <f t="shared" si="39"/>
        <v>0.52</v>
      </c>
      <c r="AA171" s="30" t="str">
        <f t="shared" si="43"/>
        <v>Cost-Effective</v>
      </c>
      <c r="AB171" s="55">
        <f t="shared" si="40"/>
        <v>0.38924930491195553</v>
      </c>
      <c r="AC171" s="30" t="str">
        <f t="shared" si="41"/>
        <v>Cost-Effective</v>
      </c>
      <c r="AD171" s="55">
        <f t="shared" si="42"/>
        <v>1.8535681186283598E-2</v>
      </c>
      <c r="AE171" s="30" t="str">
        <f t="shared" si="44"/>
        <v>Not Cost-Effective</v>
      </c>
      <c r="AF171" s="30" t="s">
        <v>965</v>
      </c>
      <c r="AG171" s="30" t="s">
        <v>968</v>
      </c>
    </row>
    <row r="172" spans="1:34" ht="12.75" customHeight="1">
      <c r="A172" s="40">
        <f t="shared" si="45"/>
        <v>52</v>
      </c>
      <c r="B172" s="40">
        <f t="shared" si="46"/>
        <v>1</v>
      </c>
      <c r="C172" s="51" t="str">
        <f t="shared" si="47"/>
        <v>5201</v>
      </c>
      <c r="D172" s="30" t="s">
        <v>78</v>
      </c>
      <c r="E172" s="40">
        <v>2021</v>
      </c>
      <c r="F172" s="30" t="s">
        <v>79</v>
      </c>
      <c r="G172" s="9" t="s">
        <v>200</v>
      </c>
      <c r="H172" s="44" t="s">
        <v>437</v>
      </c>
      <c r="I172" s="40" t="s">
        <v>167</v>
      </c>
      <c r="J172" s="40" t="s">
        <v>166</v>
      </c>
      <c r="K172" s="49" t="s">
        <v>494</v>
      </c>
      <c r="L172" s="40">
        <v>3</v>
      </c>
      <c r="M172" s="40" t="s">
        <v>155</v>
      </c>
      <c r="N172" s="30" t="s">
        <v>1033</v>
      </c>
      <c r="O172" s="30" t="s">
        <v>1046</v>
      </c>
      <c r="P172" s="40">
        <v>2019</v>
      </c>
      <c r="Q172" s="69" t="s">
        <v>745</v>
      </c>
      <c r="R172" s="119">
        <f>-12274777282/153349</f>
        <v>-80044.716835453772</v>
      </c>
      <c r="S172" s="120" t="e">
        <f>R172/xRates!Y157</f>
        <v>#DIV/0!</v>
      </c>
      <c r="T172" s="32">
        <f t="shared" si="33"/>
        <v>3413.8</v>
      </c>
      <c r="U172" s="30" t="e">
        <f t="shared" si="34"/>
        <v>#DIV/0!</v>
      </c>
      <c r="V172" s="30" t="e">
        <f t="shared" si="35"/>
        <v>#DIV/0!</v>
      </c>
      <c r="W172" s="41" t="e">
        <f t="shared" si="36"/>
        <v>#DIV/0!</v>
      </c>
      <c r="X172" s="55">
        <f t="shared" si="37"/>
        <v>0.34</v>
      </c>
      <c r="Y172" s="30" t="e">
        <f t="shared" si="38"/>
        <v>#DIV/0!</v>
      </c>
      <c r="Z172" s="55">
        <f t="shared" si="39"/>
        <v>0.23</v>
      </c>
      <c r="AA172" s="30" t="e">
        <f t="shared" si="43"/>
        <v>#DIV/0!</v>
      </c>
      <c r="AB172" s="55">
        <f t="shared" si="40"/>
        <v>0.49901671583087515</v>
      </c>
      <c r="AC172" s="30" t="e">
        <f t="shared" si="41"/>
        <v>#DIV/0!</v>
      </c>
      <c r="AD172" s="55">
        <f t="shared" si="42"/>
        <v>8.9900266891417335E-2</v>
      </c>
      <c r="AE172" s="30" t="e">
        <f t="shared" si="44"/>
        <v>#DIV/0!</v>
      </c>
      <c r="AF172" s="30" t="s">
        <v>298</v>
      </c>
      <c r="AG172" s="30" t="s">
        <v>439</v>
      </c>
    </row>
    <row r="173" spans="1:34" s="126" customFormat="1" ht="12.75" customHeight="1">
      <c r="A173" s="40">
        <f t="shared" si="45"/>
        <v>52</v>
      </c>
      <c r="B173" s="40">
        <f t="shared" si="46"/>
        <v>2</v>
      </c>
      <c r="C173" s="51" t="str">
        <f t="shared" si="47"/>
        <v>5202</v>
      </c>
      <c r="D173" s="30" t="s">
        <v>78</v>
      </c>
      <c r="E173" s="40">
        <v>2021</v>
      </c>
      <c r="F173" s="30" t="s">
        <v>79</v>
      </c>
      <c r="G173" s="9" t="s">
        <v>200</v>
      </c>
      <c r="H173" s="44" t="s">
        <v>746</v>
      </c>
      <c r="I173" s="40" t="s">
        <v>167</v>
      </c>
      <c r="J173" s="40" t="s">
        <v>166</v>
      </c>
      <c r="K173" s="49" t="s">
        <v>494</v>
      </c>
      <c r="L173" s="40">
        <v>3</v>
      </c>
      <c r="M173" s="40" t="s">
        <v>155</v>
      </c>
      <c r="N173" s="30" t="s">
        <v>1033</v>
      </c>
      <c r="O173" s="30" t="s">
        <v>1046</v>
      </c>
      <c r="P173" s="40">
        <v>2019</v>
      </c>
      <c r="Q173" s="127" t="s">
        <v>745</v>
      </c>
      <c r="R173" s="128">
        <f>-12274777282/153349</f>
        <v>-80044.716835453772</v>
      </c>
      <c r="S173" s="129" t="e">
        <f>R173/xRates!Y157</f>
        <v>#DIV/0!</v>
      </c>
      <c r="T173" s="130">
        <f t="shared" ref="T173" si="51">VLOOKUP(G173,gdppc,P173-1958,FALSE)</f>
        <v>3413.8</v>
      </c>
      <c r="U173" s="126" t="e">
        <f t="shared" ref="U173" si="52">IF(S173&lt;T173,"Cost-Effective","Not Cost-Effective")</f>
        <v>#DIV/0!</v>
      </c>
      <c r="V173" s="126" t="e">
        <f t="shared" ref="V173" si="53">IF(S173&lt;T173*3,"Cost-Effective","Not Cost-Effective")</f>
        <v>#DIV/0!</v>
      </c>
      <c r="W173" s="131" t="e">
        <f t="shared" ref="W173" si="54">S173/T173</f>
        <v>#DIV/0!</v>
      </c>
      <c r="X173" s="132">
        <f t="shared" ref="X173" si="55">IFERROR(VLOOKUP(G173,ochalek,11,FALSE),0)</f>
        <v>0.34</v>
      </c>
      <c r="Y173" s="126" t="e">
        <f t="shared" ref="Y173" si="56">IF( W173&lt;X173, "Cost-Effective", IF( W173-X173=W173, "No Threshold", "Not Cost-Effective"))</f>
        <v>#DIV/0!</v>
      </c>
      <c r="Z173" s="132">
        <f t="shared" ref="Z173" si="57">IFERROR(VLOOKUP(G173,ochalek,10,FALSE),0)</f>
        <v>0.23</v>
      </c>
      <c r="AA173" s="126" t="e">
        <f t="shared" ref="AA173" si="58">IF( W173&lt;Z173, "Cost-Effective", IF( W173-Z173=W173, "No Threshold", "Not Cost-Effective"))</f>
        <v>#DIV/0!</v>
      </c>
      <c r="AB173" s="132">
        <f t="shared" ref="AB173" si="59">IFERROR(VLOOKUP(G173,woods,6,FALSE),0)</f>
        <v>0.49901671583087515</v>
      </c>
      <c r="AC173" s="126" t="e">
        <f t="shared" ref="AC173" si="60">IF( W173&lt;AB173, "Cost-Effective", IF( W173-AB173=W173, "No Threshold", "Not Cost-Effective"))</f>
        <v>#DIV/0!</v>
      </c>
      <c r="AD173" s="132">
        <f t="shared" ref="AD173" si="61">IFERROR(VLOOKUP(G173,woods,5,FALSE),0)</f>
        <v>8.9900266891417335E-2</v>
      </c>
      <c r="AE173" s="126" t="e">
        <f t="shared" ref="AE173" si="62">IF( W173&lt;AD173, "Cost-Effective", IF( W173-AD173=W173, "No Threshold", "Not Cost-Effective"))</f>
        <v>#DIV/0!</v>
      </c>
      <c r="AF173" s="126" t="s">
        <v>298</v>
      </c>
      <c r="AG173" s="126" t="s">
        <v>439</v>
      </c>
    </row>
    <row r="174" spans="1:34" ht="12.75" customHeight="1">
      <c r="A174" s="40">
        <f t="shared" si="45"/>
        <v>53</v>
      </c>
      <c r="B174" s="40">
        <f t="shared" si="46"/>
        <v>1</v>
      </c>
      <c r="C174" s="51" t="str">
        <f t="shared" si="47"/>
        <v>5301</v>
      </c>
      <c r="D174" s="30" t="s">
        <v>78</v>
      </c>
      <c r="E174" s="40">
        <v>2021</v>
      </c>
      <c r="F174" s="30" t="s">
        <v>80</v>
      </c>
      <c r="G174" s="9" t="s">
        <v>211</v>
      </c>
      <c r="H174" s="44" t="s">
        <v>727</v>
      </c>
      <c r="I174" s="40" t="s">
        <v>167</v>
      </c>
      <c r="J174" s="40" t="s">
        <v>166</v>
      </c>
      <c r="K174" s="49" t="s">
        <v>368</v>
      </c>
      <c r="L174" s="40">
        <v>3</v>
      </c>
      <c r="M174" s="40" t="s">
        <v>148</v>
      </c>
      <c r="N174" s="30" t="s">
        <v>377</v>
      </c>
      <c r="O174" s="30" t="s">
        <v>1047</v>
      </c>
      <c r="P174" s="40">
        <v>2019</v>
      </c>
      <c r="Q174" s="68" t="s">
        <v>749</v>
      </c>
      <c r="R174" s="119">
        <f>-172101081/20317</f>
        <v>-8470.7919968499282</v>
      </c>
      <c r="S174" s="120">
        <f>R174/xRates!Y28</f>
        <v>-4235.3959984249641</v>
      </c>
      <c r="T174" s="32">
        <f t="shared" si="33"/>
        <v>8845.2999999999993</v>
      </c>
      <c r="U174" s="30" t="str">
        <f t="shared" si="34"/>
        <v>Cost-Effective</v>
      </c>
      <c r="V174" s="30" t="str">
        <f t="shared" si="35"/>
        <v>Cost-Effective</v>
      </c>
      <c r="W174" s="41">
        <f t="shared" si="36"/>
        <v>-0.47883011298938016</v>
      </c>
      <c r="X174" s="55">
        <f t="shared" si="37"/>
        <v>1.0900000000000001</v>
      </c>
      <c r="Y174" s="30" t="str">
        <f t="shared" si="38"/>
        <v>Cost-Effective</v>
      </c>
      <c r="Z174" s="55">
        <f t="shared" si="39"/>
        <v>0.71</v>
      </c>
      <c r="AA174" s="30" t="str">
        <f t="shared" si="43"/>
        <v>Cost-Effective</v>
      </c>
      <c r="AB174" s="55">
        <f t="shared" si="40"/>
        <v>0.61540469547909216</v>
      </c>
      <c r="AC174" s="30" t="str">
        <f t="shared" si="41"/>
        <v>Cost-Effective</v>
      </c>
      <c r="AD174" s="55">
        <f t="shared" si="42"/>
        <v>0.19520989346254874</v>
      </c>
      <c r="AE174" s="30" t="str">
        <f t="shared" si="44"/>
        <v>Cost-Effective</v>
      </c>
      <c r="AF174" s="30" t="s">
        <v>176</v>
      </c>
      <c r="AG174" s="30" t="s">
        <v>439</v>
      </c>
    </row>
    <row r="175" spans="1:34" ht="12.75" customHeight="1">
      <c r="A175" s="40">
        <f t="shared" si="45"/>
        <v>54</v>
      </c>
      <c r="B175" s="40">
        <f t="shared" si="46"/>
        <v>1</v>
      </c>
      <c r="C175" s="51" t="str">
        <f t="shared" si="47"/>
        <v>5401</v>
      </c>
      <c r="D175" s="30" t="s">
        <v>81</v>
      </c>
      <c r="E175" s="40">
        <v>2021</v>
      </c>
      <c r="F175" s="30" t="s">
        <v>82</v>
      </c>
      <c r="G175" s="9" t="s">
        <v>301</v>
      </c>
      <c r="H175" s="44" t="s">
        <v>1048</v>
      </c>
      <c r="I175" s="40" t="s">
        <v>167</v>
      </c>
      <c r="J175" s="40" t="s">
        <v>147</v>
      </c>
      <c r="K175" s="49" t="s">
        <v>368</v>
      </c>
      <c r="L175" s="40">
        <v>3</v>
      </c>
      <c r="M175" s="40" t="s">
        <v>155</v>
      </c>
      <c r="N175" s="30" t="s">
        <v>302</v>
      </c>
      <c r="O175" s="30" t="s">
        <v>845</v>
      </c>
      <c r="P175" s="40">
        <v>2019</v>
      </c>
      <c r="Q175" s="30" t="s">
        <v>1049</v>
      </c>
      <c r="R175" s="31">
        <v>162</v>
      </c>
      <c r="S175" s="43">
        <f>R175</f>
        <v>162</v>
      </c>
      <c r="T175" s="32">
        <f t="shared" si="33"/>
        <v>4151.2</v>
      </c>
      <c r="U175" s="30" t="str">
        <f t="shared" si="34"/>
        <v>Cost-Effective</v>
      </c>
      <c r="V175" s="30" t="str">
        <f t="shared" si="35"/>
        <v>Cost-Effective</v>
      </c>
      <c r="W175" s="41">
        <f t="shared" si="36"/>
        <v>3.9024860281364426E-2</v>
      </c>
      <c r="X175" s="55">
        <f t="shared" si="37"/>
        <v>0.23</v>
      </c>
      <c r="Y175" s="30" t="str">
        <f t="shared" si="38"/>
        <v>Cost-Effective</v>
      </c>
      <c r="Z175" s="55">
        <f t="shared" si="39"/>
        <v>0.16</v>
      </c>
      <c r="AA175" s="30" t="str">
        <f t="shared" si="43"/>
        <v>Cost-Effective</v>
      </c>
      <c r="AB175" s="55">
        <f t="shared" si="40"/>
        <v>0.49571178772655361</v>
      </c>
      <c r="AC175" s="30" t="str">
        <f t="shared" si="41"/>
        <v>Cost-Effective</v>
      </c>
      <c r="AD175" s="55">
        <f t="shared" si="42"/>
        <v>0.13100557883926836</v>
      </c>
      <c r="AE175" s="30" t="str">
        <f t="shared" si="44"/>
        <v>Cost-Effective</v>
      </c>
      <c r="AF175" s="126" t="s">
        <v>161</v>
      </c>
      <c r="AG175" s="30" t="s">
        <v>382</v>
      </c>
      <c r="AH175" s="30" t="s">
        <v>1050</v>
      </c>
    </row>
    <row r="176" spans="1:34" ht="12.75" customHeight="1">
      <c r="A176" s="40">
        <f t="shared" si="45"/>
        <v>54</v>
      </c>
      <c r="B176" s="40">
        <f t="shared" si="46"/>
        <v>2</v>
      </c>
      <c r="C176" s="51" t="str">
        <f t="shared" si="47"/>
        <v>5402</v>
      </c>
      <c r="D176" s="30" t="s">
        <v>81</v>
      </c>
      <c r="E176" s="40">
        <v>2021</v>
      </c>
      <c r="F176" s="30" t="s">
        <v>82</v>
      </c>
      <c r="G176" s="9" t="s">
        <v>301</v>
      </c>
      <c r="H176" s="44" t="s">
        <v>1048</v>
      </c>
      <c r="I176" s="40" t="s">
        <v>167</v>
      </c>
      <c r="J176" s="40" t="s">
        <v>147</v>
      </c>
      <c r="K176" s="49" t="s">
        <v>368</v>
      </c>
      <c r="L176" s="40">
        <v>3</v>
      </c>
      <c r="M176" s="40" t="s">
        <v>155</v>
      </c>
      <c r="N176" s="30" t="s">
        <v>1033</v>
      </c>
      <c r="O176" s="30" t="s">
        <v>845</v>
      </c>
      <c r="P176" s="40">
        <v>2019</v>
      </c>
      <c r="Q176" s="30" t="s">
        <v>1051</v>
      </c>
      <c r="R176" s="31">
        <v>254</v>
      </c>
      <c r="S176" s="43">
        <f t="shared" ref="S176:S190" si="63">R176</f>
        <v>254</v>
      </c>
      <c r="T176" s="32">
        <f t="shared" si="33"/>
        <v>4151.2</v>
      </c>
      <c r="U176" s="30" t="str">
        <f t="shared" si="34"/>
        <v>Cost-Effective</v>
      </c>
      <c r="V176" s="30" t="str">
        <f t="shared" si="35"/>
        <v>Cost-Effective</v>
      </c>
      <c r="W176" s="41">
        <f t="shared" si="36"/>
        <v>6.1187126613991137E-2</v>
      </c>
      <c r="X176" s="55">
        <f t="shared" si="37"/>
        <v>0.23</v>
      </c>
      <c r="Y176" s="30" t="str">
        <f t="shared" si="38"/>
        <v>Cost-Effective</v>
      </c>
      <c r="Z176" s="55">
        <f t="shared" si="39"/>
        <v>0.16</v>
      </c>
      <c r="AA176" s="30" t="str">
        <f t="shared" si="43"/>
        <v>Cost-Effective</v>
      </c>
      <c r="AB176" s="55">
        <f t="shared" si="40"/>
        <v>0.49571178772655361</v>
      </c>
      <c r="AC176" s="30" t="str">
        <f t="shared" si="41"/>
        <v>Cost-Effective</v>
      </c>
      <c r="AD176" s="55">
        <f t="shared" si="42"/>
        <v>0.13100557883926836</v>
      </c>
      <c r="AE176" s="30" t="str">
        <f t="shared" si="44"/>
        <v>Cost-Effective</v>
      </c>
      <c r="AF176" s="126" t="s">
        <v>161</v>
      </c>
      <c r="AG176" s="30" t="s">
        <v>382</v>
      </c>
      <c r="AH176" s="30" t="s">
        <v>1050</v>
      </c>
    </row>
    <row r="177" spans="1:34" ht="12.75" customHeight="1">
      <c r="A177" s="40">
        <f t="shared" si="45"/>
        <v>54</v>
      </c>
      <c r="B177" s="40">
        <f t="shared" si="46"/>
        <v>3</v>
      </c>
      <c r="C177" s="51" t="str">
        <f t="shared" si="47"/>
        <v>5403</v>
      </c>
      <c r="D177" s="30" t="s">
        <v>81</v>
      </c>
      <c r="E177" s="40">
        <v>2021</v>
      </c>
      <c r="F177" s="30" t="s">
        <v>82</v>
      </c>
      <c r="G177" s="9" t="s">
        <v>301</v>
      </c>
      <c r="H177" s="44" t="s">
        <v>1048</v>
      </c>
      <c r="I177" s="40" t="s">
        <v>167</v>
      </c>
      <c r="J177" s="40" t="s">
        <v>147</v>
      </c>
      <c r="K177" s="49" t="s">
        <v>368</v>
      </c>
      <c r="L177" s="40">
        <v>3</v>
      </c>
      <c r="M177" s="40" t="s">
        <v>155</v>
      </c>
      <c r="N177" s="30" t="s">
        <v>756</v>
      </c>
      <c r="O177" s="30" t="s">
        <v>845</v>
      </c>
      <c r="P177" s="40">
        <v>2019</v>
      </c>
      <c r="Q177" s="30" t="s">
        <v>1052</v>
      </c>
      <c r="R177" s="31">
        <v>322</v>
      </c>
      <c r="S177" s="43">
        <f t="shared" si="63"/>
        <v>322</v>
      </c>
      <c r="T177" s="32">
        <f t="shared" si="33"/>
        <v>4151.2</v>
      </c>
      <c r="U177" s="30" t="str">
        <f t="shared" si="34"/>
        <v>Cost-Effective</v>
      </c>
      <c r="V177" s="30" t="str">
        <f t="shared" si="35"/>
        <v>Cost-Effective</v>
      </c>
      <c r="W177" s="41">
        <f t="shared" si="36"/>
        <v>7.7567932164193484E-2</v>
      </c>
      <c r="X177" s="55">
        <f t="shared" si="37"/>
        <v>0.23</v>
      </c>
      <c r="Y177" s="30" t="str">
        <f t="shared" si="38"/>
        <v>Cost-Effective</v>
      </c>
      <c r="Z177" s="55">
        <f t="shared" si="39"/>
        <v>0.16</v>
      </c>
      <c r="AA177" s="30" t="str">
        <f t="shared" si="43"/>
        <v>Cost-Effective</v>
      </c>
      <c r="AB177" s="55">
        <f t="shared" si="40"/>
        <v>0.49571178772655361</v>
      </c>
      <c r="AC177" s="30" t="str">
        <f t="shared" si="41"/>
        <v>Cost-Effective</v>
      </c>
      <c r="AD177" s="55">
        <f t="shared" si="42"/>
        <v>0.13100557883926836</v>
      </c>
      <c r="AE177" s="30" t="str">
        <f t="shared" si="44"/>
        <v>Cost-Effective</v>
      </c>
      <c r="AF177" s="126" t="s">
        <v>161</v>
      </c>
      <c r="AG177" s="30" t="s">
        <v>382</v>
      </c>
      <c r="AH177" s="30" t="s">
        <v>1050</v>
      </c>
    </row>
    <row r="178" spans="1:34" ht="12.75" customHeight="1">
      <c r="A178" s="40">
        <f t="shared" si="45"/>
        <v>54</v>
      </c>
      <c r="B178" s="40">
        <f t="shared" si="46"/>
        <v>4</v>
      </c>
      <c r="C178" s="51" t="str">
        <f t="shared" si="47"/>
        <v>5404</v>
      </c>
      <c r="D178" s="30" t="s">
        <v>81</v>
      </c>
      <c r="E178" s="40">
        <v>2021</v>
      </c>
      <c r="F178" s="30" t="s">
        <v>82</v>
      </c>
      <c r="G178" s="9" t="s">
        <v>301</v>
      </c>
      <c r="H178" s="44" t="s">
        <v>1053</v>
      </c>
      <c r="I178" s="40" t="s">
        <v>167</v>
      </c>
      <c r="J178" s="40" t="s">
        <v>147</v>
      </c>
      <c r="K178" s="49" t="s">
        <v>368</v>
      </c>
      <c r="L178" s="40">
        <v>3</v>
      </c>
      <c r="M178" s="40" t="s">
        <v>155</v>
      </c>
      <c r="N178" s="30" t="s">
        <v>302</v>
      </c>
      <c r="O178" s="30" t="s">
        <v>845</v>
      </c>
      <c r="P178" s="40">
        <v>2019</v>
      </c>
      <c r="Q178" s="30" t="s">
        <v>1054</v>
      </c>
      <c r="R178" s="31">
        <v>447</v>
      </c>
      <c r="S178" s="43">
        <f t="shared" si="63"/>
        <v>447</v>
      </c>
      <c r="T178" s="32">
        <f t="shared" si="33"/>
        <v>4151.2</v>
      </c>
      <c r="U178" s="30" t="str">
        <f t="shared" si="34"/>
        <v>Cost-Effective</v>
      </c>
      <c r="V178" s="30" t="str">
        <f t="shared" si="35"/>
        <v>Cost-Effective</v>
      </c>
      <c r="W178" s="41">
        <f t="shared" si="36"/>
        <v>0.1076797070726537</v>
      </c>
      <c r="X178" s="55">
        <f t="shared" si="37"/>
        <v>0.23</v>
      </c>
      <c r="Y178" s="30" t="str">
        <f t="shared" si="38"/>
        <v>Cost-Effective</v>
      </c>
      <c r="Z178" s="55">
        <f t="shared" si="39"/>
        <v>0.16</v>
      </c>
      <c r="AA178" s="30" t="str">
        <f t="shared" si="43"/>
        <v>Cost-Effective</v>
      </c>
      <c r="AB178" s="55">
        <f t="shared" si="40"/>
        <v>0.49571178772655361</v>
      </c>
      <c r="AC178" s="30" t="str">
        <f t="shared" si="41"/>
        <v>Cost-Effective</v>
      </c>
      <c r="AD178" s="55">
        <f t="shared" si="42"/>
        <v>0.13100557883926836</v>
      </c>
      <c r="AE178" s="30" t="str">
        <f t="shared" si="44"/>
        <v>Cost-Effective</v>
      </c>
      <c r="AF178" s="126" t="s">
        <v>161</v>
      </c>
      <c r="AG178" s="30" t="s">
        <v>382</v>
      </c>
      <c r="AH178" s="30" t="s">
        <v>1050</v>
      </c>
    </row>
    <row r="179" spans="1:34" ht="12.75" customHeight="1">
      <c r="A179" s="40">
        <f t="shared" si="45"/>
        <v>54</v>
      </c>
      <c r="B179" s="40">
        <f t="shared" si="46"/>
        <v>5</v>
      </c>
      <c r="C179" s="51" t="str">
        <f t="shared" si="47"/>
        <v>5405</v>
      </c>
      <c r="D179" s="30" t="s">
        <v>81</v>
      </c>
      <c r="E179" s="40">
        <v>2021</v>
      </c>
      <c r="F179" s="30" t="s">
        <v>82</v>
      </c>
      <c r="G179" s="9" t="s">
        <v>301</v>
      </c>
      <c r="H179" s="44" t="s">
        <v>1053</v>
      </c>
      <c r="I179" s="40" t="s">
        <v>167</v>
      </c>
      <c r="J179" s="40" t="s">
        <v>147</v>
      </c>
      <c r="K179" s="49" t="s">
        <v>368</v>
      </c>
      <c r="L179" s="40">
        <v>3</v>
      </c>
      <c r="M179" s="40" t="s">
        <v>155</v>
      </c>
      <c r="N179" s="30" t="s">
        <v>1033</v>
      </c>
      <c r="O179" s="30" t="s">
        <v>845</v>
      </c>
      <c r="P179" s="40">
        <v>2019</v>
      </c>
      <c r="Q179" s="30" t="s">
        <v>1055</v>
      </c>
      <c r="R179" s="31">
        <v>539</v>
      </c>
      <c r="S179" s="43">
        <f t="shared" si="63"/>
        <v>539</v>
      </c>
      <c r="T179" s="32">
        <f t="shared" si="33"/>
        <v>4151.2</v>
      </c>
      <c r="U179" s="30" t="str">
        <f t="shared" si="34"/>
        <v>Cost-Effective</v>
      </c>
      <c r="V179" s="30" t="str">
        <f t="shared" si="35"/>
        <v>Cost-Effective</v>
      </c>
      <c r="W179" s="41">
        <f t="shared" si="36"/>
        <v>0.12984197340528042</v>
      </c>
      <c r="X179" s="55">
        <f t="shared" si="37"/>
        <v>0.23</v>
      </c>
      <c r="Y179" s="30" t="str">
        <f t="shared" si="38"/>
        <v>Cost-Effective</v>
      </c>
      <c r="Z179" s="55">
        <f t="shared" si="39"/>
        <v>0.16</v>
      </c>
      <c r="AA179" s="30" t="str">
        <f t="shared" si="43"/>
        <v>Cost-Effective</v>
      </c>
      <c r="AB179" s="55">
        <f t="shared" si="40"/>
        <v>0.49571178772655361</v>
      </c>
      <c r="AC179" s="30" t="str">
        <f t="shared" si="41"/>
        <v>Cost-Effective</v>
      </c>
      <c r="AD179" s="55">
        <f t="shared" si="42"/>
        <v>0.13100557883926836</v>
      </c>
      <c r="AE179" s="30" t="str">
        <f t="shared" si="44"/>
        <v>Cost-Effective</v>
      </c>
      <c r="AF179" s="126" t="s">
        <v>161</v>
      </c>
      <c r="AG179" s="30" t="s">
        <v>382</v>
      </c>
      <c r="AH179" s="30" t="s">
        <v>1050</v>
      </c>
    </row>
    <row r="180" spans="1:34" ht="12.75" customHeight="1">
      <c r="A180" s="40">
        <f t="shared" si="45"/>
        <v>54</v>
      </c>
      <c r="B180" s="40">
        <f t="shared" si="46"/>
        <v>6</v>
      </c>
      <c r="C180" s="51" t="str">
        <f t="shared" si="47"/>
        <v>5406</v>
      </c>
      <c r="D180" s="30" t="s">
        <v>81</v>
      </c>
      <c r="E180" s="40">
        <v>2021</v>
      </c>
      <c r="F180" s="30" t="s">
        <v>82</v>
      </c>
      <c r="G180" s="9" t="s">
        <v>301</v>
      </c>
      <c r="H180" s="44" t="s">
        <v>1053</v>
      </c>
      <c r="I180" s="40" t="s">
        <v>167</v>
      </c>
      <c r="J180" s="40" t="s">
        <v>147</v>
      </c>
      <c r="K180" s="49" t="s">
        <v>368</v>
      </c>
      <c r="L180" s="40">
        <v>3</v>
      </c>
      <c r="M180" s="40" t="s">
        <v>155</v>
      </c>
      <c r="N180" s="30" t="s">
        <v>756</v>
      </c>
      <c r="O180" s="30" t="s">
        <v>845</v>
      </c>
      <c r="P180" s="40">
        <v>2019</v>
      </c>
      <c r="Q180" s="30" t="s">
        <v>1056</v>
      </c>
      <c r="R180" s="31">
        <v>607</v>
      </c>
      <c r="S180" s="43">
        <f t="shared" si="63"/>
        <v>607</v>
      </c>
      <c r="T180" s="32">
        <f t="shared" si="33"/>
        <v>4151.2</v>
      </c>
      <c r="U180" s="30" t="str">
        <f t="shared" si="34"/>
        <v>Cost-Effective</v>
      </c>
      <c r="V180" s="30" t="str">
        <f t="shared" si="35"/>
        <v>Cost-Effective</v>
      </c>
      <c r="W180" s="41">
        <f t="shared" si="36"/>
        <v>0.14622277895548275</v>
      </c>
      <c r="X180" s="55">
        <f t="shared" si="37"/>
        <v>0.23</v>
      </c>
      <c r="Y180" s="30" t="str">
        <f t="shared" si="38"/>
        <v>Cost-Effective</v>
      </c>
      <c r="Z180" s="55">
        <f t="shared" si="39"/>
        <v>0.16</v>
      </c>
      <c r="AA180" s="30" t="str">
        <f t="shared" si="43"/>
        <v>Cost-Effective</v>
      </c>
      <c r="AB180" s="55">
        <f t="shared" si="40"/>
        <v>0.49571178772655361</v>
      </c>
      <c r="AC180" s="30" t="str">
        <f t="shared" si="41"/>
        <v>Cost-Effective</v>
      </c>
      <c r="AD180" s="55">
        <f t="shared" si="42"/>
        <v>0.13100557883926836</v>
      </c>
      <c r="AE180" s="30" t="str">
        <f t="shared" si="44"/>
        <v>Not Cost-Effective</v>
      </c>
      <c r="AF180" s="126" t="s">
        <v>161</v>
      </c>
      <c r="AG180" s="30" t="s">
        <v>382</v>
      </c>
      <c r="AH180" s="30" t="s">
        <v>1050</v>
      </c>
    </row>
    <row r="181" spans="1:34" ht="12.75" customHeight="1">
      <c r="A181" s="40">
        <f t="shared" si="45"/>
        <v>54</v>
      </c>
      <c r="B181" s="40">
        <f t="shared" si="46"/>
        <v>7</v>
      </c>
      <c r="C181" s="51" t="str">
        <f t="shared" si="47"/>
        <v>5407</v>
      </c>
      <c r="D181" s="30" t="s">
        <v>81</v>
      </c>
      <c r="E181" s="40">
        <v>2021</v>
      </c>
      <c r="F181" s="30" t="s">
        <v>82</v>
      </c>
      <c r="G181" s="9" t="s">
        <v>301</v>
      </c>
      <c r="H181" s="44" t="s">
        <v>1057</v>
      </c>
      <c r="I181" s="40" t="s">
        <v>167</v>
      </c>
      <c r="J181" s="40" t="s">
        <v>147</v>
      </c>
      <c r="K181" s="49" t="s">
        <v>368</v>
      </c>
      <c r="L181" s="40">
        <v>3</v>
      </c>
      <c r="M181" s="40" t="s">
        <v>155</v>
      </c>
      <c r="N181" s="30" t="s">
        <v>302</v>
      </c>
      <c r="O181" s="30" t="s">
        <v>845</v>
      </c>
      <c r="P181" s="40">
        <v>2019</v>
      </c>
      <c r="Q181" s="30" t="s">
        <v>1058</v>
      </c>
      <c r="R181" s="31">
        <v>718</v>
      </c>
      <c r="S181" s="43">
        <f t="shared" si="63"/>
        <v>718</v>
      </c>
      <c r="T181" s="32">
        <f t="shared" si="33"/>
        <v>4151.2</v>
      </c>
      <c r="U181" s="30" t="str">
        <f t="shared" si="34"/>
        <v>Cost-Effective</v>
      </c>
      <c r="V181" s="30" t="str">
        <f t="shared" si="35"/>
        <v>Cost-Effective</v>
      </c>
      <c r="W181" s="41">
        <f t="shared" si="36"/>
        <v>0.17296203507419541</v>
      </c>
      <c r="X181" s="55">
        <f t="shared" si="37"/>
        <v>0.23</v>
      </c>
      <c r="Y181" s="30" t="str">
        <f t="shared" si="38"/>
        <v>Cost-Effective</v>
      </c>
      <c r="Z181" s="55">
        <f t="shared" si="39"/>
        <v>0.16</v>
      </c>
      <c r="AA181" s="30" t="str">
        <f t="shared" si="43"/>
        <v>Not Cost-Effective</v>
      </c>
      <c r="AB181" s="55">
        <f t="shared" si="40"/>
        <v>0.49571178772655361</v>
      </c>
      <c r="AC181" s="30" t="str">
        <f t="shared" si="41"/>
        <v>Cost-Effective</v>
      </c>
      <c r="AD181" s="55">
        <f t="shared" si="42"/>
        <v>0.13100557883926836</v>
      </c>
      <c r="AE181" s="30" t="str">
        <f t="shared" si="44"/>
        <v>Not Cost-Effective</v>
      </c>
      <c r="AF181" s="126" t="s">
        <v>161</v>
      </c>
      <c r="AG181" s="30" t="s">
        <v>382</v>
      </c>
      <c r="AH181" s="30" t="s">
        <v>1050</v>
      </c>
    </row>
    <row r="182" spans="1:34" ht="12.75" customHeight="1">
      <c r="A182" s="40">
        <f t="shared" si="45"/>
        <v>54</v>
      </c>
      <c r="B182" s="40">
        <f t="shared" si="46"/>
        <v>8</v>
      </c>
      <c r="C182" s="51" t="str">
        <f t="shared" si="47"/>
        <v>5408</v>
      </c>
      <c r="D182" s="30" t="s">
        <v>81</v>
      </c>
      <c r="E182" s="40">
        <v>2021</v>
      </c>
      <c r="F182" s="30" t="s">
        <v>82</v>
      </c>
      <c r="G182" s="9" t="s">
        <v>301</v>
      </c>
      <c r="H182" s="44" t="s">
        <v>1057</v>
      </c>
      <c r="I182" s="40" t="s">
        <v>167</v>
      </c>
      <c r="J182" s="40" t="s">
        <v>147</v>
      </c>
      <c r="K182" s="49" t="s">
        <v>368</v>
      </c>
      <c r="L182" s="40">
        <v>3</v>
      </c>
      <c r="M182" s="40" t="s">
        <v>155</v>
      </c>
      <c r="N182" s="30" t="s">
        <v>1033</v>
      </c>
      <c r="O182" s="30" t="s">
        <v>845</v>
      </c>
      <c r="P182" s="40">
        <v>2019</v>
      </c>
      <c r="Q182" s="30" t="s">
        <v>1059</v>
      </c>
      <c r="R182" s="31">
        <v>810</v>
      </c>
      <c r="S182" s="43">
        <f t="shared" si="63"/>
        <v>810</v>
      </c>
      <c r="T182" s="32">
        <f t="shared" si="33"/>
        <v>4151.2</v>
      </c>
      <c r="U182" s="30" t="str">
        <f t="shared" si="34"/>
        <v>Cost-Effective</v>
      </c>
      <c r="V182" s="30" t="str">
        <f t="shared" si="35"/>
        <v>Cost-Effective</v>
      </c>
      <c r="W182" s="41">
        <f t="shared" si="36"/>
        <v>0.19512430140682213</v>
      </c>
      <c r="X182" s="55">
        <f t="shared" si="37"/>
        <v>0.23</v>
      </c>
      <c r="Y182" s="30" t="str">
        <f t="shared" si="38"/>
        <v>Cost-Effective</v>
      </c>
      <c r="Z182" s="55">
        <f t="shared" si="39"/>
        <v>0.16</v>
      </c>
      <c r="AA182" s="30" t="str">
        <f t="shared" si="43"/>
        <v>Not Cost-Effective</v>
      </c>
      <c r="AB182" s="55">
        <f t="shared" si="40"/>
        <v>0.49571178772655361</v>
      </c>
      <c r="AC182" s="30" t="str">
        <f t="shared" si="41"/>
        <v>Cost-Effective</v>
      </c>
      <c r="AD182" s="55">
        <f t="shared" si="42"/>
        <v>0.13100557883926836</v>
      </c>
      <c r="AE182" s="30" t="str">
        <f t="shared" si="44"/>
        <v>Not Cost-Effective</v>
      </c>
      <c r="AF182" s="126" t="s">
        <v>161</v>
      </c>
      <c r="AG182" s="30" t="s">
        <v>382</v>
      </c>
      <c r="AH182" s="30" t="s">
        <v>1050</v>
      </c>
    </row>
    <row r="183" spans="1:34" ht="12.75" customHeight="1">
      <c r="A183" s="40">
        <f t="shared" si="45"/>
        <v>54</v>
      </c>
      <c r="B183" s="40">
        <f t="shared" si="46"/>
        <v>9</v>
      </c>
      <c r="C183" s="51" t="str">
        <f t="shared" si="47"/>
        <v>5409</v>
      </c>
      <c r="D183" s="30" t="s">
        <v>81</v>
      </c>
      <c r="E183" s="40">
        <v>2021</v>
      </c>
      <c r="F183" s="30" t="s">
        <v>82</v>
      </c>
      <c r="G183" s="9" t="s">
        <v>301</v>
      </c>
      <c r="H183" s="44" t="s">
        <v>1057</v>
      </c>
      <c r="I183" s="40" t="s">
        <v>167</v>
      </c>
      <c r="J183" s="40" t="s">
        <v>147</v>
      </c>
      <c r="K183" s="49" t="s">
        <v>368</v>
      </c>
      <c r="L183" s="40">
        <v>3</v>
      </c>
      <c r="M183" s="40" t="s">
        <v>155</v>
      </c>
      <c r="N183" s="30" t="s">
        <v>756</v>
      </c>
      <c r="O183" s="30" t="s">
        <v>845</v>
      </c>
      <c r="P183" s="40">
        <v>2019</v>
      </c>
      <c r="Q183" s="30" t="s">
        <v>1060</v>
      </c>
      <c r="R183" s="31">
        <v>978</v>
      </c>
      <c r="S183" s="43">
        <f t="shared" si="63"/>
        <v>978</v>
      </c>
      <c r="T183" s="32">
        <f t="shared" si="33"/>
        <v>4151.2</v>
      </c>
      <c r="U183" s="30" t="str">
        <f t="shared" si="34"/>
        <v>Cost-Effective</v>
      </c>
      <c r="V183" s="30" t="str">
        <f t="shared" si="35"/>
        <v>Cost-Effective</v>
      </c>
      <c r="W183" s="41">
        <f t="shared" si="36"/>
        <v>0.23559452688379265</v>
      </c>
      <c r="X183" s="55">
        <f t="shared" si="37"/>
        <v>0.23</v>
      </c>
      <c r="Y183" s="30" t="str">
        <f t="shared" si="38"/>
        <v>Not Cost-Effective</v>
      </c>
      <c r="Z183" s="55">
        <f t="shared" si="39"/>
        <v>0.16</v>
      </c>
      <c r="AA183" s="30" t="str">
        <f t="shared" si="43"/>
        <v>Not Cost-Effective</v>
      </c>
      <c r="AB183" s="55">
        <f t="shared" si="40"/>
        <v>0.49571178772655361</v>
      </c>
      <c r="AC183" s="30" t="str">
        <f t="shared" si="41"/>
        <v>Cost-Effective</v>
      </c>
      <c r="AD183" s="55">
        <f t="shared" si="42"/>
        <v>0.13100557883926836</v>
      </c>
      <c r="AE183" s="30" t="str">
        <f t="shared" si="44"/>
        <v>Not Cost-Effective</v>
      </c>
      <c r="AF183" s="126" t="s">
        <v>161</v>
      </c>
      <c r="AG183" s="30" t="s">
        <v>382</v>
      </c>
      <c r="AH183" s="30" t="s">
        <v>1050</v>
      </c>
    </row>
    <row r="184" spans="1:34" ht="12.75" customHeight="1">
      <c r="A184" s="40">
        <f t="shared" si="45"/>
        <v>54</v>
      </c>
      <c r="B184" s="40">
        <f t="shared" si="46"/>
        <v>10</v>
      </c>
      <c r="C184" s="51" t="str">
        <f t="shared" si="47"/>
        <v>5410</v>
      </c>
      <c r="D184" s="30" t="s">
        <v>81</v>
      </c>
      <c r="E184" s="40">
        <v>2021</v>
      </c>
      <c r="F184" s="30" t="s">
        <v>82</v>
      </c>
      <c r="G184" s="9" t="s">
        <v>301</v>
      </c>
      <c r="H184" s="44" t="s">
        <v>1061</v>
      </c>
      <c r="I184" s="40" t="s">
        <v>167</v>
      </c>
      <c r="J184" s="40" t="s">
        <v>147</v>
      </c>
      <c r="K184" s="49" t="s">
        <v>368</v>
      </c>
      <c r="L184" s="40">
        <v>3</v>
      </c>
      <c r="M184" s="40" t="s">
        <v>155</v>
      </c>
      <c r="N184" s="30" t="s">
        <v>302</v>
      </c>
      <c r="O184" s="30" t="s">
        <v>845</v>
      </c>
      <c r="P184" s="40">
        <v>2019</v>
      </c>
      <c r="Q184" s="30" t="s">
        <v>1062</v>
      </c>
      <c r="R184" s="31">
        <v>1087</v>
      </c>
      <c r="S184" s="43">
        <f t="shared" si="63"/>
        <v>1087</v>
      </c>
      <c r="T184" s="32">
        <f t="shared" si="33"/>
        <v>4151.2</v>
      </c>
      <c r="U184" s="30" t="str">
        <f t="shared" si="34"/>
        <v>Cost-Effective</v>
      </c>
      <c r="V184" s="30" t="str">
        <f t="shared" si="35"/>
        <v>Cost-Effective</v>
      </c>
      <c r="W184" s="41">
        <f t="shared" si="36"/>
        <v>0.26185199460396996</v>
      </c>
      <c r="X184" s="55">
        <f t="shared" si="37"/>
        <v>0.23</v>
      </c>
      <c r="Y184" s="30" t="str">
        <f t="shared" si="38"/>
        <v>Not Cost-Effective</v>
      </c>
      <c r="Z184" s="55">
        <f t="shared" si="39"/>
        <v>0.16</v>
      </c>
      <c r="AA184" s="30" t="str">
        <f t="shared" si="43"/>
        <v>Not Cost-Effective</v>
      </c>
      <c r="AB184" s="55">
        <f t="shared" si="40"/>
        <v>0.49571178772655361</v>
      </c>
      <c r="AC184" s="30" t="str">
        <f t="shared" si="41"/>
        <v>Cost-Effective</v>
      </c>
      <c r="AD184" s="55">
        <f t="shared" si="42"/>
        <v>0.13100557883926836</v>
      </c>
      <c r="AE184" s="30" t="str">
        <f t="shared" si="44"/>
        <v>Not Cost-Effective</v>
      </c>
      <c r="AF184" s="126" t="s">
        <v>161</v>
      </c>
      <c r="AG184" s="30" t="s">
        <v>382</v>
      </c>
      <c r="AH184" s="30" t="s">
        <v>1050</v>
      </c>
    </row>
    <row r="185" spans="1:34" ht="12.75" customHeight="1">
      <c r="A185" s="40">
        <f t="shared" si="45"/>
        <v>54</v>
      </c>
      <c r="B185" s="40">
        <f t="shared" si="46"/>
        <v>11</v>
      </c>
      <c r="C185" s="51" t="str">
        <f t="shared" si="47"/>
        <v>5411</v>
      </c>
      <c r="D185" s="30" t="s">
        <v>81</v>
      </c>
      <c r="E185" s="40">
        <v>2021</v>
      </c>
      <c r="F185" s="30" t="s">
        <v>82</v>
      </c>
      <c r="G185" s="9" t="s">
        <v>301</v>
      </c>
      <c r="H185" s="44" t="s">
        <v>1063</v>
      </c>
      <c r="I185" s="40" t="s">
        <v>166</v>
      </c>
      <c r="J185" s="40" t="s">
        <v>147</v>
      </c>
      <c r="K185" s="49" t="s">
        <v>368</v>
      </c>
      <c r="L185" s="40">
        <v>3</v>
      </c>
      <c r="M185" s="40" t="s">
        <v>155</v>
      </c>
      <c r="N185" s="30" t="s">
        <v>149</v>
      </c>
      <c r="O185" s="30" t="s">
        <v>845</v>
      </c>
      <c r="P185" s="40">
        <v>2019</v>
      </c>
      <c r="Q185" s="30" t="s">
        <v>1064</v>
      </c>
      <c r="R185" s="31">
        <v>1179</v>
      </c>
      <c r="S185" s="43">
        <f t="shared" si="63"/>
        <v>1179</v>
      </c>
      <c r="T185" s="32">
        <f t="shared" si="33"/>
        <v>4151.2</v>
      </c>
      <c r="U185" s="30" t="str">
        <f t="shared" si="34"/>
        <v>Cost-Effective</v>
      </c>
      <c r="V185" s="30" t="str">
        <f t="shared" si="35"/>
        <v>Cost-Effective</v>
      </c>
      <c r="W185" s="41">
        <f t="shared" si="36"/>
        <v>0.28401426093659665</v>
      </c>
      <c r="X185" s="55">
        <f t="shared" si="37"/>
        <v>0.23</v>
      </c>
      <c r="Y185" s="30" t="str">
        <f t="shared" si="38"/>
        <v>Not Cost-Effective</v>
      </c>
      <c r="Z185" s="55">
        <f t="shared" si="39"/>
        <v>0.16</v>
      </c>
      <c r="AA185" s="30" t="str">
        <f t="shared" si="43"/>
        <v>Not Cost-Effective</v>
      </c>
      <c r="AB185" s="55">
        <f t="shared" si="40"/>
        <v>0.49571178772655361</v>
      </c>
      <c r="AC185" s="30" t="str">
        <f t="shared" si="41"/>
        <v>Cost-Effective</v>
      </c>
      <c r="AD185" s="55">
        <f t="shared" si="42"/>
        <v>0.13100557883926836</v>
      </c>
      <c r="AE185" s="30" t="str">
        <f t="shared" si="44"/>
        <v>Not Cost-Effective</v>
      </c>
      <c r="AF185" s="126" t="s">
        <v>161</v>
      </c>
      <c r="AG185" s="30" t="s">
        <v>382</v>
      </c>
      <c r="AH185" s="30" t="s">
        <v>1050</v>
      </c>
    </row>
    <row r="186" spans="1:34" ht="12.75" customHeight="1">
      <c r="A186" s="40">
        <f t="shared" si="45"/>
        <v>54</v>
      </c>
      <c r="B186" s="40">
        <f t="shared" si="46"/>
        <v>12</v>
      </c>
      <c r="C186" s="51" t="str">
        <f t="shared" si="47"/>
        <v>5412</v>
      </c>
      <c r="D186" s="30" t="s">
        <v>81</v>
      </c>
      <c r="E186" s="40">
        <v>2021</v>
      </c>
      <c r="F186" s="30" t="s">
        <v>82</v>
      </c>
      <c r="G186" s="9" t="s">
        <v>301</v>
      </c>
      <c r="H186" s="44" t="s">
        <v>1063</v>
      </c>
      <c r="I186" s="40" t="s">
        <v>166</v>
      </c>
      <c r="J186" s="40" t="s">
        <v>147</v>
      </c>
      <c r="K186" s="49" t="s">
        <v>368</v>
      </c>
      <c r="L186" s="40">
        <v>3</v>
      </c>
      <c r="M186" s="40" t="s">
        <v>155</v>
      </c>
      <c r="N186" s="30" t="s">
        <v>756</v>
      </c>
      <c r="O186" s="30" t="s">
        <v>845</v>
      </c>
      <c r="P186" s="40">
        <v>2019</v>
      </c>
      <c r="Q186" s="30" t="s">
        <v>1065</v>
      </c>
      <c r="R186" s="31">
        <v>1248</v>
      </c>
      <c r="S186" s="43">
        <f t="shared" si="63"/>
        <v>1248</v>
      </c>
      <c r="T186" s="32">
        <f t="shared" si="33"/>
        <v>4151.2</v>
      </c>
      <c r="U186" s="30" t="str">
        <f t="shared" si="34"/>
        <v>Cost-Effective</v>
      </c>
      <c r="V186" s="30" t="str">
        <f t="shared" si="35"/>
        <v>Cost-Effective</v>
      </c>
      <c r="W186" s="41">
        <f t="shared" si="36"/>
        <v>0.30063596068606668</v>
      </c>
      <c r="X186" s="55">
        <f t="shared" si="37"/>
        <v>0.23</v>
      </c>
      <c r="Y186" s="30" t="str">
        <f t="shared" si="38"/>
        <v>Not Cost-Effective</v>
      </c>
      <c r="Z186" s="55">
        <f t="shared" si="39"/>
        <v>0.16</v>
      </c>
      <c r="AA186" s="30" t="str">
        <f t="shared" si="43"/>
        <v>Not Cost-Effective</v>
      </c>
      <c r="AB186" s="55">
        <f t="shared" si="40"/>
        <v>0.49571178772655361</v>
      </c>
      <c r="AC186" s="30" t="str">
        <f t="shared" si="41"/>
        <v>Cost-Effective</v>
      </c>
      <c r="AD186" s="55">
        <f t="shared" si="42"/>
        <v>0.13100557883926836</v>
      </c>
      <c r="AE186" s="30" t="str">
        <f t="shared" si="44"/>
        <v>Not Cost-Effective</v>
      </c>
      <c r="AF186" s="126" t="s">
        <v>161</v>
      </c>
      <c r="AG186" s="30" t="s">
        <v>382</v>
      </c>
      <c r="AH186" s="30" t="s">
        <v>1050</v>
      </c>
    </row>
    <row r="187" spans="1:34" ht="12.75" customHeight="1">
      <c r="A187" s="40">
        <f t="shared" si="45"/>
        <v>55</v>
      </c>
      <c r="B187" s="40">
        <f t="shared" si="46"/>
        <v>1</v>
      </c>
      <c r="C187" s="51" t="str">
        <f t="shared" si="47"/>
        <v>5501</v>
      </c>
      <c r="D187" s="30" t="s">
        <v>83</v>
      </c>
      <c r="E187" s="40">
        <v>2021</v>
      </c>
      <c r="F187" s="30" t="s">
        <v>84</v>
      </c>
      <c r="G187" s="9" t="s">
        <v>145</v>
      </c>
      <c r="H187" s="44" t="s">
        <v>772</v>
      </c>
      <c r="I187" s="40" t="s">
        <v>167</v>
      </c>
      <c r="J187" s="40" t="s">
        <v>147</v>
      </c>
      <c r="K187" s="49" t="s">
        <v>376</v>
      </c>
      <c r="L187" s="40">
        <v>4</v>
      </c>
      <c r="M187" s="124" t="s">
        <v>148</v>
      </c>
      <c r="N187" s="30" t="s">
        <v>1033</v>
      </c>
      <c r="O187" s="30" t="s">
        <v>1066</v>
      </c>
      <c r="P187" s="40">
        <v>2019</v>
      </c>
      <c r="Q187" s="30" t="s">
        <v>1067</v>
      </c>
      <c r="R187" s="31">
        <v>15394</v>
      </c>
      <c r="S187" s="43">
        <f t="shared" si="63"/>
        <v>15394</v>
      </c>
      <c r="T187" s="32">
        <f t="shared" si="33"/>
        <v>10143.9</v>
      </c>
      <c r="U187" s="30" t="str">
        <f t="shared" si="34"/>
        <v>Not Cost-Effective</v>
      </c>
      <c r="V187" s="30" t="str">
        <f t="shared" si="35"/>
        <v>Cost-Effective</v>
      </c>
      <c r="W187" s="41">
        <f t="shared" si="36"/>
        <v>1.5175622788079537</v>
      </c>
      <c r="X187" s="55">
        <f t="shared" si="37"/>
        <v>0.71</v>
      </c>
      <c r="Y187" s="30" t="str">
        <f t="shared" si="38"/>
        <v>Not Cost-Effective</v>
      </c>
      <c r="Z187" s="55">
        <f t="shared" si="39"/>
        <v>0.45</v>
      </c>
      <c r="AA187" s="30" t="str">
        <f t="shared" si="43"/>
        <v>Not Cost-Effective</v>
      </c>
      <c r="AB187" s="55">
        <f t="shared" si="40"/>
        <v>0.64811121873397526</v>
      </c>
      <c r="AC187" s="30" t="str">
        <f t="shared" si="41"/>
        <v>Not Cost-Effective</v>
      </c>
      <c r="AD187" s="55">
        <f t="shared" si="42"/>
        <v>0.16395077203578146</v>
      </c>
      <c r="AE187" s="30" t="str">
        <f t="shared" si="44"/>
        <v>Not Cost-Effective</v>
      </c>
      <c r="AF187" s="30" t="s">
        <v>161</v>
      </c>
      <c r="AG187" s="30" t="s">
        <v>382</v>
      </c>
    </row>
    <row r="188" spans="1:34" ht="12.75" customHeight="1">
      <c r="A188" s="40">
        <f t="shared" si="45"/>
        <v>55</v>
      </c>
      <c r="B188" s="40">
        <f t="shared" si="46"/>
        <v>2</v>
      </c>
      <c r="C188" s="51" t="str">
        <f t="shared" si="47"/>
        <v>5502</v>
      </c>
      <c r="D188" s="30" t="s">
        <v>83</v>
      </c>
      <c r="E188" s="40">
        <v>2021</v>
      </c>
      <c r="F188" s="30" t="s">
        <v>84</v>
      </c>
      <c r="G188" s="9" t="s">
        <v>145</v>
      </c>
      <c r="H188" s="44" t="s">
        <v>772</v>
      </c>
      <c r="I188" s="40" t="s">
        <v>167</v>
      </c>
      <c r="J188" s="40" t="s">
        <v>147</v>
      </c>
      <c r="K188" s="49" t="s">
        <v>514</v>
      </c>
      <c r="L188" s="40">
        <v>3</v>
      </c>
      <c r="M188" s="124" t="s">
        <v>148</v>
      </c>
      <c r="N188" s="30" t="s">
        <v>1033</v>
      </c>
      <c r="O188" s="30" t="s">
        <v>1066</v>
      </c>
      <c r="P188" s="40">
        <v>2019</v>
      </c>
      <c r="Q188" s="30" t="s">
        <v>1068</v>
      </c>
      <c r="R188" s="125">
        <v>9292</v>
      </c>
      <c r="S188" s="43">
        <f t="shared" si="63"/>
        <v>9292</v>
      </c>
      <c r="T188" s="32">
        <f t="shared" si="33"/>
        <v>10143.9</v>
      </c>
      <c r="U188" s="30" t="str">
        <f t="shared" si="34"/>
        <v>Cost-Effective</v>
      </c>
      <c r="V188" s="30" t="str">
        <f t="shared" si="35"/>
        <v>Cost-Effective</v>
      </c>
      <c r="W188" s="41">
        <f t="shared" si="36"/>
        <v>0.91601849387316514</v>
      </c>
      <c r="X188" s="55">
        <f t="shared" si="37"/>
        <v>0.71</v>
      </c>
      <c r="Y188" s="126" t="str">
        <f t="shared" si="38"/>
        <v>Not Cost-Effective</v>
      </c>
      <c r="Z188" s="55">
        <f t="shared" si="39"/>
        <v>0.45</v>
      </c>
      <c r="AA188" s="126" t="str">
        <f t="shared" si="43"/>
        <v>Not Cost-Effective</v>
      </c>
      <c r="AB188" s="55">
        <f t="shared" si="40"/>
        <v>0.64811121873397526</v>
      </c>
      <c r="AC188" s="30" t="str">
        <f t="shared" si="41"/>
        <v>Not Cost-Effective</v>
      </c>
      <c r="AD188" s="55">
        <f t="shared" si="42"/>
        <v>0.16395077203578146</v>
      </c>
      <c r="AE188" s="30" t="str">
        <f t="shared" si="44"/>
        <v>Not Cost-Effective</v>
      </c>
      <c r="AF188" s="30" t="s">
        <v>161</v>
      </c>
      <c r="AG188" s="30" t="s">
        <v>382</v>
      </c>
    </row>
    <row r="189" spans="1:34" ht="12.75" customHeight="1">
      <c r="A189" s="40">
        <f t="shared" si="45"/>
        <v>55</v>
      </c>
      <c r="B189" s="40">
        <f t="shared" si="46"/>
        <v>3</v>
      </c>
      <c r="C189" s="51" t="str">
        <f t="shared" si="47"/>
        <v>5503</v>
      </c>
      <c r="D189" s="30" t="s">
        <v>83</v>
      </c>
      <c r="E189" s="40">
        <v>2021</v>
      </c>
      <c r="F189" s="30" t="s">
        <v>84</v>
      </c>
      <c r="G189" s="9" t="s">
        <v>145</v>
      </c>
      <c r="H189" s="44" t="s">
        <v>772</v>
      </c>
      <c r="I189" s="40" t="s">
        <v>167</v>
      </c>
      <c r="J189" s="40" t="s">
        <v>147</v>
      </c>
      <c r="K189" s="49" t="s">
        <v>559</v>
      </c>
      <c r="L189" s="40">
        <v>2</v>
      </c>
      <c r="M189" s="124" t="s">
        <v>148</v>
      </c>
      <c r="N189" s="30" t="s">
        <v>1033</v>
      </c>
      <c r="O189" s="30" t="s">
        <v>1066</v>
      </c>
      <c r="P189" s="40">
        <v>2019</v>
      </c>
      <c r="Q189" s="30" t="s">
        <v>1069</v>
      </c>
      <c r="R189" s="125">
        <v>4445</v>
      </c>
      <c r="S189" s="43">
        <f t="shared" si="63"/>
        <v>4445</v>
      </c>
      <c r="T189" s="32">
        <f t="shared" si="33"/>
        <v>10143.9</v>
      </c>
      <c r="U189" s="30" t="str">
        <f t="shared" si="34"/>
        <v>Cost-Effective</v>
      </c>
      <c r="V189" s="30" t="str">
        <f t="shared" si="35"/>
        <v>Cost-Effective</v>
      </c>
      <c r="W189" s="41">
        <f t="shared" si="36"/>
        <v>0.43819438283106105</v>
      </c>
      <c r="X189" s="55">
        <f t="shared" si="37"/>
        <v>0.71</v>
      </c>
      <c r="Y189" s="30" t="str">
        <f t="shared" si="38"/>
        <v>Cost-Effective</v>
      </c>
      <c r="Z189" s="55">
        <f t="shared" si="39"/>
        <v>0.45</v>
      </c>
      <c r="AA189" s="30" t="str">
        <f t="shared" si="43"/>
        <v>Cost-Effective</v>
      </c>
      <c r="AB189" s="55">
        <f t="shared" si="40"/>
        <v>0.64811121873397526</v>
      </c>
      <c r="AC189" s="30" t="str">
        <f t="shared" si="41"/>
        <v>Cost-Effective</v>
      </c>
      <c r="AD189" s="55">
        <f t="shared" si="42"/>
        <v>0.16395077203578146</v>
      </c>
      <c r="AE189" s="30" t="str">
        <f t="shared" si="44"/>
        <v>Not Cost-Effective</v>
      </c>
      <c r="AF189" s="30" t="s">
        <v>161</v>
      </c>
      <c r="AG189" s="30" t="s">
        <v>382</v>
      </c>
    </row>
    <row r="190" spans="1:34" ht="12.75" customHeight="1">
      <c r="A190" s="40">
        <f t="shared" si="45"/>
        <v>55</v>
      </c>
      <c r="B190" s="40">
        <f t="shared" si="46"/>
        <v>4</v>
      </c>
      <c r="C190" s="51" t="str">
        <f t="shared" si="47"/>
        <v>5504</v>
      </c>
      <c r="D190" s="30" t="s">
        <v>83</v>
      </c>
      <c r="E190" s="40">
        <v>2021</v>
      </c>
      <c r="F190" s="30" t="s">
        <v>84</v>
      </c>
      <c r="G190" s="9" t="s">
        <v>145</v>
      </c>
      <c r="H190" s="44" t="s">
        <v>772</v>
      </c>
      <c r="I190" s="40" t="s">
        <v>167</v>
      </c>
      <c r="J190" s="40" t="s">
        <v>147</v>
      </c>
      <c r="K190" s="49" t="s">
        <v>567</v>
      </c>
      <c r="L190" s="40">
        <v>1</v>
      </c>
      <c r="M190" s="124" t="s">
        <v>148</v>
      </c>
      <c r="N190" s="30" t="s">
        <v>1033</v>
      </c>
      <c r="O190" s="30" t="s">
        <v>1066</v>
      </c>
      <c r="P190" s="40">
        <v>2019</v>
      </c>
      <c r="Q190" s="30" t="s">
        <v>1070</v>
      </c>
      <c r="R190" s="125">
        <v>2417</v>
      </c>
      <c r="S190" s="43">
        <f t="shared" si="63"/>
        <v>2417</v>
      </c>
      <c r="T190" s="32">
        <f t="shared" si="33"/>
        <v>10143.9</v>
      </c>
      <c r="U190" s="30" t="str">
        <f t="shared" si="34"/>
        <v>Cost-Effective</v>
      </c>
      <c r="V190" s="30" t="str">
        <f t="shared" si="35"/>
        <v>Cost-Effective</v>
      </c>
      <c r="W190" s="41">
        <f t="shared" si="36"/>
        <v>0.23827127633356007</v>
      </c>
      <c r="X190" s="55">
        <f t="shared" si="37"/>
        <v>0.71</v>
      </c>
      <c r="Y190" s="30" t="str">
        <f t="shared" si="38"/>
        <v>Cost-Effective</v>
      </c>
      <c r="Z190" s="55">
        <f t="shared" si="39"/>
        <v>0.45</v>
      </c>
      <c r="AA190" s="30" t="str">
        <f t="shared" si="43"/>
        <v>Cost-Effective</v>
      </c>
      <c r="AB190" s="55">
        <f t="shared" si="40"/>
        <v>0.64811121873397526</v>
      </c>
      <c r="AC190" s="30" t="str">
        <f t="shared" si="41"/>
        <v>Cost-Effective</v>
      </c>
      <c r="AD190" s="55">
        <f t="shared" si="42"/>
        <v>0.16395077203578146</v>
      </c>
      <c r="AE190" s="30" t="str">
        <f t="shared" si="44"/>
        <v>Not Cost-Effective</v>
      </c>
      <c r="AF190" s="30" t="s">
        <v>161</v>
      </c>
      <c r="AG190" s="30" t="s">
        <v>382</v>
      </c>
    </row>
    <row r="193" spans="6:8" ht="12.75" customHeight="1">
      <c r="F193" s="126" t="s">
        <v>1071</v>
      </c>
    </row>
    <row r="194" spans="6:8" ht="12.75" customHeight="1">
      <c r="H194" s="30" t="str">
        <f>TRIM(F174)</f>
        <v>Cost-effectiveness analysis of replacing the 10-valent pneumococcal conjugate vaccine (PCV10) with the 13-valent pneumococcal conjugate vaccine (PCV13) in Brazil infants.</v>
      </c>
    </row>
    <row r="195" spans="6:8" ht="12.75" customHeight="1">
      <c r="H195" s="30" t="str">
        <f t="shared" ref="H195:H210" si="64">TRIM(F175)</f>
        <v>Cost-Effectiveness and Budget Impact Analyses of Pneumococcal Vaccination in Indonesia.</v>
      </c>
    </row>
    <row r="196" spans="6:8" ht="12.75" customHeight="1">
      <c r="H196" s="30" t="str">
        <f t="shared" si="64"/>
        <v>Cost-Effectiveness and Budget Impact Analyses of Pneumococcal Vaccination in Indonesia.</v>
      </c>
    </row>
    <row r="197" spans="6:8" ht="12.75" customHeight="1">
      <c r="H197" s="30" t="str">
        <f t="shared" si="64"/>
        <v>Cost-Effectiveness and Budget Impact Analyses of Pneumococcal Vaccination in Indonesia.</v>
      </c>
    </row>
    <row r="198" spans="6:8" ht="12.75" customHeight="1">
      <c r="H198" s="30" t="str">
        <f t="shared" si="64"/>
        <v>Cost-Effectiveness and Budget Impact Analyses of Pneumococcal Vaccination in Indonesia.</v>
      </c>
    </row>
    <row r="199" spans="6:8" ht="12.75" customHeight="1">
      <c r="F199" s="37" t="s">
        <v>1072</v>
      </c>
      <c r="H199" s="30" t="str">
        <f t="shared" si="64"/>
        <v>Cost-Effectiveness and Budget Impact Analyses of Pneumococcal Vaccination in Indonesia.</v>
      </c>
    </row>
    <row r="200" spans="6:8" ht="12.75" customHeight="1">
      <c r="F200" s="30" t="s">
        <v>1073</v>
      </c>
      <c r="H200" s="30" t="str">
        <f t="shared" si="64"/>
        <v>Cost-Effectiveness and Budget Impact Analyses of Pneumococcal Vaccination in Indonesia.</v>
      </c>
    </row>
    <row r="201" spans="6:8" ht="12.75" customHeight="1">
      <c r="F201" s="30" t="s">
        <v>1074</v>
      </c>
      <c r="G201" s="30" t="s">
        <v>1075</v>
      </c>
      <c r="H201" s="30" t="str">
        <f t="shared" si="64"/>
        <v>Cost-Effectiveness and Budget Impact Analyses of Pneumococcal Vaccination in Indonesia.</v>
      </c>
    </row>
    <row r="202" spans="6:8" ht="12.75" customHeight="1">
      <c r="F202" s="30" t="s">
        <v>1076</v>
      </c>
      <c r="G202" s="30" t="s">
        <v>1075</v>
      </c>
      <c r="H202" s="30" t="str">
        <f t="shared" si="64"/>
        <v>Cost-Effectiveness and Budget Impact Analyses of Pneumococcal Vaccination in Indonesia.</v>
      </c>
    </row>
    <row r="203" spans="6:8" ht="12.75" customHeight="1">
      <c r="F203" s="30" t="s">
        <v>1077</v>
      </c>
      <c r="G203" s="30" t="s">
        <v>1075</v>
      </c>
      <c r="H203" s="30" t="str">
        <f t="shared" si="64"/>
        <v>Cost-Effectiveness and Budget Impact Analyses of Pneumococcal Vaccination in Indonesia.</v>
      </c>
    </row>
    <row r="204" spans="6:8" ht="12.75" customHeight="1">
      <c r="F204" s="30" t="s">
        <v>1078</v>
      </c>
      <c r="G204" s="30" t="s">
        <v>1075</v>
      </c>
      <c r="H204" s="30" t="str">
        <f t="shared" si="64"/>
        <v>Cost-Effectiveness and Budget Impact Analyses of Pneumococcal Vaccination in Indonesia.</v>
      </c>
    </row>
    <row r="205" spans="6:8" ht="12.75" customHeight="1">
      <c r="G205" s="30" t="s">
        <v>1075</v>
      </c>
      <c r="H205" s="30" t="str">
        <f t="shared" si="64"/>
        <v>Cost-Effectiveness and Budget Impact Analyses of Pneumococcal Vaccination in Indonesia.</v>
      </c>
    </row>
    <row r="206" spans="6:8" ht="12.75" customHeight="1">
      <c r="F206" s="30" t="s">
        <v>1079</v>
      </c>
      <c r="H206" s="30" t="str">
        <f t="shared" si="64"/>
        <v>Cost-Effectiveness and Budget Impact Analyses of Pneumococcal Vaccination in Indonesia.</v>
      </c>
    </row>
    <row r="207" spans="6:8" ht="12.75" customHeight="1">
      <c r="H207" s="30" t="str">
        <f t="shared" si="64"/>
        <v>Cost-effectiveness analysis of domestic 13-valent pneumococcal conjugate vaccine for children under 5 years of age in mainland China.</v>
      </c>
    </row>
    <row r="208" spans="6:8" ht="12.75" customHeight="1">
      <c r="F208" s="30" t="s">
        <v>1080</v>
      </c>
      <c r="H208" s="30" t="str">
        <f t="shared" si="64"/>
        <v>Cost-effectiveness analysis of domestic 13-valent pneumococcal conjugate vaccine for children under 5 years of age in mainland China.</v>
      </c>
    </row>
    <row r="209" spans="6:8" ht="12.75" customHeight="1">
      <c r="F209" s="59" t="s">
        <v>12</v>
      </c>
      <c r="H209" s="30" t="str">
        <f t="shared" si="64"/>
        <v>Cost-effectiveness analysis of domestic 13-valent pneumococcal conjugate vaccine for children under 5 years of age in mainland China.</v>
      </c>
    </row>
    <row r="210" spans="6:8" ht="12.75" customHeight="1">
      <c r="H210" s="30" t="str">
        <f t="shared" si="64"/>
        <v>Cost-effectiveness analysis of domestic 13-valent pneumococcal conjugate vaccine for children under 5 years of age in mainland China.</v>
      </c>
    </row>
    <row r="212" spans="6:8" ht="12.75" customHeight="1">
      <c r="F212" s="123" t="s">
        <v>1081</v>
      </c>
    </row>
    <row r="213" spans="6:8" ht="12.75" customHeight="1">
      <c r="F213" s="123" t="s">
        <v>1082</v>
      </c>
    </row>
    <row r="214" spans="6:8" ht="12.75" customHeight="1">
      <c r="F214" s="30" t="s">
        <v>1083</v>
      </c>
    </row>
  </sheetData>
  <autoFilter ref="A1:AG190" xr:uid="{2D6F23DF-7EEB-4A10-8E63-6E12F5A80993}">
    <sortState xmlns:xlrd2="http://schemas.microsoft.com/office/spreadsheetml/2017/richdata2" ref="A2:AG98">
      <sortCondition ref="G1:G58"/>
    </sortState>
  </autoFilter>
  <pageMargins left="0.7" right="0.7" top="0.75" bottom="0.75" header="0.3" footer="0.3"/>
  <pageSetup orientation="portrait" horizontalDpi="360" verticalDpi="36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E36C8-9530-4B9B-A222-2277762D264B}">
  <sheetPr codeName="Sheet7"/>
  <dimension ref="A1:AH38"/>
  <sheetViews>
    <sheetView topLeftCell="M1" zoomScaleNormal="100" workbookViewId="0">
      <selection activeCell="AA38" sqref="AA38"/>
    </sheetView>
  </sheetViews>
  <sheetFormatPr baseColWidth="10" defaultColWidth="8.83203125" defaultRowHeight="13"/>
  <cols>
    <col min="1" max="1" width="9.1640625" style="1" bestFit="1" customWidth="1"/>
    <col min="2" max="2" width="10.33203125" style="1" bestFit="1" customWidth="1"/>
    <col min="3" max="3" width="23" style="1" customWidth="1"/>
    <col min="4" max="4" width="11" style="1" customWidth="1"/>
    <col min="5" max="5" width="16.33203125" style="1" customWidth="1"/>
    <col min="6" max="9" width="11.33203125" style="1" customWidth="1"/>
    <col min="10" max="11" width="13.33203125" style="1" customWidth="1"/>
    <col min="12" max="17" width="8.83203125" style="1" customWidth="1"/>
    <col min="18" max="18" width="11" style="1" bestFit="1" customWidth="1"/>
    <col min="19" max="30" width="8.83203125" style="1" customWidth="1"/>
    <col min="31" max="31" width="7.33203125" style="1" bestFit="1" customWidth="1"/>
    <col min="32" max="32" width="18.33203125" style="1" bestFit="1" customWidth="1"/>
    <col min="33" max="33" width="2.83203125" style="1" bestFit="1" customWidth="1"/>
    <col min="34" max="35" width="33.33203125" style="1" bestFit="1" customWidth="1"/>
    <col min="36" max="16384" width="8.83203125" style="1"/>
  </cols>
  <sheetData>
    <row r="1" spans="1:34">
      <c r="K1" s="28"/>
      <c r="L1" s="28"/>
      <c r="M1" s="28"/>
      <c r="R1" s="23"/>
      <c r="V1" s="23"/>
      <c r="Z1" s="23"/>
      <c r="AD1" s="23"/>
    </row>
    <row r="2" spans="1:34">
      <c r="E2" s="227" t="s">
        <v>1084</v>
      </c>
      <c r="F2" s="227"/>
      <c r="G2" s="227"/>
      <c r="H2" s="228" t="s">
        <v>1085</v>
      </c>
      <c r="I2" s="228"/>
      <c r="J2" s="228"/>
      <c r="K2" s="231" t="s">
        <v>1086</v>
      </c>
      <c r="L2" s="231"/>
      <c r="M2" s="231"/>
      <c r="N2" s="231"/>
      <c r="O2" s="229" t="s">
        <v>1087</v>
      </c>
      <c r="P2" s="229"/>
      <c r="Q2" s="229"/>
      <c r="R2" s="229"/>
      <c r="S2" s="229" t="s">
        <v>1088</v>
      </c>
      <c r="T2" s="229"/>
      <c r="U2" s="229"/>
      <c r="V2" s="229"/>
      <c r="W2" s="230" t="s">
        <v>1089</v>
      </c>
      <c r="X2" s="230"/>
      <c r="Y2" s="230"/>
      <c r="Z2" s="230"/>
      <c r="AA2" s="230" t="s">
        <v>1090</v>
      </c>
      <c r="AB2" s="230"/>
      <c r="AC2" s="230"/>
      <c r="AD2" s="230"/>
    </row>
    <row r="3" spans="1:34">
      <c r="A3" s="1" t="s">
        <v>1091</v>
      </c>
      <c r="B3" s="1" t="s">
        <v>818</v>
      </c>
      <c r="C3" s="1" t="s">
        <v>1092</v>
      </c>
      <c r="D3" s="98" t="s">
        <v>11</v>
      </c>
      <c r="E3" s="99" t="s">
        <v>148</v>
      </c>
      <c r="F3" s="99" t="s">
        <v>155</v>
      </c>
      <c r="G3" s="99" t="s">
        <v>1093</v>
      </c>
      <c r="H3" s="100" t="s">
        <v>148</v>
      </c>
      <c r="I3" s="100" t="s">
        <v>155</v>
      </c>
      <c r="J3" s="100" t="s">
        <v>1093</v>
      </c>
      <c r="K3" s="103" t="s">
        <v>148</v>
      </c>
      <c r="L3" s="103" t="s">
        <v>155</v>
      </c>
      <c r="M3" s="103" t="s">
        <v>260</v>
      </c>
      <c r="N3" s="103" t="s">
        <v>1093</v>
      </c>
      <c r="O3" s="101" t="s">
        <v>148</v>
      </c>
      <c r="P3" s="101" t="s">
        <v>155</v>
      </c>
      <c r="Q3" s="101" t="s">
        <v>260</v>
      </c>
      <c r="R3" s="101" t="s">
        <v>1093</v>
      </c>
      <c r="S3" s="101" t="s">
        <v>148</v>
      </c>
      <c r="T3" s="101" t="s">
        <v>155</v>
      </c>
      <c r="U3" s="101" t="s">
        <v>260</v>
      </c>
      <c r="V3" s="101" t="s">
        <v>1093</v>
      </c>
      <c r="W3" s="102" t="s">
        <v>148</v>
      </c>
      <c r="X3" s="102" t="s">
        <v>155</v>
      </c>
      <c r="Y3" s="102" t="s">
        <v>260</v>
      </c>
      <c r="Z3" s="102" t="s">
        <v>1093</v>
      </c>
      <c r="AA3" s="102" t="s">
        <v>148</v>
      </c>
      <c r="AB3" s="102" t="s">
        <v>155</v>
      </c>
      <c r="AC3" s="102" t="s">
        <v>260</v>
      </c>
      <c r="AD3" s="102" t="s">
        <v>1093</v>
      </c>
      <c r="AH3" s="70" t="s">
        <v>12</v>
      </c>
    </row>
    <row r="4" spans="1:34">
      <c r="A4" s="1" t="s">
        <v>146</v>
      </c>
      <c r="B4" s="1" t="s">
        <v>147</v>
      </c>
      <c r="C4" s="1" t="str">
        <f>_xlfn.CONCAT(A4, " vs ", B4)</f>
        <v>PCV7 vs NoVax</v>
      </c>
      <c r="D4" s="28">
        <f>COUNTIFS(data!$K$2:$K$191,A4,data!$L$2:$L$191,B4)</f>
        <v>24</v>
      </c>
      <c r="E4" s="80">
        <f>COUNTIFS(data!$K$2:$K$191,A4,data!$L$2:$L$191,B4,data!$AP$2:$AP$191,"Cost-Effective")</f>
        <v>14</v>
      </c>
      <c r="F4" s="80">
        <f>COUNTIFS(data!$K$2:$K$191,A4,data!$L$2:$L$191,B4,data!$AP$2:$AP$191,"Not Cost-Effective")</f>
        <v>8</v>
      </c>
      <c r="G4" s="81">
        <f t="shared" ref="G4:G11" si="0">E4/$D4</f>
        <v>0.58333333333333337</v>
      </c>
      <c r="H4" s="78">
        <f>COUNTIFS(data!$K$2:$K$191,A4,data!$L$2:$L$191,B4,data!$AQ$2:$AQ$191,"Cost-Effective")</f>
        <v>18</v>
      </c>
      <c r="I4" s="78">
        <f>COUNTIFS(data!$K$2:$K$191,A4,data!$L$2:$L$191,B4,data!$AQ$2:$AQ$191,"Not Cost-Effective")</f>
        <v>4</v>
      </c>
      <c r="J4" s="79">
        <f t="shared" ref="J4:J11" si="1">H4/$D4</f>
        <v>0.75</v>
      </c>
      <c r="K4" s="86">
        <f>COUNTIFS(data!$K$2:$K$191,A4,data!$L$2:$L$191,B4,data!$BF$2:$BF$191,"Cost-Effective")+COUNTIFS(data!$K$2:$K$191,A4,data!$L$2:$L$191,B4,data!$BF$2:$BF$191,"Cost-Saving")</f>
        <v>20</v>
      </c>
      <c r="L4" s="86">
        <f>COUNTIFS(data!$K$2:$K$191,A4,data!$L$2:$L$191,B4,data!$BF$2:$BF$191,"Not Cost-Effective")</f>
        <v>4</v>
      </c>
      <c r="M4" s="86">
        <f>COUNTIFS(data!$K$2:$K$191,A4,data!$L$2:$L$191,B4,data!$BF$2:$BF$191,"No Threshold")</f>
        <v>0</v>
      </c>
      <c r="N4" s="87">
        <f t="shared" ref="N4:N10" si="2">K4/$D4</f>
        <v>0.83333333333333337</v>
      </c>
      <c r="O4" s="82">
        <f>COUNTIFS(data!$K$2:$K$191,A4,data!$L$2:$L$191,B4,data!$AT$2:$AT$191,"Cost-Effective")</f>
        <v>10</v>
      </c>
      <c r="P4" s="82">
        <f>COUNTIFS(data!$K$2:$K$191,A4,data!$L$2:$L$191,B4,data!$AT$2:$AT$191,"Not Cost-Effective")</f>
        <v>11</v>
      </c>
      <c r="Q4" s="82">
        <f>COUNTIFS(data!$K$2:$K$191,A4,data!$L$2:$L$191,B4,data!$AT$2:$AT$191,"No Threshold")</f>
        <v>0</v>
      </c>
      <c r="R4" s="83">
        <f t="shared" ref="R4:R11" si="3">O4/$D4</f>
        <v>0.41666666666666669</v>
      </c>
      <c r="S4" s="82">
        <f>COUNTIFS(data!$K$2:$K$191,A4,data!$L$2:$L$191,B4,data!$AV$2:$AV$191,"Cost-Effective")</f>
        <v>9</v>
      </c>
      <c r="T4" s="82">
        <f>COUNTIFS(data!$K$2:$K$191,A4,data!$L$2:$L$191,B4,data!$AV$2:$AV$191,"Not Cost-Effective")</f>
        <v>12</v>
      </c>
      <c r="U4" s="82">
        <f>COUNTIFS(data!$K$2:$K$191,A4,data!$L$2:$L$191,B4,data!$AV$2:$AV$191,"No Threshold")</f>
        <v>0</v>
      </c>
      <c r="V4" s="83">
        <f t="shared" ref="V4:V11" si="4">S4/$D4</f>
        <v>0.375</v>
      </c>
      <c r="W4" s="84">
        <f>COUNTIFS(data!$K$2:$K$191,A4,data!$L$2:$L$191,B4,data!$AX$2:$AX$191,"Cost-Effective")</f>
        <v>10</v>
      </c>
      <c r="X4" s="84">
        <f>COUNTIFS(data!$K$2:$K$191,A4,data!$L$2:$L$191,B4,data!$AX$2:$AX$191,"Not Cost-Effective")</f>
        <v>9</v>
      </c>
      <c r="Y4" s="84">
        <f>COUNTIFS(data!$K$2:$K$191,A4,data!$L$2:$L$191,B4,data!$AX$2:$AX$191,"No Threshold")</f>
        <v>0</v>
      </c>
      <c r="Z4" s="85">
        <f t="shared" ref="Z4:Z11" si="5">W4/$D4</f>
        <v>0.41666666666666669</v>
      </c>
      <c r="AA4" s="84">
        <f>COUNTIFS(data!$K$2:$K$191,A4,data!$L$2:$L$191,B4,data!$AZ$2:$AZ$191,"Cost-Effective")</f>
        <v>4</v>
      </c>
      <c r="AB4" s="84">
        <f>COUNTIFS(data!$K$2:$K$191,A4,data!$L$2:$L$191,B4,data!$AZ$2:$AZ$191,"Not Cost-Effective")</f>
        <v>15</v>
      </c>
      <c r="AC4" s="84">
        <f>COUNTIFS(data!$K$2:$K$191,A4,data!$L$2:$L$191,B4,data!$AZ$2:$AZ$191,"No Threshold")</f>
        <v>0</v>
      </c>
      <c r="AD4" s="85">
        <f t="shared" ref="AD4:AD11" si="6">AA4/$D4</f>
        <v>0.16666666666666666</v>
      </c>
    </row>
    <row r="5" spans="1:34">
      <c r="A5" s="1" t="s">
        <v>166</v>
      </c>
      <c r="B5" s="1" t="s">
        <v>147</v>
      </c>
      <c r="C5" s="1" t="str">
        <f>_xlfn.CONCAT(A5, " vs ", B5)</f>
        <v>PCV10 vs NoVax</v>
      </c>
      <c r="D5" s="28">
        <f>COUNTIFS(data!$K$2:$K$191,A5,data!$L$2:$L$191,B5)</f>
        <v>74</v>
      </c>
      <c r="E5" s="80">
        <f>COUNTIFS(data!$K$2:$K$191,A5,data!$L$2:$L$191,B5,data!$AP$2:$AP$191,"Cost-Effective")</f>
        <v>49</v>
      </c>
      <c r="F5" s="80">
        <f>COUNTIFS(data!$K$2:$K$191,A5,data!$L$2:$L$191,B5,data!$AP$2:$AP$191,"Not Cost-Effective")</f>
        <v>12</v>
      </c>
      <c r="G5" s="81">
        <f t="shared" si="0"/>
        <v>0.66216216216216217</v>
      </c>
      <c r="H5" s="78">
        <f>COUNTIFS(data!$K$2:$K$191,A5,data!$L$2:$L$191,B5,data!$AQ$2:$AQ$191,"Cost-Effective")</f>
        <v>59</v>
      </c>
      <c r="I5" s="78">
        <f>COUNTIFS(data!$K$2:$K$191,A5,data!$L$2:$L$191,B5,data!$AQ$2:$AQ$191,"Not Cost-Effective")</f>
        <v>2</v>
      </c>
      <c r="J5" s="79">
        <f t="shared" si="1"/>
        <v>0.79729729729729726</v>
      </c>
      <c r="K5" s="86">
        <f>COUNTIFS(data!$K$2:$K$191,A5,data!$L$2:$L$191,B5,data!$BF$2:$BF$191,"Cost-Effective")+COUNTIFS(data!$K$2:$K$191,A5,data!$L$2:$L$191,B5,data!$BF$2:$BF$191,"Cost-Saving")</f>
        <v>66</v>
      </c>
      <c r="L5" s="86">
        <f>COUNTIFS(data!$K$2:$K$191,A5,data!$L$2:$L$191,B5,data!$BF$2:$BF$191,"Not Cost-Effective")</f>
        <v>8</v>
      </c>
      <c r="M5" s="86">
        <f>COUNTIFS(data!$K$2:$K$191,A5,data!$L$2:$L$191,B5,data!$BF$2:$BF$191,"No Threshold")</f>
        <v>0</v>
      </c>
      <c r="N5" s="87">
        <f t="shared" si="2"/>
        <v>0.89189189189189189</v>
      </c>
      <c r="O5" s="82">
        <f>COUNTIFS(data!$K$2:$K$191,A5,data!$L$2:$L$191,B5,data!$AT$2:$AT$191,"Cost-Effective")</f>
        <v>37</v>
      </c>
      <c r="P5" s="82">
        <f>COUNTIFS(data!$K$2:$K$191,A5,data!$L$2:$L$191,B5,data!$AT$2:$AT$191,"Not Cost-Effective")</f>
        <v>33</v>
      </c>
      <c r="Q5" s="82">
        <f>COUNTIFS(data!$K$2:$K$191,A5,data!$L$2:$L$191,B5,data!$AT$2:$AT$191,"No Threshold")</f>
        <v>0</v>
      </c>
      <c r="R5" s="83">
        <f t="shared" si="3"/>
        <v>0.5</v>
      </c>
      <c r="S5" s="82">
        <f>COUNTIFS(data!$K$2:$K$191,A5,data!$L$2:$L$191,B5,data!$AV$2:$AV$191,"Cost-Effective")</f>
        <v>28</v>
      </c>
      <c r="T5" s="82">
        <f>COUNTIFS(data!$K$2:$K$191,A5,data!$L$2:$L$191,B5,data!$AV$2:$AV$191,"Not Cost-Effective")</f>
        <v>42</v>
      </c>
      <c r="U5" s="82">
        <f>COUNTIFS(data!$K$2:$K$191,A5,data!$L$2:$L$191,B5,data!$AV$2:$AV$191,"No Threshold")</f>
        <v>0</v>
      </c>
      <c r="V5" s="83">
        <f t="shared" si="4"/>
        <v>0.3783783783783784</v>
      </c>
      <c r="W5" s="84">
        <f>COUNTIFS(data!$K$2:$K$191,A5,data!$L$2:$L$191,B5,data!$AX$2:$AX$191,"Cost-Effective")</f>
        <v>31</v>
      </c>
      <c r="X5" s="84">
        <f>COUNTIFS(data!$K$2:$K$191,A5,data!$L$2:$L$191,B5,data!$AX$2:$AX$191,"Not Cost-Effective")</f>
        <v>34</v>
      </c>
      <c r="Y5" s="84">
        <f>COUNTIFS(data!$K$2:$K$191,A5,data!$L$2:$L$191,B5,data!$AX$2:$AX$191,"No Threshold")</f>
        <v>0</v>
      </c>
      <c r="Z5" s="85">
        <f t="shared" si="5"/>
        <v>0.41891891891891891</v>
      </c>
      <c r="AA5" s="84">
        <f>COUNTIFS(data!$K$2:$K$191,A5,data!$L$2:$L$191,B5,data!$AZ$2:$AZ$191,"Cost-Effective")</f>
        <v>6</v>
      </c>
      <c r="AB5" s="84">
        <f>COUNTIFS(data!$K$2:$K$191,A5,data!$L$2:$L$191,B5,data!$AZ$2:$AZ$191,"Not Cost-Effective")</f>
        <v>59</v>
      </c>
      <c r="AC5" s="84">
        <f>COUNTIFS(data!$K$2:$K$191,A5,data!$L$2:$L$191,B5,data!$AZ$2:$AZ$191,"No Threshold")</f>
        <v>0</v>
      </c>
      <c r="AD5" s="85">
        <f t="shared" si="6"/>
        <v>8.1081081081081086E-2</v>
      </c>
    </row>
    <row r="6" spans="1:34">
      <c r="A6" s="1" t="s">
        <v>167</v>
      </c>
      <c r="B6" s="1" t="s">
        <v>147</v>
      </c>
      <c r="C6" s="1" t="str">
        <f>_xlfn.CONCAT(A6, " vs ", B6)</f>
        <v>PCV13 vs NoVax</v>
      </c>
      <c r="D6" s="28">
        <f>COUNTIFS(data!$K$2:$K$191,A6,data!$L$2:$L$191,B6)</f>
        <v>60</v>
      </c>
      <c r="E6" s="80">
        <f>COUNTIFS(data!$K$2:$K$191,A6,data!$L$2:$L$191,B6,data!$AP$2:$AP$191,"Cost-Effective")</f>
        <v>33</v>
      </c>
      <c r="F6" s="80">
        <f>COUNTIFS(data!$K$2:$K$191,A6,data!$L$2:$L$191,B6,data!$AP$2:$AP$191,"Not Cost-Effective")</f>
        <v>12</v>
      </c>
      <c r="G6" s="81">
        <f t="shared" si="0"/>
        <v>0.55000000000000004</v>
      </c>
      <c r="H6" s="78">
        <f>COUNTIFS(data!$K$2:$K$191,A6,data!$L$2:$L$191,B6,data!$AQ$2:$AQ$191,"Cost-Effective")</f>
        <v>44</v>
      </c>
      <c r="I6" s="78">
        <f>COUNTIFS(data!$K$2:$K$191,A6,data!$L$2:$L$191,B6,data!$AQ$2:$AQ$191,"Not Cost-Effective")</f>
        <v>1</v>
      </c>
      <c r="J6" s="79">
        <f t="shared" si="1"/>
        <v>0.73333333333333328</v>
      </c>
      <c r="K6" s="86">
        <f>COUNTIFS(data!$K$2:$K$191,A6,data!$L$2:$L$191,B6,data!$BF$2:$BF$191,"Cost-Effective")+COUNTIFS(data!$K$2:$K$191,A6,data!$L$2:$L$191,B6,data!$BF$2:$BF$191,"Cost-Saving")</f>
        <v>53</v>
      </c>
      <c r="L6" s="86">
        <f>COUNTIFS(data!$K$2:$K$191,A6,data!$L$2:$L$191,B6,data!$BF$2:$BF$191,"Not Cost-Effective")</f>
        <v>7</v>
      </c>
      <c r="M6" s="86">
        <f>COUNTIFS(data!$K$2:$K$191,A6,data!$L$2:$L$191,B6,data!$BF$2:$BF$191,"No Threshold")</f>
        <v>0</v>
      </c>
      <c r="N6" s="87">
        <f t="shared" si="2"/>
        <v>0.8833333333333333</v>
      </c>
      <c r="O6" s="82">
        <f>COUNTIFS(data!$K$2:$K$191,A6,data!$L$2:$L$191,B6,data!$AT$2:$AT$191,"Cost-Effective")</f>
        <v>28</v>
      </c>
      <c r="P6" s="82">
        <f>COUNTIFS(data!$K$2:$K$191,A6,data!$L$2:$L$191,B6,data!$AT$2:$AT$191,"Not Cost-Effective")</f>
        <v>25</v>
      </c>
      <c r="Q6" s="82">
        <f>COUNTIFS(data!$K$2:$K$191,A6,data!$L$2:$L$191,B6,data!$AT$2:$AT$191,"No Threshold")</f>
        <v>0</v>
      </c>
      <c r="R6" s="83">
        <f t="shared" si="3"/>
        <v>0.46666666666666667</v>
      </c>
      <c r="S6" s="82">
        <f>COUNTIFS(data!$K$2:$K$191,A6,data!$L$2:$L$191,B6,data!$AV$2:$AV$191,"Cost-Effective")</f>
        <v>25</v>
      </c>
      <c r="T6" s="82">
        <f>COUNTIFS(data!$K$2:$K$191,A6,data!$L$2:$L$191,B6,data!$AV$2:$AV$191,"Not Cost-Effective")</f>
        <v>28</v>
      </c>
      <c r="U6" s="82">
        <f>COUNTIFS(data!$K$2:$K$191,A6,data!$L$2:$L$191,B6,data!$AV$2:$AV$191,"No Threshold")</f>
        <v>0</v>
      </c>
      <c r="V6" s="83">
        <f t="shared" si="4"/>
        <v>0.41666666666666669</v>
      </c>
      <c r="W6" s="84">
        <f>COUNTIFS(data!$K$2:$K$191,A6,data!$L$2:$L$191,B6,data!$AX$2:$AX$191,"Cost-Effective")</f>
        <v>29</v>
      </c>
      <c r="X6" s="84">
        <f>COUNTIFS(data!$K$2:$K$191,A6,data!$L$2:$L$191,B6,data!$AX$2:$AX$191,"Not Cost-Effective")</f>
        <v>25</v>
      </c>
      <c r="Y6" s="84">
        <f>COUNTIFS(data!$K$2:$K$191,A6,data!$L$2:$L$191,B6,data!$AX$2:$AX$191,"No Threshold")</f>
        <v>0</v>
      </c>
      <c r="Z6" s="85">
        <f t="shared" si="5"/>
        <v>0.48333333333333334</v>
      </c>
      <c r="AA6" s="84">
        <f>COUNTIFS(data!$K$2:$K$191,A6,data!$L$2:$L$191,B6,data!$AZ$2:$AZ$191,"Cost-Effective")</f>
        <v>16</v>
      </c>
      <c r="AB6" s="84">
        <f>COUNTIFS(data!$K$2:$K$191,A6,data!$L$2:$L$191,B6,data!$AZ$2:$AZ$191,"Not Cost-Effective")</f>
        <v>38</v>
      </c>
      <c r="AC6" s="84">
        <f>COUNTIFS(data!$K$2:$K$191,A6,data!$L$2:$L$191,B6,data!$AZ$2:$AZ$191,"No Threshold")</f>
        <v>0</v>
      </c>
      <c r="AD6" s="85">
        <f t="shared" si="6"/>
        <v>0.26666666666666666</v>
      </c>
    </row>
    <row r="7" spans="1:34">
      <c r="A7" s="1" t="s">
        <v>167</v>
      </c>
      <c r="B7" s="1" t="s">
        <v>166</v>
      </c>
      <c r="C7" s="1" t="str">
        <f>_xlfn.CONCAT(A7, " vs ", B7)</f>
        <v>PCV13 vs PCV10</v>
      </c>
      <c r="D7" s="28">
        <f>COUNTIFS(data!$K$2:$K$191,A7,data!$L$2:$L$191,B7)</f>
        <v>22</v>
      </c>
      <c r="E7" s="80">
        <f>COUNTIFS(data!$K$2:$K$191,A7,data!$L$2:$L$191,B7,data!$AP$2:$AP$191,"Cost-Effective")</f>
        <v>4</v>
      </c>
      <c r="F7" s="80">
        <f>COUNTIFS(data!$K$2:$K$191,A7,data!$L$2:$L$191,B7,data!$AP$2:$AP$191,"Not Cost-Effective")</f>
        <v>6</v>
      </c>
      <c r="G7" s="81">
        <f t="shared" si="0"/>
        <v>0.18181818181818182</v>
      </c>
      <c r="H7" s="78">
        <f>COUNTIFS(data!$K$2:$K$191,A7,data!$L$2:$L$191,B7,data!$AQ$2:$AQ$191,"Cost-Effective")</f>
        <v>5</v>
      </c>
      <c r="I7" s="78">
        <f>COUNTIFS(data!$K$2:$K$191,A7,data!$L$2:$L$191,B7,data!$AQ$2:$AQ$191,"Not Cost-Effective")</f>
        <v>5</v>
      </c>
      <c r="J7" s="79">
        <f t="shared" si="1"/>
        <v>0.22727272727272727</v>
      </c>
      <c r="K7" s="86">
        <f>COUNTIFS(data!$K$2:$K$191,A7,data!$L$2:$L$191,B7,data!$BF$2:$BF$191,"Cost-Effective")+COUNTIFS(data!$K$2:$K$191,A7,data!$L$2:$L$191,B7,data!$BF$2:$BF$191,"Cost-Saving")</f>
        <v>16</v>
      </c>
      <c r="L7" s="86">
        <f>COUNTIFS(data!$K$2:$K$191,A7,data!$L$2:$L$191,B7,data!$BF$2:$BF$191,"Not Cost-Effective")</f>
        <v>6</v>
      </c>
      <c r="M7" s="86">
        <f>COUNTIFS(data!$K$2:$K$191,A7,data!$L$2:$L$191,B7,data!$BF$2:$BF$191,"No Threshold")</f>
        <v>0</v>
      </c>
      <c r="N7" s="87">
        <f t="shared" si="2"/>
        <v>0.72727272727272729</v>
      </c>
      <c r="O7" s="82">
        <f>COUNTIFS(data!$K$2:$K$191,A7,data!$L$2:$L$191,B7,data!$AT$2:$AT$191,"Cost-Effective")</f>
        <v>4</v>
      </c>
      <c r="P7" s="82">
        <f>COUNTIFS(data!$K$2:$K$191,A7,data!$L$2:$L$191,B7,data!$AT$2:$AT$191,"Not Cost-Effective")</f>
        <v>10</v>
      </c>
      <c r="Q7" s="82">
        <f>COUNTIFS(data!$K$2:$K$191,A7,data!$L$2:$L$191,B7,data!$AT$2:$AT$191,"No Threshold")</f>
        <v>0</v>
      </c>
      <c r="R7" s="83">
        <f t="shared" si="3"/>
        <v>0.18181818181818182</v>
      </c>
      <c r="S7" s="82">
        <f>COUNTIFS(data!$K$2:$K$191,A7,data!$L$2:$L$191,B7,data!$AV$2:$AV$191,"Cost-Effective")</f>
        <v>2</v>
      </c>
      <c r="T7" s="82">
        <f>COUNTIFS(data!$K$2:$K$191,A7,data!$L$2:$L$191,B7,data!$AV$2:$AV$191,"Not Cost-Effective")</f>
        <v>12</v>
      </c>
      <c r="U7" s="82">
        <f>COUNTIFS(data!$K$2:$K$191,A7,data!$L$2:$L$191,B7,data!$AV$2:$AV$191,"No Threshold")</f>
        <v>0</v>
      </c>
      <c r="V7" s="83">
        <f t="shared" si="4"/>
        <v>9.0909090909090912E-2</v>
      </c>
      <c r="W7" s="84">
        <f>COUNTIFS(data!$K$2:$K$191,A7,data!$L$2:$L$191,B7,data!$AX$2:$AX$191,"Cost-Effective")</f>
        <v>3</v>
      </c>
      <c r="X7" s="84">
        <f>COUNTIFS(data!$K$2:$K$191,A7,data!$L$2:$L$191,B7,data!$AX$2:$AX$191,"Not Cost-Effective")</f>
        <v>10</v>
      </c>
      <c r="Y7" s="84">
        <f>COUNTIFS(data!$K$2:$K$191,A7,data!$L$2:$L$191,B7,data!$AX$2:$AX$191,"No Threshold")</f>
        <v>0</v>
      </c>
      <c r="Z7" s="85">
        <f t="shared" si="5"/>
        <v>0.13636363636363635</v>
      </c>
      <c r="AA7" s="84">
        <f>COUNTIFS(data!$K$2:$K$191,A7,data!$L$2:$L$191,B7,data!$AZ$2:$AZ$191,"Cost-Effective")</f>
        <v>2</v>
      </c>
      <c r="AB7" s="84">
        <f>COUNTIFS(data!$K$2:$K$191,A7,data!$L$2:$L$191,B7,data!$AZ$2:$AZ$191,"Not Cost-Effective")</f>
        <v>11</v>
      </c>
      <c r="AC7" s="84">
        <f>COUNTIFS(data!$K$2:$K$191,A7,data!$L$2:$L$191,B7,data!$AZ$2:$AZ$191,"No Threshold")</f>
        <v>0</v>
      </c>
      <c r="AD7" s="85">
        <f t="shared" si="6"/>
        <v>9.0909090909090912E-2</v>
      </c>
    </row>
    <row r="8" spans="1:34">
      <c r="A8" s="1" t="s">
        <v>167</v>
      </c>
      <c r="B8" s="1" t="s">
        <v>146</v>
      </c>
      <c r="C8" s="1" t="str">
        <f>_xlfn.CONCAT(A8, " vs ", B8)</f>
        <v>PCV13 vs PCV7</v>
      </c>
      <c r="D8" s="28">
        <f>COUNTIFS(data!$K$2:$K$191,A8,data!$L$2:$L$191,B8)</f>
        <v>2</v>
      </c>
      <c r="E8" s="80">
        <f>COUNTIFS(data!$K$2:$K$191,A8,data!$L$2:$L$191,B8,data!$AP$2:$AP$191,"Cost-Effective")</f>
        <v>0</v>
      </c>
      <c r="F8" s="80">
        <f>COUNTIFS(data!$K$2:$K$191,A8,data!$L$2:$L$191,B8,data!$AP$2:$AP$191,"Not Cost-Effective")</f>
        <v>1</v>
      </c>
      <c r="G8" s="81">
        <f t="shared" si="0"/>
        <v>0</v>
      </c>
      <c r="H8" s="78">
        <f>COUNTIFS(data!$K$2:$K$191,A8,data!$L$2:$L$191,B8,data!$AQ$2:$AQ$191,"Cost-Effective")</f>
        <v>0</v>
      </c>
      <c r="I8" s="78">
        <f>COUNTIFS(data!$K$2:$K$191,A8,data!$L$2:$L$191,B8,data!$AQ$2:$AQ$191,"Not Cost-Effective")</f>
        <v>1</v>
      </c>
      <c r="J8" s="79">
        <f t="shared" si="1"/>
        <v>0</v>
      </c>
      <c r="K8" s="86">
        <f>COUNTIFS(data!$K$2:$K$191,A8,data!$L$2:$L$191,B8,data!$BF$2:$BF$191,"Cost-Effective")+COUNTIFS(data!$K$2:$K$191,A8,data!$L$2:$L$191,B8,data!$BF$2:$BF$191,"Cost-Saving")</f>
        <v>1</v>
      </c>
      <c r="L8" s="86">
        <f>COUNTIFS(data!$K$2:$K$191,A8,data!$L$2:$L$191,B8,data!$BF$2:$BF$191,"Not Cost-Effective")</f>
        <v>1</v>
      </c>
      <c r="M8" s="86">
        <f>COUNTIFS(data!$K$2:$K$191,A8,data!$L$2:$L$191,B8,data!$BF$2:$BF$191,"No Threshold")</f>
        <v>0</v>
      </c>
      <c r="N8" s="87">
        <f t="shared" si="2"/>
        <v>0.5</v>
      </c>
      <c r="O8" s="82">
        <f>COUNTIFS(data!$K$2:$K$191,A8,data!$L$2:$L$191,B8,data!$AT$2:$AT$191,"Cost-Effective")</f>
        <v>0</v>
      </c>
      <c r="P8" s="82">
        <f>COUNTIFS(data!$K$2:$K$191,A8,data!$L$2:$L$191,B8,data!$AT$2:$AT$191,"Not Cost-Effective")</f>
        <v>1</v>
      </c>
      <c r="Q8" s="82">
        <f>COUNTIFS(data!$K$2:$K$191,A8,data!$L$2:$L$191,B8,data!$AT$2:$AT$191,"No Threshold")</f>
        <v>0</v>
      </c>
      <c r="R8" s="83">
        <f t="shared" si="3"/>
        <v>0</v>
      </c>
      <c r="S8" s="82">
        <f>COUNTIFS(data!$K$2:$K$191,A8,data!$L$2:$L$191,B8,data!$AV$2:$AV$191,"Cost-Effective")</f>
        <v>0</v>
      </c>
      <c r="T8" s="82">
        <f>COUNTIFS(data!$K$2:$K$191,A8,data!$L$2:$L$191,B8,data!$AV$2:$AV$191,"Not Cost-Effective")</f>
        <v>1</v>
      </c>
      <c r="U8" s="82">
        <f>COUNTIFS(data!$K$2:$K$191,A8,data!$L$2:$L$191,B8,data!$AV$2:$AV$191,"No Threshold")</f>
        <v>0</v>
      </c>
      <c r="V8" s="83">
        <f t="shared" si="4"/>
        <v>0</v>
      </c>
      <c r="W8" s="84">
        <f>COUNTIFS(data!$K$2:$K$191,A8,data!$L$2:$L$191,B8,data!$AX$2:$AX$191,"Cost-Effective")</f>
        <v>0</v>
      </c>
      <c r="X8" s="84">
        <f>COUNTIFS(data!$K$2:$K$191,A8,data!$L$2:$L$191,B8,data!$AX$2:$AX$191,"Not Cost-Effective")</f>
        <v>1</v>
      </c>
      <c r="Y8" s="84">
        <f>COUNTIFS(data!$K$2:$K$191,A8,data!$L$2:$L$191,B8,data!$AX$2:$AX$191,"No Threshold")</f>
        <v>0</v>
      </c>
      <c r="Z8" s="85">
        <f t="shared" si="5"/>
        <v>0</v>
      </c>
      <c r="AA8" s="84">
        <f>COUNTIFS(data!$K$2:$K$191,A8,data!$L$2:$L$191,B8,data!$AZ$2:$AZ$191,"Cost-Effective")</f>
        <v>0</v>
      </c>
      <c r="AB8" s="84">
        <f>COUNTIFS(data!$K$2:$K$191,A8,data!$L$2:$L$191,B8,data!$AZ$2:$AZ$191,"Not Cost-Effective")</f>
        <v>1</v>
      </c>
      <c r="AC8" s="84">
        <f>COUNTIFS(data!$K$2:$K$191,A8,data!$L$2:$L$191,B8,data!$AZ$2:$AZ$191,"No Threshold")</f>
        <v>0</v>
      </c>
      <c r="AD8" s="85">
        <f t="shared" si="6"/>
        <v>0</v>
      </c>
    </row>
    <row r="9" spans="1:34">
      <c r="A9" s="1" t="s">
        <v>166</v>
      </c>
      <c r="B9" s="1" t="s">
        <v>146</v>
      </c>
      <c r="C9" s="1" t="str">
        <f t="shared" ref="C9" si="7">_xlfn.CONCAT(A9, " vs ", B9)</f>
        <v>PCV10 vs PCV7</v>
      </c>
      <c r="D9" s="28">
        <f>COUNTIFS(data!$K$2:$K$191,A9,data!$L$2:$L$191,B9)</f>
        <v>4</v>
      </c>
      <c r="E9" s="80">
        <f>COUNTIFS(data!$K$2:$K$191,A9,data!$L$2:$L$191,B9,data!$AP$2:$AP$191,"Cost-Effective")</f>
        <v>0</v>
      </c>
      <c r="F9" s="80">
        <f>COUNTIFS(data!$K$2:$K$191,A9,data!$L$2:$L$191,B9,data!$AP$2:$AP$191,"Not Cost-Effective")</f>
        <v>0</v>
      </c>
      <c r="G9" s="81">
        <f t="shared" si="0"/>
        <v>0</v>
      </c>
      <c r="H9" s="78">
        <f>COUNTIFS(data!$K$2:$K$191,A9,data!$L$2:$L$191,B9,data!$AQ$2:$AQ$191,"Cost-Effective")</f>
        <v>0</v>
      </c>
      <c r="I9" s="78">
        <f>COUNTIFS(data!$K$2:$K$191,A9,data!$L$2:$L$191,B9,data!$AQ$2:$AQ$191,"Not Cost-Effective")</f>
        <v>0</v>
      </c>
      <c r="J9" s="79">
        <f t="shared" si="1"/>
        <v>0</v>
      </c>
      <c r="K9" s="86">
        <f>COUNTIFS(data!$K$2:$K$191,A9,data!$L$2:$L$191,B9,data!$BF$2:$BF$191,"Cost-Effective")+COUNTIFS(data!$K$2:$K$191,A9,data!$L$2:$L$191,B9,data!$BF$2:$BF$191,"Cost-Saving")</f>
        <v>4</v>
      </c>
      <c r="L9" s="86">
        <f>COUNTIFS(data!$K$2:$K$191,A9,data!$L$2:$L$191,B9,data!$BF$2:$BF$191,"Not Cost-Effective")</f>
        <v>0</v>
      </c>
      <c r="M9" s="86">
        <f>COUNTIFS(data!$K$2:$K$191,A9,data!$L$2:$L$191,B9,data!$BF$2:$BF$191,"No Threshold")</f>
        <v>0</v>
      </c>
      <c r="N9" s="87">
        <f t="shared" si="2"/>
        <v>1</v>
      </c>
      <c r="O9" s="82">
        <f>COUNTIFS(data!$K$2:$K$191,A9,data!$L$2:$L$191,B9,data!$AT$2:$AT$191,"Cost-Effective")</f>
        <v>0</v>
      </c>
      <c r="P9" s="82">
        <f>COUNTIFS(data!$K$2:$K$191,A9,data!$L$2:$L$191,B9,data!$AT$2:$AT$191,"Not Cost-Effective")</f>
        <v>1</v>
      </c>
      <c r="Q9" s="82">
        <f>COUNTIFS(data!$K$2:$K$191,A9,data!$L$2:$L$191,B9,data!$AT$2:$AT$191,"No Threshold")</f>
        <v>0</v>
      </c>
      <c r="R9" s="83">
        <f t="shared" si="3"/>
        <v>0</v>
      </c>
      <c r="S9" s="82">
        <f>COUNTIFS(data!$K$2:$K$191,A9,data!$L$2:$L$191,B9,data!$AV$2:$AV$191,"Cost-Effective")</f>
        <v>0</v>
      </c>
      <c r="T9" s="82">
        <f>COUNTIFS(data!$K$2:$K$191,A9,data!$L$2:$L$191,B9,data!$AV$2:$AV$191,"Not Cost-Effective")</f>
        <v>1</v>
      </c>
      <c r="U9" s="82">
        <f>COUNTIFS(data!$K$2:$K$191,A9,data!$L$2:$L$191,B9,data!$AV$2:$AV$191,"No Threshold")</f>
        <v>0</v>
      </c>
      <c r="V9" s="83">
        <f t="shared" si="4"/>
        <v>0</v>
      </c>
      <c r="W9" s="84">
        <f>COUNTIFS(data!$K$2:$K$191,A9,data!$L$2:$L$191,B9,data!$AX$2:$AX$191,"Cost-Effective")</f>
        <v>0</v>
      </c>
      <c r="X9" s="84">
        <f>COUNTIFS(data!$K$2:$K$191,A9,data!$L$2:$L$191,B9,data!$AX$2:$AX$191,"Not Cost-Effective")</f>
        <v>1</v>
      </c>
      <c r="Y9" s="84">
        <f>COUNTIFS(data!$K$2:$K$191,A9,data!$L$2:$L$191,B9,data!$AX$2:$AX$191,"No Threshold")</f>
        <v>0</v>
      </c>
      <c r="Z9" s="85">
        <f t="shared" si="5"/>
        <v>0</v>
      </c>
      <c r="AA9" s="84">
        <f>COUNTIFS(data!$K$2:$K$191,A9,data!$L$2:$L$191,B9,data!$AZ$2:$AZ$191,"Cost-Effective")</f>
        <v>0</v>
      </c>
      <c r="AB9" s="84">
        <f>COUNTIFS(data!$K$2:$K$191,A9,data!$L$2:$L$191,B9,data!$AZ$2:$AZ$191,"Not Cost-Effective")</f>
        <v>1</v>
      </c>
      <c r="AC9" s="84">
        <f>COUNTIFS(data!$K$2:$K$191,A9,data!$L$2:$L$191,B9,data!$AZ$2:$AZ$191,"No Threshold")</f>
        <v>0</v>
      </c>
      <c r="AD9" s="85">
        <f t="shared" si="6"/>
        <v>0</v>
      </c>
    </row>
    <row r="10" spans="1:34">
      <c r="A10" s="1" t="s">
        <v>218</v>
      </c>
      <c r="B10" s="1" t="s">
        <v>147</v>
      </c>
      <c r="C10" s="1" t="str">
        <f>_xlfn.CONCAT(A10, " vs ", B10)</f>
        <v>PCV9 vs NoVax</v>
      </c>
      <c r="D10" s="28">
        <f>COUNTIFS(data!$K$2:$K$191,A10,data!$L$2:$L$191,B10)</f>
        <v>4</v>
      </c>
      <c r="E10" s="80">
        <f>COUNTIFS(data!$K$2:$K$191,A10,data!$L$2:$L$191,B10,data!$AP$2:$AP$191,"Cost-Effective")</f>
        <v>3</v>
      </c>
      <c r="F10" s="80">
        <f>COUNTIFS(data!$K$2:$K$191,A10,data!$L$2:$L$191,B10,data!$AP$2:$AP$191,"Not Cost-Effective")</f>
        <v>1</v>
      </c>
      <c r="G10" s="81">
        <f t="shared" si="0"/>
        <v>0.75</v>
      </c>
      <c r="H10" s="78">
        <f>COUNTIFS(data!$K$2:$K$191,A10,data!$L$2:$L$191,B10,data!$AQ$2:$AQ$191,"Cost-Effective")</f>
        <v>4</v>
      </c>
      <c r="I10" s="78">
        <f>COUNTIFS(data!$K$2:$K$191,A10,data!$L$2:$L$191,B10,data!$AQ$2:$AQ$191,"Not Cost-Effective")</f>
        <v>0</v>
      </c>
      <c r="J10" s="79">
        <f t="shared" si="1"/>
        <v>1</v>
      </c>
      <c r="K10" s="86">
        <f>COUNTIFS(data!$K$2:$K$191,A10,data!$L$2:$L$191,B10,data!$BF$2:$BF$191,"Cost-Effective")+COUNTIFS(data!$K$2:$K$191,A10,data!$L$2:$L$191,B10,data!$BF$2:$BF$191,"Cost-Saving")</f>
        <v>4</v>
      </c>
      <c r="L10" s="86">
        <f>COUNTIFS(data!$K$2:$K$191,A10,data!$L$2:$L$191,B10,data!$BF$2:$BF$191,"Not Cost-Effective")</f>
        <v>0</v>
      </c>
      <c r="M10" s="86">
        <f>COUNTIFS(data!$K$2:$K$191,A10,data!$L$2:$L$191,B10,data!$BF$2:$BF$191,"No Threshold")</f>
        <v>0</v>
      </c>
      <c r="N10" s="87">
        <f t="shared" si="2"/>
        <v>1</v>
      </c>
      <c r="O10" s="82">
        <f>COUNTIFS(data!$K$2:$K$191,A10,data!$L$2:$L$191,B10,data!$AT$2:$AT$191,"Cost-Effective")</f>
        <v>1</v>
      </c>
      <c r="P10" s="82">
        <f>COUNTIFS(data!$K$2:$K$191,A10,data!$L$2:$L$191,B10,data!$AT$2:$AT$191,"Not Cost-Effective")</f>
        <v>1</v>
      </c>
      <c r="Q10" s="82">
        <f>COUNTIFS(data!$K$2:$K$191,A10,data!$L$2:$L$191,B10,data!$AT$2:$AT$191,"No Threshold")</f>
        <v>0</v>
      </c>
      <c r="R10" s="83">
        <f t="shared" si="3"/>
        <v>0.25</v>
      </c>
      <c r="S10" s="82">
        <f>COUNTIFS(data!$K$2:$K$191,A10,data!$L$2:$L$191,B10,data!$AV$2:$AV$191,"Cost-Effective")</f>
        <v>1</v>
      </c>
      <c r="T10" s="82">
        <f>COUNTIFS(data!$K$2:$K$191,A10,data!$L$2:$L$191,B10,data!$AV$2:$AV$191,"Not Cost-Effective")</f>
        <v>1</v>
      </c>
      <c r="U10" s="82">
        <f>COUNTIFS(data!$K$2:$K$191,A10,data!$L$2:$L$191,B10,data!$AV$2:$AV$191,"No Threshold")</f>
        <v>0</v>
      </c>
      <c r="V10" s="83">
        <f t="shared" si="4"/>
        <v>0.25</v>
      </c>
      <c r="W10" s="84">
        <f>COUNTIFS(data!$K$2:$K$191,A10,data!$L$2:$L$191,B10,data!$AX$2:$AX$191,"Cost-Effective")</f>
        <v>3</v>
      </c>
      <c r="X10" s="84">
        <f>COUNTIFS(data!$K$2:$K$191,A10,data!$L$2:$L$191,B10,data!$AX$2:$AX$191,"Not Cost-Effective")</f>
        <v>1</v>
      </c>
      <c r="Y10" s="84">
        <f>COUNTIFS(data!$K$2:$K$191,A10,data!$L$2:$L$191,B10,data!$AX$2:$AX$191,"No Threshold")</f>
        <v>0</v>
      </c>
      <c r="Z10" s="85">
        <f t="shared" si="5"/>
        <v>0.75</v>
      </c>
      <c r="AA10" s="84">
        <f>COUNTIFS(data!$K$2:$K$191,A10,data!$L$2:$L$191,B10,data!$AZ$2:$AZ$191,"Cost-Effective")</f>
        <v>0</v>
      </c>
      <c r="AB10" s="84">
        <f>COUNTIFS(data!$K$2:$K$191,A10,data!$L$2:$L$191,B10,data!$AZ$2:$AZ$191,"Not Cost-Effective")</f>
        <v>4</v>
      </c>
      <c r="AC10" s="84">
        <f>COUNTIFS(data!$K$2:$K$191,A10,data!$L$2:$L$191,B10,data!$AZ$2:$AZ$191,"No Threshold")</f>
        <v>0</v>
      </c>
      <c r="AD10" s="85">
        <f t="shared" si="6"/>
        <v>0</v>
      </c>
    </row>
    <row r="11" spans="1:34">
      <c r="C11" s="1" t="s">
        <v>798</v>
      </c>
      <c r="D11" s="27">
        <f>SUM(D4:D10)</f>
        <v>190</v>
      </c>
      <c r="E11" s="88">
        <f>SUM(E4:E10)</f>
        <v>103</v>
      </c>
      <c r="F11" s="88">
        <f>SUM(F4:F10)</f>
        <v>40</v>
      </c>
      <c r="G11" s="89">
        <f t="shared" si="0"/>
        <v>0.54210526315789476</v>
      </c>
      <c r="H11" s="90">
        <f>SUM(H4:H10)</f>
        <v>130</v>
      </c>
      <c r="I11" s="90">
        <f>SUM(I4:I10)</f>
        <v>13</v>
      </c>
      <c r="J11" s="91">
        <f t="shared" si="1"/>
        <v>0.68421052631578949</v>
      </c>
      <c r="K11" s="96">
        <f>SUM(K4:K10)</f>
        <v>164</v>
      </c>
      <c r="L11" s="96">
        <f>SUM(L4:L10)</f>
        <v>26</v>
      </c>
      <c r="M11" s="96">
        <f>SUM(M4:M10)</f>
        <v>0</v>
      </c>
      <c r="N11" s="97">
        <f>K11/$D11</f>
        <v>0.86315789473684212</v>
      </c>
      <c r="O11" s="92">
        <f>SUM(O4:O10)</f>
        <v>80</v>
      </c>
      <c r="P11" s="92">
        <f>SUM(P4:P10)</f>
        <v>82</v>
      </c>
      <c r="Q11" s="92">
        <f>SUM(Q4:Q10)</f>
        <v>0</v>
      </c>
      <c r="R11" s="93">
        <f t="shared" si="3"/>
        <v>0.42105263157894735</v>
      </c>
      <c r="S11" s="92">
        <f>SUM(S4:S10)</f>
        <v>65</v>
      </c>
      <c r="T11" s="92">
        <f>SUM(T4:T10)</f>
        <v>97</v>
      </c>
      <c r="U11" s="92">
        <f>SUM(U4:U10)</f>
        <v>0</v>
      </c>
      <c r="V11" s="93">
        <f t="shared" si="4"/>
        <v>0.34210526315789475</v>
      </c>
      <c r="W11" s="94">
        <f>SUM(W4:W10)</f>
        <v>76</v>
      </c>
      <c r="X11" s="94">
        <f>SUM(X4:X10)</f>
        <v>81</v>
      </c>
      <c r="Y11" s="94">
        <f>SUM(Y4:Y10)</f>
        <v>0</v>
      </c>
      <c r="Z11" s="95">
        <f t="shared" si="5"/>
        <v>0.4</v>
      </c>
      <c r="AA11" s="94">
        <f>SUM(AA4:AA10)</f>
        <v>28</v>
      </c>
      <c r="AB11" s="94">
        <f>SUM(AB4:AB10)</f>
        <v>129</v>
      </c>
      <c r="AC11" s="94">
        <f>SUM(AC4:AC10)</f>
        <v>0</v>
      </c>
      <c r="AD11" s="95">
        <f t="shared" si="6"/>
        <v>0.14736842105263157</v>
      </c>
    </row>
    <row r="12" spans="1:34">
      <c r="K12" s="28"/>
      <c r="L12" s="28"/>
      <c r="M12" s="28"/>
      <c r="R12" s="23"/>
      <c r="V12" s="23"/>
      <c r="Z12" s="23"/>
      <c r="AD12" s="23"/>
    </row>
    <row r="13" spans="1:34">
      <c r="K13" s="28"/>
      <c r="L13" s="28"/>
      <c r="M13" s="28"/>
      <c r="R13" s="23"/>
      <c r="V13" s="23"/>
      <c r="Z13" s="23"/>
      <c r="AD13" s="23"/>
    </row>
    <row r="14" spans="1:34">
      <c r="G14" s="225"/>
      <c r="H14" s="225"/>
      <c r="I14" s="58"/>
      <c r="J14" s="225"/>
      <c r="K14" s="225"/>
      <c r="L14" s="225"/>
      <c r="M14" s="225"/>
      <c r="N14" s="225"/>
      <c r="O14" s="225"/>
      <c r="P14" s="58"/>
      <c r="Q14" s="58"/>
      <c r="T14" s="58"/>
      <c r="U14" s="58"/>
      <c r="Z14" s="23"/>
      <c r="AD14" s="23"/>
    </row>
    <row r="15" spans="1:34">
      <c r="K15" s="28"/>
      <c r="L15" s="28"/>
      <c r="M15" s="28"/>
      <c r="Z15" s="23"/>
      <c r="AD15" s="23"/>
    </row>
    <row r="17" spans="3:19" ht="12.75" customHeight="1">
      <c r="C17" s="104"/>
      <c r="D17" s="221" t="s">
        <v>1094</v>
      </c>
      <c r="E17" s="226"/>
      <c r="F17" s="222"/>
      <c r="H17" s="221" t="s">
        <v>1095</v>
      </c>
      <c r="I17" s="226"/>
      <c r="J17" s="226"/>
      <c r="K17" s="226"/>
      <c r="L17" s="222"/>
      <c r="N17" s="221" t="s">
        <v>1096</v>
      </c>
      <c r="O17" s="226"/>
      <c r="P17" s="226"/>
      <c r="Q17" s="226"/>
      <c r="R17" s="222"/>
    </row>
    <row r="18" spans="3:19">
      <c r="C18" s="104"/>
      <c r="D18" s="109"/>
      <c r="E18" s="105"/>
      <c r="F18" s="105"/>
      <c r="H18" s="223" t="s">
        <v>1097</v>
      </c>
      <c r="I18" s="221" t="s">
        <v>1098</v>
      </c>
      <c r="J18" s="222"/>
      <c r="K18" s="221" t="s">
        <v>1099</v>
      </c>
      <c r="L18" s="222"/>
      <c r="N18" s="105"/>
      <c r="O18" s="221" t="s">
        <v>1098</v>
      </c>
      <c r="P18" s="222"/>
      <c r="Q18" s="221" t="s">
        <v>1099</v>
      </c>
      <c r="R18" s="222"/>
    </row>
    <row r="19" spans="3:19" ht="28">
      <c r="C19" s="106" t="s">
        <v>1092</v>
      </c>
      <c r="D19" s="109" t="s">
        <v>1097</v>
      </c>
      <c r="E19" s="107" t="s">
        <v>11</v>
      </c>
      <c r="F19" s="107" t="s">
        <v>1093</v>
      </c>
      <c r="H19" s="224"/>
      <c r="I19" s="107" t="s">
        <v>11</v>
      </c>
      <c r="J19" s="107" t="s">
        <v>1093</v>
      </c>
      <c r="K19" s="107" t="s">
        <v>11</v>
      </c>
      <c r="L19" s="107" t="s">
        <v>1093</v>
      </c>
      <c r="N19" s="107" t="s">
        <v>1097</v>
      </c>
      <c r="O19" s="107" t="s">
        <v>11</v>
      </c>
      <c r="P19" s="107" t="s">
        <v>1093</v>
      </c>
      <c r="Q19" s="107" t="s">
        <v>11</v>
      </c>
      <c r="R19" s="107" t="s">
        <v>1093</v>
      </c>
    </row>
    <row r="20" spans="3:19">
      <c r="C20" s="104" t="s">
        <v>367</v>
      </c>
      <c r="D20" s="104">
        <f>SUM(K4:L4)</f>
        <v>24</v>
      </c>
      <c r="E20" s="104">
        <f>K4</f>
        <v>20</v>
      </c>
      <c r="F20" s="108">
        <f t="shared" ref="F20:F24" si="8">E20/D20</f>
        <v>0.83333333333333337</v>
      </c>
      <c r="H20" s="104">
        <f>SUM(O4:P4)</f>
        <v>21</v>
      </c>
      <c r="I20" s="104">
        <f>O4</f>
        <v>10</v>
      </c>
      <c r="J20" s="108">
        <f t="shared" ref="J20:J25" si="9">I20/H20</f>
        <v>0.47619047619047616</v>
      </c>
      <c r="K20" s="104">
        <f>S4</f>
        <v>9</v>
      </c>
      <c r="L20" s="108">
        <f t="shared" ref="L20:L25" si="10">K20/H20</f>
        <v>0.42857142857142855</v>
      </c>
      <c r="N20" s="104">
        <f>SUM(W4:X4)</f>
        <v>19</v>
      </c>
      <c r="O20" s="104">
        <f>W4</f>
        <v>10</v>
      </c>
      <c r="P20" s="108">
        <f t="shared" ref="P20:P25" si="11">O20/N20</f>
        <v>0.52631578947368418</v>
      </c>
      <c r="Q20" s="104">
        <f>AA4</f>
        <v>4</v>
      </c>
      <c r="R20" s="108">
        <f t="shared" ref="R20:R25" si="12">Q20/N20</f>
        <v>0.21052631578947367</v>
      </c>
    </row>
    <row r="21" spans="3:19">
      <c r="C21" s="104" t="s">
        <v>533</v>
      </c>
      <c r="D21" s="104">
        <f>SUM(K5:L5)</f>
        <v>74</v>
      </c>
      <c r="E21" s="104">
        <f>K5</f>
        <v>66</v>
      </c>
      <c r="F21" s="108">
        <f t="shared" si="8"/>
        <v>0.89189189189189189</v>
      </c>
      <c r="H21" s="104">
        <f>SUM(O5:P5)</f>
        <v>70</v>
      </c>
      <c r="I21" s="104">
        <f>O5</f>
        <v>37</v>
      </c>
      <c r="J21" s="108">
        <f t="shared" si="9"/>
        <v>0.52857142857142858</v>
      </c>
      <c r="K21" s="104">
        <f>S5</f>
        <v>28</v>
      </c>
      <c r="L21" s="108">
        <f t="shared" si="10"/>
        <v>0.4</v>
      </c>
      <c r="N21" s="104">
        <f>SUM(W5:X5)</f>
        <v>65</v>
      </c>
      <c r="O21" s="104">
        <f>W5</f>
        <v>31</v>
      </c>
      <c r="P21" s="108">
        <f t="shared" si="11"/>
        <v>0.47692307692307695</v>
      </c>
      <c r="Q21" s="104">
        <f>AA5</f>
        <v>6</v>
      </c>
      <c r="R21" s="108">
        <f t="shared" si="12"/>
        <v>9.2307692307692313E-2</v>
      </c>
    </row>
    <row r="22" spans="3:19">
      <c r="C22" s="104" t="s">
        <v>534</v>
      </c>
      <c r="D22" s="104">
        <f>SUM(K6:L6)</f>
        <v>60</v>
      </c>
      <c r="E22" s="104">
        <f>K6</f>
        <v>53</v>
      </c>
      <c r="F22" s="108">
        <f t="shared" si="8"/>
        <v>0.8833333333333333</v>
      </c>
      <c r="H22" s="104">
        <f>SUM(O6:P6)</f>
        <v>53</v>
      </c>
      <c r="I22" s="104">
        <f>O6</f>
        <v>28</v>
      </c>
      <c r="J22" s="108">
        <f t="shared" si="9"/>
        <v>0.52830188679245282</v>
      </c>
      <c r="K22" s="104">
        <f>S6</f>
        <v>25</v>
      </c>
      <c r="L22" s="108">
        <f t="shared" si="10"/>
        <v>0.47169811320754718</v>
      </c>
      <c r="N22" s="104">
        <f>SUM(W6:X6)</f>
        <v>54</v>
      </c>
      <c r="O22" s="104">
        <f>W6</f>
        <v>29</v>
      </c>
      <c r="P22" s="108">
        <f t="shared" si="11"/>
        <v>0.53703703703703709</v>
      </c>
      <c r="Q22" s="104">
        <f>AA6</f>
        <v>16</v>
      </c>
      <c r="R22" s="108">
        <f t="shared" si="12"/>
        <v>0.29629629629629628</v>
      </c>
    </row>
    <row r="23" spans="3:19">
      <c r="C23" s="104" t="s">
        <v>550</v>
      </c>
      <c r="D23" s="104">
        <f>SUM(K7:L7)</f>
        <v>22</v>
      </c>
      <c r="E23" s="104">
        <f>K7</f>
        <v>16</v>
      </c>
      <c r="F23" s="108">
        <f t="shared" si="8"/>
        <v>0.72727272727272729</v>
      </c>
      <c r="H23" s="104">
        <f>SUM(O7:P7)</f>
        <v>14</v>
      </c>
      <c r="I23" s="104">
        <f>O7</f>
        <v>4</v>
      </c>
      <c r="J23" s="108">
        <f t="shared" si="9"/>
        <v>0.2857142857142857</v>
      </c>
      <c r="K23" s="104">
        <f>S7</f>
        <v>2</v>
      </c>
      <c r="L23" s="108">
        <f t="shared" si="10"/>
        <v>0.14285714285714285</v>
      </c>
      <c r="N23" s="104">
        <f>SUM(W7:X7)</f>
        <v>13</v>
      </c>
      <c r="O23" s="104">
        <f>W7</f>
        <v>3</v>
      </c>
      <c r="P23" s="108">
        <f t="shared" si="11"/>
        <v>0.23076923076923078</v>
      </c>
      <c r="Q23" s="104">
        <f>AA7</f>
        <v>2</v>
      </c>
      <c r="R23" s="108">
        <f t="shared" si="12"/>
        <v>0.15384615384615385</v>
      </c>
    </row>
    <row r="24" spans="3:19">
      <c r="C24" s="104" t="s">
        <v>1100</v>
      </c>
      <c r="D24" s="104">
        <f>SUM(K8:L10)</f>
        <v>10</v>
      </c>
      <c r="E24" s="104">
        <f>SUM(K8,K9,K10)</f>
        <v>9</v>
      </c>
      <c r="F24" s="108">
        <f t="shared" si="8"/>
        <v>0.9</v>
      </c>
      <c r="H24" s="104">
        <f>SUM(O8:P10)</f>
        <v>4</v>
      </c>
      <c r="I24" s="104">
        <f>SUM(O8:O10)</f>
        <v>1</v>
      </c>
      <c r="J24" s="108">
        <f t="shared" si="9"/>
        <v>0.25</v>
      </c>
      <c r="K24" s="104">
        <f>SUM(S8:S10)</f>
        <v>1</v>
      </c>
      <c r="L24" s="108">
        <f t="shared" si="10"/>
        <v>0.25</v>
      </c>
      <c r="N24" s="104">
        <f>SUM(W8:X10)</f>
        <v>6</v>
      </c>
      <c r="O24" s="104">
        <f>SUM(W8:W10)</f>
        <v>3</v>
      </c>
      <c r="P24" s="108">
        <f t="shared" si="11"/>
        <v>0.5</v>
      </c>
      <c r="Q24" s="104">
        <f>SUM(AA8:AA10)</f>
        <v>0</v>
      </c>
      <c r="R24" s="108">
        <f t="shared" si="12"/>
        <v>0</v>
      </c>
    </row>
    <row r="25" spans="3:19">
      <c r="C25" s="106" t="s">
        <v>798</v>
      </c>
      <c r="D25" s="104">
        <f>SUM(D20:D24)</f>
        <v>190</v>
      </c>
      <c r="E25" s="104">
        <f>SUM(E20:E24)</f>
        <v>164</v>
      </c>
      <c r="F25" s="133">
        <f>E25/D25</f>
        <v>0.86315789473684212</v>
      </c>
      <c r="H25" s="104">
        <f>SUM(H20:H24)</f>
        <v>162</v>
      </c>
      <c r="I25" s="104">
        <f>SUM(I20:I24)</f>
        <v>80</v>
      </c>
      <c r="J25" s="108">
        <f t="shared" si="9"/>
        <v>0.49382716049382713</v>
      </c>
      <c r="K25" s="104">
        <f>SUM(K20:K24)</f>
        <v>65</v>
      </c>
      <c r="L25" s="108">
        <f t="shared" si="10"/>
        <v>0.40123456790123457</v>
      </c>
      <c r="N25" s="104">
        <f>SUM(N20:N24)</f>
        <v>157</v>
      </c>
      <c r="O25" s="104">
        <f>SUM(O20:O24)</f>
        <v>76</v>
      </c>
      <c r="P25" s="108">
        <f t="shared" si="11"/>
        <v>0.48407643312101911</v>
      </c>
      <c r="Q25" s="104">
        <f>SUM(Q20:Q24)</f>
        <v>28</v>
      </c>
      <c r="R25" s="108">
        <f t="shared" si="12"/>
        <v>0.17834394904458598</v>
      </c>
    </row>
    <row r="26" spans="3:19">
      <c r="E26" s="1">
        <f>D25-E25</f>
        <v>26</v>
      </c>
    </row>
    <row r="29" spans="3:19" ht="36" customHeight="1">
      <c r="C29" s="217" t="s">
        <v>1101</v>
      </c>
      <c r="D29" s="217"/>
      <c r="E29" s="217"/>
      <c r="F29" s="217"/>
      <c r="G29" s="217"/>
      <c r="H29" s="217"/>
      <c r="I29" s="217"/>
      <c r="L29" s="1" t="s">
        <v>1102</v>
      </c>
      <c r="O29" s="1" t="s">
        <v>1103</v>
      </c>
      <c r="R29" s="1" t="s">
        <v>1102</v>
      </c>
    </row>
    <row r="30" spans="3:19" ht="28.5" customHeight="1">
      <c r="C30" s="216" t="s">
        <v>1092</v>
      </c>
      <c r="D30" s="220" t="s">
        <v>1104</v>
      </c>
      <c r="E30" s="220" t="s">
        <v>1105</v>
      </c>
      <c r="F30" s="220" t="s">
        <v>1106</v>
      </c>
      <c r="G30" s="220"/>
      <c r="H30" s="220" t="s">
        <v>1107</v>
      </c>
      <c r="I30" s="220"/>
      <c r="K30" s="1" t="s">
        <v>1108</v>
      </c>
      <c r="O30" s="29" t="s">
        <v>1109</v>
      </c>
    </row>
    <row r="31" spans="3:19" ht="26.25" customHeight="1">
      <c r="C31" s="216"/>
      <c r="D31" s="220"/>
      <c r="E31" s="220"/>
      <c r="F31" s="116" t="s">
        <v>1110</v>
      </c>
      <c r="G31" s="116" t="s">
        <v>1111</v>
      </c>
      <c r="H31" s="116" t="s">
        <v>1110</v>
      </c>
      <c r="I31" s="116" t="s">
        <v>1111</v>
      </c>
      <c r="K31" s="1" t="s">
        <v>382</v>
      </c>
      <c r="L31" s="1">
        <f>COUNTIF(data!$BF$2:$BF$191,K31)</f>
        <v>145</v>
      </c>
      <c r="M31" s="26">
        <f>L31/$L$35</f>
        <v>0.76315789473684215</v>
      </c>
      <c r="O31" s="1" t="s">
        <v>386</v>
      </c>
      <c r="P31" s="1">
        <f>COUNTIFS(data!$BE$2:$BE$191,O31,data!$B$2:$B$191,1)</f>
        <v>2</v>
      </c>
      <c r="R31" s="1" t="s">
        <v>386</v>
      </c>
      <c r="S31" s="1">
        <f>COUNTIFS(data!$BE$2:$BE$197,O31)</f>
        <v>6</v>
      </c>
    </row>
    <row r="32" spans="3:19" ht="15">
      <c r="C32" s="117" t="s">
        <v>1112</v>
      </c>
      <c r="D32" s="110">
        <f>D4</f>
        <v>24</v>
      </c>
      <c r="E32" s="111">
        <f>F20</f>
        <v>0.83333333333333337</v>
      </c>
      <c r="F32" s="111">
        <f>J20</f>
        <v>0.47619047619047616</v>
      </c>
      <c r="G32" s="112">
        <f>L20</f>
        <v>0.42857142857142855</v>
      </c>
      <c r="H32" s="111">
        <f>P20</f>
        <v>0.52631578947368418</v>
      </c>
      <c r="I32" s="112">
        <f>R20</f>
        <v>0.21052631578947367</v>
      </c>
      <c r="K32" s="1" t="s">
        <v>439</v>
      </c>
      <c r="L32" s="1">
        <f>COUNTIF(data!$BF$2:$BF$191,K32)</f>
        <v>19</v>
      </c>
      <c r="M32" s="26">
        <f t="shared" ref="M32:M34" si="13">L32/$L$35</f>
        <v>0.1</v>
      </c>
      <c r="O32" s="29" t="s">
        <v>176</v>
      </c>
      <c r="P32" s="1">
        <f>COUNTIFS(data!$BE$2:$BE$191,O32,data!$B$2:$B$191,1)</f>
        <v>21</v>
      </c>
      <c r="R32" s="29" t="s">
        <v>176</v>
      </c>
      <c r="S32" s="1">
        <f>COUNTIFS(data!$BE$2:$BE$197,O32)</f>
        <v>55</v>
      </c>
    </row>
    <row r="33" spans="3:20" ht="15">
      <c r="C33" s="117" t="s">
        <v>1113</v>
      </c>
      <c r="D33" s="110">
        <f t="shared" ref="D33:D35" si="14">D5</f>
        <v>74</v>
      </c>
      <c r="E33" s="111">
        <f t="shared" ref="E33:E36" si="15">F21</f>
        <v>0.89189189189189189</v>
      </c>
      <c r="F33" s="111">
        <f t="shared" ref="F33:F36" si="16">J21</f>
        <v>0.52857142857142858</v>
      </c>
      <c r="G33" s="112">
        <f t="shared" ref="G33:G37" si="17">L21</f>
        <v>0.4</v>
      </c>
      <c r="H33" s="111">
        <f t="shared" ref="H33:H37" si="18">P21</f>
        <v>0.47692307692307695</v>
      </c>
      <c r="I33" s="112">
        <f t="shared" ref="I33:I37" si="19">R21</f>
        <v>9.2307692307692313E-2</v>
      </c>
      <c r="K33" s="1" t="s">
        <v>371</v>
      </c>
      <c r="L33" s="1">
        <f>COUNTIF(data!$BF$2:$BF$191,K33)</f>
        <v>26</v>
      </c>
      <c r="M33" s="26">
        <f t="shared" si="13"/>
        <v>0.1368421052631579</v>
      </c>
      <c r="O33" s="29" t="s">
        <v>173</v>
      </c>
      <c r="P33" s="1">
        <f>COUNTIFS(data!$BE$2:$BE$191,O33,data!$B$2:$B$191,1)</f>
        <v>1</v>
      </c>
      <c r="R33" s="29" t="s">
        <v>173</v>
      </c>
      <c r="S33" s="1">
        <f>COUNTIFS(data!$BE$2:$BE$197,O33)</f>
        <v>3</v>
      </c>
    </row>
    <row r="34" spans="3:20" ht="15">
      <c r="C34" s="117" t="s">
        <v>1114</v>
      </c>
      <c r="D34" s="110">
        <f t="shared" si="14"/>
        <v>60</v>
      </c>
      <c r="E34" s="111">
        <f>F22</f>
        <v>0.8833333333333333</v>
      </c>
      <c r="F34" s="111">
        <f t="shared" si="16"/>
        <v>0.52830188679245282</v>
      </c>
      <c r="G34" s="112">
        <f t="shared" si="17"/>
        <v>0.47169811320754718</v>
      </c>
      <c r="H34" s="111">
        <f t="shared" si="18"/>
        <v>0.53703703703703709</v>
      </c>
      <c r="I34" s="112">
        <f t="shared" si="19"/>
        <v>0.29629629629629628</v>
      </c>
      <c r="K34" s="1" t="s">
        <v>968</v>
      </c>
      <c r="L34" s="1">
        <f>COUNTIF(data!$BF$2:$BF$191,K34)</f>
        <v>0</v>
      </c>
      <c r="M34" s="26">
        <f t="shared" si="13"/>
        <v>0</v>
      </c>
      <c r="O34" s="29" t="s">
        <v>161</v>
      </c>
      <c r="P34" s="1">
        <f>COUNTIFS(data!$BE$2:$BE$191,O34,data!$B$2:$B$191,1)</f>
        <v>17</v>
      </c>
      <c r="R34" s="29" t="s">
        <v>161</v>
      </c>
      <c r="S34" s="1">
        <f>COUNTIFS(data!$BE$2:$BE$197,O34)</f>
        <v>73</v>
      </c>
    </row>
    <row r="35" spans="3:20" ht="15">
      <c r="C35" s="117" t="s">
        <v>550</v>
      </c>
      <c r="D35" s="110">
        <f t="shared" si="14"/>
        <v>22</v>
      </c>
      <c r="E35" s="111">
        <f t="shared" si="15"/>
        <v>0.72727272727272729</v>
      </c>
      <c r="F35" s="111">
        <f t="shared" si="16"/>
        <v>0.2857142857142857</v>
      </c>
      <c r="G35" s="112">
        <f t="shared" si="17"/>
        <v>0.14285714285714285</v>
      </c>
      <c r="H35" s="111">
        <f t="shared" si="18"/>
        <v>0.23076923076923078</v>
      </c>
      <c r="I35" s="112">
        <f t="shared" si="19"/>
        <v>0.15384615384615385</v>
      </c>
      <c r="L35" s="1">
        <f>SUM(L31:L34)</f>
        <v>190</v>
      </c>
      <c r="O35" s="29" t="s">
        <v>153</v>
      </c>
      <c r="P35" s="1">
        <f>COUNTIFS(data!$BE$2:$BE$191,O35,data!$B$2:$B$191,1)</f>
        <v>10</v>
      </c>
      <c r="R35" s="29" t="s">
        <v>153</v>
      </c>
      <c r="S35" s="1">
        <f>COUNTIFS(data!$BE$2:$BE$197,O35)</f>
        <v>35</v>
      </c>
    </row>
    <row r="36" spans="3:20" ht="15">
      <c r="C36" s="117" t="s">
        <v>1100</v>
      </c>
      <c r="D36" s="110">
        <f>SUM(D8:D10)</f>
        <v>10</v>
      </c>
      <c r="E36" s="111">
        <f t="shared" si="15"/>
        <v>0.9</v>
      </c>
      <c r="F36" s="111">
        <f t="shared" si="16"/>
        <v>0.25</v>
      </c>
      <c r="G36" s="112">
        <f t="shared" si="17"/>
        <v>0.25</v>
      </c>
      <c r="H36" s="111">
        <f t="shared" si="18"/>
        <v>0.5</v>
      </c>
      <c r="I36" s="112">
        <f t="shared" si="19"/>
        <v>0</v>
      </c>
      <c r="M36" s="29"/>
      <c r="O36" s="29" t="s">
        <v>1115</v>
      </c>
      <c r="P36" s="4">
        <f>MAX(data!A:A)-SUM(P31:P34)</f>
        <v>16</v>
      </c>
      <c r="R36" s="29" t="s">
        <v>1115</v>
      </c>
      <c r="S36" s="1">
        <f>198-SUM(S31:S35)</f>
        <v>26</v>
      </c>
    </row>
    <row r="37" spans="3:20" ht="15">
      <c r="C37" s="118" t="s">
        <v>798</v>
      </c>
      <c r="D37" s="113">
        <f>SUM(D32:D36)</f>
        <v>190</v>
      </c>
      <c r="E37" s="114">
        <f>F25</f>
        <v>0.86315789473684212</v>
      </c>
      <c r="F37" s="114">
        <f>J25</f>
        <v>0.49382716049382713</v>
      </c>
      <c r="G37" s="115">
        <f t="shared" si="17"/>
        <v>0.40123456790123457</v>
      </c>
      <c r="H37" s="114">
        <f t="shared" si="18"/>
        <v>0.48407643312101911</v>
      </c>
      <c r="I37" s="115">
        <f t="shared" si="19"/>
        <v>0.17834394904458598</v>
      </c>
      <c r="M37" s="29"/>
      <c r="P37" s="1">
        <f>SUM(P31:P36)</f>
        <v>67</v>
      </c>
      <c r="S37" s="1">
        <v>198</v>
      </c>
      <c r="T37" s="7">
        <f>SUM(S32:S34)/SUM(S31:S36)</f>
        <v>0.66161616161616166</v>
      </c>
    </row>
    <row r="38" spans="3:20" ht="78" customHeight="1">
      <c r="C38" s="218" t="s">
        <v>1116</v>
      </c>
      <c r="D38" s="219"/>
      <c r="E38" s="219"/>
      <c r="F38" s="219"/>
      <c r="G38" s="219"/>
      <c r="H38" s="219"/>
      <c r="I38" s="219"/>
    </row>
  </sheetData>
  <mergeCells count="24">
    <mergeCell ref="AA2:AD2"/>
    <mergeCell ref="W2:Z2"/>
    <mergeCell ref="K2:N2"/>
    <mergeCell ref="S2:V2"/>
    <mergeCell ref="J14:O14"/>
    <mergeCell ref="G14:H14"/>
    <mergeCell ref="H17:L17"/>
    <mergeCell ref="E2:G2"/>
    <mergeCell ref="H2:J2"/>
    <mergeCell ref="O2:R2"/>
    <mergeCell ref="N17:R17"/>
    <mergeCell ref="D17:F17"/>
    <mergeCell ref="I18:J18"/>
    <mergeCell ref="K18:L18"/>
    <mergeCell ref="O18:P18"/>
    <mergeCell ref="Q18:R18"/>
    <mergeCell ref="H18:H19"/>
    <mergeCell ref="C30:C31"/>
    <mergeCell ref="C29:I29"/>
    <mergeCell ref="C38:I38"/>
    <mergeCell ref="F30:G30"/>
    <mergeCell ref="H30:I30"/>
    <mergeCell ref="D30:D31"/>
    <mergeCell ref="E30:E31"/>
  </mergeCells>
  <phoneticPr fontId="5"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70A3C-0B6B-CD47-8518-7FDEB2420704}">
  <sheetPr codeName="Sheet8"/>
  <dimension ref="A1:AK100"/>
  <sheetViews>
    <sheetView zoomScale="110" zoomScaleNormal="110" workbookViewId="0">
      <pane ySplit="1" topLeftCell="A2" activePane="bottomLeft" state="frozen"/>
      <selection activeCell="I1" sqref="I1"/>
      <selection pane="bottomLeft" activeCell="AF81" sqref="AF81"/>
    </sheetView>
  </sheetViews>
  <sheetFormatPr baseColWidth="10" defaultColWidth="9.1640625" defaultRowHeight="12.75" customHeight="1"/>
  <cols>
    <col min="1" max="1" width="12.33203125" style="40" bestFit="1" customWidth="1"/>
    <col min="2" max="2" width="12.1640625" style="40" bestFit="1" customWidth="1"/>
    <col min="3" max="3" width="13.83203125" style="40" bestFit="1" customWidth="1"/>
    <col min="4" max="4" width="16.33203125" style="30" bestFit="1" customWidth="1"/>
    <col min="5" max="5" width="13.33203125" style="40" bestFit="1" customWidth="1"/>
    <col min="6" max="6" width="48.33203125" style="30" customWidth="1"/>
    <col min="7" max="7" width="15.33203125" style="30" bestFit="1" customWidth="1"/>
    <col min="8" max="8" width="87.83203125" style="30" bestFit="1" customWidth="1"/>
    <col min="9" max="10" width="16.33203125" style="40" bestFit="1" customWidth="1"/>
    <col min="11" max="11" width="14" style="49" bestFit="1" customWidth="1"/>
    <col min="12" max="12" width="14.1640625" style="40" bestFit="1" customWidth="1"/>
    <col min="13" max="13" width="15.33203125" style="40" bestFit="1" customWidth="1"/>
    <col min="14" max="14" width="16.1640625" style="49" bestFit="1" customWidth="1"/>
    <col min="15" max="15" width="15.33203125" style="49" bestFit="1" customWidth="1"/>
    <col min="16" max="16" width="18" style="40" bestFit="1" customWidth="1"/>
    <col min="17" max="17" width="37.1640625" style="30" bestFit="1" customWidth="1"/>
    <col min="18" max="18" width="13.33203125" style="43" bestFit="1" customWidth="1"/>
    <col min="19" max="19" width="13.83203125" style="43" bestFit="1" customWidth="1"/>
    <col min="20" max="20" width="20.33203125" style="30" bestFit="1" customWidth="1"/>
    <col min="21" max="21" width="21.1640625" style="30" bestFit="1" customWidth="1"/>
    <col min="22" max="22" width="22.33203125" style="30" bestFit="1" customWidth="1"/>
    <col min="23" max="23" width="16.33203125" style="42" bestFit="1" customWidth="1"/>
    <col min="24" max="24" width="26.33203125" style="40" bestFit="1" customWidth="1"/>
    <col min="25" max="25" width="22.83203125" style="42" customWidth="1"/>
    <col min="26" max="26" width="26.33203125" style="40" bestFit="1" customWidth="1"/>
    <col min="27" max="27" width="22.33203125" style="42" bestFit="1" customWidth="1"/>
    <col min="28" max="28" width="25.33203125" style="40" bestFit="1" customWidth="1"/>
    <col min="29" max="29" width="21.33203125" style="30" bestFit="1" customWidth="1"/>
    <col min="30" max="30" width="25.33203125" style="40" bestFit="1" customWidth="1"/>
    <col min="31" max="31" width="21.33203125" style="30" bestFit="1" customWidth="1"/>
    <col min="32" max="32" width="17.33203125" style="30" bestFit="1" customWidth="1"/>
    <col min="33" max="33" width="16.33203125" style="30" bestFit="1" customWidth="1"/>
    <col min="34" max="34" width="63.33203125" style="30" bestFit="1" customWidth="1"/>
    <col min="35" max="35" width="12.83203125" style="30" bestFit="1" customWidth="1"/>
    <col min="36" max="36" width="12.83203125" style="30" customWidth="1"/>
    <col min="37" max="37" width="11.33203125" style="30" bestFit="1" customWidth="1"/>
    <col min="38" max="16384" width="9.1640625" style="30"/>
  </cols>
  <sheetData>
    <row r="1" spans="1:36" s="37" customFormat="1" ht="12.75" customHeight="1">
      <c r="A1" s="36" t="s">
        <v>799</v>
      </c>
      <c r="B1" s="36" t="s">
        <v>814</v>
      </c>
      <c r="C1" s="36" t="s">
        <v>815</v>
      </c>
      <c r="D1" s="37" t="s">
        <v>1</v>
      </c>
      <c r="E1" s="36" t="s">
        <v>2</v>
      </c>
      <c r="F1" s="37" t="s">
        <v>3</v>
      </c>
      <c r="G1" s="37" t="s">
        <v>794</v>
      </c>
      <c r="H1" s="37" t="s">
        <v>816</v>
      </c>
      <c r="I1" s="36" t="s">
        <v>817</v>
      </c>
      <c r="J1" s="36" t="s">
        <v>818</v>
      </c>
      <c r="K1" s="52" t="s">
        <v>819</v>
      </c>
      <c r="L1" s="36" t="s">
        <v>820</v>
      </c>
      <c r="M1" s="36" t="s">
        <v>821</v>
      </c>
      <c r="N1" s="37" t="s">
        <v>822</v>
      </c>
      <c r="O1" s="37" t="s">
        <v>823</v>
      </c>
      <c r="P1" s="36" t="s">
        <v>824</v>
      </c>
      <c r="Q1" s="37" t="s">
        <v>825</v>
      </c>
      <c r="R1" s="37" t="s">
        <v>826</v>
      </c>
      <c r="S1" s="37" t="s">
        <v>827</v>
      </c>
      <c r="T1" s="38" t="s">
        <v>828</v>
      </c>
      <c r="U1" s="37" t="s">
        <v>829</v>
      </c>
      <c r="V1" s="37" t="s">
        <v>830</v>
      </c>
      <c r="W1" s="37" t="s">
        <v>831</v>
      </c>
      <c r="X1" s="54" t="s">
        <v>832</v>
      </c>
      <c r="Y1" s="37" t="s">
        <v>833</v>
      </c>
      <c r="Z1" s="54" t="s">
        <v>834</v>
      </c>
      <c r="AA1" s="37" t="s">
        <v>835</v>
      </c>
      <c r="AB1" s="54" t="s">
        <v>836</v>
      </c>
      <c r="AC1" s="37" t="s">
        <v>837</v>
      </c>
      <c r="AD1" s="54" t="s">
        <v>838</v>
      </c>
      <c r="AE1" s="37" t="s">
        <v>839</v>
      </c>
      <c r="AF1" s="37" t="s">
        <v>840</v>
      </c>
      <c r="AG1" s="37" t="s">
        <v>841</v>
      </c>
      <c r="AH1" s="37" t="s">
        <v>842</v>
      </c>
      <c r="AI1" s="37" t="s">
        <v>843</v>
      </c>
      <c r="AJ1" s="37" t="s">
        <v>1117</v>
      </c>
    </row>
    <row r="2" spans="1:36" ht="12.75" customHeight="1">
      <c r="A2" s="40">
        <v>1</v>
      </c>
      <c r="B2" s="40">
        <v>1</v>
      </c>
      <c r="C2" s="51" t="str">
        <f t="shared" ref="C2:C33" si="0">_xlfn.CONCAT(TEXT(A2,"00"),TEXT(B2,"00"))</f>
        <v>0101</v>
      </c>
      <c r="D2" s="30" t="s">
        <v>143</v>
      </c>
      <c r="E2" s="33">
        <v>2014</v>
      </c>
      <c r="F2" s="30" t="s">
        <v>366</v>
      </c>
      <c r="G2" s="30" t="s">
        <v>145</v>
      </c>
      <c r="H2" s="30" t="s">
        <v>844</v>
      </c>
      <c r="I2" s="40" t="s">
        <v>146</v>
      </c>
      <c r="J2" s="40" t="s">
        <v>147</v>
      </c>
      <c r="K2" s="49" t="s">
        <v>368</v>
      </c>
      <c r="L2" s="40">
        <v>3</v>
      </c>
      <c r="M2" s="40" t="s">
        <v>155</v>
      </c>
      <c r="N2" s="31" t="s">
        <v>149</v>
      </c>
      <c r="O2" s="30" t="s">
        <v>845</v>
      </c>
      <c r="P2" s="33">
        <v>2011</v>
      </c>
      <c r="Q2" s="30" t="s">
        <v>846</v>
      </c>
      <c r="R2" s="35">
        <v>530354</v>
      </c>
      <c r="S2" s="32">
        <v>530354</v>
      </c>
      <c r="T2" s="32">
        <f t="shared" ref="T2:T33" si="1">VLOOKUP(G2,gdppc,P2-1958,FALSE)</f>
        <v>5614.4</v>
      </c>
      <c r="U2" s="30" t="str">
        <f t="shared" ref="U2:U33" si="2">IF(S2&lt;T2,"Cost-Effective","Not Cost-Effective")</f>
        <v>Not Cost-Effective</v>
      </c>
      <c r="V2" s="30" t="str">
        <f t="shared" ref="V2:V33" si="3">IF(S2&lt;T2*3,"Cost-Effective","Not Cost-Effective")</f>
        <v>Not Cost-Effective</v>
      </c>
      <c r="W2" s="41">
        <f t="shared" ref="W2:W33" si="4">S2/T2</f>
        <v>94.463166144200628</v>
      </c>
      <c r="X2" s="55">
        <f t="shared" ref="X2:X33" si="5">IFERROR(VLOOKUP(G2,ochalek,11,FALSE),0)</f>
        <v>0.71</v>
      </c>
      <c r="Y2" s="30" t="str">
        <f t="shared" ref="Y2:Y33" si="6">IF( W2&lt;X2, "Cost-Effective", IF( W2-X2=W2, "No Threshold", "Not Cost-Effective"))</f>
        <v>Not Cost-Effective</v>
      </c>
      <c r="Z2" s="55">
        <f t="shared" ref="Z2:Z33" si="7">IFERROR(VLOOKUP(G2,ochalek,10,FALSE),0)</f>
        <v>0.45</v>
      </c>
      <c r="AA2" s="30" t="str">
        <f t="shared" ref="AA2:AA33" si="8">IF( W2&lt;Z2, "Cost-Effective", IF( W2-Z2=W2, "No Threshold", "Not Cost-Effective"))</f>
        <v>Not Cost-Effective</v>
      </c>
      <c r="AB2" s="55">
        <f t="shared" ref="AB2:AB33" si="9">IFERROR(VLOOKUP(G2,woods,6,FALSE),0)</f>
        <v>0.64811121873397526</v>
      </c>
      <c r="AC2" s="30" t="str">
        <f t="shared" ref="AC2:AC33" si="10">IF( W2&lt;AB2, "Cost-Effective", IF( W2-AB2=W2, "No Threshold", "Not Cost-Effective"))</f>
        <v>Not Cost-Effective</v>
      </c>
      <c r="AD2" s="55">
        <f t="shared" ref="AD2:AD33" si="11">IFERROR(VLOOKUP(G2,woods,5,FALSE),0)</f>
        <v>0.16395077203578146</v>
      </c>
      <c r="AE2" s="30" t="str">
        <f t="shared" ref="AE2:AE33" si="12">IF( W2&lt;AD2, "Cost-Effective", IF( W2-AD2=W2, "No Threshold", "Not Cost-Effective"))</f>
        <v>Not Cost-Effective</v>
      </c>
      <c r="AF2" s="30" t="s">
        <v>161</v>
      </c>
      <c r="AG2" s="30" t="s">
        <v>371</v>
      </c>
      <c r="AI2" s="30" t="s">
        <v>847</v>
      </c>
      <c r="AJ2" s="30" t="s">
        <v>148</v>
      </c>
    </row>
    <row r="3" spans="1:36" ht="12.75" customHeight="1">
      <c r="A3" s="40">
        <f t="shared" ref="A3:A34" si="13">IF(F3=F2,A2,A2+1)</f>
        <v>1</v>
      </c>
      <c r="B3" s="40">
        <f t="shared" ref="B3:B34" si="14">IF(F3=F2,B2+1,1)</f>
        <v>2</v>
      </c>
      <c r="C3" s="51" t="str">
        <f t="shared" si="0"/>
        <v>0102</v>
      </c>
      <c r="D3" s="30" t="s">
        <v>143</v>
      </c>
      <c r="E3" s="33">
        <v>2014</v>
      </c>
      <c r="F3" s="30" t="s">
        <v>366</v>
      </c>
      <c r="G3" s="30" t="s">
        <v>145</v>
      </c>
      <c r="H3" s="30" t="s">
        <v>844</v>
      </c>
      <c r="I3" s="40" t="s">
        <v>146</v>
      </c>
      <c r="J3" s="40" t="s">
        <v>147</v>
      </c>
      <c r="K3" s="49" t="s">
        <v>368</v>
      </c>
      <c r="L3" s="40">
        <v>3</v>
      </c>
      <c r="M3" s="40" t="s">
        <v>148</v>
      </c>
      <c r="N3" s="31" t="s">
        <v>149</v>
      </c>
      <c r="O3" s="30" t="s">
        <v>845</v>
      </c>
      <c r="P3" s="33">
        <v>2011</v>
      </c>
      <c r="Q3" s="30" t="s">
        <v>848</v>
      </c>
      <c r="R3" s="35">
        <v>95319</v>
      </c>
      <c r="S3" s="32">
        <v>95319</v>
      </c>
      <c r="T3" s="32">
        <f t="shared" si="1"/>
        <v>5614.4</v>
      </c>
      <c r="U3" s="30" t="str">
        <f t="shared" si="2"/>
        <v>Not Cost-Effective</v>
      </c>
      <c r="V3" s="30" t="str">
        <f t="shared" si="3"/>
        <v>Not Cost-Effective</v>
      </c>
      <c r="W3" s="41">
        <f t="shared" si="4"/>
        <v>16.977593331433457</v>
      </c>
      <c r="X3" s="55">
        <f t="shared" si="5"/>
        <v>0.71</v>
      </c>
      <c r="Y3" s="30" t="str">
        <f t="shared" si="6"/>
        <v>Not Cost-Effective</v>
      </c>
      <c r="Z3" s="55">
        <f t="shared" si="7"/>
        <v>0.45</v>
      </c>
      <c r="AA3" s="30" t="str">
        <f t="shared" si="8"/>
        <v>Not Cost-Effective</v>
      </c>
      <c r="AB3" s="55">
        <f t="shared" si="9"/>
        <v>0.64811121873397526</v>
      </c>
      <c r="AC3" s="30" t="str">
        <f t="shared" si="10"/>
        <v>Not Cost-Effective</v>
      </c>
      <c r="AD3" s="55">
        <f t="shared" si="11"/>
        <v>0.16395077203578146</v>
      </c>
      <c r="AE3" s="30" t="str">
        <f t="shared" si="12"/>
        <v>Not Cost-Effective</v>
      </c>
      <c r="AF3" s="30" t="s">
        <v>161</v>
      </c>
      <c r="AG3" s="30" t="s">
        <v>371</v>
      </c>
      <c r="AJ3" s="30" t="s">
        <v>148</v>
      </c>
    </row>
    <row r="4" spans="1:36" ht="12.75" customHeight="1">
      <c r="A4" s="40">
        <f t="shared" si="13"/>
        <v>2</v>
      </c>
      <c r="B4" s="40">
        <f t="shared" si="14"/>
        <v>1</v>
      </c>
      <c r="C4" s="51" t="str">
        <f t="shared" si="0"/>
        <v>0201</v>
      </c>
      <c r="D4" s="30" t="s">
        <v>157</v>
      </c>
      <c r="E4" s="33">
        <v>2015</v>
      </c>
      <c r="F4" s="30" t="s">
        <v>375</v>
      </c>
      <c r="G4" s="30" t="s">
        <v>145</v>
      </c>
      <c r="H4" s="30" t="s">
        <v>844</v>
      </c>
      <c r="I4" s="40" t="s">
        <v>146</v>
      </c>
      <c r="J4" s="40" t="s">
        <v>147</v>
      </c>
      <c r="K4" s="49" t="s">
        <v>376</v>
      </c>
      <c r="L4" s="40">
        <v>4</v>
      </c>
      <c r="M4" s="40" t="s">
        <v>148</v>
      </c>
      <c r="N4" s="31" t="s">
        <v>377</v>
      </c>
      <c r="O4" s="30" t="s">
        <v>845</v>
      </c>
      <c r="P4" s="33">
        <v>2011</v>
      </c>
      <c r="Q4" s="30" t="s">
        <v>849</v>
      </c>
      <c r="R4" s="35">
        <v>2125</v>
      </c>
      <c r="S4" s="32">
        <v>2125</v>
      </c>
      <c r="T4" s="32">
        <f t="shared" si="1"/>
        <v>5614.4</v>
      </c>
      <c r="U4" s="30" t="str">
        <f t="shared" si="2"/>
        <v>Cost-Effective</v>
      </c>
      <c r="V4" s="30" t="str">
        <f t="shared" si="3"/>
        <v>Cost-Effective</v>
      </c>
      <c r="W4" s="41">
        <f t="shared" si="4"/>
        <v>0.37849102308349958</v>
      </c>
      <c r="X4" s="55">
        <f t="shared" si="5"/>
        <v>0.71</v>
      </c>
      <c r="Y4" s="30" t="str">
        <f t="shared" si="6"/>
        <v>Cost-Effective</v>
      </c>
      <c r="Z4" s="55">
        <f t="shared" si="7"/>
        <v>0.45</v>
      </c>
      <c r="AA4" s="30" t="str">
        <f t="shared" si="8"/>
        <v>Cost-Effective</v>
      </c>
      <c r="AB4" s="55">
        <f t="shared" si="9"/>
        <v>0.64811121873397526</v>
      </c>
      <c r="AC4" s="30" t="str">
        <f t="shared" si="10"/>
        <v>Cost-Effective</v>
      </c>
      <c r="AD4" s="55">
        <f t="shared" si="11"/>
        <v>0.16395077203578146</v>
      </c>
      <c r="AE4" s="30" t="str">
        <f t="shared" si="12"/>
        <v>Not Cost-Effective</v>
      </c>
      <c r="AF4" s="30" t="s">
        <v>161</v>
      </c>
      <c r="AG4" s="30" t="s">
        <v>382</v>
      </c>
      <c r="AJ4" s="30" t="s">
        <v>148</v>
      </c>
    </row>
    <row r="5" spans="1:36" ht="12.75" customHeight="1">
      <c r="A5" s="40">
        <f t="shared" si="13"/>
        <v>3</v>
      </c>
      <c r="B5" s="40">
        <f t="shared" si="14"/>
        <v>1</v>
      </c>
      <c r="C5" s="51" t="str">
        <f t="shared" si="0"/>
        <v>0301</v>
      </c>
      <c r="D5" s="30" t="s">
        <v>164</v>
      </c>
      <c r="E5" s="33">
        <v>2016</v>
      </c>
      <c r="F5" s="30" t="s">
        <v>384</v>
      </c>
      <c r="G5" s="30" t="s">
        <v>145</v>
      </c>
      <c r="H5" s="30" t="s">
        <v>844</v>
      </c>
      <c r="I5" s="40" t="s">
        <v>146</v>
      </c>
      <c r="J5" s="40" t="s">
        <v>147</v>
      </c>
      <c r="K5" s="49" t="s">
        <v>385</v>
      </c>
      <c r="L5" s="40">
        <v>0</v>
      </c>
      <c r="M5" s="40" t="s">
        <v>155</v>
      </c>
      <c r="N5" s="31" t="s">
        <v>149</v>
      </c>
      <c r="O5" s="30" t="s">
        <v>845</v>
      </c>
      <c r="P5" s="33">
        <v>2014</v>
      </c>
      <c r="Q5" s="30" t="s">
        <v>850</v>
      </c>
      <c r="R5" s="35">
        <v>18224</v>
      </c>
      <c r="S5" s="32">
        <v>18224</v>
      </c>
      <c r="T5" s="32">
        <f t="shared" si="1"/>
        <v>7636.1</v>
      </c>
      <c r="U5" s="30" t="str">
        <f t="shared" si="2"/>
        <v>Not Cost-Effective</v>
      </c>
      <c r="V5" s="30" t="str">
        <f t="shared" si="3"/>
        <v>Cost-Effective</v>
      </c>
      <c r="W5" s="41">
        <f t="shared" si="4"/>
        <v>2.3865585835701468</v>
      </c>
      <c r="X5" s="55">
        <f t="shared" si="5"/>
        <v>0.71</v>
      </c>
      <c r="Y5" s="30" t="str">
        <f t="shared" si="6"/>
        <v>Not Cost-Effective</v>
      </c>
      <c r="Z5" s="55">
        <f t="shared" si="7"/>
        <v>0.45</v>
      </c>
      <c r="AA5" s="30" t="str">
        <f t="shared" si="8"/>
        <v>Not Cost-Effective</v>
      </c>
      <c r="AB5" s="55">
        <f t="shared" si="9"/>
        <v>0.64811121873397526</v>
      </c>
      <c r="AC5" s="30" t="str">
        <f t="shared" si="10"/>
        <v>Not Cost-Effective</v>
      </c>
      <c r="AD5" s="55">
        <f t="shared" si="11"/>
        <v>0.16395077203578146</v>
      </c>
      <c r="AE5" s="30" t="str">
        <f t="shared" si="12"/>
        <v>Not Cost-Effective</v>
      </c>
      <c r="AF5" s="30" t="s">
        <v>161</v>
      </c>
      <c r="AG5" s="30" t="s">
        <v>382</v>
      </c>
      <c r="AJ5" s="30" t="s">
        <v>148</v>
      </c>
    </row>
    <row r="6" spans="1:36" ht="12.75" customHeight="1">
      <c r="A6" s="40">
        <f t="shared" si="13"/>
        <v>3</v>
      </c>
      <c r="B6" s="40">
        <f t="shared" si="14"/>
        <v>2</v>
      </c>
      <c r="C6" s="51" t="str">
        <f t="shared" si="0"/>
        <v>0302</v>
      </c>
      <c r="D6" s="30" t="s">
        <v>164</v>
      </c>
      <c r="E6" s="33">
        <v>2016</v>
      </c>
      <c r="F6" s="30" t="s">
        <v>384</v>
      </c>
      <c r="G6" s="30" t="s">
        <v>145</v>
      </c>
      <c r="H6" s="30" t="s">
        <v>851</v>
      </c>
      <c r="I6" s="40" t="s">
        <v>166</v>
      </c>
      <c r="J6" s="40" t="s">
        <v>147</v>
      </c>
      <c r="K6" s="49" t="s">
        <v>385</v>
      </c>
      <c r="L6" s="40">
        <v>0</v>
      </c>
      <c r="M6" s="40" t="s">
        <v>155</v>
      </c>
      <c r="N6" s="31" t="s">
        <v>149</v>
      </c>
      <c r="O6" s="30" t="s">
        <v>845</v>
      </c>
      <c r="P6" s="33">
        <v>2014</v>
      </c>
      <c r="Q6" s="30" t="s">
        <v>852</v>
      </c>
      <c r="R6" s="35">
        <v>16664</v>
      </c>
      <c r="S6" s="32">
        <v>16664</v>
      </c>
      <c r="T6" s="32">
        <f t="shared" si="1"/>
        <v>7636.1</v>
      </c>
      <c r="U6" s="30" t="str">
        <f t="shared" si="2"/>
        <v>Not Cost-Effective</v>
      </c>
      <c r="V6" s="30" t="str">
        <f t="shared" si="3"/>
        <v>Cost-Effective</v>
      </c>
      <c r="W6" s="41">
        <f t="shared" si="4"/>
        <v>2.1822658163198492</v>
      </c>
      <c r="X6" s="55">
        <f t="shared" si="5"/>
        <v>0.71</v>
      </c>
      <c r="Y6" s="30" t="str">
        <f t="shared" si="6"/>
        <v>Not Cost-Effective</v>
      </c>
      <c r="Z6" s="55">
        <f t="shared" si="7"/>
        <v>0.45</v>
      </c>
      <c r="AA6" s="30" t="str">
        <f t="shared" si="8"/>
        <v>Not Cost-Effective</v>
      </c>
      <c r="AB6" s="55">
        <f t="shared" si="9"/>
        <v>0.64811121873397526</v>
      </c>
      <c r="AC6" s="30" t="str">
        <f t="shared" si="10"/>
        <v>Not Cost-Effective</v>
      </c>
      <c r="AD6" s="55">
        <f t="shared" si="11"/>
        <v>0.16395077203578146</v>
      </c>
      <c r="AE6" s="30" t="str">
        <f t="shared" si="12"/>
        <v>Not Cost-Effective</v>
      </c>
      <c r="AF6" s="30" t="s">
        <v>161</v>
      </c>
      <c r="AG6" s="30" t="s">
        <v>382</v>
      </c>
      <c r="AJ6" s="30" t="s">
        <v>148</v>
      </c>
    </row>
    <row r="7" spans="1:36" ht="12.75" customHeight="1">
      <c r="A7" s="40">
        <f t="shared" si="13"/>
        <v>3</v>
      </c>
      <c r="B7" s="40">
        <f t="shared" si="14"/>
        <v>3</v>
      </c>
      <c r="C7" s="51" t="str">
        <f t="shared" si="0"/>
        <v>0303</v>
      </c>
      <c r="D7" s="30" t="s">
        <v>164</v>
      </c>
      <c r="E7" s="33">
        <v>2016</v>
      </c>
      <c r="F7" s="30" t="s">
        <v>384</v>
      </c>
      <c r="G7" s="30" t="s">
        <v>145</v>
      </c>
      <c r="H7" s="30" t="s">
        <v>853</v>
      </c>
      <c r="I7" s="40" t="s">
        <v>167</v>
      </c>
      <c r="J7" s="40" t="s">
        <v>147</v>
      </c>
      <c r="K7" s="49" t="s">
        <v>385</v>
      </c>
      <c r="L7" s="40">
        <v>0</v>
      </c>
      <c r="M7" s="40" t="s">
        <v>155</v>
      </c>
      <c r="N7" s="31" t="s">
        <v>149</v>
      </c>
      <c r="O7" s="30" t="s">
        <v>845</v>
      </c>
      <c r="P7" s="33">
        <v>2014</v>
      </c>
      <c r="Q7" s="30" t="s">
        <v>854</v>
      </c>
      <c r="R7" s="35">
        <v>11436</v>
      </c>
      <c r="S7" s="32">
        <v>11436</v>
      </c>
      <c r="T7" s="32">
        <f t="shared" si="1"/>
        <v>7636.1</v>
      </c>
      <c r="U7" s="30" t="str">
        <f t="shared" si="2"/>
        <v>Not Cost-Effective</v>
      </c>
      <c r="V7" s="30" t="str">
        <f t="shared" si="3"/>
        <v>Cost-Effective</v>
      </c>
      <c r="W7" s="41">
        <f t="shared" si="4"/>
        <v>1.497623132227184</v>
      </c>
      <c r="X7" s="55">
        <f t="shared" si="5"/>
        <v>0.71</v>
      </c>
      <c r="Y7" s="30" t="str">
        <f t="shared" si="6"/>
        <v>Not Cost-Effective</v>
      </c>
      <c r="Z7" s="55">
        <f t="shared" si="7"/>
        <v>0.45</v>
      </c>
      <c r="AA7" s="30" t="str">
        <f t="shared" si="8"/>
        <v>Not Cost-Effective</v>
      </c>
      <c r="AB7" s="55">
        <f t="shared" si="9"/>
        <v>0.64811121873397526</v>
      </c>
      <c r="AC7" s="30" t="str">
        <f t="shared" si="10"/>
        <v>Not Cost-Effective</v>
      </c>
      <c r="AD7" s="55">
        <f t="shared" si="11"/>
        <v>0.16395077203578146</v>
      </c>
      <c r="AE7" s="30" t="str">
        <f t="shared" si="12"/>
        <v>Not Cost-Effective</v>
      </c>
      <c r="AF7" s="30" t="s">
        <v>161</v>
      </c>
      <c r="AG7" s="30" t="s">
        <v>382</v>
      </c>
      <c r="AJ7" s="30" t="s">
        <v>148</v>
      </c>
    </row>
    <row r="8" spans="1:36" ht="12.75" customHeight="1">
      <c r="A8" s="40">
        <f t="shared" si="13"/>
        <v>4</v>
      </c>
      <c r="B8" s="40">
        <f t="shared" si="14"/>
        <v>1</v>
      </c>
      <c r="C8" s="51" t="str">
        <f t="shared" si="0"/>
        <v>0401</v>
      </c>
      <c r="D8" s="30" t="s">
        <v>168</v>
      </c>
      <c r="E8" s="33">
        <v>2016</v>
      </c>
      <c r="F8" s="30" t="s">
        <v>395</v>
      </c>
      <c r="G8" s="30" t="s">
        <v>145</v>
      </c>
      <c r="H8" s="30" t="s">
        <v>844</v>
      </c>
      <c r="I8" s="40" t="s">
        <v>146</v>
      </c>
      <c r="J8" s="40" t="s">
        <v>147</v>
      </c>
      <c r="K8" s="49" t="s">
        <v>396</v>
      </c>
      <c r="L8" s="40">
        <v>4</v>
      </c>
      <c r="M8" s="40" t="s">
        <v>148</v>
      </c>
      <c r="N8" s="31" t="s">
        <v>149</v>
      </c>
      <c r="O8" s="30" t="s">
        <v>845</v>
      </c>
      <c r="P8" s="33">
        <v>2015</v>
      </c>
      <c r="Q8" s="30" t="s">
        <v>855</v>
      </c>
      <c r="R8" s="35">
        <v>104094</v>
      </c>
      <c r="S8" s="32">
        <v>104094</v>
      </c>
      <c r="T8" s="32">
        <f t="shared" si="1"/>
        <v>8016.4</v>
      </c>
      <c r="U8" s="30" t="str">
        <f t="shared" si="2"/>
        <v>Not Cost-Effective</v>
      </c>
      <c r="V8" s="30" t="str">
        <f t="shared" si="3"/>
        <v>Not Cost-Effective</v>
      </c>
      <c r="W8" s="41">
        <f t="shared" si="4"/>
        <v>12.985130482510854</v>
      </c>
      <c r="X8" s="55">
        <f t="shared" si="5"/>
        <v>0.71</v>
      </c>
      <c r="Y8" s="30" t="str">
        <f t="shared" si="6"/>
        <v>Not Cost-Effective</v>
      </c>
      <c r="Z8" s="55">
        <f t="shared" si="7"/>
        <v>0.45</v>
      </c>
      <c r="AA8" s="30" t="str">
        <f t="shared" si="8"/>
        <v>Not Cost-Effective</v>
      </c>
      <c r="AB8" s="55">
        <f t="shared" si="9"/>
        <v>0.64811121873397526</v>
      </c>
      <c r="AC8" s="30" t="str">
        <f t="shared" si="10"/>
        <v>Not Cost-Effective</v>
      </c>
      <c r="AD8" s="55">
        <f t="shared" si="11"/>
        <v>0.16395077203578146</v>
      </c>
      <c r="AE8" s="30" t="str">
        <f t="shared" si="12"/>
        <v>Not Cost-Effective</v>
      </c>
      <c r="AF8" s="30" t="s">
        <v>161</v>
      </c>
      <c r="AG8" s="30" t="s">
        <v>371</v>
      </c>
      <c r="AJ8" s="30" t="s">
        <v>148</v>
      </c>
    </row>
    <row r="9" spans="1:36" ht="12.75" customHeight="1">
      <c r="A9" s="40">
        <f t="shared" si="13"/>
        <v>4</v>
      </c>
      <c r="B9" s="40">
        <f t="shared" si="14"/>
        <v>2</v>
      </c>
      <c r="C9" s="51" t="str">
        <f t="shared" si="0"/>
        <v>0402</v>
      </c>
      <c r="D9" s="30" t="s">
        <v>168</v>
      </c>
      <c r="E9" s="33">
        <v>2016</v>
      </c>
      <c r="F9" s="30" t="s">
        <v>395</v>
      </c>
      <c r="G9" s="30" t="s">
        <v>145</v>
      </c>
      <c r="H9" s="30" t="s">
        <v>853</v>
      </c>
      <c r="I9" s="40" t="s">
        <v>167</v>
      </c>
      <c r="J9" s="40" t="s">
        <v>147</v>
      </c>
      <c r="K9" s="49" t="s">
        <v>400</v>
      </c>
      <c r="L9" s="40">
        <v>4</v>
      </c>
      <c r="M9" s="40" t="s">
        <v>148</v>
      </c>
      <c r="N9" s="31" t="s">
        <v>149</v>
      </c>
      <c r="O9" s="30" t="s">
        <v>845</v>
      </c>
      <c r="P9" s="33">
        <v>2015</v>
      </c>
      <c r="Q9" s="30" t="s">
        <v>856</v>
      </c>
      <c r="R9" s="35">
        <v>29460</v>
      </c>
      <c r="S9" s="32">
        <v>29460</v>
      </c>
      <c r="T9" s="32">
        <f t="shared" si="1"/>
        <v>8016.4</v>
      </c>
      <c r="U9" s="30" t="str">
        <f t="shared" si="2"/>
        <v>Not Cost-Effective</v>
      </c>
      <c r="V9" s="30" t="str">
        <f t="shared" si="3"/>
        <v>Not Cost-Effective</v>
      </c>
      <c r="W9" s="41">
        <f t="shared" si="4"/>
        <v>3.6749663190459558</v>
      </c>
      <c r="X9" s="55">
        <f t="shared" si="5"/>
        <v>0.71</v>
      </c>
      <c r="Y9" s="30" t="str">
        <f t="shared" si="6"/>
        <v>Not Cost-Effective</v>
      </c>
      <c r="Z9" s="55">
        <f t="shared" si="7"/>
        <v>0.45</v>
      </c>
      <c r="AA9" s="30" t="str">
        <f t="shared" si="8"/>
        <v>Not Cost-Effective</v>
      </c>
      <c r="AB9" s="55">
        <f t="shared" si="9"/>
        <v>0.64811121873397526</v>
      </c>
      <c r="AC9" s="30" t="str">
        <f t="shared" si="10"/>
        <v>Not Cost-Effective</v>
      </c>
      <c r="AD9" s="55">
        <f t="shared" si="11"/>
        <v>0.16395077203578146</v>
      </c>
      <c r="AE9" s="30" t="str">
        <f t="shared" si="12"/>
        <v>Not Cost-Effective</v>
      </c>
      <c r="AF9" s="30" t="s">
        <v>161</v>
      </c>
      <c r="AG9" s="30" t="s">
        <v>371</v>
      </c>
      <c r="AJ9" s="30" t="s">
        <v>148</v>
      </c>
    </row>
    <row r="10" spans="1:36" ht="12.75" customHeight="1">
      <c r="A10" s="40">
        <f t="shared" si="13"/>
        <v>5</v>
      </c>
      <c r="B10" s="40">
        <f t="shared" si="14"/>
        <v>1</v>
      </c>
      <c r="C10" s="51" t="str">
        <f t="shared" si="0"/>
        <v>0501</v>
      </c>
      <c r="D10" s="30" t="s">
        <v>171</v>
      </c>
      <c r="E10" s="33">
        <v>2018</v>
      </c>
      <c r="F10" s="30" t="s">
        <v>402</v>
      </c>
      <c r="G10" s="30" t="s">
        <v>145</v>
      </c>
      <c r="H10" s="30" t="s">
        <v>853</v>
      </c>
      <c r="I10" s="40" t="s">
        <v>167</v>
      </c>
      <c r="J10" s="40" t="s">
        <v>147</v>
      </c>
      <c r="K10" s="49" t="s">
        <v>403</v>
      </c>
      <c r="L10" s="40">
        <v>4</v>
      </c>
      <c r="M10" s="40" t="s">
        <v>155</v>
      </c>
      <c r="N10" s="31" t="s">
        <v>377</v>
      </c>
      <c r="O10" s="30" t="s">
        <v>857</v>
      </c>
      <c r="P10" s="33">
        <v>2015</v>
      </c>
      <c r="Q10" s="30" t="s">
        <v>858</v>
      </c>
      <c r="R10" s="35">
        <v>79304</v>
      </c>
      <c r="S10" s="32">
        <f>R10/xRates!$U$43</f>
        <v>372.80932681459194</v>
      </c>
      <c r="T10" s="32">
        <f t="shared" si="1"/>
        <v>8016.4</v>
      </c>
      <c r="U10" s="30" t="str">
        <f t="shared" si="2"/>
        <v>Cost-Effective</v>
      </c>
      <c r="V10" s="30" t="str">
        <f t="shared" si="3"/>
        <v>Cost-Effective</v>
      </c>
      <c r="W10" s="41">
        <f t="shared" si="4"/>
        <v>4.6505828902573716E-2</v>
      </c>
      <c r="X10" s="55">
        <f t="shared" si="5"/>
        <v>0.71</v>
      </c>
      <c r="Y10" s="30" t="str">
        <f t="shared" si="6"/>
        <v>Cost-Effective</v>
      </c>
      <c r="Z10" s="55">
        <f t="shared" si="7"/>
        <v>0.45</v>
      </c>
      <c r="AA10" s="30" t="str">
        <f t="shared" si="8"/>
        <v>Cost-Effective</v>
      </c>
      <c r="AB10" s="55">
        <f t="shared" si="9"/>
        <v>0.64811121873397526</v>
      </c>
      <c r="AC10" s="30" t="str">
        <f t="shared" si="10"/>
        <v>Cost-Effective</v>
      </c>
      <c r="AD10" s="55">
        <f t="shared" si="11"/>
        <v>0.16395077203578146</v>
      </c>
      <c r="AE10" s="30" t="str">
        <f t="shared" si="12"/>
        <v>Cost-Effective</v>
      </c>
      <c r="AF10" s="30" t="s">
        <v>173</v>
      </c>
      <c r="AG10" s="30" t="s">
        <v>382</v>
      </c>
      <c r="AJ10" s="30" t="s">
        <v>148</v>
      </c>
    </row>
    <row r="11" spans="1:36" ht="12.75" customHeight="1">
      <c r="A11" s="40">
        <f t="shared" si="13"/>
        <v>5</v>
      </c>
      <c r="B11" s="40">
        <f t="shared" si="14"/>
        <v>2</v>
      </c>
      <c r="C11" s="51" t="str">
        <f t="shared" si="0"/>
        <v>0502</v>
      </c>
      <c r="D11" s="30" t="s">
        <v>171</v>
      </c>
      <c r="E11" s="33">
        <v>2018</v>
      </c>
      <c r="F11" s="30" t="s">
        <v>402</v>
      </c>
      <c r="G11" s="30" t="s">
        <v>145</v>
      </c>
      <c r="H11" s="30" t="s">
        <v>853</v>
      </c>
      <c r="I11" s="40" t="s">
        <v>167</v>
      </c>
      <c r="J11" s="40" t="s">
        <v>147</v>
      </c>
      <c r="K11" s="49" t="s">
        <v>403</v>
      </c>
      <c r="L11" s="40">
        <v>4</v>
      </c>
      <c r="M11" s="40" t="s">
        <v>148</v>
      </c>
      <c r="N11" s="31" t="s">
        <v>377</v>
      </c>
      <c r="O11" s="30" t="s">
        <v>857</v>
      </c>
      <c r="P11" s="33">
        <v>2015</v>
      </c>
      <c r="Q11" s="30" t="s">
        <v>859</v>
      </c>
      <c r="R11" s="35">
        <v>76551</v>
      </c>
      <c r="S11" s="32">
        <f>R11/xRates!$U$43</f>
        <v>359.86743136517487</v>
      </c>
      <c r="T11" s="32">
        <f t="shared" si="1"/>
        <v>8016.4</v>
      </c>
      <c r="U11" s="30" t="str">
        <f t="shared" si="2"/>
        <v>Cost-Effective</v>
      </c>
      <c r="V11" s="30" t="str">
        <f t="shared" si="3"/>
        <v>Cost-Effective</v>
      </c>
      <c r="W11" s="41">
        <f t="shared" si="4"/>
        <v>4.4891401547474535E-2</v>
      </c>
      <c r="X11" s="55">
        <f t="shared" si="5"/>
        <v>0.71</v>
      </c>
      <c r="Y11" s="30" t="str">
        <f t="shared" si="6"/>
        <v>Cost-Effective</v>
      </c>
      <c r="Z11" s="55">
        <f t="shared" si="7"/>
        <v>0.45</v>
      </c>
      <c r="AA11" s="30" t="str">
        <f t="shared" si="8"/>
        <v>Cost-Effective</v>
      </c>
      <c r="AB11" s="55">
        <f t="shared" si="9"/>
        <v>0.64811121873397526</v>
      </c>
      <c r="AC11" s="30" t="str">
        <f t="shared" si="10"/>
        <v>Cost-Effective</v>
      </c>
      <c r="AD11" s="55">
        <f t="shared" si="11"/>
        <v>0.16395077203578146</v>
      </c>
      <c r="AE11" s="30" t="str">
        <f t="shared" si="12"/>
        <v>Cost-Effective</v>
      </c>
      <c r="AF11" s="30" t="s">
        <v>173</v>
      </c>
      <c r="AG11" s="30" t="s">
        <v>382</v>
      </c>
      <c r="AJ11" s="30" t="s">
        <v>148</v>
      </c>
    </row>
    <row r="12" spans="1:36" ht="12.75" customHeight="1">
      <c r="A12" s="40">
        <f t="shared" si="13"/>
        <v>5</v>
      </c>
      <c r="B12" s="40">
        <f t="shared" si="14"/>
        <v>3</v>
      </c>
      <c r="C12" s="51" t="str">
        <f t="shared" si="0"/>
        <v>0503</v>
      </c>
      <c r="D12" s="30" t="s">
        <v>171</v>
      </c>
      <c r="E12" s="33">
        <v>2018</v>
      </c>
      <c r="F12" s="30" t="s">
        <v>402</v>
      </c>
      <c r="G12" s="30" t="s">
        <v>145</v>
      </c>
      <c r="H12" s="30" t="s">
        <v>853</v>
      </c>
      <c r="I12" s="40" t="s">
        <v>167</v>
      </c>
      <c r="J12" s="40" t="s">
        <v>147</v>
      </c>
      <c r="K12" s="49" t="s">
        <v>403</v>
      </c>
      <c r="L12" s="40">
        <v>4</v>
      </c>
      <c r="M12" s="40" t="s">
        <v>148</v>
      </c>
      <c r="N12" s="31" t="s">
        <v>377</v>
      </c>
      <c r="O12" s="30" t="s">
        <v>857</v>
      </c>
      <c r="P12" s="33">
        <v>2015</v>
      </c>
      <c r="Q12" s="30" t="s">
        <v>860</v>
      </c>
      <c r="R12" s="35">
        <v>3777</v>
      </c>
      <c r="S12" s="32">
        <f>R12/xRates!$U$43</f>
        <v>17.755735238811582</v>
      </c>
      <c r="T12" s="32">
        <f t="shared" si="1"/>
        <v>8016.4</v>
      </c>
      <c r="U12" s="30" t="str">
        <f t="shared" si="2"/>
        <v>Cost-Effective</v>
      </c>
      <c r="V12" s="30" t="str">
        <f t="shared" si="3"/>
        <v>Cost-Effective</v>
      </c>
      <c r="W12" s="41">
        <f t="shared" si="4"/>
        <v>2.2149263059243031E-3</v>
      </c>
      <c r="X12" s="55">
        <f t="shared" si="5"/>
        <v>0.71</v>
      </c>
      <c r="Y12" s="30" t="str">
        <f t="shared" si="6"/>
        <v>Cost-Effective</v>
      </c>
      <c r="Z12" s="55">
        <f t="shared" si="7"/>
        <v>0.45</v>
      </c>
      <c r="AA12" s="30" t="str">
        <f t="shared" si="8"/>
        <v>Cost-Effective</v>
      </c>
      <c r="AB12" s="55">
        <f t="shared" si="9"/>
        <v>0.64811121873397526</v>
      </c>
      <c r="AC12" s="30" t="str">
        <f t="shared" si="10"/>
        <v>Cost-Effective</v>
      </c>
      <c r="AD12" s="55">
        <f t="shared" si="11"/>
        <v>0.16395077203578146</v>
      </c>
      <c r="AE12" s="30" t="str">
        <f t="shared" si="12"/>
        <v>Cost-Effective</v>
      </c>
      <c r="AF12" s="30" t="s">
        <v>173</v>
      </c>
      <c r="AG12" s="30" t="s">
        <v>382</v>
      </c>
      <c r="AJ12" s="30" t="s">
        <v>148</v>
      </c>
    </row>
    <row r="13" spans="1:36" ht="12.75" customHeight="1">
      <c r="A13" s="40">
        <f t="shared" si="13"/>
        <v>6</v>
      </c>
      <c r="B13" s="40">
        <f t="shared" si="14"/>
        <v>1</v>
      </c>
      <c r="C13" s="51" t="str">
        <f t="shared" si="0"/>
        <v>0601</v>
      </c>
      <c r="D13" s="30" t="s">
        <v>174</v>
      </c>
      <c r="E13" s="33">
        <v>2018</v>
      </c>
      <c r="F13" s="30" t="s">
        <v>411</v>
      </c>
      <c r="G13" s="30" t="s">
        <v>145</v>
      </c>
      <c r="H13" s="30" t="s">
        <v>853</v>
      </c>
      <c r="I13" s="40" t="s">
        <v>167</v>
      </c>
      <c r="J13" s="40" t="s">
        <v>147</v>
      </c>
      <c r="K13" s="49" t="s">
        <v>403</v>
      </c>
      <c r="L13" s="40">
        <v>4</v>
      </c>
      <c r="M13" s="40" t="s">
        <v>148</v>
      </c>
      <c r="N13" s="31" t="s">
        <v>377</v>
      </c>
      <c r="O13" s="30" t="s">
        <v>845</v>
      </c>
      <c r="P13" s="33">
        <v>2016</v>
      </c>
      <c r="Q13" s="30" t="s">
        <v>861</v>
      </c>
      <c r="R13" s="35">
        <v>20709</v>
      </c>
      <c r="S13" s="32">
        <v>20709</v>
      </c>
      <c r="T13" s="32">
        <f t="shared" si="1"/>
        <v>8094.4</v>
      </c>
      <c r="U13" s="30" t="str">
        <f t="shared" si="2"/>
        <v>Not Cost-Effective</v>
      </c>
      <c r="V13" s="30" t="str">
        <f t="shared" si="3"/>
        <v>Cost-Effective</v>
      </c>
      <c r="W13" s="41">
        <f t="shared" si="4"/>
        <v>2.5584354615536666</v>
      </c>
      <c r="X13" s="55">
        <f t="shared" si="5"/>
        <v>0.71</v>
      </c>
      <c r="Y13" s="30" t="str">
        <f t="shared" si="6"/>
        <v>Not Cost-Effective</v>
      </c>
      <c r="Z13" s="55">
        <f t="shared" si="7"/>
        <v>0.45</v>
      </c>
      <c r="AA13" s="30" t="str">
        <f t="shared" si="8"/>
        <v>Not Cost-Effective</v>
      </c>
      <c r="AB13" s="55">
        <f t="shared" si="9"/>
        <v>0.64811121873397526</v>
      </c>
      <c r="AC13" s="30" t="str">
        <f t="shared" si="10"/>
        <v>Not Cost-Effective</v>
      </c>
      <c r="AD13" s="55">
        <f t="shared" si="11"/>
        <v>0.16395077203578146</v>
      </c>
      <c r="AE13" s="30" t="str">
        <f t="shared" si="12"/>
        <v>Not Cost-Effective</v>
      </c>
      <c r="AF13" s="30" t="s">
        <v>176</v>
      </c>
      <c r="AG13" s="30" t="s">
        <v>382</v>
      </c>
      <c r="AJ13" s="30" t="s">
        <v>148</v>
      </c>
    </row>
    <row r="14" spans="1:36" ht="12.75" customHeight="1">
      <c r="A14" s="40">
        <f t="shared" si="13"/>
        <v>6</v>
      </c>
      <c r="B14" s="40">
        <f t="shared" si="14"/>
        <v>2</v>
      </c>
      <c r="C14" s="51" t="str">
        <f t="shared" si="0"/>
        <v>0602</v>
      </c>
      <c r="D14" s="30" t="s">
        <v>174</v>
      </c>
      <c r="E14" s="33">
        <v>2018</v>
      </c>
      <c r="F14" s="30" t="s">
        <v>411</v>
      </c>
      <c r="G14" s="30" t="s">
        <v>145</v>
      </c>
      <c r="H14" s="30" t="s">
        <v>853</v>
      </c>
      <c r="I14" s="40" t="s">
        <v>167</v>
      </c>
      <c r="J14" s="40" t="s">
        <v>147</v>
      </c>
      <c r="K14" s="49" t="s">
        <v>403</v>
      </c>
      <c r="L14" s="40">
        <v>4</v>
      </c>
      <c r="M14" s="40" t="s">
        <v>155</v>
      </c>
      <c r="N14" s="31" t="s">
        <v>149</v>
      </c>
      <c r="O14" s="30" t="s">
        <v>845</v>
      </c>
      <c r="P14" s="33">
        <v>2016</v>
      </c>
      <c r="Q14" s="30" t="s">
        <v>862</v>
      </c>
      <c r="R14" s="35">
        <v>18483</v>
      </c>
      <c r="S14" s="32">
        <v>18483</v>
      </c>
      <c r="T14" s="32">
        <f t="shared" si="1"/>
        <v>8094.4</v>
      </c>
      <c r="U14" s="30" t="str">
        <f t="shared" si="2"/>
        <v>Not Cost-Effective</v>
      </c>
      <c r="V14" s="30" t="str">
        <f t="shared" si="3"/>
        <v>Cost-Effective</v>
      </c>
      <c r="W14" s="41">
        <f t="shared" si="4"/>
        <v>2.2834305198655862</v>
      </c>
      <c r="X14" s="55">
        <f t="shared" si="5"/>
        <v>0.71</v>
      </c>
      <c r="Y14" s="30" t="str">
        <f t="shared" si="6"/>
        <v>Not Cost-Effective</v>
      </c>
      <c r="Z14" s="55">
        <f t="shared" si="7"/>
        <v>0.45</v>
      </c>
      <c r="AA14" s="30" t="str">
        <f t="shared" si="8"/>
        <v>Not Cost-Effective</v>
      </c>
      <c r="AB14" s="55">
        <f t="shared" si="9"/>
        <v>0.64811121873397526</v>
      </c>
      <c r="AC14" s="30" t="str">
        <f t="shared" si="10"/>
        <v>Not Cost-Effective</v>
      </c>
      <c r="AD14" s="55">
        <f t="shared" si="11"/>
        <v>0.16395077203578146</v>
      </c>
      <c r="AE14" s="30" t="str">
        <f t="shared" si="12"/>
        <v>Not Cost-Effective</v>
      </c>
      <c r="AF14" s="30" t="s">
        <v>176</v>
      </c>
      <c r="AG14" s="30" t="s">
        <v>382</v>
      </c>
      <c r="AJ14" s="30" t="s">
        <v>148</v>
      </c>
    </row>
    <row r="15" spans="1:36" ht="12.75" customHeight="1">
      <c r="A15" s="40">
        <f t="shared" si="13"/>
        <v>7</v>
      </c>
      <c r="B15" s="40">
        <f t="shared" si="14"/>
        <v>1</v>
      </c>
      <c r="C15" s="51" t="str">
        <f t="shared" si="0"/>
        <v>0701</v>
      </c>
      <c r="D15" s="30" t="s">
        <v>178</v>
      </c>
      <c r="E15" s="33">
        <v>2011</v>
      </c>
      <c r="F15" s="30" t="s">
        <v>415</v>
      </c>
      <c r="G15" s="30" t="s">
        <v>180</v>
      </c>
      <c r="H15" s="30" t="s">
        <v>844</v>
      </c>
      <c r="I15" s="40" t="s">
        <v>146</v>
      </c>
      <c r="J15" s="40" t="s">
        <v>147</v>
      </c>
      <c r="K15" s="49" t="s">
        <v>400</v>
      </c>
      <c r="L15" s="40">
        <v>4</v>
      </c>
      <c r="M15" s="40" t="s">
        <v>148</v>
      </c>
      <c r="N15" s="31" t="s">
        <v>377</v>
      </c>
      <c r="O15" s="30" t="s">
        <v>845</v>
      </c>
      <c r="P15" s="33">
        <v>2007</v>
      </c>
      <c r="Q15" s="30" t="s">
        <v>863</v>
      </c>
      <c r="R15" s="35">
        <v>10261</v>
      </c>
      <c r="S15" s="32">
        <v>10261</v>
      </c>
      <c r="T15" s="32">
        <f t="shared" si="1"/>
        <v>7144</v>
      </c>
      <c r="U15" s="30" t="str">
        <f t="shared" si="2"/>
        <v>Not Cost-Effective</v>
      </c>
      <c r="V15" s="30" t="str">
        <f t="shared" si="3"/>
        <v>Cost-Effective</v>
      </c>
      <c r="W15" s="41">
        <f t="shared" si="4"/>
        <v>1.4363101903695408</v>
      </c>
      <c r="X15" s="55">
        <f t="shared" si="5"/>
        <v>0.75</v>
      </c>
      <c r="Y15" s="30" t="str">
        <f t="shared" si="6"/>
        <v>Not Cost-Effective</v>
      </c>
      <c r="Z15" s="55">
        <f t="shared" si="7"/>
        <v>0.45</v>
      </c>
      <c r="AA15" s="30" t="str">
        <f t="shared" si="8"/>
        <v>Not Cost-Effective</v>
      </c>
      <c r="AB15" s="55">
        <f t="shared" si="9"/>
        <v>0.5771973489191532</v>
      </c>
      <c r="AC15" s="30" t="str">
        <f t="shared" si="10"/>
        <v>Not Cost-Effective</v>
      </c>
      <c r="AD15" s="55">
        <f t="shared" si="11"/>
        <v>0.32448707551478878</v>
      </c>
      <c r="AE15" s="30" t="str">
        <f t="shared" si="12"/>
        <v>Not Cost-Effective</v>
      </c>
      <c r="AF15" s="30" t="s">
        <v>161</v>
      </c>
      <c r="AG15" s="30" t="s">
        <v>382</v>
      </c>
      <c r="AJ15" s="30" t="s">
        <v>148</v>
      </c>
    </row>
    <row r="16" spans="1:36" ht="12.75" customHeight="1">
      <c r="A16" s="40">
        <f t="shared" si="13"/>
        <v>8</v>
      </c>
      <c r="B16" s="40">
        <f t="shared" si="14"/>
        <v>1</v>
      </c>
      <c r="C16" s="51" t="str">
        <f t="shared" si="0"/>
        <v>0801</v>
      </c>
      <c r="D16" s="30" t="s">
        <v>178</v>
      </c>
      <c r="E16" s="33">
        <v>2014</v>
      </c>
      <c r="F16" s="30" t="s">
        <v>419</v>
      </c>
      <c r="G16" s="30" t="s">
        <v>180</v>
      </c>
      <c r="H16" s="30" t="s">
        <v>851</v>
      </c>
      <c r="I16" s="40" t="s">
        <v>166</v>
      </c>
      <c r="J16" s="40" t="s">
        <v>147</v>
      </c>
      <c r="K16" s="49" t="s">
        <v>403</v>
      </c>
      <c r="L16" s="40">
        <v>4</v>
      </c>
      <c r="M16" s="40" t="s">
        <v>148</v>
      </c>
      <c r="N16" s="31" t="s">
        <v>377</v>
      </c>
      <c r="O16" s="30" t="s">
        <v>845</v>
      </c>
      <c r="P16" s="33">
        <v>2010</v>
      </c>
      <c r="Q16" s="30" t="s">
        <v>864</v>
      </c>
      <c r="R16" s="35">
        <v>9406</v>
      </c>
      <c r="S16" s="32">
        <v>9046</v>
      </c>
      <c r="T16" s="32">
        <f t="shared" si="1"/>
        <v>8880.1</v>
      </c>
      <c r="U16" s="30" t="str">
        <f t="shared" si="2"/>
        <v>Not Cost-Effective</v>
      </c>
      <c r="V16" s="30" t="str">
        <f t="shared" si="3"/>
        <v>Cost-Effective</v>
      </c>
      <c r="W16" s="41">
        <f t="shared" si="4"/>
        <v>1.0186822220470491</v>
      </c>
      <c r="X16" s="55">
        <f t="shared" si="5"/>
        <v>0.75</v>
      </c>
      <c r="Y16" s="30" t="str">
        <f t="shared" si="6"/>
        <v>Not Cost-Effective</v>
      </c>
      <c r="Z16" s="55">
        <f t="shared" si="7"/>
        <v>0.45</v>
      </c>
      <c r="AA16" s="30" t="str">
        <f t="shared" si="8"/>
        <v>Not Cost-Effective</v>
      </c>
      <c r="AB16" s="55">
        <f t="shared" si="9"/>
        <v>0.5771973489191532</v>
      </c>
      <c r="AC16" s="30" t="str">
        <f t="shared" si="10"/>
        <v>Not Cost-Effective</v>
      </c>
      <c r="AD16" s="55">
        <f t="shared" si="11"/>
        <v>0.32448707551478878</v>
      </c>
      <c r="AE16" s="30" t="str">
        <f t="shared" si="12"/>
        <v>Not Cost-Effective</v>
      </c>
      <c r="AF16" s="30" t="s">
        <v>161</v>
      </c>
      <c r="AG16" s="30" t="s">
        <v>382</v>
      </c>
      <c r="AJ16" s="30" t="s">
        <v>148</v>
      </c>
    </row>
    <row r="17" spans="1:37" s="64" customFormat="1" ht="12.75" customHeight="1">
      <c r="A17" s="63">
        <f t="shared" si="13"/>
        <v>8</v>
      </c>
      <c r="B17" s="63">
        <f t="shared" si="14"/>
        <v>2</v>
      </c>
      <c r="C17" s="71" t="str">
        <f t="shared" si="0"/>
        <v>0802</v>
      </c>
      <c r="D17" s="64" t="s">
        <v>178</v>
      </c>
      <c r="E17" s="72">
        <v>2014</v>
      </c>
      <c r="F17" s="64" t="s">
        <v>419</v>
      </c>
      <c r="G17" s="64" t="s">
        <v>180</v>
      </c>
      <c r="H17" s="64" t="s">
        <v>865</v>
      </c>
      <c r="I17" s="63" t="s">
        <v>167</v>
      </c>
      <c r="J17" s="63" t="s">
        <v>166</v>
      </c>
      <c r="K17" s="65" t="s">
        <v>403</v>
      </c>
      <c r="L17" s="63">
        <v>4</v>
      </c>
      <c r="M17" s="63" t="s">
        <v>148</v>
      </c>
      <c r="N17" s="73" t="s">
        <v>377</v>
      </c>
      <c r="O17" s="64" t="s">
        <v>845</v>
      </c>
      <c r="P17" s="72">
        <v>2010</v>
      </c>
      <c r="Q17" s="64" t="s">
        <v>866</v>
      </c>
      <c r="R17" s="66">
        <v>61061.49</v>
      </c>
      <c r="S17" s="74">
        <f>R17</f>
        <v>61061.49</v>
      </c>
      <c r="T17" s="74">
        <f t="shared" si="1"/>
        <v>8880.1</v>
      </c>
      <c r="U17" s="64" t="str">
        <f t="shared" si="2"/>
        <v>Not Cost-Effective</v>
      </c>
      <c r="V17" s="64" t="str">
        <f t="shared" si="3"/>
        <v>Not Cost-Effective</v>
      </c>
      <c r="W17" s="75">
        <f t="shared" si="4"/>
        <v>6.8762164840486024</v>
      </c>
      <c r="X17" s="76">
        <f t="shared" si="5"/>
        <v>0.75</v>
      </c>
      <c r="Y17" s="64" t="str">
        <f t="shared" si="6"/>
        <v>Not Cost-Effective</v>
      </c>
      <c r="Z17" s="76">
        <f t="shared" si="7"/>
        <v>0.45</v>
      </c>
      <c r="AA17" s="64" t="str">
        <f t="shared" si="8"/>
        <v>Not Cost-Effective</v>
      </c>
      <c r="AB17" s="76">
        <f t="shared" si="9"/>
        <v>0.5771973489191532</v>
      </c>
      <c r="AC17" s="64" t="str">
        <f t="shared" si="10"/>
        <v>Not Cost-Effective</v>
      </c>
      <c r="AD17" s="76">
        <f t="shared" si="11"/>
        <v>0.32448707551478878</v>
      </c>
      <c r="AE17" s="64" t="str">
        <f t="shared" si="12"/>
        <v>Not Cost-Effective</v>
      </c>
      <c r="AF17" s="64" t="s">
        <v>161</v>
      </c>
      <c r="AG17" s="64" t="s">
        <v>382</v>
      </c>
      <c r="AH17" s="64" t="s">
        <v>867</v>
      </c>
      <c r="AJ17" s="30" t="s">
        <v>148</v>
      </c>
      <c r="AK17" s="64" t="s">
        <v>868</v>
      </c>
    </row>
    <row r="18" spans="1:37" ht="12.75" customHeight="1">
      <c r="A18" s="40">
        <f t="shared" si="13"/>
        <v>9</v>
      </c>
      <c r="B18" s="40">
        <f t="shared" si="14"/>
        <v>1</v>
      </c>
      <c r="C18" s="51" t="str">
        <f t="shared" si="0"/>
        <v>0901</v>
      </c>
      <c r="D18" s="30" t="s">
        <v>83</v>
      </c>
      <c r="E18" s="33">
        <v>2017</v>
      </c>
      <c r="F18" s="30" t="s">
        <v>425</v>
      </c>
      <c r="G18" s="30" t="s">
        <v>180</v>
      </c>
      <c r="H18" s="30" t="s">
        <v>851</v>
      </c>
      <c r="I18" s="40" t="s">
        <v>166</v>
      </c>
      <c r="J18" s="40" t="s">
        <v>147</v>
      </c>
      <c r="K18" s="49" t="s">
        <v>368</v>
      </c>
      <c r="L18" s="40">
        <v>3</v>
      </c>
      <c r="M18" s="40" t="s">
        <v>155</v>
      </c>
      <c r="N18" s="31" t="s">
        <v>377</v>
      </c>
      <c r="O18" s="30" t="s">
        <v>845</v>
      </c>
      <c r="P18" s="33">
        <v>2014</v>
      </c>
      <c r="Q18" s="30" t="s">
        <v>869</v>
      </c>
      <c r="R18" s="35">
        <v>28497</v>
      </c>
      <c r="S18" s="32">
        <v>28497</v>
      </c>
      <c r="T18" s="32">
        <f t="shared" si="1"/>
        <v>11045.6</v>
      </c>
      <c r="U18" s="30" t="str">
        <f t="shared" si="2"/>
        <v>Not Cost-Effective</v>
      </c>
      <c r="V18" s="30" t="str">
        <f t="shared" si="3"/>
        <v>Cost-Effective</v>
      </c>
      <c r="W18" s="41">
        <f t="shared" si="4"/>
        <v>2.5799413341058881</v>
      </c>
      <c r="X18" s="55">
        <f t="shared" si="5"/>
        <v>0.75</v>
      </c>
      <c r="Y18" s="30" t="str">
        <f t="shared" si="6"/>
        <v>Not Cost-Effective</v>
      </c>
      <c r="Z18" s="55">
        <f t="shared" si="7"/>
        <v>0.45</v>
      </c>
      <c r="AA18" s="30" t="str">
        <f t="shared" si="8"/>
        <v>Not Cost-Effective</v>
      </c>
      <c r="AB18" s="55">
        <f t="shared" si="9"/>
        <v>0.5771973489191532</v>
      </c>
      <c r="AC18" s="30" t="str">
        <f t="shared" si="10"/>
        <v>Not Cost-Effective</v>
      </c>
      <c r="AD18" s="55">
        <f t="shared" si="11"/>
        <v>0.32448707551478878</v>
      </c>
      <c r="AE18" s="30" t="str">
        <f t="shared" si="12"/>
        <v>Not Cost-Effective</v>
      </c>
      <c r="AF18" s="30" t="s">
        <v>161</v>
      </c>
      <c r="AG18" s="30" t="s">
        <v>382</v>
      </c>
      <c r="AJ18" s="30" t="s">
        <v>148</v>
      </c>
    </row>
    <row r="19" spans="1:37" s="64" customFormat="1" ht="12.75" customHeight="1">
      <c r="A19" s="63">
        <f t="shared" si="13"/>
        <v>9</v>
      </c>
      <c r="B19" s="63">
        <f t="shared" si="14"/>
        <v>2</v>
      </c>
      <c r="C19" s="71" t="str">
        <f t="shared" si="0"/>
        <v>0902</v>
      </c>
      <c r="D19" s="64" t="s">
        <v>83</v>
      </c>
      <c r="E19" s="72">
        <v>2017</v>
      </c>
      <c r="F19" s="64" t="s">
        <v>425</v>
      </c>
      <c r="G19" s="64" t="s">
        <v>180</v>
      </c>
      <c r="H19" s="64" t="s">
        <v>865</v>
      </c>
      <c r="I19" s="63" t="s">
        <v>167</v>
      </c>
      <c r="J19" s="63" t="s">
        <v>166</v>
      </c>
      <c r="K19" s="65" t="s">
        <v>368</v>
      </c>
      <c r="L19" s="63">
        <v>3</v>
      </c>
      <c r="M19" s="63" t="s">
        <v>155</v>
      </c>
      <c r="N19" s="73" t="s">
        <v>377</v>
      </c>
      <c r="O19" s="64" t="s">
        <v>845</v>
      </c>
      <c r="P19" s="72">
        <v>2014</v>
      </c>
      <c r="Q19" s="64" t="s">
        <v>870</v>
      </c>
      <c r="R19" s="66">
        <v>44907.6</v>
      </c>
      <c r="S19" s="74">
        <f>R19</f>
        <v>44907.6</v>
      </c>
      <c r="T19" s="74">
        <f t="shared" si="1"/>
        <v>11045.6</v>
      </c>
      <c r="U19" s="64" t="str">
        <f t="shared" si="2"/>
        <v>Not Cost-Effective</v>
      </c>
      <c r="V19" s="64" t="str">
        <f t="shared" si="3"/>
        <v>Not Cost-Effective</v>
      </c>
      <c r="W19" s="75">
        <f t="shared" si="4"/>
        <v>4.0656551024842464</v>
      </c>
      <c r="X19" s="76">
        <f t="shared" si="5"/>
        <v>0.75</v>
      </c>
      <c r="Y19" s="64" t="str">
        <f t="shared" si="6"/>
        <v>Not Cost-Effective</v>
      </c>
      <c r="Z19" s="76">
        <f t="shared" si="7"/>
        <v>0.45</v>
      </c>
      <c r="AA19" s="64" t="str">
        <f t="shared" si="8"/>
        <v>Not Cost-Effective</v>
      </c>
      <c r="AB19" s="76">
        <f t="shared" si="9"/>
        <v>0.5771973489191532</v>
      </c>
      <c r="AC19" s="64" t="str">
        <f t="shared" si="10"/>
        <v>Not Cost-Effective</v>
      </c>
      <c r="AD19" s="76">
        <f t="shared" si="11"/>
        <v>0.32448707551478878</v>
      </c>
      <c r="AE19" s="64" t="str">
        <f t="shared" si="12"/>
        <v>Not Cost-Effective</v>
      </c>
      <c r="AF19" s="64" t="s">
        <v>161</v>
      </c>
      <c r="AG19" s="64" t="s">
        <v>382</v>
      </c>
      <c r="AH19" s="64" t="s">
        <v>867</v>
      </c>
      <c r="AJ19" s="30" t="s">
        <v>148</v>
      </c>
      <c r="AK19" s="64" t="s">
        <v>868</v>
      </c>
    </row>
    <row r="20" spans="1:37" ht="12.75" customHeight="1">
      <c r="A20" s="40">
        <f t="shared" si="13"/>
        <v>10</v>
      </c>
      <c r="B20" s="40">
        <f t="shared" si="14"/>
        <v>1</v>
      </c>
      <c r="C20" s="51" t="str">
        <f t="shared" si="0"/>
        <v>1001</v>
      </c>
      <c r="D20" s="30" t="s">
        <v>184</v>
      </c>
      <c r="E20" s="33">
        <v>2016</v>
      </c>
      <c r="F20" s="30" t="s">
        <v>430</v>
      </c>
      <c r="G20" s="30" t="s">
        <v>180</v>
      </c>
      <c r="H20" s="30" t="s">
        <v>851</v>
      </c>
      <c r="I20" s="40" t="s">
        <v>166</v>
      </c>
      <c r="J20" s="40" t="s">
        <v>147</v>
      </c>
      <c r="K20" s="49" t="s">
        <v>403</v>
      </c>
      <c r="L20" s="40">
        <v>4</v>
      </c>
      <c r="M20" s="40" t="s">
        <v>148</v>
      </c>
      <c r="N20" s="31" t="s">
        <v>377</v>
      </c>
      <c r="O20" s="30" t="s">
        <v>845</v>
      </c>
      <c r="P20" s="33">
        <v>2014</v>
      </c>
      <c r="Q20" s="30" t="s">
        <v>871</v>
      </c>
      <c r="R20" s="35">
        <v>21438</v>
      </c>
      <c r="S20" s="32">
        <v>21438</v>
      </c>
      <c r="T20" s="32">
        <f t="shared" si="1"/>
        <v>11045.6</v>
      </c>
      <c r="U20" s="30" t="str">
        <f t="shared" si="2"/>
        <v>Not Cost-Effective</v>
      </c>
      <c r="V20" s="30" t="str">
        <f t="shared" si="3"/>
        <v>Cost-Effective</v>
      </c>
      <c r="W20" s="41">
        <f t="shared" si="4"/>
        <v>1.9408633301948286</v>
      </c>
      <c r="X20" s="55">
        <f t="shared" si="5"/>
        <v>0.75</v>
      </c>
      <c r="Y20" s="30" t="str">
        <f t="shared" si="6"/>
        <v>Not Cost-Effective</v>
      </c>
      <c r="Z20" s="55">
        <f t="shared" si="7"/>
        <v>0.45</v>
      </c>
      <c r="AA20" s="30" t="str">
        <f t="shared" si="8"/>
        <v>Not Cost-Effective</v>
      </c>
      <c r="AB20" s="55">
        <f t="shared" si="9"/>
        <v>0.5771973489191532</v>
      </c>
      <c r="AC20" s="30" t="str">
        <f t="shared" si="10"/>
        <v>Not Cost-Effective</v>
      </c>
      <c r="AD20" s="55">
        <f t="shared" si="11"/>
        <v>0.32448707551478878</v>
      </c>
      <c r="AE20" s="30" t="str">
        <f t="shared" si="12"/>
        <v>Not Cost-Effective</v>
      </c>
      <c r="AF20" s="30" t="s">
        <v>176</v>
      </c>
      <c r="AG20" s="30" t="s">
        <v>371</v>
      </c>
      <c r="AJ20" s="30" t="s">
        <v>148</v>
      </c>
    </row>
    <row r="21" spans="1:37" ht="12.75" customHeight="1">
      <c r="A21" s="40">
        <f t="shared" si="13"/>
        <v>10</v>
      </c>
      <c r="B21" s="40">
        <f t="shared" si="14"/>
        <v>2</v>
      </c>
      <c r="C21" s="51" t="str">
        <f t="shared" si="0"/>
        <v>1002</v>
      </c>
      <c r="D21" s="30" t="s">
        <v>184</v>
      </c>
      <c r="E21" s="33">
        <v>2016</v>
      </c>
      <c r="F21" s="30" t="s">
        <v>430</v>
      </c>
      <c r="G21" s="30" t="s">
        <v>180</v>
      </c>
      <c r="H21" s="30" t="s">
        <v>851</v>
      </c>
      <c r="I21" s="40" t="s">
        <v>166</v>
      </c>
      <c r="J21" s="40" t="s">
        <v>147</v>
      </c>
      <c r="K21" s="49" t="s">
        <v>403</v>
      </c>
      <c r="L21" s="40">
        <v>4</v>
      </c>
      <c r="M21" s="40" t="s">
        <v>148</v>
      </c>
      <c r="N21" s="31" t="s">
        <v>149</v>
      </c>
      <c r="O21" s="30" t="s">
        <v>845</v>
      </c>
      <c r="P21" s="33">
        <v>2014</v>
      </c>
      <c r="Q21" s="30" t="s">
        <v>872</v>
      </c>
      <c r="R21" s="35">
        <v>20667</v>
      </c>
      <c r="S21" s="32">
        <v>20667</v>
      </c>
      <c r="T21" s="32">
        <f t="shared" si="1"/>
        <v>11045.6</v>
      </c>
      <c r="U21" s="30" t="str">
        <f t="shared" si="2"/>
        <v>Not Cost-Effective</v>
      </c>
      <c r="V21" s="30" t="str">
        <f t="shared" si="3"/>
        <v>Cost-Effective</v>
      </c>
      <c r="W21" s="41">
        <f t="shared" si="4"/>
        <v>1.8710617802563916</v>
      </c>
      <c r="X21" s="55">
        <f t="shared" si="5"/>
        <v>0.75</v>
      </c>
      <c r="Y21" s="30" t="str">
        <f t="shared" si="6"/>
        <v>Not Cost-Effective</v>
      </c>
      <c r="Z21" s="55">
        <f t="shared" si="7"/>
        <v>0.45</v>
      </c>
      <c r="AA21" s="30" t="str">
        <f t="shared" si="8"/>
        <v>Not Cost-Effective</v>
      </c>
      <c r="AB21" s="55">
        <f t="shared" si="9"/>
        <v>0.5771973489191532</v>
      </c>
      <c r="AC21" s="30" t="str">
        <f t="shared" si="10"/>
        <v>Not Cost-Effective</v>
      </c>
      <c r="AD21" s="55">
        <f t="shared" si="11"/>
        <v>0.32448707551478878</v>
      </c>
      <c r="AE21" s="30" t="str">
        <f t="shared" si="12"/>
        <v>Not Cost-Effective</v>
      </c>
      <c r="AF21" s="30" t="s">
        <v>176</v>
      </c>
      <c r="AG21" s="30" t="s">
        <v>371</v>
      </c>
      <c r="AJ21" s="30" t="s">
        <v>148</v>
      </c>
    </row>
    <row r="22" spans="1:37" ht="12.75" customHeight="1">
      <c r="A22" s="40">
        <f t="shared" si="13"/>
        <v>10</v>
      </c>
      <c r="B22" s="40">
        <f t="shared" si="14"/>
        <v>3</v>
      </c>
      <c r="C22" s="51" t="str">
        <f t="shared" si="0"/>
        <v>1003</v>
      </c>
      <c r="D22" s="30" t="s">
        <v>184</v>
      </c>
      <c r="E22" s="33">
        <v>2016</v>
      </c>
      <c r="F22" s="30" t="s">
        <v>430</v>
      </c>
      <c r="G22" s="30" t="s">
        <v>180</v>
      </c>
      <c r="H22" s="30" t="s">
        <v>853</v>
      </c>
      <c r="I22" s="40" t="s">
        <v>167</v>
      </c>
      <c r="J22" s="40" t="s">
        <v>147</v>
      </c>
      <c r="K22" s="49" t="s">
        <v>403</v>
      </c>
      <c r="L22" s="40">
        <v>4</v>
      </c>
      <c r="M22" s="40" t="s">
        <v>148</v>
      </c>
      <c r="N22" s="31" t="s">
        <v>377</v>
      </c>
      <c r="O22" s="30" t="s">
        <v>845</v>
      </c>
      <c r="P22" s="33">
        <v>2014</v>
      </c>
      <c r="Q22" s="30" t="s">
        <v>873</v>
      </c>
      <c r="R22" s="35">
        <v>6389</v>
      </c>
      <c r="S22" s="32">
        <v>6389</v>
      </c>
      <c r="T22" s="32">
        <f t="shared" si="1"/>
        <v>11045.6</v>
      </c>
      <c r="U22" s="30" t="str">
        <f t="shared" si="2"/>
        <v>Cost-Effective</v>
      </c>
      <c r="V22" s="30" t="str">
        <f t="shared" si="3"/>
        <v>Cost-Effective</v>
      </c>
      <c r="W22" s="41">
        <f t="shared" si="4"/>
        <v>0.57842036648077055</v>
      </c>
      <c r="X22" s="55">
        <f t="shared" si="5"/>
        <v>0.75</v>
      </c>
      <c r="Y22" s="30" t="str">
        <f t="shared" si="6"/>
        <v>Cost-Effective</v>
      </c>
      <c r="Z22" s="55">
        <f t="shared" si="7"/>
        <v>0.45</v>
      </c>
      <c r="AA22" s="30" t="str">
        <f t="shared" si="8"/>
        <v>Not Cost-Effective</v>
      </c>
      <c r="AB22" s="55">
        <f t="shared" si="9"/>
        <v>0.5771973489191532</v>
      </c>
      <c r="AC22" s="30" t="str">
        <f t="shared" si="10"/>
        <v>Not Cost-Effective</v>
      </c>
      <c r="AD22" s="55">
        <f t="shared" si="11"/>
        <v>0.32448707551478878</v>
      </c>
      <c r="AE22" s="30" t="str">
        <f t="shared" si="12"/>
        <v>Not Cost-Effective</v>
      </c>
      <c r="AF22" s="30" t="s">
        <v>176</v>
      </c>
      <c r="AG22" s="30" t="s">
        <v>382</v>
      </c>
      <c r="AJ22" s="30" t="s">
        <v>148</v>
      </c>
    </row>
    <row r="23" spans="1:37" ht="12.75" customHeight="1">
      <c r="A23" s="40">
        <f t="shared" si="13"/>
        <v>10</v>
      </c>
      <c r="B23" s="40">
        <f t="shared" si="14"/>
        <v>4</v>
      </c>
      <c r="C23" s="51" t="str">
        <f t="shared" si="0"/>
        <v>1004</v>
      </c>
      <c r="D23" s="30" t="s">
        <v>184</v>
      </c>
      <c r="E23" s="33">
        <v>2016</v>
      </c>
      <c r="F23" s="30" t="s">
        <v>430</v>
      </c>
      <c r="G23" s="30" t="s">
        <v>180</v>
      </c>
      <c r="H23" s="30" t="s">
        <v>853</v>
      </c>
      <c r="I23" s="40" t="s">
        <v>167</v>
      </c>
      <c r="J23" s="40" t="s">
        <v>147</v>
      </c>
      <c r="K23" s="49" t="s">
        <v>403</v>
      </c>
      <c r="L23" s="40">
        <v>4</v>
      </c>
      <c r="M23" s="40" t="s">
        <v>148</v>
      </c>
      <c r="N23" s="31" t="s">
        <v>149</v>
      </c>
      <c r="O23" s="30" t="s">
        <v>845</v>
      </c>
      <c r="P23" s="33">
        <v>2014</v>
      </c>
      <c r="Q23" s="30" t="s">
        <v>874</v>
      </c>
      <c r="R23" s="35">
        <v>4883</v>
      </c>
      <c r="S23" s="32">
        <v>4883</v>
      </c>
      <c r="T23" s="32">
        <f t="shared" si="1"/>
        <v>11045.6</v>
      </c>
      <c r="U23" s="30" t="str">
        <f t="shared" si="2"/>
        <v>Cost-Effective</v>
      </c>
      <c r="V23" s="30" t="str">
        <f t="shared" si="3"/>
        <v>Cost-Effective</v>
      </c>
      <c r="W23" s="41">
        <f t="shared" si="4"/>
        <v>0.44207648294343449</v>
      </c>
      <c r="X23" s="55">
        <f t="shared" si="5"/>
        <v>0.75</v>
      </c>
      <c r="Y23" s="30" t="str">
        <f t="shared" si="6"/>
        <v>Cost-Effective</v>
      </c>
      <c r="Z23" s="55">
        <f t="shared" si="7"/>
        <v>0.45</v>
      </c>
      <c r="AA23" s="30" t="str">
        <f t="shared" si="8"/>
        <v>Cost-Effective</v>
      </c>
      <c r="AB23" s="55">
        <f t="shared" si="9"/>
        <v>0.5771973489191532</v>
      </c>
      <c r="AC23" s="30" t="str">
        <f t="shared" si="10"/>
        <v>Cost-Effective</v>
      </c>
      <c r="AD23" s="55">
        <f t="shared" si="11"/>
        <v>0.32448707551478878</v>
      </c>
      <c r="AE23" s="30" t="str">
        <f t="shared" si="12"/>
        <v>Not Cost-Effective</v>
      </c>
      <c r="AF23" s="30" t="s">
        <v>176</v>
      </c>
      <c r="AG23" s="30" t="s">
        <v>382</v>
      </c>
      <c r="AJ23" s="30" t="s">
        <v>148</v>
      </c>
    </row>
    <row r="24" spans="1:37" ht="12.75" customHeight="1">
      <c r="A24" s="40">
        <f t="shared" si="13"/>
        <v>10</v>
      </c>
      <c r="B24" s="40">
        <f t="shared" si="14"/>
        <v>5</v>
      </c>
      <c r="C24" s="51" t="str">
        <f t="shared" si="0"/>
        <v>1005</v>
      </c>
      <c r="D24" s="30" t="s">
        <v>184</v>
      </c>
      <c r="E24" s="33">
        <v>2016</v>
      </c>
      <c r="F24" s="30" t="s">
        <v>430</v>
      </c>
      <c r="G24" s="30" t="s">
        <v>180</v>
      </c>
      <c r="H24" s="30" t="s">
        <v>875</v>
      </c>
      <c r="I24" s="40" t="s">
        <v>167</v>
      </c>
      <c r="J24" s="40" t="s">
        <v>166</v>
      </c>
      <c r="K24" s="49" t="s">
        <v>403</v>
      </c>
      <c r="L24" s="40">
        <v>4</v>
      </c>
      <c r="M24" s="40" t="s">
        <v>148</v>
      </c>
      <c r="N24" s="31" t="s">
        <v>377</v>
      </c>
      <c r="O24" s="30" t="s">
        <v>845</v>
      </c>
      <c r="P24" s="33">
        <v>2014</v>
      </c>
      <c r="Q24" s="30" t="s">
        <v>876</v>
      </c>
      <c r="R24" s="121">
        <v>-3059</v>
      </c>
      <c r="S24" s="122">
        <v>-3059</v>
      </c>
      <c r="T24" s="32">
        <f t="shared" si="1"/>
        <v>11045.6</v>
      </c>
      <c r="U24" s="30" t="str">
        <f t="shared" si="2"/>
        <v>Cost-Effective</v>
      </c>
      <c r="V24" s="30" t="str">
        <f t="shared" si="3"/>
        <v>Cost-Effective</v>
      </c>
      <c r="W24" s="41">
        <f t="shared" si="4"/>
        <v>-0.27694285507351341</v>
      </c>
      <c r="X24" s="55">
        <f t="shared" si="5"/>
        <v>0.75</v>
      </c>
      <c r="Y24" s="30" t="str">
        <f t="shared" si="6"/>
        <v>Cost-Effective</v>
      </c>
      <c r="Z24" s="55">
        <f t="shared" si="7"/>
        <v>0.45</v>
      </c>
      <c r="AA24" s="30" t="str">
        <f t="shared" si="8"/>
        <v>Cost-Effective</v>
      </c>
      <c r="AB24" s="55">
        <f t="shared" si="9"/>
        <v>0.5771973489191532</v>
      </c>
      <c r="AC24" s="30" t="str">
        <f t="shared" si="10"/>
        <v>Cost-Effective</v>
      </c>
      <c r="AD24" s="55">
        <f t="shared" si="11"/>
        <v>0.32448707551478878</v>
      </c>
      <c r="AE24" s="30" t="str">
        <f t="shared" si="12"/>
        <v>Cost-Effective</v>
      </c>
      <c r="AF24" s="30" t="s">
        <v>176</v>
      </c>
      <c r="AG24" s="30" t="s">
        <v>439</v>
      </c>
      <c r="AJ24" s="30" t="s">
        <v>148</v>
      </c>
    </row>
    <row r="25" spans="1:37" ht="12.75" customHeight="1">
      <c r="A25" s="40">
        <f t="shared" si="13"/>
        <v>10</v>
      </c>
      <c r="B25" s="40">
        <f t="shared" si="14"/>
        <v>6</v>
      </c>
      <c r="C25" s="51" t="str">
        <f t="shared" si="0"/>
        <v>1006</v>
      </c>
      <c r="D25" s="30" t="s">
        <v>184</v>
      </c>
      <c r="E25" s="33">
        <v>2016</v>
      </c>
      <c r="F25" s="30" t="s">
        <v>430</v>
      </c>
      <c r="G25" s="30" t="s">
        <v>180</v>
      </c>
      <c r="H25" s="30" t="s">
        <v>875</v>
      </c>
      <c r="I25" s="40" t="s">
        <v>167</v>
      </c>
      <c r="J25" s="40" t="s">
        <v>166</v>
      </c>
      <c r="K25" s="49" t="s">
        <v>403</v>
      </c>
      <c r="L25" s="40">
        <v>4</v>
      </c>
      <c r="M25" s="40" t="s">
        <v>148</v>
      </c>
      <c r="N25" s="31" t="s">
        <v>149</v>
      </c>
      <c r="O25" s="30" t="s">
        <v>845</v>
      </c>
      <c r="P25" s="33">
        <v>2014</v>
      </c>
      <c r="Q25" s="30" t="s">
        <v>877</v>
      </c>
      <c r="R25" s="121">
        <v>-5027</v>
      </c>
      <c r="S25" s="122">
        <v>-5027</v>
      </c>
      <c r="T25" s="32">
        <f t="shared" si="1"/>
        <v>11045.6</v>
      </c>
      <c r="U25" s="30" t="str">
        <f t="shared" si="2"/>
        <v>Cost-Effective</v>
      </c>
      <c r="V25" s="30" t="str">
        <f t="shared" si="3"/>
        <v>Cost-Effective</v>
      </c>
      <c r="W25" s="41">
        <f t="shared" si="4"/>
        <v>-0.45511334830158612</v>
      </c>
      <c r="X25" s="55">
        <f t="shared" si="5"/>
        <v>0.75</v>
      </c>
      <c r="Y25" s="30" t="str">
        <f t="shared" si="6"/>
        <v>Cost-Effective</v>
      </c>
      <c r="Z25" s="55">
        <f t="shared" si="7"/>
        <v>0.45</v>
      </c>
      <c r="AA25" s="30" t="str">
        <f t="shared" si="8"/>
        <v>Cost-Effective</v>
      </c>
      <c r="AB25" s="55">
        <f t="shared" si="9"/>
        <v>0.5771973489191532</v>
      </c>
      <c r="AC25" s="30" t="str">
        <f t="shared" si="10"/>
        <v>Cost-Effective</v>
      </c>
      <c r="AD25" s="55">
        <f t="shared" si="11"/>
        <v>0.32448707551478878</v>
      </c>
      <c r="AE25" s="30" t="str">
        <f t="shared" si="12"/>
        <v>Cost-Effective</v>
      </c>
      <c r="AF25" s="30" t="s">
        <v>176</v>
      </c>
      <c r="AG25" s="30" t="s">
        <v>439</v>
      </c>
      <c r="AJ25" s="30" t="s">
        <v>148</v>
      </c>
    </row>
    <row r="26" spans="1:37" ht="12.75" customHeight="1">
      <c r="A26" s="40">
        <f t="shared" si="13"/>
        <v>10</v>
      </c>
      <c r="B26" s="40">
        <f t="shared" si="14"/>
        <v>7</v>
      </c>
      <c r="C26" s="51" t="str">
        <f t="shared" si="0"/>
        <v>1007</v>
      </c>
      <c r="D26" s="30" t="s">
        <v>184</v>
      </c>
      <c r="E26" s="33">
        <v>2016</v>
      </c>
      <c r="F26" s="30" t="s">
        <v>430</v>
      </c>
      <c r="G26" s="30" t="s">
        <v>180</v>
      </c>
      <c r="H26" s="30" t="s">
        <v>853</v>
      </c>
      <c r="I26" s="40" t="s">
        <v>167</v>
      </c>
      <c r="J26" s="40" t="s">
        <v>147</v>
      </c>
      <c r="K26" s="49" t="s">
        <v>403</v>
      </c>
      <c r="L26" s="40">
        <v>4</v>
      </c>
      <c r="M26" s="40" t="s">
        <v>155</v>
      </c>
      <c r="N26" s="31" t="s">
        <v>377</v>
      </c>
      <c r="O26" s="30" t="s">
        <v>845</v>
      </c>
      <c r="P26" s="33">
        <v>2014</v>
      </c>
      <c r="Q26" s="30" t="s">
        <v>878</v>
      </c>
      <c r="R26" s="35">
        <v>15752</v>
      </c>
      <c r="S26" s="32">
        <v>15752</v>
      </c>
      <c r="T26" s="32">
        <f t="shared" si="1"/>
        <v>11045.6</v>
      </c>
      <c r="U26" s="30" t="str">
        <f t="shared" si="2"/>
        <v>Not Cost-Effective</v>
      </c>
      <c r="V26" s="30" t="str">
        <f t="shared" si="3"/>
        <v>Cost-Effective</v>
      </c>
      <c r="W26" s="41">
        <f t="shared" si="4"/>
        <v>1.4260882161222568</v>
      </c>
      <c r="X26" s="55">
        <f t="shared" si="5"/>
        <v>0.75</v>
      </c>
      <c r="Y26" s="30" t="str">
        <f t="shared" si="6"/>
        <v>Not Cost-Effective</v>
      </c>
      <c r="Z26" s="55">
        <f t="shared" si="7"/>
        <v>0.45</v>
      </c>
      <c r="AA26" s="30" t="str">
        <f t="shared" si="8"/>
        <v>Not Cost-Effective</v>
      </c>
      <c r="AB26" s="55">
        <f t="shared" si="9"/>
        <v>0.5771973489191532</v>
      </c>
      <c r="AC26" s="30" t="str">
        <f t="shared" si="10"/>
        <v>Not Cost-Effective</v>
      </c>
      <c r="AD26" s="55">
        <f t="shared" si="11"/>
        <v>0.32448707551478878</v>
      </c>
      <c r="AE26" s="30" t="str">
        <f t="shared" si="12"/>
        <v>Not Cost-Effective</v>
      </c>
      <c r="AF26" s="30" t="s">
        <v>176</v>
      </c>
      <c r="AG26" s="30" t="s">
        <v>371</v>
      </c>
      <c r="AJ26" s="30" t="s">
        <v>148</v>
      </c>
    </row>
    <row r="27" spans="1:37" ht="12.75" customHeight="1">
      <c r="A27" s="40">
        <f t="shared" si="13"/>
        <v>10</v>
      </c>
      <c r="B27" s="40">
        <f t="shared" si="14"/>
        <v>8</v>
      </c>
      <c r="C27" s="51" t="str">
        <f t="shared" si="0"/>
        <v>1008</v>
      </c>
      <c r="D27" s="30" t="s">
        <v>184</v>
      </c>
      <c r="E27" s="33">
        <v>2016</v>
      </c>
      <c r="F27" s="30" t="s">
        <v>430</v>
      </c>
      <c r="G27" s="30" t="s">
        <v>180</v>
      </c>
      <c r="H27" s="30" t="s">
        <v>853</v>
      </c>
      <c r="I27" s="40" t="s">
        <v>167</v>
      </c>
      <c r="J27" s="40" t="s">
        <v>147</v>
      </c>
      <c r="K27" s="49" t="s">
        <v>403</v>
      </c>
      <c r="L27" s="40">
        <v>4</v>
      </c>
      <c r="M27" s="40" t="s">
        <v>155</v>
      </c>
      <c r="N27" s="31" t="s">
        <v>149</v>
      </c>
      <c r="O27" s="30" t="s">
        <v>845</v>
      </c>
      <c r="P27" s="33">
        <v>2014</v>
      </c>
      <c r="Q27" s="30" t="s">
        <v>879</v>
      </c>
      <c r="R27" s="35">
        <v>14981</v>
      </c>
      <c r="S27" s="32">
        <v>14981</v>
      </c>
      <c r="T27" s="32">
        <f t="shared" si="1"/>
        <v>11045.6</v>
      </c>
      <c r="U27" s="30" t="str">
        <f t="shared" si="2"/>
        <v>Not Cost-Effective</v>
      </c>
      <c r="V27" s="30" t="str">
        <f t="shared" si="3"/>
        <v>Cost-Effective</v>
      </c>
      <c r="W27" s="41">
        <f t="shared" si="4"/>
        <v>1.3562866661838198</v>
      </c>
      <c r="X27" s="55">
        <f t="shared" si="5"/>
        <v>0.75</v>
      </c>
      <c r="Y27" s="30" t="str">
        <f t="shared" si="6"/>
        <v>Not Cost-Effective</v>
      </c>
      <c r="Z27" s="55">
        <f t="shared" si="7"/>
        <v>0.45</v>
      </c>
      <c r="AA27" s="30" t="str">
        <f t="shared" si="8"/>
        <v>Not Cost-Effective</v>
      </c>
      <c r="AB27" s="55">
        <f t="shared" si="9"/>
        <v>0.5771973489191532</v>
      </c>
      <c r="AC27" s="30" t="str">
        <f t="shared" si="10"/>
        <v>Not Cost-Effective</v>
      </c>
      <c r="AD27" s="55">
        <f t="shared" si="11"/>
        <v>0.32448707551478878</v>
      </c>
      <c r="AE27" s="30" t="str">
        <f t="shared" si="12"/>
        <v>Not Cost-Effective</v>
      </c>
      <c r="AF27" s="30" t="s">
        <v>176</v>
      </c>
      <c r="AG27" s="30" t="s">
        <v>371</v>
      </c>
      <c r="AJ27" s="30" t="s">
        <v>148</v>
      </c>
    </row>
    <row r="28" spans="1:37" ht="12.75" customHeight="1">
      <c r="A28" s="40">
        <f t="shared" si="13"/>
        <v>11</v>
      </c>
      <c r="B28" s="40">
        <f t="shared" si="14"/>
        <v>1</v>
      </c>
      <c r="C28" s="51" t="str">
        <f t="shared" si="0"/>
        <v>1101</v>
      </c>
      <c r="D28" s="30" t="s">
        <v>187</v>
      </c>
      <c r="E28" s="33">
        <v>2019</v>
      </c>
      <c r="F28" s="30" t="s">
        <v>443</v>
      </c>
      <c r="G28" s="30" t="s">
        <v>189</v>
      </c>
      <c r="H28" s="30" t="s">
        <v>853</v>
      </c>
      <c r="I28" s="40" t="s">
        <v>167</v>
      </c>
      <c r="J28" s="40" t="s">
        <v>147</v>
      </c>
      <c r="K28" s="49" t="s">
        <v>368</v>
      </c>
      <c r="L28" s="40">
        <v>3</v>
      </c>
      <c r="M28" s="40" t="s">
        <v>155</v>
      </c>
      <c r="N28" s="30" t="s">
        <v>377</v>
      </c>
      <c r="O28" s="30" t="s">
        <v>845</v>
      </c>
      <c r="P28" s="33">
        <v>2017</v>
      </c>
      <c r="Q28" s="30" t="s">
        <v>880</v>
      </c>
      <c r="R28" s="35">
        <v>467</v>
      </c>
      <c r="S28" s="32">
        <v>467</v>
      </c>
      <c r="T28" s="32">
        <f t="shared" si="1"/>
        <v>1958</v>
      </c>
      <c r="U28" s="30" t="str">
        <f t="shared" si="2"/>
        <v>Cost-Effective</v>
      </c>
      <c r="V28" s="30" t="str">
        <f t="shared" si="3"/>
        <v>Cost-Effective</v>
      </c>
      <c r="W28" s="41">
        <f t="shared" si="4"/>
        <v>0.23850868232890704</v>
      </c>
      <c r="X28" s="55">
        <f t="shared" si="5"/>
        <v>0.23</v>
      </c>
      <c r="Y28" s="30" t="str">
        <f t="shared" si="6"/>
        <v>Not Cost-Effective</v>
      </c>
      <c r="Z28" s="55">
        <f t="shared" si="7"/>
        <v>0.17</v>
      </c>
      <c r="AA28" s="30" t="str">
        <f t="shared" si="8"/>
        <v>Not Cost-Effective</v>
      </c>
      <c r="AB28" s="55">
        <f t="shared" si="9"/>
        <v>0.53542869063347476</v>
      </c>
      <c r="AC28" s="30" t="str">
        <f t="shared" si="10"/>
        <v>Cost-Effective</v>
      </c>
      <c r="AD28" s="55">
        <f t="shared" si="11"/>
        <v>7.9966622627077405E-2</v>
      </c>
      <c r="AE28" s="30" t="str">
        <f t="shared" si="12"/>
        <v>Not Cost-Effective</v>
      </c>
      <c r="AF28" s="30" t="s">
        <v>176</v>
      </c>
      <c r="AG28" s="30" t="s">
        <v>382</v>
      </c>
      <c r="AJ28" s="30" t="s">
        <v>148</v>
      </c>
    </row>
    <row r="29" spans="1:37" ht="12.75" customHeight="1">
      <c r="A29" s="40">
        <f t="shared" si="13"/>
        <v>12</v>
      </c>
      <c r="B29" s="40">
        <f t="shared" si="14"/>
        <v>1</v>
      </c>
      <c r="C29" s="51" t="str">
        <f t="shared" si="0"/>
        <v>1201</v>
      </c>
      <c r="D29" s="30" t="s">
        <v>191</v>
      </c>
      <c r="E29" s="33">
        <v>2019</v>
      </c>
      <c r="F29" s="30" t="s">
        <v>447</v>
      </c>
      <c r="G29" s="30" t="s">
        <v>193</v>
      </c>
      <c r="H29" s="30" t="s">
        <v>851</v>
      </c>
      <c r="I29" s="40" t="s">
        <v>166</v>
      </c>
      <c r="J29" s="40" t="s">
        <v>147</v>
      </c>
      <c r="K29" s="49" t="s">
        <v>403</v>
      </c>
      <c r="L29" s="40">
        <v>4</v>
      </c>
      <c r="M29" s="40" t="s">
        <v>148</v>
      </c>
      <c r="N29" s="30" t="s">
        <v>149</v>
      </c>
      <c r="O29" s="30" t="s">
        <v>194</v>
      </c>
      <c r="P29" s="33">
        <v>2018</v>
      </c>
      <c r="Q29" s="30" t="s">
        <v>450</v>
      </c>
      <c r="R29" s="35">
        <v>-46918</v>
      </c>
      <c r="S29" s="32" t="e">
        <f>R29/xRates!$X$194</f>
        <v>#DIV/0!</v>
      </c>
      <c r="T29" s="32">
        <f t="shared" si="1"/>
        <v>7124.6</v>
      </c>
      <c r="U29" s="30" t="e">
        <f t="shared" si="2"/>
        <v>#DIV/0!</v>
      </c>
      <c r="V29" s="30" t="e">
        <f t="shared" si="3"/>
        <v>#DIV/0!</v>
      </c>
      <c r="W29" s="41" t="e">
        <f t="shared" si="4"/>
        <v>#DIV/0!</v>
      </c>
      <c r="X29" s="55">
        <f t="shared" si="5"/>
        <v>1.1200000000000001</v>
      </c>
      <c r="Y29" s="30" t="e">
        <f t="shared" si="6"/>
        <v>#DIV/0!</v>
      </c>
      <c r="Z29" s="55">
        <f t="shared" si="7"/>
        <v>0.7</v>
      </c>
      <c r="AA29" s="30" t="e">
        <f t="shared" si="8"/>
        <v>#DIV/0!</v>
      </c>
      <c r="AB29" s="55">
        <f t="shared" si="9"/>
        <v>0.65269570111403552</v>
      </c>
      <c r="AC29" s="30" t="e">
        <f t="shared" si="10"/>
        <v>#DIV/0!</v>
      </c>
      <c r="AD29" s="55">
        <f t="shared" si="11"/>
        <v>0.19549419807650922</v>
      </c>
      <c r="AE29" s="30" t="e">
        <f t="shared" si="12"/>
        <v>#DIV/0!</v>
      </c>
      <c r="AF29" s="30" t="s">
        <v>195</v>
      </c>
      <c r="AG29" s="30" t="s">
        <v>439</v>
      </c>
      <c r="AH29" s="30" t="s">
        <v>451</v>
      </c>
      <c r="AJ29" s="30" t="s">
        <v>148</v>
      </c>
    </row>
    <row r="30" spans="1:37" ht="12.75" customHeight="1">
      <c r="A30" s="40">
        <f t="shared" si="13"/>
        <v>12</v>
      </c>
      <c r="B30" s="40">
        <f t="shared" si="14"/>
        <v>2</v>
      </c>
      <c r="C30" s="51" t="str">
        <f t="shared" si="0"/>
        <v>1202</v>
      </c>
      <c r="D30" s="30" t="s">
        <v>191</v>
      </c>
      <c r="E30" s="33">
        <v>2019</v>
      </c>
      <c r="F30" s="30" t="s">
        <v>447</v>
      </c>
      <c r="G30" s="30" t="s">
        <v>193</v>
      </c>
      <c r="H30" s="30" t="s">
        <v>851</v>
      </c>
      <c r="I30" s="40" t="s">
        <v>166</v>
      </c>
      <c r="J30" s="40" t="s">
        <v>147</v>
      </c>
      <c r="K30" s="49" t="s">
        <v>368</v>
      </c>
      <c r="L30" s="40">
        <v>3</v>
      </c>
      <c r="M30" s="40" t="s">
        <v>148</v>
      </c>
      <c r="N30" s="30" t="s">
        <v>149</v>
      </c>
      <c r="O30" s="30" t="s">
        <v>194</v>
      </c>
      <c r="P30" s="33">
        <v>2018</v>
      </c>
      <c r="Q30" s="30" t="s">
        <v>452</v>
      </c>
      <c r="R30" s="35">
        <v>-70854</v>
      </c>
      <c r="S30" s="32" t="e">
        <f>R30/xRates!$X$194</f>
        <v>#DIV/0!</v>
      </c>
      <c r="T30" s="32">
        <f t="shared" si="1"/>
        <v>7124.6</v>
      </c>
      <c r="U30" s="30" t="e">
        <f t="shared" si="2"/>
        <v>#DIV/0!</v>
      </c>
      <c r="V30" s="30" t="e">
        <f t="shared" si="3"/>
        <v>#DIV/0!</v>
      </c>
      <c r="W30" s="41" t="e">
        <f t="shared" si="4"/>
        <v>#DIV/0!</v>
      </c>
      <c r="X30" s="55">
        <f t="shared" si="5"/>
        <v>1.1200000000000001</v>
      </c>
      <c r="Y30" s="30" t="e">
        <f t="shared" si="6"/>
        <v>#DIV/0!</v>
      </c>
      <c r="Z30" s="55">
        <f t="shared" si="7"/>
        <v>0.7</v>
      </c>
      <c r="AA30" s="30" t="e">
        <f t="shared" si="8"/>
        <v>#DIV/0!</v>
      </c>
      <c r="AB30" s="55">
        <f t="shared" si="9"/>
        <v>0.65269570111403552</v>
      </c>
      <c r="AC30" s="30" t="e">
        <f t="shared" si="10"/>
        <v>#DIV/0!</v>
      </c>
      <c r="AD30" s="55">
        <f t="shared" si="11"/>
        <v>0.19549419807650922</v>
      </c>
      <c r="AE30" s="30" t="e">
        <f t="shared" si="12"/>
        <v>#DIV/0!</v>
      </c>
      <c r="AF30" s="30" t="s">
        <v>195</v>
      </c>
      <c r="AG30" s="30" t="s">
        <v>439</v>
      </c>
      <c r="AJ30" s="30" t="s">
        <v>148</v>
      </c>
    </row>
    <row r="31" spans="1:37" ht="12.75" customHeight="1">
      <c r="A31" s="40">
        <f t="shared" si="13"/>
        <v>12</v>
      </c>
      <c r="B31" s="40">
        <f t="shared" si="14"/>
        <v>3</v>
      </c>
      <c r="C31" s="51" t="str">
        <f t="shared" si="0"/>
        <v>1203</v>
      </c>
      <c r="D31" s="30" t="s">
        <v>191</v>
      </c>
      <c r="E31" s="33">
        <v>2019</v>
      </c>
      <c r="F31" s="30" t="s">
        <v>447</v>
      </c>
      <c r="G31" s="30" t="s">
        <v>193</v>
      </c>
      <c r="H31" s="30" t="s">
        <v>853</v>
      </c>
      <c r="I31" s="40" t="s">
        <v>167</v>
      </c>
      <c r="J31" s="40" t="s">
        <v>147</v>
      </c>
      <c r="K31" s="49" t="s">
        <v>403</v>
      </c>
      <c r="L31" s="40">
        <v>4</v>
      </c>
      <c r="M31" s="40" t="s">
        <v>148</v>
      </c>
      <c r="N31" s="30" t="s">
        <v>149</v>
      </c>
      <c r="O31" s="30" t="s">
        <v>194</v>
      </c>
      <c r="P31" s="33">
        <v>2018</v>
      </c>
      <c r="Q31" s="30" t="s">
        <v>453</v>
      </c>
      <c r="R31" s="35">
        <v>-84770</v>
      </c>
      <c r="S31" s="32" t="e">
        <f>R31/xRates!$X$194</f>
        <v>#DIV/0!</v>
      </c>
      <c r="T31" s="32">
        <f t="shared" si="1"/>
        <v>7124.6</v>
      </c>
      <c r="U31" s="30" t="e">
        <f t="shared" si="2"/>
        <v>#DIV/0!</v>
      </c>
      <c r="V31" s="30" t="e">
        <f t="shared" si="3"/>
        <v>#DIV/0!</v>
      </c>
      <c r="W31" s="41" t="e">
        <f t="shared" si="4"/>
        <v>#DIV/0!</v>
      </c>
      <c r="X31" s="55">
        <f t="shared" si="5"/>
        <v>1.1200000000000001</v>
      </c>
      <c r="Y31" s="30" t="e">
        <f t="shared" si="6"/>
        <v>#DIV/0!</v>
      </c>
      <c r="Z31" s="55">
        <f t="shared" si="7"/>
        <v>0.7</v>
      </c>
      <c r="AA31" s="30" t="e">
        <f t="shared" si="8"/>
        <v>#DIV/0!</v>
      </c>
      <c r="AB31" s="55">
        <f t="shared" si="9"/>
        <v>0.65269570111403552</v>
      </c>
      <c r="AC31" s="30" t="e">
        <f t="shared" si="10"/>
        <v>#DIV/0!</v>
      </c>
      <c r="AD31" s="55">
        <f t="shared" si="11"/>
        <v>0.19549419807650922</v>
      </c>
      <c r="AE31" s="30" t="e">
        <f t="shared" si="12"/>
        <v>#DIV/0!</v>
      </c>
      <c r="AF31" s="30" t="s">
        <v>195</v>
      </c>
      <c r="AG31" s="30" t="s">
        <v>439</v>
      </c>
      <c r="AJ31" s="30" t="s">
        <v>148</v>
      </c>
    </row>
    <row r="32" spans="1:37" ht="12.75" customHeight="1">
      <c r="A32" s="40">
        <f t="shared" si="13"/>
        <v>12</v>
      </c>
      <c r="B32" s="40">
        <f t="shared" si="14"/>
        <v>4</v>
      </c>
      <c r="C32" s="51" t="str">
        <f t="shared" si="0"/>
        <v>1204</v>
      </c>
      <c r="D32" s="30" t="s">
        <v>191</v>
      </c>
      <c r="E32" s="33">
        <v>2019</v>
      </c>
      <c r="F32" s="30" t="s">
        <v>447</v>
      </c>
      <c r="G32" s="30" t="s">
        <v>193</v>
      </c>
      <c r="H32" s="30" t="s">
        <v>853</v>
      </c>
      <c r="I32" s="40" t="s">
        <v>167</v>
      </c>
      <c r="J32" s="40" t="s">
        <v>147</v>
      </c>
      <c r="K32" s="49" t="s">
        <v>368</v>
      </c>
      <c r="L32" s="40">
        <v>3</v>
      </c>
      <c r="M32" s="40" t="s">
        <v>148</v>
      </c>
      <c r="N32" s="30" t="s">
        <v>149</v>
      </c>
      <c r="O32" s="30" t="s">
        <v>194</v>
      </c>
      <c r="P32" s="33">
        <v>2018</v>
      </c>
      <c r="Q32" s="30" t="s">
        <v>454</v>
      </c>
      <c r="R32" s="35">
        <v>-99394</v>
      </c>
      <c r="S32" s="32" t="e">
        <f>R32/xRates!$X$194</f>
        <v>#DIV/0!</v>
      </c>
      <c r="T32" s="32">
        <f t="shared" si="1"/>
        <v>7124.6</v>
      </c>
      <c r="U32" s="30" t="e">
        <f t="shared" si="2"/>
        <v>#DIV/0!</v>
      </c>
      <c r="V32" s="30" t="e">
        <f t="shared" si="3"/>
        <v>#DIV/0!</v>
      </c>
      <c r="W32" s="41" t="e">
        <f t="shared" si="4"/>
        <v>#DIV/0!</v>
      </c>
      <c r="X32" s="55">
        <f t="shared" si="5"/>
        <v>1.1200000000000001</v>
      </c>
      <c r="Y32" s="30" t="e">
        <f t="shared" si="6"/>
        <v>#DIV/0!</v>
      </c>
      <c r="Z32" s="55">
        <f t="shared" si="7"/>
        <v>0.7</v>
      </c>
      <c r="AA32" s="30" t="e">
        <f t="shared" si="8"/>
        <v>#DIV/0!</v>
      </c>
      <c r="AB32" s="55">
        <f t="shared" si="9"/>
        <v>0.65269570111403552</v>
      </c>
      <c r="AC32" s="30" t="e">
        <f t="shared" si="10"/>
        <v>#DIV/0!</v>
      </c>
      <c r="AD32" s="55">
        <f t="shared" si="11"/>
        <v>0.19549419807650922</v>
      </c>
      <c r="AE32" s="30" t="e">
        <f t="shared" si="12"/>
        <v>#DIV/0!</v>
      </c>
      <c r="AF32" s="30" t="s">
        <v>195</v>
      </c>
      <c r="AG32" s="30" t="s">
        <v>439</v>
      </c>
      <c r="AJ32" s="30" t="s">
        <v>148</v>
      </c>
    </row>
    <row r="33" spans="1:36" ht="12.75" customHeight="1">
      <c r="A33" s="40">
        <f t="shared" si="13"/>
        <v>12</v>
      </c>
      <c r="B33" s="40">
        <f t="shared" si="14"/>
        <v>5</v>
      </c>
      <c r="C33" s="51" t="str">
        <f t="shared" si="0"/>
        <v>1205</v>
      </c>
      <c r="D33" s="30" t="s">
        <v>191</v>
      </c>
      <c r="E33" s="33">
        <v>2019</v>
      </c>
      <c r="F33" s="30" t="s">
        <v>447</v>
      </c>
      <c r="G33" s="30" t="s">
        <v>193</v>
      </c>
      <c r="H33" s="30" t="s">
        <v>851</v>
      </c>
      <c r="I33" s="40" t="s">
        <v>166</v>
      </c>
      <c r="J33" s="40" t="s">
        <v>147</v>
      </c>
      <c r="K33" s="49" t="s">
        <v>403</v>
      </c>
      <c r="L33" s="40">
        <v>4</v>
      </c>
      <c r="M33" s="40" t="s">
        <v>155</v>
      </c>
      <c r="N33" s="30" t="s">
        <v>149</v>
      </c>
      <c r="O33" s="30" t="s">
        <v>194</v>
      </c>
      <c r="P33" s="33">
        <v>2018</v>
      </c>
      <c r="Q33" s="30" t="s">
        <v>455</v>
      </c>
      <c r="R33" s="35">
        <v>215948</v>
      </c>
      <c r="S33" s="32" t="e">
        <f>R33/xRates!$X$194</f>
        <v>#DIV/0!</v>
      </c>
      <c r="T33" s="32">
        <f t="shared" si="1"/>
        <v>7124.6</v>
      </c>
      <c r="U33" s="30" t="e">
        <f t="shared" si="2"/>
        <v>#DIV/0!</v>
      </c>
      <c r="V33" s="30" t="e">
        <f t="shared" si="3"/>
        <v>#DIV/0!</v>
      </c>
      <c r="W33" s="41" t="e">
        <f t="shared" si="4"/>
        <v>#DIV/0!</v>
      </c>
      <c r="X33" s="55">
        <f t="shared" si="5"/>
        <v>1.1200000000000001</v>
      </c>
      <c r="Y33" s="30" t="e">
        <f t="shared" si="6"/>
        <v>#DIV/0!</v>
      </c>
      <c r="Z33" s="55">
        <f t="shared" si="7"/>
        <v>0.7</v>
      </c>
      <c r="AA33" s="30" t="e">
        <f t="shared" si="8"/>
        <v>#DIV/0!</v>
      </c>
      <c r="AB33" s="55">
        <f t="shared" si="9"/>
        <v>0.65269570111403552</v>
      </c>
      <c r="AC33" s="30" t="e">
        <f t="shared" si="10"/>
        <v>#DIV/0!</v>
      </c>
      <c r="AD33" s="55">
        <f t="shared" si="11"/>
        <v>0.19549419807650922</v>
      </c>
      <c r="AE33" s="30" t="e">
        <f t="shared" si="12"/>
        <v>#DIV/0!</v>
      </c>
      <c r="AF33" s="30" t="s">
        <v>195</v>
      </c>
      <c r="AG33" s="30" t="s">
        <v>371</v>
      </c>
      <c r="AJ33" s="30" t="s">
        <v>148</v>
      </c>
    </row>
    <row r="34" spans="1:36" ht="12.75" customHeight="1">
      <c r="A34" s="40">
        <f t="shared" si="13"/>
        <v>12</v>
      </c>
      <c r="B34" s="40">
        <f t="shared" si="14"/>
        <v>6</v>
      </c>
      <c r="C34" s="51" t="str">
        <f t="shared" ref="C34:C65" si="15">_xlfn.CONCAT(TEXT(A34,"00"),TEXT(B34,"00"))</f>
        <v>1206</v>
      </c>
      <c r="D34" s="30" t="s">
        <v>191</v>
      </c>
      <c r="E34" s="33">
        <v>2019</v>
      </c>
      <c r="F34" s="30" t="s">
        <v>447</v>
      </c>
      <c r="G34" s="30" t="s">
        <v>193</v>
      </c>
      <c r="H34" s="30" t="s">
        <v>851</v>
      </c>
      <c r="I34" s="40" t="s">
        <v>166</v>
      </c>
      <c r="J34" s="40" t="s">
        <v>147</v>
      </c>
      <c r="K34" s="49" t="s">
        <v>368</v>
      </c>
      <c r="L34" s="40">
        <v>3</v>
      </c>
      <c r="M34" s="40" t="s">
        <v>155</v>
      </c>
      <c r="N34" s="30" t="s">
        <v>149</v>
      </c>
      <c r="O34" s="30" t="s">
        <v>194</v>
      </c>
      <c r="P34" s="33">
        <v>2018</v>
      </c>
      <c r="Q34" s="30" t="s">
        <v>457</v>
      </c>
      <c r="R34" s="35">
        <v>170437</v>
      </c>
      <c r="S34" s="32" t="e">
        <f>R34/xRates!$X$194</f>
        <v>#DIV/0!</v>
      </c>
      <c r="T34" s="32">
        <f t="shared" ref="T34:T65" si="16">VLOOKUP(G34,gdppc,P34-1958,FALSE)</f>
        <v>7124.6</v>
      </c>
      <c r="U34" s="30" t="e">
        <f t="shared" ref="U34:U65" si="17">IF(S34&lt;T34,"Cost-Effective","Not Cost-Effective")</f>
        <v>#DIV/0!</v>
      </c>
      <c r="V34" s="30" t="e">
        <f t="shared" ref="V34:V65" si="18">IF(S34&lt;T34*3,"Cost-Effective","Not Cost-Effective")</f>
        <v>#DIV/0!</v>
      </c>
      <c r="W34" s="41" t="e">
        <f t="shared" ref="W34:W65" si="19">S34/T34</f>
        <v>#DIV/0!</v>
      </c>
      <c r="X34" s="55">
        <f t="shared" ref="X34:X65" si="20">IFERROR(VLOOKUP(G34,ochalek,11,FALSE),0)</f>
        <v>1.1200000000000001</v>
      </c>
      <c r="Y34" s="30" t="e">
        <f t="shared" ref="Y34:Y65" si="21">IF( W34&lt;X34, "Cost-Effective", IF( W34-X34=W34, "No Threshold", "Not Cost-Effective"))</f>
        <v>#DIV/0!</v>
      </c>
      <c r="Z34" s="55">
        <f t="shared" ref="Z34:Z65" si="22">IFERROR(VLOOKUP(G34,ochalek,10,FALSE),0)</f>
        <v>0.7</v>
      </c>
      <c r="AA34" s="30" t="e">
        <f t="shared" ref="AA34:AA65" si="23">IF( W34&lt;Z34, "Cost-Effective", IF( W34-Z34=W34, "No Threshold", "Not Cost-Effective"))</f>
        <v>#DIV/0!</v>
      </c>
      <c r="AB34" s="55">
        <f t="shared" ref="AB34:AB65" si="24">IFERROR(VLOOKUP(G34,woods,6,FALSE),0)</f>
        <v>0.65269570111403552</v>
      </c>
      <c r="AC34" s="30" t="e">
        <f t="shared" ref="AC34:AC65" si="25">IF( W34&lt;AB34, "Cost-Effective", IF( W34-AB34=W34, "No Threshold", "Not Cost-Effective"))</f>
        <v>#DIV/0!</v>
      </c>
      <c r="AD34" s="55">
        <f t="shared" ref="AD34:AD65" si="26">IFERROR(VLOOKUP(G34,woods,5,FALSE),0)</f>
        <v>0.19549419807650922</v>
      </c>
      <c r="AE34" s="30" t="e">
        <f t="shared" ref="AE34:AE65" si="27">IF( W34&lt;AD34, "Cost-Effective", IF( W34-AD34=W34, "No Threshold", "Not Cost-Effective"))</f>
        <v>#DIV/0!</v>
      </c>
      <c r="AF34" s="30" t="s">
        <v>195</v>
      </c>
      <c r="AG34" s="30" t="s">
        <v>371</v>
      </c>
      <c r="AJ34" s="30" t="s">
        <v>148</v>
      </c>
    </row>
    <row r="35" spans="1:36" ht="12.75" customHeight="1">
      <c r="A35" s="40">
        <f t="shared" ref="A35:A59" si="28">IF(F35=F34,A34,A34+1)</f>
        <v>12</v>
      </c>
      <c r="B35" s="40">
        <f t="shared" ref="B35:B59" si="29">IF(F35=F34,B34+1,1)</f>
        <v>7</v>
      </c>
      <c r="C35" s="51" t="str">
        <f t="shared" si="15"/>
        <v>1207</v>
      </c>
      <c r="D35" s="30" t="s">
        <v>191</v>
      </c>
      <c r="E35" s="33">
        <v>2019</v>
      </c>
      <c r="F35" s="30" t="s">
        <v>447</v>
      </c>
      <c r="G35" s="30" t="s">
        <v>193</v>
      </c>
      <c r="H35" s="30" t="s">
        <v>853</v>
      </c>
      <c r="I35" s="40" t="s">
        <v>167</v>
      </c>
      <c r="J35" s="40" t="s">
        <v>147</v>
      </c>
      <c r="K35" s="49" t="s">
        <v>403</v>
      </c>
      <c r="L35" s="40">
        <v>4</v>
      </c>
      <c r="M35" s="40" t="s">
        <v>155</v>
      </c>
      <c r="N35" s="30" t="s">
        <v>149</v>
      </c>
      <c r="O35" s="30" t="s">
        <v>194</v>
      </c>
      <c r="P35" s="33">
        <v>2018</v>
      </c>
      <c r="Q35" s="30" t="s">
        <v>459</v>
      </c>
      <c r="R35" s="35">
        <v>97269</v>
      </c>
      <c r="S35" s="32" t="e">
        <f>R35/xRates!$X$194</f>
        <v>#DIV/0!</v>
      </c>
      <c r="T35" s="32">
        <f t="shared" si="16"/>
        <v>7124.6</v>
      </c>
      <c r="U35" s="30" t="e">
        <f t="shared" si="17"/>
        <v>#DIV/0!</v>
      </c>
      <c r="V35" s="30" t="e">
        <f t="shared" si="18"/>
        <v>#DIV/0!</v>
      </c>
      <c r="W35" s="41" t="e">
        <f t="shared" si="19"/>
        <v>#DIV/0!</v>
      </c>
      <c r="X35" s="55">
        <f t="shared" si="20"/>
        <v>1.1200000000000001</v>
      </c>
      <c r="Y35" s="30" t="e">
        <f t="shared" si="21"/>
        <v>#DIV/0!</v>
      </c>
      <c r="Z35" s="55">
        <f t="shared" si="22"/>
        <v>0.7</v>
      </c>
      <c r="AA35" s="30" t="e">
        <f t="shared" si="23"/>
        <v>#DIV/0!</v>
      </c>
      <c r="AB35" s="55">
        <f t="shared" si="24"/>
        <v>0.65269570111403552</v>
      </c>
      <c r="AC35" s="30" t="e">
        <f t="shared" si="25"/>
        <v>#DIV/0!</v>
      </c>
      <c r="AD35" s="55">
        <f t="shared" si="26"/>
        <v>0.19549419807650922</v>
      </c>
      <c r="AE35" s="30" t="e">
        <f t="shared" si="27"/>
        <v>#DIV/0!</v>
      </c>
      <c r="AF35" s="30" t="s">
        <v>195</v>
      </c>
      <c r="AG35" s="30" t="s">
        <v>382</v>
      </c>
      <c r="AJ35" s="30" t="s">
        <v>148</v>
      </c>
    </row>
    <row r="36" spans="1:36" ht="12.75" customHeight="1">
      <c r="A36" s="40">
        <f t="shared" si="28"/>
        <v>12</v>
      </c>
      <c r="B36" s="40">
        <f t="shared" si="29"/>
        <v>8</v>
      </c>
      <c r="C36" s="51" t="str">
        <f t="shared" si="15"/>
        <v>1208</v>
      </c>
      <c r="D36" s="30" t="s">
        <v>191</v>
      </c>
      <c r="E36" s="33">
        <v>2019</v>
      </c>
      <c r="F36" s="30" t="s">
        <v>447</v>
      </c>
      <c r="G36" s="30" t="s">
        <v>193</v>
      </c>
      <c r="H36" s="30" t="s">
        <v>853</v>
      </c>
      <c r="I36" s="40" t="s">
        <v>167</v>
      </c>
      <c r="J36" s="40" t="s">
        <v>147</v>
      </c>
      <c r="K36" s="49" t="s">
        <v>368</v>
      </c>
      <c r="L36" s="40">
        <v>3</v>
      </c>
      <c r="M36" s="40" t="s">
        <v>155</v>
      </c>
      <c r="N36" s="30" t="s">
        <v>149</v>
      </c>
      <c r="O36" s="30" t="s">
        <v>194</v>
      </c>
      <c r="P36" s="33">
        <v>2018</v>
      </c>
      <c r="Q36" s="30" t="s">
        <v>461</v>
      </c>
      <c r="R36" s="35">
        <v>73674</v>
      </c>
      <c r="S36" s="32" t="e">
        <f>R36/xRates!$X$194</f>
        <v>#DIV/0!</v>
      </c>
      <c r="T36" s="32">
        <f t="shared" si="16"/>
        <v>7124.6</v>
      </c>
      <c r="U36" s="30" t="e">
        <f t="shared" si="17"/>
        <v>#DIV/0!</v>
      </c>
      <c r="V36" s="30" t="e">
        <f t="shared" si="18"/>
        <v>#DIV/0!</v>
      </c>
      <c r="W36" s="41" t="e">
        <f t="shared" si="19"/>
        <v>#DIV/0!</v>
      </c>
      <c r="X36" s="55">
        <f t="shared" si="20"/>
        <v>1.1200000000000001</v>
      </c>
      <c r="Y36" s="30" t="e">
        <f t="shared" si="21"/>
        <v>#DIV/0!</v>
      </c>
      <c r="Z36" s="55">
        <f t="shared" si="22"/>
        <v>0.7</v>
      </c>
      <c r="AA36" s="30" t="e">
        <f t="shared" si="23"/>
        <v>#DIV/0!</v>
      </c>
      <c r="AB36" s="55">
        <f t="shared" si="24"/>
        <v>0.65269570111403552</v>
      </c>
      <c r="AC36" s="30" t="e">
        <f t="shared" si="25"/>
        <v>#DIV/0!</v>
      </c>
      <c r="AD36" s="55">
        <f t="shared" si="26"/>
        <v>0.19549419807650922</v>
      </c>
      <c r="AE36" s="30" t="e">
        <f t="shared" si="27"/>
        <v>#DIV/0!</v>
      </c>
      <c r="AF36" s="30" t="s">
        <v>195</v>
      </c>
      <c r="AG36" s="30" t="s">
        <v>382</v>
      </c>
      <c r="AJ36" s="30" t="s">
        <v>148</v>
      </c>
    </row>
    <row r="37" spans="1:36" ht="12.75" customHeight="1">
      <c r="A37" s="40">
        <f t="shared" si="28"/>
        <v>13</v>
      </c>
      <c r="B37" s="40">
        <f t="shared" si="29"/>
        <v>1</v>
      </c>
      <c r="C37" s="51" t="str">
        <f t="shared" si="15"/>
        <v>1301</v>
      </c>
      <c r="D37" s="30" t="s">
        <v>196</v>
      </c>
      <c r="E37" s="33">
        <v>2013</v>
      </c>
      <c r="F37" s="30" t="s">
        <v>463</v>
      </c>
      <c r="G37" s="30" t="s">
        <v>193</v>
      </c>
      <c r="H37" s="30" t="s">
        <v>851</v>
      </c>
      <c r="I37" s="40" t="s">
        <v>166</v>
      </c>
      <c r="J37" s="40" t="s">
        <v>147</v>
      </c>
      <c r="K37" s="49" t="s">
        <v>368</v>
      </c>
      <c r="L37" s="40">
        <v>3</v>
      </c>
      <c r="M37" s="40" t="s">
        <v>148</v>
      </c>
      <c r="N37" s="30" t="s">
        <v>149</v>
      </c>
      <c r="O37" s="30" t="s">
        <v>194</v>
      </c>
      <c r="P37" s="33">
        <v>2010</v>
      </c>
      <c r="Q37" s="30" t="s">
        <v>465</v>
      </c>
      <c r="R37" s="35">
        <v>519399</v>
      </c>
      <c r="S37" s="32" t="e">
        <f>R37/xRates!$P$194</f>
        <v>#DIV/0!</v>
      </c>
      <c r="T37" s="32">
        <f t="shared" si="16"/>
        <v>4996.3999999999996</v>
      </c>
      <c r="U37" s="30" t="e">
        <f t="shared" si="17"/>
        <v>#DIV/0!</v>
      </c>
      <c r="V37" s="30" t="e">
        <f t="shared" si="18"/>
        <v>#DIV/0!</v>
      </c>
      <c r="W37" s="41" t="e">
        <f t="shared" si="19"/>
        <v>#DIV/0!</v>
      </c>
      <c r="X37" s="55">
        <f t="shared" si="20"/>
        <v>1.1200000000000001</v>
      </c>
      <c r="Y37" s="30" t="e">
        <f t="shared" si="21"/>
        <v>#DIV/0!</v>
      </c>
      <c r="Z37" s="55">
        <f t="shared" si="22"/>
        <v>0.7</v>
      </c>
      <c r="AA37" s="30" t="e">
        <f t="shared" si="23"/>
        <v>#DIV/0!</v>
      </c>
      <c r="AB37" s="55">
        <f t="shared" si="24"/>
        <v>0.65269570111403552</v>
      </c>
      <c r="AC37" s="30" t="e">
        <f t="shared" si="25"/>
        <v>#DIV/0!</v>
      </c>
      <c r="AD37" s="55">
        <f t="shared" si="26"/>
        <v>0.19549419807650922</v>
      </c>
      <c r="AE37" s="30" t="e">
        <f t="shared" si="27"/>
        <v>#DIV/0!</v>
      </c>
      <c r="AF37" s="30" t="s">
        <v>198</v>
      </c>
      <c r="AG37" s="30" t="s">
        <v>371</v>
      </c>
      <c r="AJ37" s="30" t="s">
        <v>148</v>
      </c>
    </row>
    <row r="38" spans="1:36" ht="12.75" customHeight="1">
      <c r="A38" s="40">
        <f t="shared" si="28"/>
        <v>13</v>
      </c>
      <c r="B38" s="40">
        <f t="shared" si="29"/>
        <v>2</v>
      </c>
      <c r="C38" s="51" t="str">
        <f t="shared" si="15"/>
        <v>1302</v>
      </c>
      <c r="D38" s="30" t="s">
        <v>196</v>
      </c>
      <c r="E38" s="33">
        <v>2013</v>
      </c>
      <c r="F38" s="30" t="s">
        <v>463</v>
      </c>
      <c r="G38" s="30" t="s">
        <v>193</v>
      </c>
      <c r="H38" s="30" t="s">
        <v>851</v>
      </c>
      <c r="I38" s="40" t="s">
        <v>166</v>
      </c>
      <c r="J38" s="40" t="s">
        <v>147</v>
      </c>
      <c r="K38" s="49" t="s">
        <v>403</v>
      </c>
      <c r="L38" s="40">
        <v>4</v>
      </c>
      <c r="M38" s="40" t="s">
        <v>148</v>
      </c>
      <c r="N38" s="30" t="s">
        <v>149</v>
      </c>
      <c r="O38" s="30" t="s">
        <v>194</v>
      </c>
      <c r="P38" s="33">
        <v>2010</v>
      </c>
      <c r="Q38" s="30" t="s">
        <v>467</v>
      </c>
      <c r="R38" s="35">
        <v>650087</v>
      </c>
      <c r="S38" s="32" t="e">
        <f>R38/xRates!$P$194</f>
        <v>#DIV/0!</v>
      </c>
      <c r="T38" s="32">
        <f t="shared" si="16"/>
        <v>4996.3999999999996</v>
      </c>
      <c r="U38" s="30" t="e">
        <f t="shared" si="17"/>
        <v>#DIV/0!</v>
      </c>
      <c r="V38" s="30" t="e">
        <f t="shared" si="18"/>
        <v>#DIV/0!</v>
      </c>
      <c r="W38" s="41" t="e">
        <f t="shared" si="19"/>
        <v>#DIV/0!</v>
      </c>
      <c r="X38" s="55">
        <f t="shared" si="20"/>
        <v>1.1200000000000001</v>
      </c>
      <c r="Y38" s="30" t="e">
        <f t="shared" si="21"/>
        <v>#DIV/0!</v>
      </c>
      <c r="Z38" s="55">
        <f t="shared" si="22"/>
        <v>0.7</v>
      </c>
      <c r="AA38" s="30" t="e">
        <f t="shared" si="23"/>
        <v>#DIV/0!</v>
      </c>
      <c r="AB38" s="55">
        <f t="shared" si="24"/>
        <v>0.65269570111403552</v>
      </c>
      <c r="AC38" s="30" t="e">
        <f t="shared" si="25"/>
        <v>#DIV/0!</v>
      </c>
      <c r="AD38" s="55">
        <f t="shared" si="26"/>
        <v>0.19549419807650922</v>
      </c>
      <c r="AE38" s="30" t="e">
        <f t="shared" si="27"/>
        <v>#DIV/0!</v>
      </c>
      <c r="AF38" s="30" t="s">
        <v>198</v>
      </c>
      <c r="AG38" s="30" t="s">
        <v>371</v>
      </c>
      <c r="AJ38" s="30" t="s">
        <v>148</v>
      </c>
    </row>
    <row r="39" spans="1:36" ht="12.75" customHeight="1">
      <c r="A39" s="40">
        <f t="shared" si="28"/>
        <v>13</v>
      </c>
      <c r="B39" s="40">
        <f t="shared" si="29"/>
        <v>3</v>
      </c>
      <c r="C39" s="51" t="str">
        <f t="shared" si="15"/>
        <v>1303</v>
      </c>
      <c r="D39" s="30" t="s">
        <v>196</v>
      </c>
      <c r="E39" s="33">
        <v>2013</v>
      </c>
      <c r="F39" s="30" t="s">
        <v>463</v>
      </c>
      <c r="G39" s="30" t="s">
        <v>193</v>
      </c>
      <c r="H39" s="30" t="s">
        <v>851</v>
      </c>
      <c r="I39" s="40" t="s">
        <v>166</v>
      </c>
      <c r="J39" s="40" t="s">
        <v>147</v>
      </c>
      <c r="K39" s="49" t="s">
        <v>368</v>
      </c>
      <c r="L39" s="40">
        <v>3</v>
      </c>
      <c r="M39" s="40" t="s">
        <v>155</v>
      </c>
      <c r="N39" s="30" t="s">
        <v>149</v>
      </c>
      <c r="O39" s="30" t="s">
        <v>194</v>
      </c>
      <c r="P39" s="33">
        <v>2010</v>
      </c>
      <c r="Q39" s="30" t="s">
        <v>468</v>
      </c>
      <c r="R39" s="35">
        <v>1368072</v>
      </c>
      <c r="S39" s="32" t="e">
        <f>R39/xRates!$P$194</f>
        <v>#DIV/0!</v>
      </c>
      <c r="T39" s="32">
        <f t="shared" si="16"/>
        <v>4996.3999999999996</v>
      </c>
      <c r="U39" s="30" t="e">
        <f t="shared" si="17"/>
        <v>#DIV/0!</v>
      </c>
      <c r="V39" s="30" t="e">
        <f t="shared" si="18"/>
        <v>#DIV/0!</v>
      </c>
      <c r="W39" s="41" t="e">
        <f t="shared" si="19"/>
        <v>#DIV/0!</v>
      </c>
      <c r="X39" s="55">
        <f t="shared" si="20"/>
        <v>1.1200000000000001</v>
      </c>
      <c r="Y39" s="30" t="e">
        <f t="shared" si="21"/>
        <v>#DIV/0!</v>
      </c>
      <c r="Z39" s="55">
        <f t="shared" si="22"/>
        <v>0.7</v>
      </c>
      <c r="AA39" s="30" t="e">
        <f t="shared" si="23"/>
        <v>#DIV/0!</v>
      </c>
      <c r="AB39" s="55">
        <f t="shared" si="24"/>
        <v>0.65269570111403552</v>
      </c>
      <c r="AC39" s="30" t="e">
        <f t="shared" si="25"/>
        <v>#DIV/0!</v>
      </c>
      <c r="AD39" s="55">
        <f t="shared" si="26"/>
        <v>0.19549419807650922</v>
      </c>
      <c r="AE39" s="30" t="e">
        <f t="shared" si="27"/>
        <v>#DIV/0!</v>
      </c>
      <c r="AF39" s="30" t="s">
        <v>198</v>
      </c>
      <c r="AG39" s="30" t="s">
        <v>371</v>
      </c>
      <c r="AJ39" s="30" t="s">
        <v>148</v>
      </c>
    </row>
    <row r="40" spans="1:36" ht="12.75" customHeight="1">
      <c r="A40" s="40">
        <f t="shared" si="28"/>
        <v>13</v>
      </c>
      <c r="B40" s="40">
        <f t="shared" si="29"/>
        <v>4</v>
      </c>
      <c r="C40" s="51" t="str">
        <f t="shared" si="15"/>
        <v>1304</v>
      </c>
      <c r="D40" s="30" t="s">
        <v>196</v>
      </c>
      <c r="E40" s="33">
        <v>2013</v>
      </c>
      <c r="F40" s="30" t="s">
        <v>463</v>
      </c>
      <c r="G40" s="30" t="s">
        <v>193</v>
      </c>
      <c r="H40" s="30" t="s">
        <v>851</v>
      </c>
      <c r="I40" s="40" t="s">
        <v>166</v>
      </c>
      <c r="J40" s="40" t="s">
        <v>147</v>
      </c>
      <c r="K40" s="49" t="s">
        <v>403</v>
      </c>
      <c r="L40" s="40">
        <v>4</v>
      </c>
      <c r="M40" s="40" t="s">
        <v>155</v>
      </c>
      <c r="N40" s="30" t="s">
        <v>149</v>
      </c>
      <c r="O40" s="30" t="s">
        <v>194</v>
      </c>
      <c r="P40" s="33">
        <v>2010</v>
      </c>
      <c r="Q40" s="30" t="s">
        <v>469</v>
      </c>
      <c r="R40" s="35">
        <v>1677379</v>
      </c>
      <c r="S40" s="32" t="e">
        <f>R40/xRates!$P$194</f>
        <v>#DIV/0!</v>
      </c>
      <c r="T40" s="32">
        <f t="shared" si="16"/>
        <v>4996.3999999999996</v>
      </c>
      <c r="U40" s="30" t="e">
        <f t="shared" si="17"/>
        <v>#DIV/0!</v>
      </c>
      <c r="V40" s="30" t="e">
        <f t="shared" si="18"/>
        <v>#DIV/0!</v>
      </c>
      <c r="W40" s="41" t="e">
        <f t="shared" si="19"/>
        <v>#DIV/0!</v>
      </c>
      <c r="X40" s="55">
        <f t="shared" si="20"/>
        <v>1.1200000000000001</v>
      </c>
      <c r="Y40" s="30" t="e">
        <f t="shared" si="21"/>
        <v>#DIV/0!</v>
      </c>
      <c r="Z40" s="55">
        <f t="shared" si="22"/>
        <v>0.7</v>
      </c>
      <c r="AA40" s="30" t="e">
        <f t="shared" si="23"/>
        <v>#DIV/0!</v>
      </c>
      <c r="AB40" s="55">
        <f t="shared" si="24"/>
        <v>0.65269570111403552</v>
      </c>
      <c r="AC40" s="30" t="e">
        <f t="shared" si="25"/>
        <v>#DIV/0!</v>
      </c>
      <c r="AD40" s="55">
        <f t="shared" si="26"/>
        <v>0.19549419807650922</v>
      </c>
      <c r="AE40" s="30" t="e">
        <f t="shared" si="27"/>
        <v>#DIV/0!</v>
      </c>
      <c r="AF40" s="30" t="s">
        <v>198</v>
      </c>
      <c r="AG40" s="30" t="s">
        <v>371</v>
      </c>
      <c r="AJ40" s="30" t="s">
        <v>148</v>
      </c>
    </row>
    <row r="41" spans="1:36" ht="12.75" customHeight="1">
      <c r="A41" s="40">
        <f t="shared" si="28"/>
        <v>13</v>
      </c>
      <c r="B41" s="40">
        <f t="shared" si="29"/>
        <v>5</v>
      </c>
      <c r="C41" s="51" t="str">
        <f t="shared" si="15"/>
        <v>1305</v>
      </c>
      <c r="D41" s="30" t="s">
        <v>196</v>
      </c>
      <c r="E41" s="33">
        <v>2013</v>
      </c>
      <c r="F41" s="30" t="s">
        <v>463</v>
      </c>
      <c r="G41" s="30" t="s">
        <v>193</v>
      </c>
      <c r="H41" s="30" t="s">
        <v>853</v>
      </c>
      <c r="I41" s="40" t="s">
        <v>167</v>
      </c>
      <c r="J41" s="40" t="s">
        <v>147</v>
      </c>
      <c r="K41" s="49" t="s">
        <v>368</v>
      </c>
      <c r="L41" s="40">
        <v>3</v>
      </c>
      <c r="M41" s="40" t="s">
        <v>148</v>
      </c>
      <c r="N41" s="30" t="s">
        <v>149</v>
      </c>
      <c r="O41" s="30" t="s">
        <v>194</v>
      </c>
      <c r="P41" s="33">
        <v>2010</v>
      </c>
      <c r="Q41" s="30" t="s">
        <v>470</v>
      </c>
      <c r="R41" s="35">
        <v>527378</v>
      </c>
      <c r="S41" s="32" t="e">
        <f>R41/xRates!$P$194</f>
        <v>#DIV/0!</v>
      </c>
      <c r="T41" s="32">
        <f t="shared" si="16"/>
        <v>4996.3999999999996</v>
      </c>
      <c r="U41" s="30" t="e">
        <f t="shared" si="17"/>
        <v>#DIV/0!</v>
      </c>
      <c r="V41" s="30" t="e">
        <f t="shared" si="18"/>
        <v>#DIV/0!</v>
      </c>
      <c r="W41" s="41" t="e">
        <f t="shared" si="19"/>
        <v>#DIV/0!</v>
      </c>
      <c r="X41" s="55">
        <f t="shared" si="20"/>
        <v>1.1200000000000001</v>
      </c>
      <c r="Y41" s="30" t="e">
        <f t="shared" si="21"/>
        <v>#DIV/0!</v>
      </c>
      <c r="Z41" s="55">
        <f t="shared" si="22"/>
        <v>0.7</v>
      </c>
      <c r="AA41" s="30" t="e">
        <f t="shared" si="23"/>
        <v>#DIV/0!</v>
      </c>
      <c r="AB41" s="55">
        <f t="shared" si="24"/>
        <v>0.65269570111403552</v>
      </c>
      <c r="AC41" s="30" t="e">
        <f t="shared" si="25"/>
        <v>#DIV/0!</v>
      </c>
      <c r="AD41" s="55">
        <f t="shared" si="26"/>
        <v>0.19549419807650922</v>
      </c>
      <c r="AE41" s="30" t="e">
        <f t="shared" si="27"/>
        <v>#DIV/0!</v>
      </c>
      <c r="AF41" s="30" t="s">
        <v>198</v>
      </c>
      <c r="AG41" s="30" t="s">
        <v>371</v>
      </c>
      <c r="AJ41" s="30" t="s">
        <v>148</v>
      </c>
    </row>
    <row r="42" spans="1:36" ht="12.75" customHeight="1">
      <c r="A42" s="40">
        <f t="shared" si="28"/>
        <v>13</v>
      </c>
      <c r="B42" s="40">
        <f t="shared" si="29"/>
        <v>6</v>
      </c>
      <c r="C42" s="51" t="str">
        <f t="shared" si="15"/>
        <v>1306</v>
      </c>
      <c r="D42" s="30" t="s">
        <v>196</v>
      </c>
      <c r="E42" s="33">
        <v>2013</v>
      </c>
      <c r="F42" s="30" t="s">
        <v>463</v>
      </c>
      <c r="G42" s="30" t="s">
        <v>193</v>
      </c>
      <c r="H42" s="30" t="s">
        <v>853</v>
      </c>
      <c r="I42" s="40" t="s">
        <v>167</v>
      </c>
      <c r="J42" s="40" t="s">
        <v>147</v>
      </c>
      <c r="K42" s="49" t="s">
        <v>403</v>
      </c>
      <c r="L42" s="40">
        <v>4</v>
      </c>
      <c r="M42" s="40" t="s">
        <v>148</v>
      </c>
      <c r="N42" s="30" t="s">
        <v>149</v>
      </c>
      <c r="O42" s="30" t="s">
        <v>194</v>
      </c>
      <c r="P42" s="33">
        <v>2010</v>
      </c>
      <c r="Q42" s="30" t="s">
        <v>471</v>
      </c>
      <c r="R42" s="35">
        <v>660662</v>
      </c>
      <c r="S42" s="32" t="e">
        <f>R42/xRates!$P$194</f>
        <v>#DIV/0!</v>
      </c>
      <c r="T42" s="32">
        <f t="shared" si="16"/>
        <v>4996.3999999999996</v>
      </c>
      <c r="U42" s="30" t="e">
        <f t="shared" si="17"/>
        <v>#DIV/0!</v>
      </c>
      <c r="V42" s="30" t="e">
        <f t="shared" si="18"/>
        <v>#DIV/0!</v>
      </c>
      <c r="W42" s="41" t="e">
        <f t="shared" si="19"/>
        <v>#DIV/0!</v>
      </c>
      <c r="X42" s="55">
        <f t="shared" si="20"/>
        <v>1.1200000000000001</v>
      </c>
      <c r="Y42" s="30" t="e">
        <f t="shared" si="21"/>
        <v>#DIV/0!</v>
      </c>
      <c r="Z42" s="55">
        <f t="shared" si="22"/>
        <v>0.7</v>
      </c>
      <c r="AA42" s="30" t="e">
        <f t="shared" si="23"/>
        <v>#DIV/0!</v>
      </c>
      <c r="AB42" s="55">
        <f t="shared" si="24"/>
        <v>0.65269570111403552</v>
      </c>
      <c r="AC42" s="30" t="e">
        <f t="shared" si="25"/>
        <v>#DIV/0!</v>
      </c>
      <c r="AD42" s="55">
        <f t="shared" si="26"/>
        <v>0.19549419807650922</v>
      </c>
      <c r="AE42" s="30" t="e">
        <f t="shared" si="27"/>
        <v>#DIV/0!</v>
      </c>
      <c r="AF42" s="30" t="s">
        <v>198</v>
      </c>
      <c r="AG42" s="30" t="s">
        <v>371</v>
      </c>
      <c r="AJ42" s="30" t="s">
        <v>148</v>
      </c>
    </row>
    <row r="43" spans="1:36" ht="12.75" customHeight="1">
      <c r="A43" s="40">
        <f t="shared" si="28"/>
        <v>13</v>
      </c>
      <c r="B43" s="40">
        <f t="shared" si="29"/>
        <v>7</v>
      </c>
      <c r="C43" s="51" t="str">
        <f t="shared" si="15"/>
        <v>1307</v>
      </c>
      <c r="D43" s="30" t="s">
        <v>196</v>
      </c>
      <c r="E43" s="33">
        <v>2013</v>
      </c>
      <c r="F43" s="30" t="s">
        <v>463</v>
      </c>
      <c r="G43" s="30" t="s">
        <v>193</v>
      </c>
      <c r="H43" s="30" t="s">
        <v>853</v>
      </c>
      <c r="I43" s="40" t="s">
        <v>167</v>
      </c>
      <c r="J43" s="40" t="s">
        <v>147</v>
      </c>
      <c r="K43" s="49" t="s">
        <v>368</v>
      </c>
      <c r="L43" s="40">
        <v>3</v>
      </c>
      <c r="M43" s="40" t="s">
        <v>155</v>
      </c>
      <c r="N43" s="30" t="s">
        <v>149</v>
      </c>
      <c r="O43" s="30" t="s">
        <v>194</v>
      </c>
      <c r="P43" s="33">
        <v>2010</v>
      </c>
      <c r="Q43" s="30" t="s">
        <v>472</v>
      </c>
      <c r="R43" s="35">
        <v>1490305</v>
      </c>
      <c r="S43" s="32" t="e">
        <f>R43/xRates!$P$194</f>
        <v>#DIV/0!</v>
      </c>
      <c r="T43" s="32">
        <f t="shared" si="16"/>
        <v>4996.3999999999996</v>
      </c>
      <c r="U43" s="30" t="e">
        <f t="shared" si="17"/>
        <v>#DIV/0!</v>
      </c>
      <c r="V43" s="30" t="e">
        <f t="shared" si="18"/>
        <v>#DIV/0!</v>
      </c>
      <c r="W43" s="41" t="e">
        <f t="shared" si="19"/>
        <v>#DIV/0!</v>
      </c>
      <c r="X43" s="55">
        <f t="shared" si="20"/>
        <v>1.1200000000000001</v>
      </c>
      <c r="Y43" s="30" t="e">
        <f t="shared" si="21"/>
        <v>#DIV/0!</v>
      </c>
      <c r="Z43" s="55">
        <f t="shared" si="22"/>
        <v>0.7</v>
      </c>
      <c r="AA43" s="30" t="e">
        <f t="shared" si="23"/>
        <v>#DIV/0!</v>
      </c>
      <c r="AB43" s="55">
        <f t="shared" si="24"/>
        <v>0.65269570111403552</v>
      </c>
      <c r="AC43" s="30" t="e">
        <f t="shared" si="25"/>
        <v>#DIV/0!</v>
      </c>
      <c r="AD43" s="55">
        <f t="shared" si="26"/>
        <v>0.19549419807650922</v>
      </c>
      <c r="AE43" s="30" t="e">
        <f t="shared" si="27"/>
        <v>#DIV/0!</v>
      </c>
      <c r="AF43" s="30" t="s">
        <v>198</v>
      </c>
      <c r="AG43" s="30" t="s">
        <v>371</v>
      </c>
      <c r="AJ43" s="30" t="s">
        <v>148</v>
      </c>
    </row>
    <row r="44" spans="1:36" ht="12.75" customHeight="1">
      <c r="A44" s="40">
        <f t="shared" si="28"/>
        <v>13</v>
      </c>
      <c r="B44" s="40">
        <f t="shared" si="29"/>
        <v>8</v>
      </c>
      <c r="C44" s="51" t="str">
        <f t="shared" si="15"/>
        <v>1308</v>
      </c>
      <c r="D44" s="30" t="s">
        <v>196</v>
      </c>
      <c r="E44" s="33">
        <v>2013</v>
      </c>
      <c r="F44" s="30" t="s">
        <v>463</v>
      </c>
      <c r="G44" s="30" t="s">
        <v>193</v>
      </c>
      <c r="H44" s="30" t="s">
        <v>853</v>
      </c>
      <c r="I44" s="40" t="s">
        <v>167</v>
      </c>
      <c r="J44" s="40" t="s">
        <v>147</v>
      </c>
      <c r="K44" s="49" t="s">
        <v>403</v>
      </c>
      <c r="L44" s="40">
        <v>4</v>
      </c>
      <c r="M44" s="40" t="s">
        <v>155</v>
      </c>
      <c r="N44" s="30" t="s">
        <v>149</v>
      </c>
      <c r="O44" s="30" t="s">
        <v>194</v>
      </c>
      <c r="P44" s="33">
        <v>2010</v>
      </c>
      <c r="Q44" s="30" t="s">
        <v>473</v>
      </c>
      <c r="R44" s="35">
        <v>1830716</v>
      </c>
      <c r="S44" s="32" t="e">
        <f>R44/xRates!$P$194</f>
        <v>#DIV/0!</v>
      </c>
      <c r="T44" s="32">
        <f t="shared" si="16"/>
        <v>4996.3999999999996</v>
      </c>
      <c r="U44" s="30" t="e">
        <f t="shared" si="17"/>
        <v>#DIV/0!</v>
      </c>
      <c r="V44" s="30" t="e">
        <f t="shared" si="18"/>
        <v>#DIV/0!</v>
      </c>
      <c r="W44" s="41" t="e">
        <f t="shared" si="19"/>
        <v>#DIV/0!</v>
      </c>
      <c r="X44" s="55">
        <f t="shared" si="20"/>
        <v>1.1200000000000001</v>
      </c>
      <c r="Y44" s="30" t="e">
        <f t="shared" si="21"/>
        <v>#DIV/0!</v>
      </c>
      <c r="Z44" s="55">
        <f t="shared" si="22"/>
        <v>0.7</v>
      </c>
      <c r="AA44" s="30" t="e">
        <f t="shared" si="23"/>
        <v>#DIV/0!</v>
      </c>
      <c r="AB44" s="55">
        <f t="shared" si="24"/>
        <v>0.65269570111403552</v>
      </c>
      <c r="AC44" s="30" t="e">
        <f t="shared" si="25"/>
        <v>#DIV/0!</v>
      </c>
      <c r="AD44" s="55">
        <f t="shared" si="26"/>
        <v>0.19549419807650922</v>
      </c>
      <c r="AE44" s="30" t="e">
        <f t="shared" si="27"/>
        <v>#DIV/0!</v>
      </c>
      <c r="AF44" s="30" t="s">
        <v>198</v>
      </c>
      <c r="AG44" s="30" t="s">
        <v>371</v>
      </c>
      <c r="AJ44" s="30" t="s">
        <v>148</v>
      </c>
    </row>
    <row r="45" spans="1:36" ht="12.75" customHeight="1">
      <c r="A45" s="40">
        <f t="shared" si="28"/>
        <v>14</v>
      </c>
      <c r="B45" s="40">
        <f t="shared" si="29"/>
        <v>1</v>
      </c>
      <c r="C45" s="51" t="str">
        <f t="shared" si="15"/>
        <v>1401</v>
      </c>
      <c r="D45" s="30" t="s">
        <v>24</v>
      </c>
      <c r="E45" s="33">
        <v>2015</v>
      </c>
      <c r="F45" s="30" t="s">
        <v>474</v>
      </c>
      <c r="G45" s="30" t="s">
        <v>200</v>
      </c>
      <c r="H45" s="30" t="s">
        <v>851</v>
      </c>
      <c r="I45" s="40" t="s">
        <v>166</v>
      </c>
      <c r="J45" s="40" t="s">
        <v>147</v>
      </c>
      <c r="K45" s="49" t="s">
        <v>368</v>
      </c>
      <c r="L45" s="40">
        <v>3</v>
      </c>
      <c r="M45" s="40" t="s">
        <v>148</v>
      </c>
      <c r="N45" s="30" t="s">
        <v>377</v>
      </c>
      <c r="O45" s="30" t="s">
        <v>201</v>
      </c>
      <c r="P45" s="33">
        <v>2013</v>
      </c>
      <c r="Q45" s="30" t="s">
        <v>881</v>
      </c>
      <c r="R45" s="35">
        <v>68182</v>
      </c>
      <c r="S45" s="32" t="e">
        <f>R45/xRates!$S$157</f>
        <v>#DIV/0!</v>
      </c>
      <c r="T45" s="32">
        <f t="shared" si="16"/>
        <v>2847.6</v>
      </c>
      <c r="U45" s="30" t="e">
        <f t="shared" si="17"/>
        <v>#DIV/0!</v>
      </c>
      <c r="V45" s="30" t="e">
        <f t="shared" si="18"/>
        <v>#DIV/0!</v>
      </c>
      <c r="W45" s="41" t="e">
        <f t="shared" si="19"/>
        <v>#DIV/0!</v>
      </c>
      <c r="X45" s="55">
        <f t="shared" si="20"/>
        <v>0.34</v>
      </c>
      <c r="Y45" s="30" t="e">
        <f t="shared" si="21"/>
        <v>#DIV/0!</v>
      </c>
      <c r="Z45" s="55">
        <f t="shared" si="22"/>
        <v>0.23</v>
      </c>
      <c r="AA45" s="30" t="e">
        <f t="shared" si="23"/>
        <v>#DIV/0!</v>
      </c>
      <c r="AB45" s="55">
        <f t="shared" si="24"/>
        <v>0.49901671583087515</v>
      </c>
      <c r="AC45" s="30" t="e">
        <f t="shared" si="25"/>
        <v>#DIV/0!</v>
      </c>
      <c r="AD45" s="55">
        <f t="shared" si="26"/>
        <v>8.9900266891417335E-2</v>
      </c>
      <c r="AE45" s="30" t="e">
        <f t="shared" si="27"/>
        <v>#DIV/0!</v>
      </c>
      <c r="AF45" s="30" t="s">
        <v>882</v>
      </c>
      <c r="AG45" s="30" t="s">
        <v>382</v>
      </c>
      <c r="AJ45" s="30" t="s">
        <v>148</v>
      </c>
    </row>
    <row r="46" spans="1:36" ht="12.75" customHeight="1">
      <c r="A46" s="40">
        <f t="shared" si="28"/>
        <v>14</v>
      </c>
      <c r="B46" s="40">
        <f t="shared" si="29"/>
        <v>2</v>
      </c>
      <c r="C46" s="51" t="str">
        <f t="shared" si="15"/>
        <v>1402</v>
      </c>
      <c r="D46" s="30" t="s">
        <v>24</v>
      </c>
      <c r="E46" s="33">
        <v>2015</v>
      </c>
      <c r="F46" s="30" t="s">
        <v>474</v>
      </c>
      <c r="G46" s="30" t="s">
        <v>200</v>
      </c>
      <c r="H46" s="30" t="s">
        <v>851</v>
      </c>
      <c r="I46" s="40" t="s">
        <v>166</v>
      </c>
      <c r="J46" s="40" t="s">
        <v>147</v>
      </c>
      <c r="K46" s="49" t="s">
        <v>368</v>
      </c>
      <c r="L46" s="40">
        <v>3</v>
      </c>
      <c r="M46" s="40" t="s">
        <v>155</v>
      </c>
      <c r="N46" s="30" t="s">
        <v>377</v>
      </c>
      <c r="O46" s="30" t="s">
        <v>201</v>
      </c>
      <c r="P46" s="33">
        <v>2013</v>
      </c>
      <c r="Q46" s="30" t="s">
        <v>883</v>
      </c>
      <c r="R46" s="35">
        <v>112640</v>
      </c>
      <c r="S46" s="32" t="e">
        <f>R46/xRates!$S$157</f>
        <v>#DIV/0!</v>
      </c>
      <c r="T46" s="32">
        <f t="shared" si="16"/>
        <v>2847.6</v>
      </c>
      <c r="U46" s="30" t="e">
        <f t="shared" si="17"/>
        <v>#DIV/0!</v>
      </c>
      <c r="V46" s="30" t="e">
        <f t="shared" si="18"/>
        <v>#DIV/0!</v>
      </c>
      <c r="W46" s="41" t="e">
        <f t="shared" si="19"/>
        <v>#DIV/0!</v>
      </c>
      <c r="X46" s="55">
        <f t="shared" si="20"/>
        <v>0.34</v>
      </c>
      <c r="Y46" s="30" t="e">
        <f t="shared" si="21"/>
        <v>#DIV/0!</v>
      </c>
      <c r="Z46" s="55">
        <f t="shared" si="22"/>
        <v>0.23</v>
      </c>
      <c r="AA46" s="30" t="e">
        <f t="shared" si="23"/>
        <v>#DIV/0!</v>
      </c>
      <c r="AB46" s="55">
        <f t="shared" si="24"/>
        <v>0.49901671583087515</v>
      </c>
      <c r="AC46" s="30" t="e">
        <f t="shared" si="25"/>
        <v>#DIV/0!</v>
      </c>
      <c r="AD46" s="55">
        <f t="shared" si="26"/>
        <v>8.9900266891417335E-2</v>
      </c>
      <c r="AE46" s="30" t="e">
        <f t="shared" si="27"/>
        <v>#DIV/0!</v>
      </c>
      <c r="AF46" s="30" t="s">
        <v>882</v>
      </c>
      <c r="AG46" s="30" t="s">
        <v>382</v>
      </c>
      <c r="AJ46" s="30" t="s">
        <v>148</v>
      </c>
    </row>
    <row r="47" spans="1:36" ht="12.75" customHeight="1">
      <c r="A47" s="40">
        <f t="shared" si="28"/>
        <v>14</v>
      </c>
      <c r="B47" s="40">
        <f t="shared" si="29"/>
        <v>3</v>
      </c>
      <c r="C47" s="51" t="str">
        <f t="shared" si="15"/>
        <v>1403</v>
      </c>
      <c r="D47" s="30" t="s">
        <v>24</v>
      </c>
      <c r="E47" s="33">
        <v>2015</v>
      </c>
      <c r="F47" s="30" t="s">
        <v>474</v>
      </c>
      <c r="G47" s="30" t="s">
        <v>200</v>
      </c>
      <c r="H47" s="30" t="s">
        <v>853</v>
      </c>
      <c r="I47" s="40" t="s">
        <v>167</v>
      </c>
      <c r="J47" s="40" t="s">
        <v>147</v>
      </c>
      <c r="K47" s="49" t="s">
        <v>368</v>
      </c>
      <c r="L47" s="40">
        <v>3</v>
      </c>
      <c r="M47" s="40" t="s">
        <v>148</v>
      </c>
      <c r="N47" s="30" t="s">
        <v>377</v>
      </c>
      <c r="O47" s="30" t="s">
        <v>201</v>
      </c>
      <c r="P47" s="33">
        <v>2013</v>
      </c>
      <c r="Q47" s="30" t="s">
        <v>884</v>
      </c>
      <c r="R47" s="35">
        <v>54510</v>
      </c>
      <c r="S47" s="32" t="e">
        <f>R47/xRates!$S$157</f>
        <v>#DIV/0!</v>
      </c>
      <c r="T47" s="32">
        <f t="shared" si="16"/>
        <v>2847.6</v>
      </c>
      <c r="U47" s="30" t="e">
        <f t="shared" si="17"/>
        <v>#DIV/0!</v>
      </c>
      <c r="V47" s="30" t="e">
        <f t="shared" si="18"/>
        <v>#DIV/0!</v>
      </c>
      <c r="W47" s="41" t="e">
        <f t="shared" si="19"/>
        <v>#DIV/0!</v>
      </c>
      <c r="X47" s="55">
        <f t="shared" si="20"/>
        <v>0.34</v>
      </c>
      <c r="Y47" s="30" t="e">
        <f t="shared" si="21"/>
        <v>#DIV/0!</v>
      </c>
      <c r="Z47" s="55">
        <f t="shared" si="22"/>
        <v>0.23</v>
      </c>
      <c r="AA47" s="30" t="e">
        <f t="shared" si="23"/>
        <v>#DIV/0!</v>
      </c>
      <c r="AB47" s="55">
        <f t="shared" si="24"/>
        <v>0.49901671583087515</v>
      </c>
      <c r="AC47" s="30" t="e">
        <f t="shared" si="25"/>
        <v>#DIV/0!</v>
      </c>
      <c r="AD47" s="55">
        <f t="shared" si="26"/>
        <v>8.9900266891417335E-2</v>
      </c>
      <c r="AE47" s="30" t="e">
        <f t="shared" si="27"/>
        <v>#DIV/0!</v>
      </c>
      <c r="AF47" s="30" t="s">
        <v>882</v>
      </c>
      <c r="AG47" s="30" t="s">
        <v>382</v>
      </c>
      <c r="AJ47" s="30" t="s">
        <v>148</v>
      </c>
    </row>
    <row r="48" spans="1:36" ht="12.75" customHeight="1">
      <c r="A48" s="40">
        <f t="shared" si="28"/>
        <v>14</v>
      </c>
      <c r="B48" s="40">
        <f t="shared" si="29"/>
        <v>4</v>
      </c>
      <c r="C48" s="51" t="str">
        <f t="shared" si="15"/>
        <v>1404</v>
      </c>
      <c r="D48" s="30" t="s">
        <v>24</v>
      </c>
      <c r="E48" s="33">
        <v>2015</v>
      </c>
      <c r="F48" s="30" t="s">
        <v>474</v>
      </c>
      <c r="G48" s="30" t="s">
        <v>200</v>
      </c>
      <c r="H48" s="30" t="s">
        <v>853</v>
      </c>
      <c r="I48" s="40" t="s">
        <v>167</v>
      </c>
      <c r="J48" s="40" t="s">
        <v>147</v>
      </c>
      <c r="K48" s="49" t="s">
        <v>368</v>
      </c>
      <c r="L48" s="40">
        <v>3</v>
      </c>
      <c r="M48" s="40" t="s">
        <v>155</v>
      </c>
      <c r="N48" s="30" t="s">
        <v>377</v>
      </c>
      <c r="O48" s="30" t="s">
        <v>201</v>
      </c>
      <c r="P48" s="33">
        <v>2013</v>
      </c>
      <c r="Q48" s="30" t="s">
        <v>885</v>
      </c>
      <c r="R48" s="35">
        <v>84654</v>
      </c>
      <c r="S48" s="32" t="e">
        <f>R48/xRates!$S$157</f>
        <v>#DIV/0!</v>
      </c>
      <c r="T48" s="32">
        <f t="shared" si="16"/>
        <v>2847.6</v>
      </c>
      <c r="U48" s="30" t="e">
        <f t="shared" si="17"/>
        <v>#DIV/0!</v>
      </c>
      <c r="V48" s="30" t="e">
        <f t="shared" si="18"/>
        <v>#DIV/0!</v>
      </c>
      <c r="W48" s="41" t="e">
        <f t="shared" si="19"/>
        <v>#DIV/0!</v>
      </c>
      <c r="X48" s="55">
        <f t="shared" si="20"/>
        <v>0.34</v>
      </c>
      <c r="Y48" s="30" t="e">
        <f t="shared" si="21"/>
        <v>#DIV/0!</v>
      </c>
      <c r="Z48" s="55">
        <f t="shared" si="22"/>
        <v>0.23</v>
      </c>
      <c r="AA48" s="30" t="e">
        <f t="shared" si="23"/>
        <v>#DIV/0!</v>
      </c>
      <c r="AB48" s="55">
        <f t="shared" si="24"/>
        <v>0.49901671583087515</v>
      </c>
      <c r="AC48" s="30" t="e">
        <f t="shared" si="25"/>
        <v>#DIV/0!</v>
      </c>
      <c r="AD48" s="55">
        <f t="shared" si="26"/>
        <v>8.9900266891417335E-2</v>
      </c>
      <c r="AE48" s="30" t="e">
        <f t="shared" si="27"/>
        <v>#DIV/0!</v>
      </c>
      <c r="AF48" s="30" t="s">
        <v>882</v>
      </c>
      <c r="AG48" s="30" t="s">
        <v>382</v>
      </c>
      <c r="AJ48" s="30" t="s">
        <v>148</v>
      </c>
    </row>
    <row r="49" spans="1:36" ht="12.75" customHeight="1">
      <c r="A49" s="40">
        <f t="shared" si="28"/>
        <v>14</v>
      </c>
      <c r="B49" s="40">
        <f t="shared" si="29"/>
        <v>5</v>
      </c>
      <c r="C49" s="51" t="str">
        <f t="shared" si="15"/>
        <v>1405</v>
      </c>
      <c r="D49" s="30" t="s">
        <v>24</v>
      </c>
      <c r="E49" s="33">
        <v>2015</v>
      </c>
      <c r="F49" s="30" t="s">
        <v>474</v>
      </c>
      <c r="G49" s="30" t="s">
        <v>200</v>
      </c>
      <c r="H49" s="30" t="s">
        <v>875</v>
      </c>
      <c r="I49" s="40" t="s">
        <v>167</v>
      </c>
      <c r="J49" s="40" t="s">
        <v>166</v>
      </c>
      <c r="K49" s="49" t="s">
        <v>368</v>
      </c>
      <c r="L49" s="40">
        <v>3</v>
      </c>
      <c r="M49" s="40" t="s">
        <v>148</v>
      </c>
      <c r="N49" s="30" t="s">
        <v>377</v>
      </c>
      <c r="O49" s="30" t="s">
        <v>201</v>
      </c>
      <c r="P49" s="33">
        <v>2013</v>
      </c>
      <c r="Q49" s="30" t="s">
        <v>886</v>
      </c>
      <c r="R49" s="35">
        <v>15795</v>
      </c>
      <c r="S49" s="32" t="e">
        <f>R49/xRates!$S$157</f>
        <v>#DIV/0!</v>
      </c>
      <c r="T49" s="32">
        <f t="shared" si="16"/>
        <v>2847.6</v>
      </c>
      <c r="U49" s="30" t="e">
        <f t="shared" si="17"/>
        <v>#DIV/0!</v>
      </c>
      <c r="V49" s="30" t="e">
        <f t="shared" si="18"/>
        <v>#DIV/0!</v>
      </c>
      <c r="W49" s="41" t="e">
        <f t="shared" si="19"/>
        <v>#DIV/0!</v>
      </c>
      <c r="X49" s="55">
        <f t="shared" si="20"/>
        <v>0.34</v>
      </c>
      <c r="Y49" s="30" t="e">
        <f t="shared" si="21"/>
        <v>#DIV/0!</v>
      </c>
      <c r="Z49" s="55">
        <f t="shared" si="22"/>
        <v>0.23</v>
      </c>
      <c r="AA49" s="30" t="e">
        <f t="shared" si="23"/>
        <v>#DIV/0!</v>
      </c>
      <c r="AB49" s="55">
        <f t="shared" si="24"/>
        <v>0.49901671583087515</v>
      </c>
      <c r="AC49" s="30" t="e">
        <f t="shared" si="25"/>
        <v>#DIV/0!</v>
      </c>
      <c r="AD49" s="55">
        <f t="shared" si="26"/>
        <v>8.9900266891417335E-2</v>
      </c>
      <c r="AE49" s="30" t="e">
        <f t="shared" si="27"/>
        <v>#DIV/0!</v>
      </c>
      <c r="AF49" s="30" t="s">
        <v>882</v>
      </c>
      <c r="AG49" s="30" t="s">
        <v>382</v>
      </c>
      <c r="AJ49" s="30" t="s">
        <v>148</v>
      </c>
    </row>
    <row r="50" spans="1:36" ht="12.75" customHeight="1">
      <c r="A50" s="40">
        <f t="shared" si="28"/>
        <v>14</v>
      </c>
      <c r="B50" s="40">
        <f t="shared" si="29"/>
        <v>6</v>
      </c>
      <c r="C50" s="51" t="str">
        <f t="shared" si="15"/>
        <v>1406</v>
      </c>
      <c r="D50" s="30" t="s">
        <v>24</v>
      </c>
      <c r="E50" s="33">
        <v>2015</v>
      </c>
      <c r="F50" s="30" t="s">
        <v>474</v>
      </c>
      <c r="G50" s="30" t="s">
        <v>200</v>
      </c>
      <c r="H50" s="30" t="s">
        <v>875</v>
      </c>
      <c r="I50" s="40" t="s">
        <v>167</v>
      </c>
      <c r="J50" s="40" t="s">
        <v>166</v>
      </c>
      <c r="K50" s="49" t="s">
        <v>368</v>
      </c>
      <c r="L50" s="40">
        <v>3</v>
      </c>
      <c r="M50" s="40" t="s">
        <v>155</v>
      </c>
      <c r="N50" s="30" t="s">
        <v>377</v>
      </c>
      <c r="O50" s="30" t="s">
        <v>201</v>
      </c>
      <c r="P50" s="33">
        <v>2013</v>
      </c>
      <c r="Q50" s="30" t="s">
        <v>887</v>
      </c>
      <c r="R50" s="35">
        <v>23836</v>
      </c>
      <c r="S50" s="32" t="e">
        <f>R50/xRates!$S$157</f>
        <v>#DIV/0!</v>
      </c>
      <c r="T50" s="32">
        <f t="shared" si="16"/>
        <v>2847.6</v>
      </c>
      <c r="U50" s="30" t="e">
        <f t="shared" si="17"/>
        <v>#DIV/0!</v>
      </c>
      <c r="V50" s="30" t="e">
        <f t="shared" si="18"/>
        <v>#DIV/0!</v>
      </c>
      <c r="W50" s="41" t="e">
        <f t="shared" si="19"/>
        <v>#DIV/0!</v>
      </c>
      <c r="X50" s="55">
        <f t="shared" si="20"/>
        <v>0.34</v>
      </c>
      <c r="Y50" s="30" t="e">
        <f t="shared" si="21"/>
        <v>#DIV/0!</v>
      </c>
      <c r="Z50" s="55">
        <f t="shared" si="22"/>
        <v>0.23</v>
      </c>
      <c r="AA50" s="30" t="e">
        <f t="shared" si="23"/>
        <v>#DIV/0!</v>
      </c>
      <c r="AB50" s="55">
        <f t="shared" si="24"/>
        <v>0.49901671583087515</v>
      </c>
      <c r="AC50" s="30" t="e">
        <f t="shared" si="25"/>
        <v>#DIV/0!</v>
      </c>
      <c r="AD50" s="55">
        <f t="shared" si="26"/>
        <v>8.9900266891417335E-2</v>
      </c>
      <c r="AE50" s="30" t="e">
        <f t="shared" si="27"/>
        <v>#DIV/0!</v>
      </c>
      <c r="AF50" s="30" t="s">
        <v>882</v>
      </c>
      <c r="AG50" s="30" t="s">
        <v>382</v>
      </c>
      <c r="AJ50" s="30" t="s">
        <v>148</v>
      </c>
    </row>
    <row r="51" spans="1:36" ht="12.75" customHeight="1">
      <c r="A51" s="40">
        <f t="shared" si="28"/>
        <v>15</v>
      </c>
      <c r="B51" s="40">
        <f t="shared" si="29"/>
        <v>1</v>
      </c>
      <c r="C51" s="51" t="str">
        <f t="shared" si="15"/>
        <v>1501</v>
      </c>
      <c r="D51" s="30" t="s">
        <v>36</v>
      </c>
      <c r="E51" s="33">
        <v>2014</v>
      </c>
      <c r="F51" s="30" t="s">
        <v>488</v>
      </c>
      <c r="G51" s="30" t="s">
        <v>200</v>
      </c>
      <c r="H51" s="30" t="s">
        <v>851</v>
      </c>
      <c r="I51" s="40" t="s">
        <v>166</v>
      </c>
      <c r="J51" s="40" t="s">
        <v>147</v>
      </c>
      <c r="K51" s="49" t="s">
        <v>368</v>
      </c>
      <c r="L51" s="40">
        <v>3</v>
      </c>
      <c r="M51" s="40" t="s">
        <v>155</v>
      </c>
      <c r="N51" s="30" t="s">
        <v>377</v>
      </c>
      <c r="O51" s="30" t="s">
        <v>201</v>
      </c>
      <c r="P51" s="40">
        <v>2012</v>
      </c>
      <c r="Q51" s="30" t="s">
        <v>888</v>
      </c>
      <c r="R51" s="35">
        <v>50913</v>
      </c>
      <c r="S51" s="32" t="e">
        <f>R51/xRates!$R$157</f>
        <v>#DIV/0!</v>
      </c>
      <c r="T51" s="32">
        <f t="shared" si="16"/>
        <v>2671.8</v>
      </c>
      <c r="U51" s="30" t="e">
        <f t="shared" si="17"/>
        <v>#DIV/0!</v>
      </c>
      <c r="V51" s="30" t="e">
        <f t="shared" si="18"/>
        <v>#DIV/0!</v>
      </c>
      <c r="W51" s="41" t="e">
        <f t="shared" si="19"/>
        <v>#DIV/0!</v>
      </c>
      <c r="X51" s="55">
        <f t="shared" si="20"/>
        <v>0.34</v>
      </c>
      <c r="Y51" s="30" t="e">
        <f t="shared" si="21"/>
        <v>#DIV/0!</v>
      </c>
      <c r="Z51" s="55">
        <f t="shared" si="22"/>
        <v>0.23</v>
      </c>
      <c r="AA51" s="30" t="e">
        <f t="shared" si="23"/>
        <v>#DIV/0!</v>
      </c>
      <c r="AB51" s="55">
        <f t="shared" si="24"/>
        <v>0.49901671583087515</v>
      </c>
      <c r="AC51" s="30" t="e">
        <f t="shared" si="25"/>
        <v>#DIV/0!</v>
      </c>
      <c r="AD51" s="55">
        <f t="shared" si="26"/>
        <v>8.9900266891417335E-2</v>
      </c>
      <c r="AE51" s="30" t="e">
        <f t="shared" si="27"/>
        <v>#DIV/0!</v>
      </c>
      <c r="AF51" s="30" t="s">
        <v>176</v>
      </c>
      <c r="AG51" s="30" t="s">
        <v>382</v>
      </c>
      <c r="AJ51" s="30" t="s">
        <v>148</v>
      </c>
    </row>
    <row r="52" spans="1:36" s="64" customFormat="1" ht="12.75" customHeight="1">
      <c r="A52" s="63">
        <f t="shared" si="28"/>
        <v>15</v>
      </c>
      <c r="B52" s="63">
        <f t="shared" si="29"/>
        <v>2</v>
      </c>
      <c r="C52" s="71" t="str">
        <f t="shared" si="15"/>
        <v>1502</v>
      </c>
      <c r="D52" s="64" t="s">
        <v>36</v>
      </c>
      <c r="E52" s="72">
        <v>2014</v>
      </c>
      <c r="F52" s="64" t="s">
        <v>488</v>
      </c>
      <c r="G52" s="64" t="s">
        <v>200</v>
      </c>
      <c r="H52" s="64" t="s">
        <v>865</v>
      </c>
      <c r="I52" s="63" t="s">
        <v>167</v>
      </c>
      <c r="J52" s="63" t="s">
        <v>166</v>
      </c>
      <c r="K52" s="65" t="s">
        <v>368</v>
      </c>
      <c r="L52" s="63">
        <v>3</v>
      </c>
      <c r="M52" s="63" t="s">
        <v>155</v>
      </c>
      <c r="N52" s="73" t="s">
        <v>377</v>
      </c>
      <c r="O52" s="64" t="s">
        <v>201</v>
      </c>
      <c r="P52" s="72">
        <v>2012</v>
      </c>
      <c r="Q52" s="64" t="s">
        <v>889</v>
      </c>
      <c r="R52" s="66">
        <v>310274.65999999997</v>
      </c>
      <c r="S52" s="74" t="e">
        <f>R52/xRates!$R$157</f>
        <v>#DIV/0!</v>
      </c>
      <c r="T52" s="74">
        <f t="shared" si="16"/>
        <v>2671.8</v>
      </c>
      <c r="U52" s="64" t="e">
        <f t="shared" si="17"/>
        <v>#DIV/0!</v>
      </c>
      <c r="V52" s="64" t="e">
        <f t="shared" si="18"/>
        <v>#DIV/0!</v>
      </c>
      <c r="W52" s="75" t="e">
        <f t="shared" si="19"/>
        <v>#DIV/0!</v>
      </c>
      <c r="X52" s="76">
        <f t="shared" si="20"/>
        <v>0.34</v>
      </c>
      <c r="Y52" s="64" t="e">
        <f t="shared" si="21"/>
        <v>#DIV/0!</v>
      </c>
      <c r="Z52" s="76">
        <f t="shared" si="22"/>
        <v>0.23</v>
      </c>
      <c r="AA52" s="64" t="e">
        <f t="shared" si="23"/>
        <v>#DIV/0!</v>
      </c>
      <c r="AB52" s="76">
        <f t="shared" si="24"/>
        <v>0.49901671583087515</v>
      </c>
      <c r="AC52" s="64" t="e">
        <f t="shared" si="25"/>
        <v>#DIV/0!</v>
      </c>
      <c r="AD52" s="76">
        <f t="shared" si="26"/>
        <v>8.9900266891417335E-2</v>
      </c>
      <c r="AE52" s="64" t="e">
        <f t="shared" si="27"/>
        <v>#DIV/0!</v>
      </c>
      <c r="AF52" s="64" t="s">
        <v>176</v>
      </c>
      <c r="AG52" s="64" t="s">
        <v>382</v>
      </c>
      <c r="AH52" s="64" t="s">
        <v>867</v>
      </c>
      <c r="AJ52" s="30" t="s">
        <v>148</v>
      </c>
    </row>
    <row r="53" spans="1:36" ht="12.75" customHeight="1">
      <c r="A53" s="40">
        <f t="shared" si="28"/>
        <v>16</v>
      </c>
      <c r="B53" s="40">
        <f t="shared" si="29"/>
        <v>1</v>
      </c>
      <c r="C53" s="51" t="str">
        <f t="shared" si="15"/>
        <v>1601</v>
      </c>
      <c r="D53" s="30" t="s">
        <v>204</v>
      </c>
      <c r="E53" s="33">
        <v>2017</v>
      </c>
      <c r="F53" s="30" t="s">
        <v>493</v>
      </c>
      <c r="G53" s="30" t="s">
        <v>206</v>
      </c>
      <c r="H53" s="30" t="s">
        <v>853</v>
      </c>
      <c r="I53" s="40" t="s">
        <v>167</v>
      </c>
      <c r="J53" s="40" t="s">
        <v>147</v>
      </c>
      <c r="K53" s="49" t="s">
        <v>890</v>
      </c>
      <c r="L53" s="40">
        <v>3</v>
      </c>
      <c r="M53" s="40" t="s">
        <v>148</v>
      </c>
      <c r="N53" s="30" t="s">
        <v>149</v>
      </c>
      <c r="O53" s="30" t="s">
        <v>845</v>
      </c>
      <c r="P53" s="40">
        <v>2014</v>
      </c>
      <c r="Q53" s="30" t="s">
        <v>891</v>
      </c>
      <c r="R53" s="35">
        <v>-27</v>
      </c>
      <c r="S53" s="43">
        <v>-27</v>
      </c>
      <c r="T53" s="32">
        <f t="shared" si="16"/>
        <v>4211.8999999999996</v>
      </c>
      <c r="U53" s="30" t="str">
        <f t="shared" si="17"/>
        <v>Cost-Effective</v>
      </c>
      <c r="V53" s="30" t="str">
        <f t="shared" si="18"/>
        <v>Cost-Effective</v>
      </c>
      <c r="W53" s="41">
        <f t="shared" si="19"/>
        <v>-6.4104086041928826E-3</v>
      </c>
      <c r="X53" s="55">
        <f t="shared" si="20"/>
        <v>0.49</v>
      </c>
      <c r="Y53" s="30" t="str">
        <f t="shared" si="21"/>
        <v>Cost-Effective</v>
      </c>
      <c r="Z53" s="55">
        <f t="shared" si="22"/>
        <v>0.35</v>
      </c>
      <c r="AA53" s="30" t="str">
        <f t="shared" si="23"/>
        <v>Cost-Effective</v>
      </c>
      <c r="AB53" s="55">
        <f t="shared" si="24"/>
        <v>0.47147411980191301</v>
      </c>
      <c r="AC53" s="30" t="str">
        <f t="shared" si="25"/>
        <v>Cost-Effective</v>
      </c>
      <c r="AD53" s="55">
        <f t="shared" si="26"/>
        <v>0.12278678515704497</v>
      </c>
      <c r="AE53" s="30" t="str">
        <f t="shared" si="27"/>
        <v>Cost-Effective</v>
      </c>
      <c r="AF53" s="30" t="s">
        <v>176</v>
      </c>
      <c r="AG53" s="30" t="s">
        <v>439</v>
      </c>
      <c r="AH53" s="30" t="s">
        <v>892</v>
      </c>
      <c r="AJ53" s="30" t="s">
        <v>148</v>
      </c>
    </row>
    <row r="54" spans="1:36" ht="12.75" customHeight="1">
      <c r="A54" s="40">
        <f t="shared" si="28"/>
        <v>16</v>
      </c>
      <c r="B54" s="40">
        <f t="shared" si="29"/>
        <v>2</v>
      </c>
      <c r="C54" s="51" t="str">
        <f t="shared" si="15"/>
        <v>1602</v>
      </c>
      <c r="D54" s="30" t="s">
        <v>204</v>
      </c>
      <c r="E54" s="33">
        <v>2017</v>
      </c>
      <c r="F54" s="30" t="s">
        <v>493</v>
      </c>
      <c r="G54" s="30" t="s">
        <v>206</v>
      </c>
      <c r="H54" s="30" t="s">
        <v>853</v>
      </c>
      <c r="I54" s="40" t="s">
        <v>167</v>
      </c>
      <c r="J54" s="40" t="s">
        <v>147</v>
      </c>
      <c r="K54" s="49" t="s">
        <v>890</v>
      </c>
      <c r="L54" s="40">
        <v>3</v>
      </c>
      <c r="M54" s="40" t="s">
        <v>148</v>
      </c>
      <c r="N54" s="30" t="s">
        <v>377</v>
      </c>
      <c r="O54" s="30" t="s">
        <v>845</v>
      </c>
      <c r="P54" s="40">
        <v>2014</v>
      </c>
      <c r="Q54" s="30" t="s">
        <v>893</v>
      </c>
      <c r="R54" s="35">
        <v>52</v>
      </c>
      <c r="S54" s="43">
        <v>52</v>
      </c>
      <c r="T54" s="32">
        <f t="shared" si="16"/>
        <v>4211.8999999999996</v>
      </c>
      <c r="U54" s="30" t="str">
        <f t="shared" si="17"/>
        <v>Cost-Effective</v>
      </c>
      <c r="V54" s="30" t="str">
        <f t="shared" si="18"/>
        <v>Cost-Effective</v>
      </c>
      <c r="W54" s="41">
        <f t="shared" si="19"/>
        <v>1.2345972126593699E-2</v>
      </c>
      <c r="X54" s="55">
        <f t="shared" si="20"/>
        <v>0.49</v>
      </c>
      <c r="Y54" s="30" t="str">
        <f t="shared" si="21"/>
        <v>Cost-Effective</v>
      </c>
      <c r="Z54" s="55">
        <f t="shared" si="22"/>
        <v>0.35</v>
      </c>
      <c r="AA54" s="30" t="str">
        <f t="shared" si="23"/>
        <v>Cost-Effective</v>
      </c>
      <c r="AB54" s="55">
        <f t="shared" si="24"/>
        <v>0.47147411980191301</v>
      </c>
      <c r="AC54" s="30" t="str">
        <f t="shared" si="25"/>
        <v>Cost-Effective</v>
      </c>
      <c r="AD54" s="55">
        <f t="shared" si="26"/>
        <v>0.12278678515704497</v>
      </c>
      <c r="AE54" s="30" t="str">
        <f t="shared" si="27"/>
        <v>Cost-Effective</v>
      </c>
      <c r="AF54" s="30" t="s">
        <v>176</v>
      </c>
      <c r="AG54" s="30" t="s">
        <v>382</v>
      </c>
      <c r="AH54" s="30" t="s">
        <v>892</v>
      </c>
      <c r="AJ54" s="30" t="s">
        <v>148</v>
      </c>
    </row>
    <row r="55" spans="1:36" ht="12.75" customHeight="1">
      <c r="A55" s="40">
        <f t="shared" si="28"/>
        <v>16</v>
      </c>
      <c r="B55" s="40">
        <f t="shared" si="29"/>
        <v>3</v>
      </c>
      <c r="C55" s="51" t="str">
        <f t="shared" si="15"/>
        <v>1603</v>
      </c>
      <c r="D55" s="30" t="s">
        <v>204</v>
      </c>
      <c r="E55" s="33">
        <v>2017</v>
      </c>
      <c r="F55" s="30" t="s">
        <v>493</v>
      </c>
      <c r="G55" s="30" t="s">
        <v>206</v>
      </c>
      <c r="H55" s="30" t="s">
        <v>853</v>
      </c>
      <c r="I55" s="40" t="s">
        <v>167</v>
      </c>
      <c r="J55" s="40" t="s">
        <v>147</v>
      </c>
      <c r="K55" s="49" t="s">
        <v>890</v>
      </c>
      <c r="L55" s="40">
        <v>3</v>
      </c>
      <c r="M55" s="40" t="s">
        <v>155</v>
      </c>
      <c r="N55" s="30" t="s">
        <v>149</v>
      </c>
      <c r="O55" s="30" t="s">
        <v>845</v>
      </c>
      <c r="P55" s="40">
        <v>2014</v>
      </c>
      <c r="Q55" s="30" t="s">
        <v>894</v>
      </c>
      <c r="R55" s="35">
        <v>19</v>
      </c>
      <c r="S55" s="43">
        <v>19</v>
      </c>
      <c r="T55" s="32">
        <f t="shared" si="16"/>
        <v>4211.8999999999996</v>
      </c>
      <c r="U55" s="30" t="str">
        <f t="shared" si="17"/>
        <v>Cost-Effective</v>
      </c>
      <c r="V55" s="30" t="str">
        <f t="shared" si="18"/>
        <v>Cost-Effective</v>
      </c>
      <c r="W55" s="41">
        <f t="shared" si="19"/>
        <v>4.5110282770246214E-3</v>
      </c>
      <c r="X55" s="55">
        <f t="shared" si="20"/>
        <v>0.49</v>
      </c>
      <c r="Y55" s="30" t="str">
        <f t="shared" si="21"/>
        <v>Cost-Effective</v>
      </c>
      <c r="Z55" s="55">
        <f t="shared" si="22"/>
        <v>0.35</v>
      </c>
      <c r="AA55" s="30" t="str">
        <f t="shared" si="23"/>
        <v>Cost-Effective</v>
      </c>
      <c r="AB55" s="55">
        <f t="shared" si="24"/>
        <v>0.47147411980191301</v>
      </c>
      <c r="AC55" s="30" t="str">
        <f t="shared" si="25"/>
        <v>Cost-Effective</v>
      </c>
      <c r="AD55" s="55">
        <f t="shared" si="26"/>
        <v>0.12278678515704497</v>
      </c>
      <c r="AE55" s="30" t="str">
        <f t="shared" si="27"/>
        <v>Cost-Effective</v>
      </c>
      <c r="AF55" s="30" t="s">
        <v>176</v>
      </c>
      <c r="AG55" s="30" t="s">
        <v>382</v>
      </c>
      <c r="AH55" s="30" t="s">
        <v>892</v>
      </c>
      <c r="AJ55" s="30" t="s">
        <v>148</v>
      </c>
    </row>
    <row r="56" spans="1:36" ht="12.75" customHeight="1">
      <c r="A56" s="40">
        <f t="shared" si="28"/>
        <v>16</v>
      </c>
      <c r="B56" s="40">
        <f t="shared" si="29"/>
        <v>4</v>
      </c>
      <c r="C56" s="51" t="str">
        <f t="shared" si="15"/>
        <v>1604</v>
      </c>
      <c r="D56" s="30" t="s">
        <v>204</v>
      </c>
      <c r="E56" s="33">
        <v>2017</v>
      </c>
      <c r="F56" s="30" t="s">
        <v>493</v>
      </c>
      <c r="G56" s="30" t="s">
        <v>206</v>
      </c>
      <c r="H56" s="30" t="s">
        <v>853</v>
      </c>
      <c r="I56" s="40" t="s">
        <v>167</v>
      </c>
      <c r="J56" s="40" t="s">
        <v>147</v>
      </c>
      <c r="K56" s="49" t="s">
        <v>890</v>
      </c>
      <c r="L56" s="40">
        <v>3</v>
      </c>
      <c r="M56" s="40" t="s">
        <v>155</v>
      </c>
      <c r="N56" s="30" t="s">
        <v>377</v>
      </c>
      <c r="O56" s="30" t="s">
        <v>845</v>
      </c>
      <c r="P56" s="40">
        <v>2014</v>
      </c>
      <c r="Q56" s="30" t="s">
        <v>895</v>
      </c>
      <c r="R56" s="35">
        <v>79</v>
      </c>
      <c r="S56" s="43">
        <v>79</v>
      </c>
      <c r="T56" s="32">
        <f t="shared" si="16"/>
        <v>4211.8999999999996</v>
      </c>
      <c r="U56" s="30" t="str">
        <f t="shared" si="17"/>
        <v>Cost-Effective</v>
      </c>
      <c r="V56" s="30" t="str">
        <f t="shared" si="18"/>
        <v>Cost-Effective</v>
      </c>
      <c r="W56" s="41">
        <f t="shared" si="19"/>
        <v>1.8756380730786584E-2</v>
      </c>
      <c r="X56" s="55">
        <f t="shared" si="20"/>
        <v>0.49</v>
      </c>
      <c r="Y56" s="30" t="str">
        <f t="shared" si="21"/>
        <v>Cost-Effective</v>
      </c>
      <c r="Z56" s="55">
        <f t="shared" si="22"/>
        <v>0.35</v>
      </c>
      <c r="AA56" s="30" t="str">
        <f t="shared" si="23"/>
        <v>Cost-Effective</v>
      </c>
      <c r="AB56" s="55">
        <f t="shared" si="24"/>
        <v>0.47147411980191301</v>
      </c>
      <c r="AC56" s="30" t="str">
        <f t="shared" si="25"/>
        <v>Cost-Effective</v>
      </c>
      <c r="AD56" s="55">
        <f t="shared" si="26"/>
        <v>0.12278678515704497</v>
      </c>
      <c r="AE56" s="30" t="str">
        <f t="shared" si="27"/>
        <v>Cost-Effective</v>
      </c>
      <c r="AF56" s="30" t="s">
        <v>176</v>
      </c>
      <c r="AG56" s="30" t="s">
        <v>382</v>
      </c>
      <c r="AH56" s="30" t="s">
        <v>892</v>
      </c>
      <c r="AJ56" s="30" t="s">
        <v>148</v>
      </c>
    </row>
    <row r="57" spans="1:36" ht="12.75" customHeight="1">
      <c r="A57" s="40">
        <f t="shared" si="28"/>
        <v>17</v>
      </c>
      <c r="B57" s="40">
        <f t="shared" si="29"/>
        <v>1</v>
      </c>
      <c r="C57" s="51" t="str">
        <f t="shared" si="15"/>
        <v>1701</v>
      </c>
      <c r="D57" s="30" t="s">
        <v>207</v>
      </c>
      <c r="E57" s="33">
        <v>2018</v>
      </c>
      <c r="F57" s="30" t="s">
        <v>506</v>
      </c>
      <c r="G57" s="30" t="s">
        <v>209</v>
      </c>
      <c r="H57" s="30" t="s">
        <v>851</v>
      </c>
      <c r="I57" s="40" t="s">
        <v>166</v>
      </c>
      <c r="J57" s="40" t="s">
        <v>147</v>
      </c>
      <c r="K57" s="49" t="s">
        <v>368</v>
      </c>
      <c r="L57" s="40">
        <v>3</v>
      </c>
      <c r="M57" s="40" t="s">
        <v>148</v>
      </c>
      <c r="N57" s="30" t="s">
        <v>377</v>
      </c>
      <c r="O57" s="30" t="s">
        <v>845</v>
      </c>
      <c r="P57" s="40">
        <v>2017</v>
      </c>
      <c r="Q57" s="30" t="s">
        <v>896</v>
      </c>
      <c r="R57" s="35">
        <v>36</v>
      </c>
      <c r="S57" s="43">
        <v>36</v>
      </c>
      <c r="T57" s="32">
        <f t="shared" si="16"/>
        <v>3427.2</v>
      </c>
      <c r="U57" s="30" t="str">
        <f t="shared" si="17"/>
        <v>Cost-Effective</v>
      </c>
      <c r="V57" s="30" t="str">
        <f t="shared" si="18"/>
        <v>Cost-Effective</v>
      </c>
      <c r="W57" s="41">
        <f t="shared" si="19"/>
        <v>1.050420168067227E-2</v>
      </c>
      <c r="X57" s="55">
        <f t="shared" si="20"/>
        <v>0</v>
      </c>
      <c r="Y57" s="30" t="str">
        <f t="shared" si="21"/>
        <v>No Threshold</v>
      </c>
      <c r="Z57" s="55">
        <f t="shared" si="22"/>
        <v>0</v>
      </c>
      <c r="AA57" s="30" t="str">
        <f t="shared" si="23"/>
        <v>No Threshold</v>
      </c>
      <c r="AB57" s="55">
        <f t="shared" si="24"/>
        <v>0.47927461139896371</v>
      </c>
      <c r="AC57" s="30" t="str">
        <f t="shared" si="25"/>
        <v>Cost-Effective</v>
      </c>
      <c r="AD57" s="55">
        <f t="shared" si="26"/>
        <v>0.10172203596464492</v>
      </c>
      <c r="AE57" s="30" t="str">
        <f t="shared" si="27"/>
        <v>Cost-Effective</v>
      </c>
      <c r="AF57" s="30" t="s">
        <v>176</v>
      </c>
      <c r="AG57" s="30" t="s">
        <v>382</v>
      </c>
      <c r="AJ57" s="30" t="s">
        <v>148</v>
      </c>
    </row>
    <row r="58" spans="1:36" ht="12.75" customHeight="1">
      <c r="A58" s="40">
        <f t="shared" si="28"/>
        <v>17</v>
      </c>
      <c r="B58" s="40">
        <f t="shared" si="29"/>
        <v>2</v>
      </c>
      <c r="C58" s="51" t="str">
        <f t="shared" si="15"/>
        <v>1702</v>
      </c>
      <c r="D58" s="30" t="s">
        <v>207</v>
      </c>
      <c r="E58" s="33">
        <v>2018</v>
      </c>
      <c r="F58" s="30" t="s">
        <v>506</v>
      </c>
      <c r="G58" s="30" t="s">
        <v>209</v>
      </c>
      <c r="H58" s="30" t="s">
        <v>853</v>
      </c>
      <c r="I58" s="40" t="s">
        <v>167</v>
      </c>
      <c r="J58" s="40" t="s">
        <v>147</v>
      </c>
      <c r="K58" s="49" t="s">
        <v>368</v>
      </c>
      <c r="L58" s="40">
        <v>3</v>
      </c>
      <c r="M58" s="40" t="s">
        <v>148</v>
      </c>
      <c r="N58" s="30" t="s">
        <v>377</v>
      </c>
      <c r="O58" s="30" t="s">
        <v>845</v>
      </c>
      <c r="P58" s="40">
        <v>2017</v>
      </c>
      <c r="Q58" s="30" t="s">
        <v>897</v>
      </c>
      <c r="R58" s="35">
        <v>40</v>
      </c>
      <c r="S58" s="43">
        <v>40</v>
      </c>
      <c r="T58" s="32">
        <f t="shared" si="16"/>
        <v>3427.2</v>
      </c>
      <c r="U58" s="30" t="str">
        <f t="shared" si="17"/>
        <v>Cost-Effective</v>
      </c>
      <c r="V58" s="30" t="str">
        <f t="shared" si="18"/>
        <v>Cost-Effective</v>
      </c>
      <c r="W58" s="41">
        <f t="shared" si="19"/>
        <v>1.1671335200746966E-2</v>
      </c>
      <c r="X58" s="55">
        <f t="shared" si="20"/>
        <v>0</v>
      </c>
      <c r="Y58" s="30" t="str">
        <f t="shared" si="21"/>
        <v>No Threshold</v>
      </c>
      <c r="Z58" s="55">
        <f t="shared" si="22"/>
        <v>0</v>
      </c>
      <c r="AA58" s="30" t="str">
        <f t="shared" si="23"/>
        <v>No Threshold</v>
      </c>
      <c r="AB58" s="55">
        <f t="shared" si="24"/>
        <v>0.47927461139896371</v>
      </c>
      <c r="AC58" s="30" t="str">
        <f t="shared" si="25"/>
        <v>Cost-Effective</v>
      </c>
      <c r="AD58" s="55">
        <f t="shared" si="26"/>
        <v>0.10172203596464492</v>
      </c>
      <c r="AE58" s="30" t="str">
        <f t="shared" si="27"/>
        <v>Cost-Effective</v>
      </c>
      <c r="AF58" s="30" t="s">
        <v>176</v>
      </c>
      <c r="AG58" s="30" t="s">
        <v>382</v>
      </c>
      <c r="AJ58" s="30" t="s">
        <v>148</v>
      </c>
    </row>
    <row r="59" spans="1:36" ht="12.75" customHeight="1">
      <c r="A59" s="40">
        <f t="shared" si="28"/>
        <v>17</v>
      </c>
      <c r="B59" s="40">
        <f t="shared" si="29"/>
        <v>3</v>
      </c>
      <c r="C59" s="51" t="str">
        <f t="shared" si="15"/>
        <v>1703</v>
      </c>
      <c r="D59" s="30" t="s">
        <v>207</v>
      </c>
      <c r="E59" s="33">
        <v>2018</v>
      </c>
      <c r="F59" s="30" t="s">
        <v>506</v>
      </c>
      <c r="G59" s="30" t="s">
        <v>209</v>
      </c>
      <c r="H59" s="30" t="s">
        <v>875</v>
      </c>
      <c r="I59" s="40" t="s">
        <v>167</v>
      </c>
      <c r="J59" s="40" t="s">
        <v>166</v>
      </c>
      <c r="K59" s="49" t="s">
        <v>368</v>
      </c>
      <c r="L59" s="40">
        <v>3</v>
      </c>
      <c r="M59" s="40" t="s">
        <v>148</v>
      </c>
      <c r="N59" s="30" t="s">
        <v>377</v>
      </c>
      <c r="O59" s="30" t="s">
        <v>845</v>
      </c>
      <c r="P59" s="40">
        <v>2017</v>
      </c>
      <c r="Q59" s="30" t="s">
        <v>898</v>
      </c>
      <c r="R59" s="35">
        <v>92</v>
      </c>
      <c r="S59" s="43">
        <v>92</v>
      </c>
      <c r="T59" s="32">
        <f t="shared" si="16"/>
        <v>3427.2</v>
      </c>
      <c r="U59" s="30" t="str">
        <f t="shared" si="17"/>
        <v>Cost-Effective</v>
      </c>
      <c r="V59" s="30" t="str">
        <f t="shared" si="18"/>
        <v>Cost-Effective</v>
      </c>
      <c r="W59" s="41">
        <f t="shared" si="19"/>
        <v>2.6844070961718022E-2</v>
      </c>
      <c r="X59" s="55">
        <f t="shared" si="20"/>
        <v>0</v>
      </c>
      <c r="Y59" s="30" t="str">
        <f t="shared" si="21"/>
        <v>No Threshold</v>
      </c>
      <c r="Z59" s="55">
        <f t="shared" si="22"/>
        <v>0</v>
      </c>
      <c r="AA59" s="30" t="str">
        <f t="shared" si="23"/>
        <v>No Threshold</v>
      </c>
      <c r="AB59" s="55">
        <f t="shared" si="24"/>
        <v>0.47927461139896371</v>
      </c>
      <c r="AC59" s="30" t="str">
        <f t="shared" si="25"/>
        <v>Cost-Effective</v>
      </c>
      <c r="AD59" s="55">
        <f t="shared" si="26"/>
        <v>0.10172203596464492</v>
      </c>
      <c r="AE59" s="30" t="str">
        <f t="shared" si="27"/>
        <v>Cost-Effective</v>
      </c>
      <c r="AF59" s="30" t="s">
        <v>176</v>
      </c>
      <c r="AG59" s="30" t="s">
        <v>382</v>
      </c>
      <c r="AJ59" s="30" t="s">
        <v>148</v>
      </c>
    </row>
    <row r="60" spans="1:36" ht="12.75" customHeight="1">
      <c r="A60" s="40">
        <f t="shared" ref="A60:A76" si="30">IF(F60=F59,A59,A59+1)</f>
        <v>18</v>
      </c>
      <c r="B60" s="40">
        <f t="shared" ref="B60:B76" si="31">IF(F60=F59,B59+1,1)</f>
        <v>1</v>
      </c>
      <c r="C60" s="51" t="str">
        <f t="shared" si="15"/>
        <v>1801</v>
      </c>
      <c r="D60" s="30" t="s">
        <v>78</v>
      </c>
      <c r="E60" s="40">
        <v>2021</v>
      </c>
      <c r="F60" s="30" t="s">
        <v>1118</v>
      </c>
      <c r="G60" s="9" t="s">
        <v>200</v>
      </c>
      <c r="H60" s="44" t="s">
        <v>437</v>
      </c>
      <c r="I60" s="40" t="s">
        <v>167</v>
      </c>
      <c r="J60" s="40" t="s">
        <v>166</v>
      </c>
      <c r="K60" s="49" t="s">
        <v>494</v>
      </c>
      <c r="L60" s="40">
        <v>3</v>
      </c>
      <c r="M60" s="40" t="s">
        <v>155</v>
      </c>
      <c r="N60" s="30" t="s">
        <v>1033</v>
      </c>
      <c r="O60" s="30" t="s">
        <v>1046</v>
      </c>
      <c r="P60" s="40">
        <v>2019</v>
      </c>
      <c r="Q60" s="69" t="s">
        <v>745</v>
      </c>
      <c r="R60" s="119">
        <f>-12274777282/153349</f>
        <v>-80044.716835453772</v>
      </c>
      <c r="S60" s="120" t="e">
        <f>R60/xRates!Y157</f>
        <v>#DIV/0!</v>
      </c>
      <c r="T60" s="32">
        <f t="shared" si="16"/>
        <v>3413.8</v>
      </c>
      <c r="U60" s="30" t="e">
        <f t="shared" si="17"/>
        <v>#DIV/0!</v>
      </c>
      <c r="V60" s="30" t="e">
        <f t="shared" si="18"/>
        <v>#DIV/0!</v>
      </c>
      <c r="W60" s="41" t="e">
        <f t="shared" si="19"/>
        <v>#DIV/0!</v>
      </c>
      <c r="X60" s="55">
        <f t="shared" si="20"/>
        <v>0.34</v>
      </c>
      <c r="Y60" s="30" t="e">
        <f t="shared" si="21"/>
        <v>#DIV/0!</v>
      </c>
      <c r="Z60" s="55">
        <f t="shared" si="22"/>
        <v>0.23</v>
      </c>
      <c r="AA60" s="30" t="e">
        <f t="shared" si="23"/>
        <v>#DIV/0!</v>
      </c>
      <c r="AB60" s="55">
        <f t="shared" si="24"/>
        <v>0.49901671583087515</v>
      </c>
      <c r="AC60" s="30" t="e">
        <f t="shared" si="25"/>
        <v>#DIV/0!</v>
      </c>
      <c r="AD60" s="55">
        <f t="shared" si="26"/>
        <v>8.9900266891417335E-2</v>
      </c>
      <c r="AE60" s="30" t="e">
        <f t="shared" si="27"/>
        <v>#DIV/0!</v>
      </c>
      <c r="AF60" s="30" t="s">
        <v>298</v>
      </c>
      <c r="AG60" s="30" t="s">
        <v>439</v>
      </c>
      <c r="AJ60" s="30" t="s">
        <v>148</v>
      </c>
    </row>
    <row r="61" spans="1:36" ht="12.75" customHeight="1">
      <c r="A61" s="40">
        <f t="shared" si="30"/>
        <v>19</v>
      </c>
      <c r="B61" s="40">
        <f t="shared" si="31"/>
        <v>1</v>
      </c>
      <c r="C61" s="51" t="str">
        <f t="shared" si="15"/>
        <v>1901</v>
      </c>
      <c r="D61" s="30" t="s">
        <v>81</v>
      </c>
      <c r="E61" s="40">
        <v>2021</v>
      </c>
      <c r="F61" s="30" t="s">
        <v>1119</v>
      </c>
      <c r="G61" s="9" t="s">
        <v>301</v>
      </c>
      <c r="H61" s="44" t="s">
        <v>1048</v>
      </c>
      <c r="I61" s="40" t="s">
        <v>167</v>
      </c>
      <c r="J61" s="40" t="s">
        <v>147</v>
      </c>
      <c r="K61" s="49" t="s">
        <v>368</v>
      </c>
      <c r="L61" s="40">
        <v>3</v>
      </c>
      <c r="M61" s="40" t="s">
        <v>155</v>
      </c>
      <c r="N61" s="30" t="s">
        <v>302</v>
      </c>
      <c r="O61" s="30" t="s">
        <v>845</v>
      </c>
      <c r="P61" s="40">
        <v>2019</v>
      </c>
      <c r="Q61" s="30" t="s">
        <v>1049</v>
      </c>
      <c r="R61" s="31">
        <v>162</v>
      </c>
      <c r="S61" s="43">
        <f t="shared" ref="S61:S76" si="32">R61</f>
        <v>162</v>
      </c>
      <c r="T61" s="32">
        <f t="shared" si="16"/>
        <v>4151.2</v>
      </c>
      <c r="U61" s="30" t="str">
        <f t="shared" si="17"/>
        <v>Cost-Effective</v>
      </c>
      <c r="V61" s="30" t="str">
        <f t="shared" si="18"/>
        <v>Cost-Effective</v>
      </c>
      <c r="W61" s="41">
        <f t="shared" si="19"/>
        <v>3.9024860281364426E-2</v>
      </c>
      <c r="X61" s="55">
        <f t="shared" si="20"/>
        <v>0.23</v>
      </c>
      <c r="Y61" s="30" t="str">
        <f t="shared" si="21"/>
        <v>Cost-Effective</v>
      </c>
      <c r="Z61" s="55">
        <f t="shared" si="22"/>
        <v>0.16</v>
      </c>
      <c r="AA61" s="30" t="str">
        <f t="shared" si="23"/>
        <v>Cost-Effective</v>
      </c>
      <c r="AB61" s="55">
        <f t="shared" si="24"/>
        <v>0.49571178772655361</v>
      </c>
      <c r="AC61" s="30" t="str">
        <f t="shared" si="25"/>
        <v>Cost-Effective</v>
      </c>
      <c r="AD61" s="55">
        <f t="shared" si="26"/>
        <v>0.13100557883926836</v>
      </c>
      <c r="AE61" s="30" t="str">
        <f t="shared" si="27"/>
        <v>Cost-Effective</v>
      </c>
      <c r="AF61" s="30" t="s">
        <v>176</v>
      </c>
      <c r="AG61" s="30" t="s">
        <v>382</v>
      </c>
      <c r="AH61" s="30" t="s">
        <v>1120</v>
      </c>
      <c r="AJ61" s="30" t="s">
        <v>148</v>
      </c>
    </row>
    <row r="62" spans="1:36" ht="12.75" customHeight="1">
      <c r="A62" s="40">
        <f t="shared" si="30"/>
        <v>19</v>
      </c>
      <c r="B62" s="40">
        <f t="shared" si="31"/>
        <v>2</v>
      </c>
      <c r="C62" s="51" t="str">
        <f t="shared" si="15"/>
        <v>1902</v>
      </c>
      <c r="D62" s="30" t="s">
        <v>81</v>
      </c>
      <c r="E62" s="40">
        <v>2021</v>
      </c>
      <c r="F62" s="30" t="s">
        <v>1119</v>
      </c>
      <c r="G62" s="9" t="s">
        <v>301</v>
      </c>
      <c r="H62" s="44" t="s">
        <v>1048</v>
      </c>
      <c r="I62" s="40" t="s">
        <v>167</v>
      </c>
      <c r="J62" s="40" t="s">
        <v>147</v>
      </c>
      <c r="K62" s="49" t="s">
        <v>368</v>
      </c>
      <c r="L62" s="40">
        <v>3</v>
      </c>
      <c r="M62" s="40" t="s">
        <v>155</v>
      </c>
      <c r="N62" s="30" t="s">
        <v>1033</v>
      </c>
      <c r="O62" s="30" t="s">
        <v>845</v>
      </c>
      <c r="P62" s="40">
        <v>2019</v>
      </c>
      <c r="Q62" s="30" t="s">
        <v>1051</v>
      </c>
      <c r="R62" s="31">
        <v>254</v>
      </c>
      <c r="S62" s="43">
        <f t="shared" si="32"/>
        <v>254</v>
      </c>
      <c r="T62" s="32">
        <f t="shared" si="16"/>
        <v>4151.2</v>
      </c>
      <c r="U62" s="30" t="str">
        <f t="shared" si="17"/>
        <v>Cost-Effective</v>
      </c>
      <c r="V62" s="30" t="str">
        <f t="shared" si="18"/>
        <v>Cost-Effective</v>
      </c>
      <c r="W62" s="41">
        <f t="shared" si="19"/>
        <v>6.1187126613991137E-2</v>
      </c>
      <c r="X62" s="55">
        <f t="shared" si="20"/>
        <v>0.23</v>
      </c>
      <c r="Y62" s="30" t="str">
        <f t="shared" si="21"/>
        <v>Cost-Effective</v>
      </c>
      <c r="Z62" s="55">
        <f t="shared" si="22"/>
        <v>0.16</v>
      </c>
      <c r="AA62" s="30" t="str">
        <f t="shared" si="23"/>
        <v>Cost-Effective</v>
      </c>
      <c r="AB62" s="55">
        <f t="shared" si="24"/>
        <v>0.49571178772655361</v>
      </c>
      <c r="AC62" s="30" t="str">
        <f t="shared" si="25"/>
        <v>Cost-Effective</v>
      </c>
      <c r="AD62" s="55">
        <f t="shared" si="26"/>
        <v>0.13100557883926836</v>
      </c>
      <c r="AE62" s="30" t="str">
        <f t="shared" si="27"/>
        <v>Cost-Effective</v>
      </c>
      <c r="AF62" s="30" t="s">
        <v>176</v>
      </c>
      <c r="AG62" s="30" t="s">
        <v>382</v>
      </c>
      <c r="AH62" s="30" t="s">
        <v>1120</v>
      </c>
      <c r="AJ62" s="30" t="s">
        <v>148</v>
      </c>
    </row>
    <row r="63" spans="1:36" ht="12.75" customHeight="1">
      <c r="A63" s="40">
        <f t="shared" si="30"/>
        <v>19</v>
      </c>
      <c r="B63" s="40">
        <f t="shared" si="31"/>
        <v>3</v>
      </c>
      <c r="C63" s="51" t="str">
        <f t="shared" si="15"/>
        <v>1903</v>
      </c>
      <c r="D63" s="30" t="s">
        <v>81</v>
      </c>
      <c r="E63" s="40">
        <v>2021</v>
      </c>
      <c r="F63" s="30" t="s">
        <v>1119</v>
      </c>
      <c r="G63" s="9" t="s">
        <v>301</v>
      </c>
      <c r="H63" s="44" t="s">
        <v>1048</v>
      </c>
      <c r="I63" s="40" t="s">
        <v>167</v>
      </c>
      <c r="J63" s="40" t="s">
        <v>147</v>
      </c>
      <c r="K63" s="49" t="s">
        <v>368</v>
      </c>
      <c r="L63" s="40">
        <v>3</v>
      </c>
      <c r="M63" s="40" t="s">
        <v>155</v>
      </c>
      <c r="N63" s="30" t="s">
        <v>756</v>
      </c>
      <c r="O63" s="30" t="s">
        <v>845</v>
      </c>
      <c r="P63" s="40">
        <v>2019</v>
      </c>
      <c r="Q63" s="30" t="s">
        <v>1052</v>
      </c>
      <c r="R63" s="31">
        <v>322</v>
      </c>
      <c r="S63" s="43">
        <f t="shared" si="32"/>
        <v>322</v>
      </c>
      <c r="T63" s="32">
        <f t="shared" si="16"/>
        <v>4151.2</v>
      </c>
      <c r="U63" s="30" t="str">
        <f t="shared" si="17"/>
        <v>Cost-Effective</v>
      </c>
      <c r="V63" s="30" t="str">
        <f t="shared" si="18"/>
        <v>Cost-Effective</v>
      </c>
      <c r="W63" s="41">
        <f t="shared" si="19"/>
        <v>7.7567932164193484E-2</v>
      </c>
      <c r="X63" s="55">
        <f t="shared" si="20"/>
        <v>0.23</v>
      </c>
      <c r="Y63" s="30" t="str">
        <f t="shared" si="21"/>
        <v>Cost-Effective</v>
      </c>
      <c r="Z63" s="55">
        <f t="shared" si="22"/>
        <v>0.16</v>
      </c>
      <c r="AA63" s="30" t="str">
        <f t="shared" si="23"/>
        <v>Cost-Effective</v>
      </c>
      <c r="AB63" s="55">
        <f t="shared" si="24"/>
        <v>0.49571178772655361</v>
      </c>
      <c r="AC63" s="30" t="str">
        <f t="shared" si="25"/>
        <v>Cost-Effective</v>
      </c>
      <c r="AD63" s="55">
        <f t="shared" si="26"/>
        <v>0.13100557883926836</v>
      </c>
      <c r="AE63" s="30" t="str">
        <f t="shared" si="27"/>
        <v>Cost-Effective</v>
      </c>
      <c r="AF63" s="30" t="s">
        <v>176</v>
      </c>
      <c r="AG63" s="30" t="s">
        <v>382</v>
      </c>
      <c r="AH63" s="30" t="s">
        <v>1120</v>
      </c>
      <c r="AJ63" s="30" t="s">
        <v>148</v>
      </c>
    </row>
    <row r="64" spans="1:36" ht="12.75" customHeight="1">
      <c r="A64" s="40">
        <f t="shared" si="30"/>
        <v>19</v>
      </c>
      <c r="B64" s="40">
        <f t="shared" si="31"/>
        <v>4</v>
      </c>
      <c r="C64" s="51" t="str">
        <f t="shared" si="15"/>
        <v>1904</v>
      </c>
      <c r="D64" s="30" t="s">
        <v>81</v>
      </c>
      <c r="E64" s="40">
        <v>2021</v>
      </c>
      <c r="F64" s="30" t="s">
        <v>1119</v>
      </c>
      <c r="G64" s="9" t="s">
        <v>301</v>
      </c>
      <c r="H64" s="44" t="s">
        <v>1053</v>
      </c>
      <c r="I64" s="40" t="s">
        <v>167</v>
      </c>
      <c r="J64" s="40" t="s">
        <v>147</v>
      </c>
      <c r="K64" s="49" t="s">
        <v>368</v>
      </c>
      <c r="L64" s="40">
        <v>3</v>
      </c>
      <c r="M64" s="40" t="s">
        <v>155</v>
      </c>
      <c r="N64" s="30" t="s">
        <v>302</v>
      </c>
      <c r="O64" s="30" t="s">
        <v>845</v>
      </c>
      <c r="P64" s="40">
        <v>2019</v>
      </c>
      <c r="Q64" s="30" t="s">
        <v>1054</v>
      </c>
      <c r="R64" s="31">
        <v>447</v>
      </c>
      <c r="S64" s="43">
        <f t="shared" si="32"/>
        <v>447</v>
      </c>
      <c r="T64" s="32">
        <f t="shared" si="16"/>
        <v>4151.2</v>
      </c>
      <c r="U64" s="30" t="str">
        <f t="shared" si="17"/>
        <v>Cost-Effective</v>
      </c>
      <c r="V64" s="30" t="str">
        <f t="shared" si="18"/>
        <v>Cost-Effective</v>
      </c>
      <c r="W64" s="41">
        <f t="shared" si="19"/>
        <v>0.1076797070726537</v>
      </c>
      <c r="X64" s="55">
        <f t="shared" si="20"/>
        <v>0.23</v>
      </c>
      <c r="Y64" s="30" t="str">
        <f t="shared" si="21"/>
        <v>Cost-Effective</v>
      </c>
      <c r="Z64" s="55">
        <f t="shared" si="22"/>
        <v>0.16</v>
      </c>
      <c r="AA64" s="30" t="str">
        <f t="shared" si="23"/>
        <v>Cost-Effective</v>
      </c>
      <c r="AB64" s="55">
        <f t="shared" si="24"/>
        <v>0.49571178772655361</v>
      </c>
      <c r="AC64" s="30" t="str">
        <f t="shared" si="25"/>
        <v>Cost-Effective</v>
      </c>
      <c r="AD64" s="55">
        <f t="shared" si="26"/>
        <v>0.13100557883926836</v>
      </c>
      <c r="AE64" s="30" t="str">
        <f t="shared" si="27"/>
        <v>Cost-Effective</v>
      </c>
      <c r="AF64" s="30" t="s">
        <v>176</v>
      </c>
      <c r="AG64" s="30" t="s">
        <v>382</v>
      </c>
      <c r="AH64" s="30" t="s">
        <v>1120</v>
      </c>
      <c r="AJ64" s="30" t="s">
        <v>148</v>
      </c>
    </row>
    <row r="65" spans="1:36" ht="12.75" customHeight="1">
      <c r="A65" s="40">
        <f t="shared" si="30"/>
        <v>19</v>
      </c>
      <c r="B65" s="40">
        <f t="shared" si="31"/>
        <v>5</v>
      </c>
      <c r="C65" s="51" t="str">
        <f t="shared" si="15"/>
        <v>1905</v>
      </c>
      <c r="D65" s="30" t="s">
        <v>81</v>
      </c>
      <c r="E65" s="40">
        <v>2021</v>
      </c>
      <c r="F65" s="30" t="s">
        <v>1119</v>
      </c>
      <c r="G65" s="9" t="s">
        <v>301</v>
      </c>
      <c r="H65" s="44" t="s">
        <v>1053</v>
      </c>
      <c r="I65" s="40" t="s">
        <v>167</v>
      </c>
      <c r="J65" s="40" t="s">
        <v>147</v>
      </c>
      <c r="K65" s="49" t="s">
        <v>368</v>
      </c>
      <c r="L65" s="40">
        <v>3</v>
      </c>
      <c r="M65" s="40" t="s">
        <v>155</v>
      </c>
      <c r="N65" s="30" t="s">
        <v>1033</v>
      </c>
      <c r="O65" s="30" t="s">
        <v>845</v>
      </c>
      <c r="P65" s="40">
        <v>2019</v>
      </c>
      <c r="Q65" s="30" t="s">
        <v>1055</v>
      </c>
      <c r="R65" s="31">
        <v>539</v>
      </c>
      <c r="S65" s="43">
        <f t="shared" si="32"/>
        <v>539</v>
      </c>
      <c r="T65" s="32">
        <f t="shared" si="16"/>
        <v>4151.2</v>
      </c>
      <c r="U65" s="30" t="str">
        <f t="shared" si="17"/>
        <v>Cost-Effective</v>
      </c>
      <c r="V65" s="30" t="str">
        <f t="shared" si="18"/>
        <v>Cost-Effective</v>
      </c>
      <c r="W65" s="41">
        <f t="shared" si="19"/>
        <v>0.12984197340528042</v>
      </c>
      <c r="X65" s="55">
        <f t="shared" si="20"/>
        <v>0.23</v>
      </c>
      <c r="Y65" s="30" t="str">
        <f t="shared" si="21"/>
        <v>Cost-Effective</v>
      </c>
      <c r="Z65" s="55">
        <f t="shared" si="22"/>
        <v>0.16</v>
      </c>
      <c r="AA65" s="30" t="str">
        <f t="shared" si="23"/>
        <v>Cost-Effective</v>
      </c>
      <c r="AB65" s="55">
        <f t="shared" si="24"/>
        <v>0.49571178772655361</v>
      </c>
      <c r="AC65" s="30" t="str">
        <f t="shared" si="25"/>
        <v>Cost-Effective</v>
      </c>
      <c r="AD65" s="55">
        <f t="shared" si="26"/>
        <v>0.13100557883926836</v>
      </c>
      <c r="AE65" s="30" t="str">
        <f t="shared" si="27"/>
        <v>Cost-Effective</v>
      </c>
      <c r="AF65" s="30" t="s">
        <v>176</v>
      </c>
      <c r="AG65" s="30" t="s">
        <v>382</v>
      </c>
      <c r="AH65" s="30" t="s">
        <v>1120</v>
      </c>
      <c r="AJ65" s="30" t="s">
        <v>148</v>
      </c>
    </row>
    <row r="66" spans="1:36" ht="12.75" customHeight="1">
      <c r="A66" s="40">
        <f t="shared" si="30"/>
        <v>19</v>
      </c>
      <c r="B66" s="40">
        <f t="shared" si="31"/>
        <v>6</v>
      </c>
      <c r="C66" s="51" t="str">
        <f t="shared" ref="C66:C76" si="33">_xlfn.CONCAT(TEXT(A66,"00"),TEXT(B66,"00"))</f>
        <v>1906</v>
      </c>
      <c r="D66" s="30" t="s">
        <v>81</v>
      </c>
      <c r="E66" s="40">
        <v>2021</v>
      </c>
      <c r="F66" s="30" t="s">
        <v>1119</v>
      </c>
      <c r="G66" s="9" t="s">
        <v>301</v>
      </c>
      <c r="H66" s="44" t="s">
        <v>1053</v>
      </c>
      <c r="I66" s="40" t="s">
        <v>167</v>
      </c>
      <c r="J66" s="40" t="s">
        <v>147</v>
      </c>
      <c r="K66" s="49" t="s">
        <v>368</v>
      </c>
      <c r="L66" s="40">
        <v>3</v>
      </c>
      <c r="M66" s="40" t="s">
        <v>155</v>
      </c>
      <c r="N66" s="30" t="s">
        <v>756</v>
      </c>
      <c r="O66" s="30" t="s">
        <v>845</v>
      </c>
      <c r="P66" s="40">
        <v>2019</v>
      </c>
      <c r="Q66" s="30" t="s">
        <v>1056</v>
      </c>
      <c r="R66" s="31">
        <v>607</v>
      </c>
      <c r="S66" s="43">
        <f t="shared" si="32"/>
        <v>607</v>
      </c>
      <c r="T66" s="32">
        <f t="shared" ref="T66:T76" si="34">VLOOKUP(G66,gdppc,P66-1958,FALSE)</f>
        <v>4151.2</v>
      </c>
      <c r="U66" s="30" t="str">
        <f t="shared" ref="U66:U76" si="35">IF(S66&lt;T66,"Cost-Effective","Not Cost-Effective")</f>
        <v>Cost-Effective</v>
      </c>
      <c r="V66" s="30" t="str">
        <f t="shared" ref="V66:V76" si="36">IF(S66&lt;T66*3,"Cost-Effective","Not Cost-Effective")</f>
        <v>Cost-Effective</v>
      </c>
      <c r="W66" s="41">
        <f t="shared" ref="W66:W76" si="37">S66/T66</f>
        <v>0.14622277895548275</v>
      </c>
      <c r="X66" s="55">
        <f t="shared" ref="X66:X76" si="38">IFERROR(VLOOKUP(G66,ochalek,11,FALSE),0)</f>
        <v>0.23</v>
      </c>
      <c r="Y66" s="30" t="str">
        <f t="shared" ref="Y66:Y76" si="39">IF( W66&lt;X66, "Cost-Effective", IF( W66-X66=W66, "No Threshold", "Not Cost-Effective"))</f>
        <v>Cost-Effective</v>
      </c>
      <c r="Z66" s="55">
        <f t="shared" ref="Z66:Z76" si="40">IFERROR(VLOOKUP(G66,ochalek,10,FALSE),0)</f>
        <v>0.16</v>
      </c>
      <c r="AA66" s="30" t="str">
        <f t="shared" ref="AA66:AA76" si="41">IF( W66&lt;Z66, "Cost-Effective", IF( W66-Z66=W66, "No Threshold", "Not Cost-Effective"))</f>
        <v>Cost-Effective</v>
      </c>
      <c r="AB66" s="55">
        <f t="shared" ref="AB66:AB76" si="42">IFERROR(VLOOKUP(G66,woods,6,FALSE),0)</f>
        <v>0.49571178772655361</v>
      </c>
      <c r="AC66" s="30" t="str">
        <f t="shared" ref="AC66:AC76" si="43">IF( W66&lt;AB66, "Cost-Effective", IF( W66-AB66=W66, "No Threshold", "Not Cost-Effective"))</f>
        <v>Cost-Effective</v>
      </c>
      <c r="AD66" s="55">
        <f t="shared" ref="AD66:AD76" si="44">IFERROR(VLOOKUP(G66,woods,5,FALSE),0)</f>
        <v>0.13100557883926836</v>
      </c>
      <c r="AE66" s="30" t="str">
        <f t="shared" ref="AE66:AE76" si="45">IF( W66&lt;AD66, "Cost-Effective", IF( W66-AD66=W66, "No Threshold", "Not Cost-Effective"))</f>
        <v>Not Cost-Effective</v>
      </c>
      <c r="AF66" s="30" t="s">
        <v>176</v>
      </c>
      <c r="AG66" s="30" t="s">
        <v>382</v>
      </c>
      <c r="AH66" s="30" t="s">
        <v>1120</v>
      </c>
      <c r="AJ66" s="30" t="s">
        <v>148</v>
      </c>
    </row>
    <row r="67" spans="1:36" ht="12.75" customHeight="1">
      <c r="A67" s="40">
        <f t="shared" si="30"/>
        <v>19</v>
      </c>
      <c r="B67" s="40">
        <f t="shared" si="31"/>
        <v>7</v>
      </c>
      <c r="C67" s="51" t="str">
        <f t="shared" si="33"/>
        <v>1907</v>
      </c>
      <c r="D67" s="30" t="s">
        <v>81</v>
      </c>
      <c r="E67" s="40">
        <v>2021</v>
      </c>
      <c r="F67" s="30" t="s">
        <v>1119</v>
      </c>
      <c r="G67" s="9" t="s">
        <v>301</v>
      </c>
      <c r="H67" s="44" t="s">
        <v>1057</v>
      </c>
      <c r="I67" s="40" t="s">
        <v>167</v>
      </c>
      <c r="J67" s="40" t="s">
        <v>147</v>
      </c>
      <c r="K67" s="49" t="s">
        <v>368</v>
      </c>
      <c r="L67" s="40">
        <v>3</v>
      </c>
      <c r="M67" s="40" t="s">
        <v>155</v>
      </c>
      <c r="N67" s="30" t="s">
        <v>302</v>
      </c>
      <c r="O67" s="30" t="s">
        <v>845</v>
      </c>
      <c r="P67" s="40">
        <v>2019</v>
      </c>
      <c r="Q67" s="30" t="s">
        <v>1058</v>
      </c>
      <c r="R67" s="31">
        <v>718</v>
      </c>
      <c r="S67" s="43">
        <f t="shared" si="32"/>
        <v>718</v>
      </c>
      <c r="T67" s="32">
        <f t="shared" si="34"/>
        <v>4151.2</v>
      </c>
      <c r="U67" s="30" t="str">
        <f t="shared" si="35"/>
        <v>Cost-Effective</v>
      </c>
      <c r="V67" s="30" t="str">
        <f t="shared" si="36"/>
        <v>Cost-Effective</v>
      </c>
      <c r="W67" s="41">
        <f t="shared" si="37"/>
        <v>0.17296203507419541</v>
      </c>
      <c r="X67" s="55">
        <f t="shared" si="38"/>
        <v>0.23</v>
      </c>
      <c r="Y67" s="30" t="str">
        <f t="shared" si="39"/>
        <v>Cost-Effective</v>
      </c>
      <c r="Z67" s="55">
        <f t="shared" si="40"/>
        <v>0.16</v>
      </c>
      <c r="AA67" s="30" t="str">
        <f t="shared" si="41"/>
        <v>Not Cost-Effective</v>
      </c>
      <c r="AB67" s="55">
        <f t="shared" si="42"/>
        <v>0.49571178772655361</v>
      </c>
      <c r="AC67" s="30" t="str">
        <f t="shared" si="43"/>
        <v>Cost-Effective</v>
      </c>
      <c r="AD67" s="55">
        <f t="shared" si="44"/>
        <v>0.13100557883926836</v>
      </c>
      <c r="AE67" s="30" t="str">
        <f t="shared" si="45"/>
        <v>Not Cost-Effective</v>
      </c>
      <c r="AF67" s="30" t="s">
        <v>176</v>
      </c>
      <c r="AG67" s="30" t="s">
        <v>382</v>
      </c>
      <c r="AH67" s="30" t="s">
        <v>1120</v>
      </c>
      <c r="AJ67" s="30" t="s">
        <v>148</v>
      </c>
    </row>
    <row r="68" spans="1:36" ht="12.75" customHeight="1">
      <c r="A68" s="40">
        <f t="shared" si="30"/>
        <v>19</v>
      </c>
      <c r="B68" s="40">
        <f t="shared" si="31"/>
        <v>8</v>
      </c>
      <c r="C68" s="51" t="str">
        <f t="shared" si="33"/>
        <v>1908</v>
      </c>
      <c r="D68" s="30" t="s">
        <v>81</v>
      </c>
      <c r="E68" s="40">
        <v>2021</v>
      </c>
      <c r="F68" s="30" t="s">
        <v>1119</v>
      </c>
      <c r="G68" s="9" t="s">
        <v>301</v>
      </c>
      <c r="H68" s="44" t="s">
        <v>1057</v>
      </c>
      <c r="I68" s="40" t="s">
        <v>167</v>
      </c>
      <c r="J68" s="40" t="s">
        <v>147</v>
      </c>
      <c r="K68" s="49" t="s">
        <v>368</v>
      </c>
      <c r="L68" s="40">
        <v>3</v>
      </c>
      <c r="M68" s="40" t="s">
        <v>155</v>
      </c>
      <c r="N68" s="30" t="s">
        <v>1033</v>
      </c>
      <c r="O68" s="30" t="s">
        <v>845</v>
      </c>
      <c r="P68" s="40">
        <v>2019</v>
      </c>
      <c r="Q68" s="30" t="s">
        <v>1059</v>
      </c>
      <c r="R68" s="31">
        <v>810</v>
      </c>
      <c r="S68" s="43">
        <f t="shared" si="32"/>
        <v>810</v>
      </c>
      <c r="T68" s="32">
        <f t="shared" si="34"/>
        <v>4151.2</v>
      </c>
      <c r="U68" s="30" t="str">
        <f t="shared" si="35"/>
        <v>Cost-Effective</v>
      </c>
      <c r="V68" s="30" t="str">
        <f t="shared" si="36"/>
        <v>Cost-Effective</v>
      </c>
      <c r="W68" s="41">
        <f t="shared" si="37"/>
        <v>0.19512430140682213</v>
      </c>
      <c r="X68" s="55">
        <f t="shared" si="38"/>
        <v>0.23</v>
      </c>
      <c r="Y68" s="30" t="str">
        <f t="shared" si="39"/>
        <v>Cost-Effective</v>
      </c>
      <c r="Z68" s="55">
        <f t="shared" si="40"/>
        <v>0.16</v>
      </c>
      <c r="AA68" s="30" t="str">
        <f t="shared" si="41"/>
        <v>Not Cost-Effective</v>
      </c>
      <c r="AB68" s="55">
        <f t="shared" si="42"/>
        <v>0.49571178772655361</v>
      </c>
      <c r="AC68" s="30" t="str">
        <f t="shared" si="43"/>
        <v>Cost-Effective</v>
      </c>
      <c r="AD68" s="55">
        <f t="shared" si="44"/>
        <v>0.13100557883926836</v>
      </c>
      <c r="AE68" s="30" t="str">
        <f t="shared" si="45"/>
        <v>Not Cost-Effective</v>
      </c>
      <c r="AF68" s="30" t="s">
        <v>176</v>
      </c>
      <c r="AG68" s="30" t="s">
        <v>382</v>
      </c>
      <c r="AH68" s="30" t="s">
        <v>1120</v>
      </c>
      <c r="AJ68" s="30" t="s">
        <v>148</v>
      </c>
    </row>
    <row r="69" spans="1:36" ht="12.75" customHeight="1">
      <c r="A69" s="40">
        <f t="shared" si="30"/>
        <v>19</v>
      </c>
      <c r="B69" s="40">
        <f t="shared" si="31"/>
        <v>9</v>
      </c>
      <c r="C69" s="51" t="str">
        <f t="shared" si="33"/>
        <v>1909</v>
      </c>
      <c r="D69" s="30" t="s">
        <v>81</v>
      </c>
      <c r="E69" s="40">
        <v>2021</v>
      </c>
      <c r="F69" s="30" t="s">
        <v>1119</v>
      </c>
      <c r="G69" s="9" t="s">
        <v>301</v>
      </c>
      <c r="H69" s="44" t="s">
        <v>1057</v>
      </c>
      <c r="I69" s="40" t="s">
        <v>167</v>
      </c>
      <c r="J69" s="40" t="s">
        <v>147</v>
      </c>
      <c r="K69" s="49" t="s">
        <v>368</v>
      </c>
      <c r="L69" s="40">
        <v>3</v>
      </c>
      <c r="M69" s="40" t="s">
        <v>155</v>
      </c>
      <c r="N69" s="30" t="s">
        <v>756</v>
      </c>
      <c r="O69" s="30" t="s">
        <v>845</v>
      </c>
      <c r="P69" s="40">
        <v>2019</v>
      </c>
      <c r="Q69" s="30" t="s">
        <v>1060</v>
      </c>
      <c r="R69" s="31">
        <v>978</v>
      </c>
      <c r="S69" s="43">
        <f t="shared" si="32"/>
        <v>978</v>
      </c>
      <c r="T69" s="32">
        <f t="shared" si="34"/>
        <v>4151.2</v>
      </c>
      <c r="U69" s="30" t="str">
        <f t="shared" si="35"/>
        <v>Cost-Effective</v>
      </c>
      <c r="V69" s="30" t="str">
        <f t="shared" si="36"/>
        <v>Cost-Effective</v>
      </c>
      <c r="W69" s="41">
        <f t="shared" si="37"/>
        <v>0.23559452688379265</v>
      </c>
      <c r="X69" s="55">
        <f t="shared" si="38"/>
        <v>0.23</v>
      </c>
      <c r="Y69" s="30" t="str">
        <f t="shared" si="39"/>
        <v>Not Cost-Effective</v>
      </c>
      <c r="Z69" s="55">
        <f t="shared" si="40"/>
        <v>0.16</v>
      </c>
      <c r="AA69" s="30" t="str">
        <f t="shared" si="41"/>
        <v>Not Cost-Effective</v>
      </c>
      <c r="AB69" s="55">
        <f t="shared" si="42"/>
        <v>0.49571178772655361</v>
      </c>
      <c r="AC69" s="30" t="str">
        <f t="shared" si="43"/>
        <v>Cost-Effective</v>
      </c>
      <c r="AD69" s="55">
        <f t="shared" si="44"/>
        <v>0.13100557883926836</v>
      </c>
      <c r="AE69" s="30" t="str">
        <f t="shared" si="45"/>
        <v>Not Cost-Effective</v>
      </c>
      <c r="AF69" s="30" t="s">
        <v>176</v>
      </c>
      <c r="AG69" s="30" t="s">
        <v>382</v>
      </c>
      <c r="AH69" s="30" t="s">
        <v>1120</v>
      </c>
      <c r="AJ69" s="30" t="s">
        <v>148</v>
      </c>
    </row>
    <row r="70" spans="1:36" ht="12.75" customHeight="1">
      <c r="A70" s="40">
        <f t="shared" si="30"/>
        <v>19</v>
      </c>
      <c r="B70" s="40">
        <f t="shared" si="31"/>
        <v>10</v>
      </c>
      <c r="C70" s="51" t="str">
        <f t="shared" si="33"/>
        <v>1910</v>
      </c>
      <c r="D70" s="30" t="s">
        <v>81</v>
      </c>
      <c r="E70" s="40">
        <v>2021</v>
      </c>
      <c r="F70" s="30" t="s">
        <v>1119</v>
      </c>
      <c r="G70" s="9" t="s">
        <v>301</v>
      </c>
      <c r="H70" s="44" t="s">
        <v>1061</v>
      </c>
      <c r="I70" s="40" t="s">
        <v>167</v>
      </c>
      <c r="J70" s="40" t="s">
        <v>147</v>
      </c>
      <c r="K70" s="49" t="s">
        <v>368</v>
      </c>
      <c r="L70" s="40">
        <v>3</v>
      </c>
      <c r="M70" s="40" t="s">
        <v>155</v>
      </c>
      <c r="N70" s="30" t="s">
        <v>302</v>
      </c>
      <c r="O70" s="30" t="s">
        <v>845</v>
      </c>
      <c r="P70" s="40">
        <v>2019</v>
      </c>
      <c r="Q70" s="30" t="s">
        <v>1062</v>
      </c>
      <c r="R70" s="31">
        <v>1087</v>
      </c>
      <c r="S70" s="43">
        <f t="shared" si="32"/>
        <v>1087</v>
      </c>
      <c r="T70" s="32">
        <f t="shared" si="34"/>
        <v>4151.2</v>
      </c>
      <c r="U70" s="30" t="str">
        <f t="shared" si="35"/>
        <v>Cost-Effective</v>
      </c>
      <c r="V70" s="30" t="str">
        <f t="shared" si="36"/>
        <v>Cost-Effective</v>
      </c>
      <c r="W70" s="41">
        <f t="shared" si="37"/>
        <v>0.26185199460396996</v>
      </c>
      <c r="X70" s="55">
        <f t="shared" si="38"/>
        <v>0.23</v>
      </c>
      <c r="Y70" s="30" t="str">
        <f t="shared" si="39"/>
        <v>Not Cost-Effective</v>
      </c>
      <c r="Z70" s="55">
        <f t="shared" si="40"/>
        <v>0.16</v>
      </c>
      <c r="AA70" s="30" t="str">
        <f t="shared" si="41"/>
        <v>Not Cost-Effective</v>
      </c>
      <c r="AB70" s="55">
        <f t="shared" si="42"/>
        <v>0.49571178772655361</v>
      </c>
      <c r="AC70" s="30" t="str">
        <f t="shared" si="43"/>
        <v>Cost-Effective</v>
      </c>
      <c r="AD70" s="55">
        <f t="shared" si="44"/>
        <v>0.13100557883926836</v>
      </c>
      <c r="AE70" s="30" t="str">
        <f t="shared" si="45"/>
        <v>Not Cost-Effective</v>
      </c>
      <c r="AF70" s="30" t="s">
        <v>176</v>
      </c>
      <c r="AG70" s="30" t="s">
        <v>382</v>
      </c>
      <c r="AH70" s="30" t="s">
        <v>1120</v>
      </c>
      <c r="AJ70" s="30" t="s">
        <v>148</v>
      </c>
    </row>
    <row r="71" spans="1:36" ht="12.75" customHeight="1">
      <c r="A71" s="40">
        <f t="shared" si="30"/>
        <v>19</v>
      </c>
      <c r="B71" s="40">
        <f t="shared" si="31"/>
        <v>11</v>
      </c>
      <c r="C71" s="51" t="str">
        <f t="shared" si="33"/>
        <v>1911</v>
      </c>
      <c r="D71" s="30" t="s">
        <v>81</v>
      </c>
      <c r="E71" s="40">
        <v>2021</v>
      </c>
      <c r="F71" s="30" t="s">
        <v>1119</v>
      </c>
      <c r="G71" s="9" t="s">
        <v>301</v>
      </c>
      <c r="H71" s="44" t="s">
        <v>1063</v>
      </c>
      <c r="I71" s="40" t="s">
        <v>166</v>
      </c>
      <c r="J71" s="40" t="s">
        <v>147</v>
      </c>
      <c r="K71" s="49" t="s">
        <v>368</v>
      </c>
      <c r="L71" s="40">
        <v>3</v>
      </c>
      <c r="M71" s="40" t="s">
        <v>155</v>
      </c>
      <c r="N71" s="30" t="s">
        <v>149</v>
      </c>
      <c r="O71" s="30" t="s">
        <v>845</v>
      </c>
      <c r="P71" s="40">
        <v>2019</v>
      </c>
      <c r="Q71" s="30" t="s">
        <v>1064</v>
      </c>
      <c r="R71" s="31">
        <v>1179</v>
      </c>
      <c r="S71" s="43">
        <f t="shared" si="32"/>
        <v>1179</v>
      </c>
      <c r="T71" s="32">
        <f t="shared" si="34"/>
        <v>4151.2</v>
      </c>
      <c r="U71" s="30" t="str">
        <f t="shared" si="35"/>
        <v>Cost-Effective</v>
      </c>
      <c r="V71" s="30" t="str">
        <f t="shared" si="36"/>
        <v>Cost-Effective</v>
      </c>
      <c r="W71" s="41">
        <f t="shared" si="37"/>
        <v>0.28401426093659665</v>
      </c>
      <c r="X71" s="55">
        <f t="shared" si="38"/>
        <v>0.23</v>
      </c>
      <c r="Y71" s="30" t="str">
        <f t="shared" si="39"/>
        <v>Not Cost-Effective</v>
      </c>
      <c r="Z71" s="55">
        <f t="shared" si="40"/>
        <v>0.16</v>
      </c>
      <c r="AA71" s="30" t="str">
        <f t="shared" si="41"/>
        <v>Not Cost-Effective</v>
      </c>
      <c r="AB71" s="55">
        <f t="shared" si="42"/>
        <v>0.49571178772655361</v>
      </c>
      <c r="AC71" s="30" t="str">
        <f t="shared" si="43"/>
        <v>Cost-Effective</v>
      </c>
      <c r="AD71" s="55">
        <f t="shared" si="44"/>
        <v>0.13100557883926836</v>
      </c>
      <c r="AE71" s="30" t="str">
        <f t="shared" si="45"/>
        <v>Not Cost-Effective</v>
      </c>
      <c r="AF71" s="30" t="s">
        <v>176</v>
      </c>
      <c r="AG71" s="30" t="s">
        <v>382</v>
      </c>
      <c r="AH71" s="30" t="s">
        <v>1120</v>
      </c>
      <c r="AJ71" s="30" t="s">
        <v>148</v>
      </c>
    </row>
    <row r="72" spans="1:36" ht="12.75" customHeight="1">
      <c r="A72" s="40">
        <f t="shared" si="30"/>
        <v>19</v>
      </c>
      <c r="B72" s="40">
        <f t="shared" si="31"/>
        <v>12</v>
      </c>
      <c r="C72" s="51" t="str">
        <f t="shared" si="33"/>
        <v>1912</v>
      </c>
      <c r="D72" s="30" t="s">
        <v>81</v>
      </c>
      <c r="E72" s="40">
        <v>2021</v>
      </c>
      <c r="F72" s="30" t="s">
        <v>1119</v>
      </c>
      <c r="G72" s="9" t="s">
        <v>301</v>
      </c>
      <c r="H72" s="44" t="s">
        <v>1063</v>
      </c>
      <c r="I72" s="40" t="s">
        <v>166</v>
      </c>
      <c r="J72" s="40" t="s">
        <v>147</v>
      </c>
      <c r="K72" s="49" t="s">
        <v>368</v>
      </c>
      <c r="L72" s="40">
        <v>3</v>
      </c>
      <c r="M72" s="40" t="s">
        <v>155</v>
      </c>
      <c r="N72" s="30" t="s">
        <v>756</v>
      </c>
      <c r="O72" s="30" t="s">
        <v>845</v>
      </c>
      <c r="P72" s="40">
        <v>2019</v>
      </c>
      <c r="Q72" s="30" t="s">
        <v>1065</v>
      </c>
      <c r="R72" s="31">
        <v>1248</v>
      </c>
      <c r="S72" s="43">
        <f t="shared" si="32"/>
        <v>1248</v>
      </c>
      <c r="T72" s="32">
        <f t="shared" si="34"/>
        <v>4151.2</v>
      </c>
      <c r="U72" s="30" t="str">
        <f t="shared" si="35"/>
        <v>Cost-Effective</v>
      </c>
      <c r="V72" s="30" t="str">
        <f t="shared" si="36"/>
        <v>Cost-Effective</v>
      </c>
      <c r="W72" s="41">
        <f t="shared" si="37"/>
        <v>0.30063596068606668</v>
      </c>
      <c r="X72" s="55">
        <f t="shared" si="38"/>
        <v>0.23</v>
      </c>
      <c r="Y72" s="30" t="str">
        <f t="shared" si="39"/>
        <v>Not Cost-Effective</v>
      </c>
      <c r="Z72" s="55">
        <f t="shared" si="40"/>
        <v>0.16</v>
      </c>
      <c r="AA72" s="30" t="str">
        <f t="shared" si="41"/>
        <v>Not Cost-Effective</v>
      </c>
      <c r="AB72" s="55">
        <f t="shared" si="42"/>
        <v>0.49571178772655361</v>
      </c>
      <c r="AC72" s="30" t="str">
        <f t="shared" si="43"/>
        <v>Cost-Effective</v>
      </c>
      <c r="AD72" s="55">
        <f t="shared" si="44"/>
        <v>0.13100557883926836</v>
      </c>
      <c r="AE72" s="30" t="str">
        <f t="shared" si="45"/>
        <v>Not Cost-Effective</v>
      </c>
      <c r="AF72" s="30" t="s">
        <v>176</v>
      </c>
      <c r="AG72" s="30" t="s">
        <v>382</v>
      </c>
      <c r="AH72" s="30" t="s">
        <v>1120</v>
      </c>
      <c r="AJ72" s="30" t="s">
        <v>148</v>
      </c>
    </row>
    <row r="73" spans="1:36" ht="12.75" customHeight="1">
      <c r="A73" s="40">
        <f t="shared" si="30"/>
        <v>20</v>
      </c>
      <c r="B73" s="40">
        <f t="shared" si="31"/>
        <v>1</v>
      </c>
      <c r="C73" s="51" t="str">
        <f t="shared" si="33"/>
        <v>2001</v>
      </c>
      <c r="D73" s="30" t="s">
        <v>83</v>
      </c>
      <c r="E73" s="40">
        <v>2021</v>
      </c>
      <c r="F73" s="30" t="s">
        <v>1121</v>
      </c>
      <c r="G73" s="9" t="s">
        <v>145</v>
      </c>
      <c r="H73" s="44" t="s">
        <v>1122</v>
      </c>
      <c r="I73" s="40" t="s">
        <v>167</v>
      </c>
      <c r="J73" s="40" t="s">
        <v>147</v>
      </c>
      <c r="K73" s="49" t="s">
        <v>376</v>
      </c>
      <c r="L73" s="40">
        <v>4</v>
      </c>
      <c r="M73" s="40" t="s">
        <v>155</v>
      </c>
      <c r="N73" s="30" t="s">
        <v>1033</v>
      </c>
      <c r="O73" s="30" t="s">
        <v>1066</v>
      </c>
      <c r="P73" s="40">
        <v>2019</v>
      </c>
      <c r="Q73" s="30" t="s">
        <v>1067</v>
      </c>
      <c r="R73" s="31">
        <v>15394</v>
      </c>
      <c r="S73" s="43">
        <f t="shared" si="32"/>
        <v>15394</v>
      </c>
      <c r="T73" s="32">
        <f t="shared" si="34"/>
        <v>10143.9</v>
      </c>
      <c r="U73" s="30" t="str">
        <f t="shared" si="35"/>
        <v>Not Cost-Effective</v>
      </c>
      <c r="V73" s="30" t="str">
        <f t="shared" si="36"/>
        <v>Cost-Effective</v>
      </c>
      <c r="W73" s="41">
        <f t="shared" si="37"/>
        <v>1.5175622788079537</v>
      </c>
      <c r="X73" s="55">
        <f t="shared" si="38"/>
        <v>0.71</v>
      </c>
      <c r="Y73" s="30" t="str">
        <f t="shared" si="39"/>
        <v>Not Cost-Effective</v>
      </c>
      <c r="Z73" s="55">
        <f t="shared" si="40"/>
        <v>0.45</v>
      </c>
      <c r="AA73" s="30" t="str">
        <f t="shared" si="41"/>
        <v>Not Cost-Effective</v>
      </c>
      <c r="AB73" s="55">
        <f t="shared" si="42"/>
        <v>0.64811121873397526</v>
      </c>
      <c r="AC73" s="30" t="str">
        <f t="shared" si="43"/>
        <v>Not Cost-Effective</v>
      </c>
      <c r="AD73" s="55">
        <f t="shared" si="44"/>
        <v>0.16395077203578146</v>
      </c>
      <c r="AE73" s="30" t="str">
        <f t="shared" si="45"/>
        <v>Not Cost-Effective</v>
      </c>
      <c r="AF73" s="30" t="s">
        <v>161</v>
      </c>
      <c r="AG73" s="30" t="s">
        <v>382</v>
      </c>
      <c r="AJ73" s="30" t="s">
        <v>148</v>
      </c>
    </row>
    <row r="74" spans="1:36" ht="12.75" customHeight="1">
      <c r="A74" s="40">
        <f t="shared" si="30"/>
        <v>20</v>
      </c>
      <c r="B74" s="40">
        <f t="shared" si="31"/>
        <v>2</v>
      </c>
      <c r="C74" s="51" t="str">
        <f t="shared" si="33"/>
        <v>2002</v>
      </c>
      <c r="D74" s="30" t="s">
        <v>83</v>
      </c>
      <c r="E74" s="40">
        <v>2021</v>
      </c>
      <c r="F74" s="30" t="s">
        <v>1121</v>
      </c>
      <c r="G74" s="9" t="s">
        <v>145</v>
      </c>
      <c r="H74" s="44" t="s">
        <v>1122</v>
      </c>
      <c r="I74" s="40" t="s">
        <v>167</v>
      </c>
      <c r="J74" s="40" t="s">
        <v>147</v>
      </c>
      <c r="K74" s="49" t="s">
        <v>514</v>
      </c>
      <c r="L74" s="40">
        <v>3</v>
      </c>
      <c r="M74" s="40" t="s">
        <v>155</v>
      </c>
      <c r="N74" s="30" t="s">
        <v>1033</v>
      </c>
      <c r="O74" s="30" t="s">
        <v>1066</v>
      </c>
      <c r="P74" s="40">
        <v>2019</v>
      </c>
      <c r="Q74" s="30" t="s">
        <v>1068</v>
      </c>
      <c r="R74" s="31">
        <v>2292</v>
      </c>
      <c r="S74" s="43">
        <f t="shared" si="32"/>
        <v>2292</v>
      </c>
      <c r="T74" s="32">
        <f t="shared" si="34"/>
        <v>10143.9</v>
      </c>
      <c r="U74" s="30" t="str">
        <f t="shared" si="35"/>
        <v>Cost-Effective</v>
      </c>
      <c r="V74" s="30" t="str">
        <f t="shared" si="36"/>
        <v>Cost-Effective</v>
      </c>
      <c r="W74" s="41">
        <f t="shared" si="37"/>
        <v>0.22594859965102179</v>
      </c>
      <c r="X74" s="55">
        <f t="shared" si="38"/>
        <v>0.71</v>
      </c>
      <c r="Y74" s="30" t="str">
        <f t="shared" si="39"/>
        <v>Cost-Effective</v>
      </c>
      <c r="Z74" s="55">
        <f t="shared" si="40"/>
        <v>0.45</v>
      </c>
      <c r="AA74" s="30" t="str">
        <f t="shared" si="41"/>
        <v>Cost-Effective</v>
      </c>
      <c r="AB74" s="55">
        <f t="shared" si="42"/>
        <v>0.64811121873397526</v>
      </c>
      <c r="AC74" s="30" t="str">
        <f t="shared" si="43"/>
        <v>Cost-Effective</v>
      </c>
      <c r="AD74" s="55">
        <f t="shared" si="44"/>
        <v>0.16395077203578146</v>
      </c>
      <c r="AE74" s="30" t="str">
        <f t="shared" si="45"/>
        <v>Not Cost-Effective</v>
      </c>
      <c r="AF74" s="30" t="s">
        <v>161</v>
      </c>
      <c r="AG74" s="30" t="s">
        <v>382</v>
      </c>
      <c r="AJ74" s="30" t="s">
        <v>148</v>
      </c>
    </row>
    <row r="75" spans="1:36" ht="12.75" customHeight="1">
      <c r="A75" s="40">
        <f t="shared" si="30"/>
        <v>20</v>
      </c>
      <c r="B75" s="40">
        <f t="shared" si="31"/>
        <v>3</v>
      </c>
      <c r="C75" s="51" t="str">
        <f t="shared" si="33"/>
        <v>2003</v>
      </c>
      <c r="D75" s="30" t="s">
        <v>83</v>
      </c>
      <c r="E75" s="40">
        <v>2021</v>
      </c>
      <c r="F75" s="30" t="s">
        <v>1121</v>
      </c>
      <c r="G75" s="9" t="s">
        <v>145</v>
      </c>
      <c r="H75" s="44" t="s">
        <v>1122</v>
      </c>
      <c r="I75" s="40" t="s">
        <v>167</v>
      </c>
      <c r="J75" s="40" t="s">
        <v>147</v>
      </c>
      <c r="K75" s="49" t="s">
        <v>559</v>
      </c>
      <c r="L75" s="40">
        <v>2</v>
      </c>
      <c r="M75" s="40" t="s">
        <v>155</v>
      </c>
      <c r="N75" s="30" t="s">
        <v>1033</v>
      </c>
      <c r="O75" s="30" t="s">
        <v>1066</v>
      </c>
      <c r="P75" s="40">
        <v>2019</v>
      </c>
      <c r="Q75" s="30" t="s">
        <v>1069</v>
      </c>
      <c r="R75" s="31">
        <v>3445</v>
      </c>
      <c r="S75" s="43">
        <f t="shared" si="32"/>
        <v>3445</v>
      </c>
      <c r="T75" s="32">
        <f t="shared" si="34"/>
        <v>10143.9</v>
      </c>
      <c r="U75" s="30" t="str">
        <f t="shared" si="35"/>
        <v>Cost-Effective</v>
      </c>
      <c r="V75" s="30" t="str">
        <f t="shared" si="36"/>
        <v>Cost-Effective</v>
      </c>
      <c r="W75" s="41">
        <f t="shared" si="37"/>
        <v>0.33961296937075486</v>
      </c>
      <c r="X75" s="55">
        <f t="shared" si="38"/>
        <v>0.71</v>
      </c>
      <c r="Y75" s="30" t="str">
        <f t="shared" si="39"/>
        <v>Cost-Effective</v>
      </c>
      <c r="Z75" s="55">
        <f t="shared" si="40"/>
        <v>0.45</v>
      </c>
      <c r="AA75" s="30" t="str">
        <f t="shared" si="41"/>
        <v>Cost-Effective</v>
      </c>
      <c r="AB75" s="55">
        <f t="shared" si="42"/>
        <v>0.64811121873397526</v>
      </c>
      <c r="AC75" s="30" t="str">
        <f t="shared" si="43"/>
        <v>Cost-Effective</v>
      </c>
      <c r="AD75" s="55">
        <f t="shared" si="44"/>
        <v>0.16395077203578146</v>
      </c>
      <c r="AE75" s="30" t="str">
        <f t="shared" si="45"/>
        <v>Not Cost-Effective</v>
      </c>
      <c r="AF75" s="30" t="s">
        <v>161</v>
      </c>
      <c r="AG75" s="30" t="s">
        <v>382</v>
      </c>
      <c r="AJ75" s="30" t="s">
        <v>148</v>
      </c>
    </row>
    <row r="76" spans="1:36" ht="12.75" customHeight="1">
      <c r="A76" s="40">
        <f t="shared" si="30"/>
        <v>20</v>
      </c>
      <c r="B76" s="40">
        <f t="shared" si="31"/>
        <v>4</v>
      </c>
      <c r="C76" s="51" t="str">
        <f t="shared" si="33"/>
        <v>2004</v>
      </c>
      <c r="D76" s="30" t="s">
        <v>83</v>
      </c>
      <c r="E76" s="40">
        <v>2021</v>
      </c>
      <c r="F76" s="30" t="s">
        <v>1121</v>
      </c>
      <c r="G76" s="9" t="s">
        <v>145</v>
      </c>
      <c r="H76" s="44" t="s">
        <v>1122</v>
      </c>
      <c r="I76" s="40" t="s">
        <v>167</v>
      </c>
      <c r="J76" s="40" t="s">
        <v>147</v>
      </c>
      <c r="K76" s="49" t="s">
        <v>567</v>
      </c>
      <c r="L76" s="40">
        <v>1</v>
      </c>
      <c r="M76" s="40" t="s">
        <v>155</v>
      </c>
      <c r="N76" s="30" t="s">
        <v>1033</v>
      </c>
      <c r="O76" s="30" t="s">
        <v>1066</v>
      </c>
      <c r="P76" s="40">
        <v>2019</v>
      </c>
      <c r="Q76" s="30" t="s">
        <v>1070</v>
      </c>
      <c r="R76" s="31">
        <v>4417</v>
      </c>
      <c r="S76" s="43">
        <f t="shared" si="32"/>
        <v>4417</v>
      </c>
      <c r="T76" s="32">
        <f t="shared" si="34"/>
        <v>10143.9</v>
      </c>
      <c r="U76" s="30" t="str">
        <f t="shared" si="35"/>
        <v>Cost-Effective</v>
      </c>
      <c r="V76" s="30" t="str">
        <f t="shared" si="36"/>
        <v>Cost-Effective</v>
      </c>
      <c r="W76" s="41">
        <f t="shared" si="37"/>
        <v>0.43543410325417248</v>
      </c>
      <c r="X76" s="55">
        <f t="shared" si="38"/>
        <v>0.71</v>
      </c>
      <c r="Y76" s="30" t="str">
        <f t="shared" si="39"/>
        <v>Cost-Effective</v>
      </c>
      <c r="Z76" s="55">
        <f t="shared" si="40"/>
        <v>0.45</v>
      </c>
      <c r="AA76" s="30" t="str">
        <f t="shared" si="41"/>
        <v>Cost-Effective</v>
      </c>
      <c r="AB76" s="55">
        <f t="shared" si="42"/>
        <v>0.64811121873397526</v>
      </c>
      <c r="AC76" s="30" t="str">
        <f t="shared" si="43"/>
        <v>Cost-Effective</v>
      </c>
      <c r="AD76" s="55">
        <f t="shared" si="44"/>
        <v>0.16395077203578146</v>
      </c>
      <c r="AE76" s="30" t="str">
        <f t="shared" si="45"/>
        <v>Not Cost-Effective</v>
      </c>
      <c r="AF76" s="30" t="s">
        <v>161</v>
      </c>
      <c r="AG76" s="30" t="s">
        <v>382</v>
      </c>
      <c r="AJ76" s="30" t="s">
        <v>148</v>
      </c>
    </row>
    <row r="80" spans="1:36" ht="12.75" customHeight="1">
      <c r="AF80" s="30" t="s">
        <v>1123</v>
      </c>
    </row>
    <row r="81" spans="6:32" ht="12.75" customHeight="1">
      <c r="AF81" s="30">
        <f>COUNTIF(AF2:AF76,"one GDPpc")</f>
        <v>32</v>
      </c>
    </row>
    <row r="82" spans="6:32" ht="12.75" customHeight="1">
      <c r="AF82" s="30">
        <f>COUNTIF(AF2:AF76,"three GDPpc")</f>
        <v>17</v>
      </c>
    </row>
    <row r="83" spans="6:32" ht="12.75" customHeight="1">
      <c r="AF83" s="30">
        <f>COUNTIF(AF2:AF76,"two GDPpc")</f>
        <v>3</v>
      </c>
    </row>
    <row r="85" spans="6:32" ht="12.75" customHeight="1">
      <c r="F85" s="37" t="s">
        <v>1072</v>
      </c>
    </row>
    <row r="86" spans="6:32" ht="12.75" customHeight="1">
      <c r="F86" s="30" t="s">
        <v>1073</v>
      </c>
    </row>
    <row r="87" spans="6:32" ht="12.75" customHeight="1">
      <c r="F87" s="30" t="s">
        <v>1074</v>
      </c>
      <c r="G87" s="30" t="s">
        <v>1075</v>
      </c>
    </row>
    <row r="88" spans="6:32" ht="12.75" customHeight="1">
      <c r="F88" s="30" t="s">
        <v>1076</v>
      </c>
      <c r="G88" s="30" t="s">
        <v>1075</v>
      </c>
    </row>
    <row r="89" spans="6:32" ht="12.75" customHeight="1">
      <c r="F89" s="30" t="s">
        <v>1077</v>
      </c>
      <c r="G89" s="30" t="s">
        <v>1075</v>
      </c>
    </row>
    <row r="90" spans="6:32" ht="12.75" customHeight="1">
      <c r="F90" s="30" t="s">
        <v>1078</v>
      </c>
      <c r="G90" s="30" t="s">
        <v>1075</v>
      </c>
    </row>
    <row r="91" spans="6:32" ht="12.75" customHeight="1">
      <c r="G91" s="30" t="s">
        <v>1075</v>
      </c>
    </row>
    <row r="92" spans="6:32" ht="12.75" customHeight="1">
      <c r="F92" s="30" t="s">
        <v>1079</v>
      </c>
    </row>
    <row r="94" spans="6:32" ht="12.75" customHeight="1">
      <c r="F94" s="30" t="s">
        <v>1080</v>
      </c>
    </row>
    <row r="95" spans="6:32" ht="12.75" customHeight="1">
      <c r="F95" s="59" t="s">
        <v>12</v>
      </c>
    </row>
    <row r="98" spans="6:6" ht="12.75" customHeight="1">
      <c r="F98" s="123" t="s">
        <v>1081</v>
      </c>
    </row>
    <row r="99" spans="6:6" ht="12.75" customHeight="1">
      <c r="F99" s="123" t="s">
        <v>1082</v>
      </c>
    </row>
    <row r="100" spans="6:6" ht="12.75" customHeight="1">
      <c r="F100" s="30" t="s">
        <v>1083</v>
      </c>
    </row>
  </sheetData>
  <autoFilter ref="A1:AG76" xr:uid="{2D6F23DF-7EEB-4A10-8E63-6E12F5A80993}">
    <sortState xmlns:xlrd2="http://schemas.microsoft.com/office/spreadsheetml/2017/richdata2" ref="A2:AG59">
      <sortCondition ref="G1:G58"/>
    </sortState>
  </autoFilter>
  <pageMargins left="0.7" right="0.7" top="0.75" bottom="0.75" header="0.3" footer="0.3"/>
  <pageSetup orientation="portrait" horizontalDpi="360" verticalDpi="36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DF11C-08CE-EB42-8794-8E995B56C654}">
  <sheetPr codeName="Sheet9"/>
  <dimension ref="A1:AH36"/>
  <sheetViews>
    <sheetView topLeftCell="B15" zoomScale="120" zoomScaleNormal="120" workbookViewId="0">
      <selection activeCell="J25" sqref="J25"/>
    </sheetView>
  </sheetViews>
  <sheetFormatPr baseColWidth="10" defaultColWidth="8.83203125" defaultRowHeight="13"/>
  <cols>
    <col min="1" max="1" width="9.1640625" style="1" bestFit="1" customWidth="1"/>
    <col min="2" max="2" width="10.33203125" style="1" bestFit="1" customWidth="1"/>
    <col min="3" max="3" width="23" style="1" customWidth="1"/>
    <col min="4" max="4" width="11" style="1" customWidth="1"/>
    <col min="5" max="5" width="16.33203125" style="1" customWidth="1"/>
    <col min="6" max="9" width="11.33203125" style="1" customWidth="1"/>
    <col min="10" max="11" width="13.33203125" style="1" customWidth="1"/>
    <col min="12" max="30" width="8.83203125" style="1" customWidth="1"/>
    <col min="31" max="31" width="7.33203125" style="1" bestFit="1" customWidth="1"/>
    <col min="32" max="32" width="18.33203125" style="1" bestFit="1" customWidth="1"/>
    <col min="33" max="33" width="2.83203125" style="1" bestFit="1" customWidth="1"/>
    <col min="34" max="35" width="33.33203125" style="1" bestFit="1" customWidth="1"/>
    <col min="36" max="16384" width="8.83203125" style="1"/>
  </cols>
  <sheetData>
    <row r="1" spans="1:34">
      <c r="C1" s="1" t="s">
        <v>1124</v>
      </c>
      <c r="K1" s="28"/>
      <c r="L1" s="28"/>
      <c r="M1" s="28"/>
      <c r="R1" s="23"/>
      <c r="V1" s="23"/>
      <c r="Z1" s="23"/>
      <c r="AD1" s="23"/>
    </row>
    <row r="2" spans="1:34">
      <c r="E2" s="227" t="s">
        <v>1084</v>
      </c>
      <c r="F2" s="227"/>
      <c r="G2" s="227"/>
      <c r="H2" s="228" t="s">
        <v>1085</v>
      </c>
      <c r="I2" s="228"/>
      <c r="J2" s="228"/>
      <c r="K2" s="231" t="s">
        <v>1125</v>
      </c>
      <c r="L2" s="231"/>
      <c r="M2" s="231"/>
      <c r="N2" s="231"/>
      <c r="O2" s="229" t="s">
        <v>1087</v>
      </c>
      <c r="P2" s="229"/>
      <c r="Q2" s="229"/>
      <c r="R2" s="229"/>
      <c r="S2" s="229" t="s">
        <v>1088</v>
      </c>
      <c r="T2" s="229"/>
      <c r="U2" s="229"/>
      <c r="V2" s="229"/>
      <c r="W2" s="230" t="s">
        <v>1089</v>
      </c>
      <c r="X2" s="230"/>
      <c r="Y2" s="230"/>
      <c r="Z2" s="230"/>
      <c r="AA2" s="230" t="s">
        <v>1090</v>
      </c>
      <c r="AB2" s="230"/>
      <c r="AC2" s="230"/>
      <c r="AD2" s="230"/>
    </row>
    <row r="3" spans="1:34">
      <c r="A3" s="1" t="s">
        <v>1091</v>
      </c>
      <c r="B3" s="1" t="s">
        <v>818</v>
      </c>
      <c r="C3" s="1" t="s">
        <v>1092</v>
      </c>
      <c r="D3" s="98" t="s">
        <v>11</v>
      </c>
      <c r="E3" s="99" t="s">
        <v>148</v>
      </c>
      <c r="F3" s="99" t="s">
        <v>155</v>
      </c>
      <c r="G3" s="99" t="s">
        <v>1093</v>
      </c>
      <c r="H3" s="100" t="s">
        <v>148</v>
      </c>
      <c r="I3" s="100" t="s">
        <v>155</v>
      </c>
      <c r="J3" s="100" t="s">
        <v>1093</v>
      </c>
      <c r="K3" s="103" t="s">
        <v>148</v>
      </c>
      <c r="L3" s="103" t="s">
        <v>155</v>
      </c>
      <c r="M3" s="103" t="s">
        <v>260</v>
      </c>
      <c r="N3" s="103" t="s">
        <v>1093</v>
      </c>
      <c r="O3" s="101" t="s">
        <v>148</v>
      </c>
      <c r="P3" s="101" t="s">
        <v>155</v>
      </c>
      <c r="Q3" s="101" t="s">
        <v>260</v>
      </c>
      <c r="R3" s="101" t="s">
        <v>1093</v>
      </c>
      <c r="S3" s="101" t="s">
        <v>148</v>
      </c>
      <c r="T3" s="101" t="s">
        <v>155</v>
      </c>
      <c r="U3" s="101" t="s">
        <v>260</v>
      </c>
      <c r="V3" s="101" t="s">
        <v>1093</v>
      </c>
      <c r="W3" s="102" t="s">
        <v>148</v>
      </c>
      <c r="X3" s="102" t="s">
        <v>155</v>
      </c>
      <c r="Y3" s="102" t="s">
        <v>260</v>
      </c>
      <c r="Z3" s="102" t="s">
        <v>1093</v>
      </c>
      <c r="AA3" s="102" t="s">
        <v>148</v>
      </c>
      <c r="AB3" s="102" t="s">
        <v>155</v>
      </c>
      <c r="AC3" s="102" t="s">
        <v>260</v>
      </c>
      <c r="AD3" s="102" t="s">
        <v>1093</v>
      </c>
      <c r="AH3" s="70" t="s">
        <v>12</v>
      </c>
    </row>
    <row r="4" spans="1:34">
      <c r="A4" s="1" t="s">
        <v>146</v>
      </c>
      <c r="B4" s="1" t="s">
        <v>147</v>
      </c>
      <c r="C4" s="1" t="str">
        <f>_xlfn.CONCAT(A4, " vs ", B4)</f>
        <v>PCV7 vs NoVax</v>
      </c>
      <c r="D4" s="28">
        <f>COUNTIFS('studies (AP)'!$I$2:$I$191,A4,'studies (AP)'!$J$2:$J$191,B4)</f>
        <v>6</v>
      </c>
      <c r="E4" s="80">
        <f>COUNTIFS('studies (AP)'!$I$2:$I$191,A4,'studies (AP)'!$J$2:$J$191,B4,'studies (AP)'!$U$2:$U$191,"Cost-Effective")</f>
        <v>1</v>
      </c>
      <c r="F4" s="80">
        <f>COUNTIFS('studies (AP)'!$I$2:$I$191,A4,'studies (AP)'!$J$2:$J$191,B4,'studies (AP)'!$U$2:$U$191,"Not Cost-Effective")</f>
        <v>5</v>
      </c>
      <c r="G4" s="81">
        <f t="shared" ref="G4:G8" si="0">E4/$D4</f>
        <v>0.16666666666666666</v>
      </c>
      <c r="H4" s="78">
        <f>COUNTIFS('studies (AP)'!$I$2:$I$191,A4,'studies (AP)'!$J$2:$J$191,B4,'studies (AP)'!$V$2:$V$191,"Cost-Effective")</f>
        <v>3</v>
      </c>
      <c r="I4" s="78">
        <f>COUNTIFS('studies (AP)'!$I$2:$I$191,A4,'studies (AP)'!$J$2:$J$191,B4,'studies (AP)'!$V$2:$V$191,"Not Cost-Effective")</f>
        <v>3</v>
      </c>
      <c r="J4" s="79">
        <f t="shared" ref="J4:J8" si="1">H4/$D4</f>
        <v>0.5</v>
      </c>
      <c r="K4" s="86">
        <f>COUNTIFS('studies (AP)'!$I$2:$I$191,A4,'studies (AP)'!$J$2:$J$191,B4,'studies (AP)'!$AG$2:$AG$191,"Cost-Effective")+COUNTIFS('studies (AP)'!$I$2:$I$191,A4,'studies (AP)'!$J$2:$J$191,B4,'studies (AP)'!$AG$2:$AG$191,"Cost-Saving")</f>
        <v>3</v>
      </c>
      <c r="L4" s="86">
        <f>COUNTIFS('studies (AP)'!$I$2:$I$191,A4,'studies (AP)'!$J$2:$J$191,B4,'studies (AP)'!$AG$2:$AG$191,"Not Cost-Effective")</f>
        <v>3</v>
      </c>
      <c r="M4" s="86">
        <f>COUNTIFS('studies (AP)'!$I$2:$I$191,A4,'studies (AP)'!$J$2:$J$191,B4,'studies (AP)'!$AG$2:$AG$191,"No Threshold")</f>
        <v>0</v>
      </c>
      <c r="N4" s="87">
        <f t="shared" ref="N4:N8" si="2">K4/$D4</f>
        <v>0.5</v>
      </c>
      <c r="O4" s="82">
        <f>COUNTIFS('studies (AP)'!$I$2:$I$191,A4,'studies (AP)'!$J$2:$J$191,B4,'studies (AP)'!$Y$2:$Y$191,"Cost-Effective")</f>
        <v>1</v>
      </c>
      <c r="P4" s="82">
        <f>COUNTIFS('studies (AP)'!$I$2:$I$191,A4,'studies (AP)'!$J$2:$J$191,B4,'studies (AP)'!$Y$2:$Y$191,"Not Cost-Effective")</f>
        <v>5</v>
      </c>
      <c r="Q4" s="82">
        <f>COUNTIFS('studies (AP)'!$I$2:$I$191,A4,'studies (AP)'!$J$2:$J$191,B4,'studies (AP)'!$Y$2:$Y$191,"No Threshold")</f>
        <v>0</v>
      </c>
      <c r="R4" s="83">
        <f t="shared" ref="R4:R8" si="3">O4/$D4</f>
        <v>0.16666666666666666</v>
      </c>
      <c r="S4" s="82">
        <f>COUNTIFS('studies (AP)'!$I$2:$I$191,A4,'studies (AP)'!$J$2:$J$191,B4,'studies (AP)'!$AA$2:$AA$191,"Cost-Effective")</f>
        <v>1</v>
      </c>
      <c r="T4" s="82">
        <f>COUNTIFS('studies (AP)'!$I$2:$I$191,A4,'studies (AP)'!$J$2:$J$191,B4,'studies (AP)'!$AA$2:$AA$191,"Not Cost-Effective")</f>
        <v>5</v>
      </c>
      <c r="U4" s="82">
        <f>COUNTIFS('studies (AP)'!$I$2:$I$191,A4,'studies (AP)'!$J$2:$J$191,B4,'studies (AP)'!$AA$2:$AA$191,"No Threshold")</f>
        <v>0</v>
      </c>
      <c r="V4" s="83">
        <f t="shared" ref="V4:V8" si="4">S4/$D4</f>
        <v>0.16666666666666666</v>
      </c>
      <c r="W4" s="84">
        <f>COUNTIFS('studies (AP)'!$I$2:$I$191,A4,'studies (AP)'!$J$2:$J$191,B4,'studies (AP)'!$AC$2:$AC$191,"Cost-Effective")</f>
        <v>1</v>
      </c>
      <c r="X4" s="84">
        <f>COUNTIFS('studies (AP)'!$I$2:$I$191,A4,'studies (AP)'!$J$2:$J$191,B4,'studies (AP)'!$AC$2:$AC$191,"Not Cost-Effective")</f>
        <v>5</v>
      </c>
      <c r="Y4" s="84">
        <f>COUNTIFS('studies (AP)'!$I$2:$I$191,A4,'studies (AP)'!$J$2:$J$191,B4,'studies (AP)'!$AC$2:$AC$191,"No Threshold")</f>
        <v>0</v>
      </c>
      <c r="Z4" s="85">
        <f t="shared" ref="Z4:Z8" si="5">W4/$D4</f>
        <v>0.16666666666666666</v>
      </c>
      <c r="AA4" s="84">
        <f>COUNTIFS('studies (AP)'!$I$2:$I$191,A4,'studies (AP)'!$J$2:$J$191,B4,'studies (AP)'!$AE$2:$AE$191,"Cost-Effective")</f>
        <v>0</v>
      </c>
      <c r="AB4" s="84">
        <f>COUNTIFS('studies (AP)'!$I$2:$I$191,A4,'studies (AP)'!$J$2:$J$191,B4,'studies (AP)'!$AE$2:$AE$191,"Not Cost-Effective")</f>
        <v>6</v>
      </c>
      <c r="AC4" s="84">
        <f>COUNTIFS('studies (AP)'!$I$2:$I$191,A4,'studies (AP)'!$J$2:$J$191,B4,'studies (AP)'!$AE$2:$AE$191,"No Threshold")</f>
        <v>0</v>
      </c>
      <c r="AD4" s="85">
        <f t="shared" ref="AD4:AD8" si="6">AA4/$D4</f>
        <v>0</v>
      </c>
    </row>
    <row r="5" spans="1:34">
      <c r="A5" s="1" t="s">
        <v>166</v>
      </c>
      <c r="B5" s="1" t="s">
        <v>147</v>
      </c>
      <c r="C5" s="1" t="str">
        <f>_xlfn.CONCAT(A5, " vs ", B5)</f>
        <v>PCV10 vs NoVax</v>
      </c>
      <c r="D5" s="28">
        <f>COUNTIFS('studies (AP)'!$I$2:$I$191,A5,'studies (AP)'!$J$2:$J$191,B5)</f>
        <v>19</v>
      </c>
      <c r="E5" s="80">
        <f>COUNTIFS('studies (AP)'!$I$2:$I$191,A5,'studies (AP)'!$J$2:$J$191,B5,'studies (AP)'!$U$2:$U$191,"Cost-Effective")</f>
        <v>3</v>
      </c>
      <c r="F5" s="80">
        <f>COUNTIFS('studies (AP)'!$I$2:$I$191,A5,'studies (AP)'!$J$2:$J$191,B5,'studies (AP)'!$U$2:$U$191,"Not Cost-Effective")</f>
        <v>5</v>
      </c>
      <c r="G5" s="81">
        <f t="shared" si="0"/>
        <v>0.15789473684210525</v>
      </c>
      <c r="H5" s="78">
        <f>COUNTIFS('studies (AP)'!$I$2:$I$191,A5,'studies (AP)'!$J$2:$J$191,B5,'studies (AP)'!$V$2:$V$191,"Cost-Effective")</f>
        <v>8</v>
      </c>
      <c r="I5" s="78">
        <f>COUNTIFS('studies (AP)'!$I$2:$I$191,A5,'studies (AP)'!$J$2:$J$191,B5,'studies (AP)'!$V$2:$V$191,"Not Cost-Effective")</f>
        <v>0</v>
      </c>
      <c r="J5" s="79">
        <f t="shared" si="1"/>
        <v>0.42105263157894735</v>
      </c>
      <c r="K5" s="86">
        <f>COUNTIFS('studies (AP)'!$I$2:$I$191,A5,'studies (AP)'!$J$2:$J$191,B5,'studies (AP)'!$AG$2:$AG$191,"Cost-Effective")+COUNTIFS('studies (AP)'!$I$2:$I$191,A5,'studies (AP)'!$J$2:$J$191,B5,'studies (AP)'!$AG$2:$AG$191,"Cost-Saving")</f>
        <v>11</v>
      </c>
      <c r="L5" s="86">
        <f>COUNTIFS('studies (AP)'!$I$2:$I$191,A5,'studies (AP)'!$J$2:$J$191,B5,'studies (AP)'!$AG$2:$AG$191,"Not Cost-Effective")</f>
        <v>8</v>
      </c>
      <c r="M5" s="86">
        <f>COUNTIFS('studies (AP)'!$I$2:$I$191,A5,'studies (AP)'!$J$2:$J$191,B5,'studies (AP)'!$AG$2:$AG$191,"No Threshold")</f>
        <v>0</v>
      </c>
      <c r="N5" s="87">
        <f t="shared" si="2"/>
        <v>0.57894736842105265</v>
      </c>
      <c r="O5" s="82">
        <f>COUNTIFS('studies (AP)'!$I$2:$I$191,A5,'studies (AP)'!$J$2:$J$191,B5,'studies (AP)'!$Y$2:$Y$191,"Cost-Effective")</f>
        <v>0</v>
      </c>
      <c r="P5" s="82">
        <f>COUNTIFS('studies (AP)'!$I$2:$I$191,A5,'studies (AP)'!$J$2:$J$191,B5,'studies (AP)'!$Y$2:$Y$191,"Not Cost-Effective")</f>
        <v>7</v>
      </c>
      <c r="Q5" s="82">
        <f>COUNTIFS('studies (AP)'!$I$2:$I$191,A5,'studies (AP)'!$J$2:$J$191,B5,'studies (AP)'!$Y$2:$Y$191,"No Threshold")</f>
        <v>1</v>
      </c>
      <c r="R5" s="83">
        <f t="shared" si="3"/>
        <v>0</v>
      </c>
      <c r="S5" s="82">
        <f>COUNTIFS('studies (AP)'!$I$2:$I$191,A5,'studies (AP)'!$J$2:$J$191,B5,'studies (AP)'!$AA$2:$AA$191,"Cost-Effective")</f>
        <v>0</v>
      </c>
      <c r="T5" s="82">
        <f>COUNTIFS('studies (AP)'!$I$2:$I$191,A5,'studies (AP)'!$J$2:$J$191,B5,'studies (AP)'!$AA$2:$AA$191,"Not Cost-Effective")</f>
        <v>7</v>
      </c>
      <c r="U5" s="82">
        <f>COUNTIFS('studies (AP)'!$I$2:$I$191,A5,'studies (AP)'!$J$2:$J$191,B5,'studies (AP)'!$AA$2:$AA$191,"No Threshold")</f>
        <v>1</v>
      </c>
      <c r="V5" s="83">
        <f t="shared" si="4"/>
        <v>0</v>
      </c>
      <c r="W5" s="84">
        <f>COUNTIFS('studies (AP)'!$I$2:$I$191,A5,'studies (AP)'!$J$2:$J$191,B5,'studies (AP)'!$AC$2:$AC$191,"Cost-Effective")</f>
        <v>3</v>
      </c>
      <c r="X5" s="84">
        <f>COUNTIFS('studies (AP)'!$I$2:$I$191,A5,'studies (AP)'!$J$2:$J$191,B5,'studies (AP)'!$AC$2:$AC$191,"Not Cost-Effective")</f>
        <v>5</v>
      </c>
      <c r="Y5" s="84">
        <f>COUNTIFS('studies (AP)'!$I$2:$I$191,A5,'studies (AP)'!$J$2:$J$191,B5,'studies (AP)'!$AC$2:$AC$191,"No Threshold")</f>
        <v>0</v>
      </c>
      <c r="Z5" s="85">
        <f t="shared" si="5"/>
        <v>0.15789473684210525</v>
      </c>
      <c r="AA5" s="84">
        <f>COUNTIFS('studies (AP)'!$I$2:$I$191,A5,'studies (AP)'!$J$2:$J$191,B5,'studies (AP)'!$AE$2:$AE$191,"Cost-Effective")</f>
        <v>1</v>
      </c>
      <c r="AB5" s="84">
        <f>COUNTIFS('studies (AP)'!$I$2:$I$191,A5,'studies (AP)'!$J$2:$J$191,B5,'studies (AP)'!$AE$2:$AE$191,"Not Cost-Effective")</f>
        <v>7</v>
      </c>
      <c r="AC5" s="84">
        <f>COUNTIFS('studies (AP)'!$I$2:$I$191,A5,'studies (AP)'!$J$2:$J$191,B5,'studies (AP)'!$AE$2:$AE$191,"No Threshold")</f>
        <v>0</v>
      </c>
      <c r="AD5" s="85">
        <f t="shared" si="6"/>
        <v>5.2631578947368418E-2</v>
      </c>
    </row>
    <row r="6" spans="1:34">
      <c r="A6" s="1" t="s">
        <v>167</v>
      </c>
      <c r="B6" s="1" t="s">
        <v>147</v>
      </c>
      <c r="C6" s="1" t="str">
        <f>_xlfn.CONCAT(A6, " vs ", B6)</f>
        <v>PCV13 vs NoVax</v>
      </c>
      <c r="D6" s="28">
        <f>COUNTIFS('studies (AP)'!$I$2:$I$191,A6,'studies (AP)'!$J$2:$J$191,B6)</f>
        <v>41</v>
      </c>
      <c r="E6" s="80">
        <f>COUNTIFS('studies (AP)'!$I$2:$I$191,A6,'studies (AP)'!$J$2:$J$191,B6,'studies (AP)'!$U$2:$U$191,"Cost-Effective")</f>
        <v>24</v>
      </c>
      <c r="F6" s="80">
        <f>COUNTIFS('studies (AP)'!$I$2:$I$191,A6,'studies (AP)'!$J$2:$J$191,B6,'studies (AP)'!$U$2:$U$191,"Not Cost-Effective")</f>
        <v>7</v>
      </c>
      <c r="G6" s="81">
        <f t="shared" si="0"/>
        <v>0.58536585365853655</v>
      </c>
      <c r="H6" s="78">
        <f>COUNTIFS('studies (AP)'!$I$2:$I$191,A6,'studies (AP)'!$J$2:$J$191,B6,'studies (AP)'!$V$2:$V$191,"Cost-Effective")</f>
        <v>30</v>
      </c>
      <c r="I6" s="78">
        <f>COUNTIFS('studies (AP)'!$I$2:$I$191,A6,'studies (AP)'!$J$2:$J$191,B6,'studies (AP)'!$V$2:$V$191,"Not Cost-Effective")</f>
        <v>1</v>
      </c>
      <c r="J6" s="79">
        <f t="shared" si="1"/>
        <v>0.73170731707317072</v>
      </c>
      <c r="K6" s="86">
        <f>COUNTIFS('studies (AP)'!$I$2:$I$191,A6,'studies (AP)'!$J$2:$J$191,B6,'studies (AP)'!$AG$2:$AG$191,"Cost-Effective")+COUNTIFS('studies (AP)'!$I$2:$I$191,A6,'studies (AP)'!$J$2:$J$191,B6,'studies (AP)'!$AG$2:$AG$191,"Cost-Saving")</f>
        <v>34</v>
      </c>
      <c r="L6" s="86">
        <f>COUNTIFS('studies (AP)'!$I$2:$I$191,A6,'studies (AP)'!$J$2:$J$191,B6,'studies (AP)'!$AG$2:$AG$191,"Not Cost-Effective")</f>
        <v>7</v>
      </c>
      <c r="M6" s="86">
        <f>COUNTIFS('studies (AP)'!$I$2:$I$191,A6,'studies (AP)'!$J$2:$J$191,B6,'studies (AP)'!$AG$2:$AG$191,"No Threshold")</f>
        <v>0</v>
      </c>
      <c r="N6" s="87">
        <f t="shared" si="2"/>
        <v>0.82926829268292679</v>
      </c>
      <c r="O6" s="82">
        <f>COUNTIFS('studies (AP)'!$I$2:$I$191,A6,'studies (AP)'!$J$2:$J$191,B6,'studies (AP)'!$Y$2:$Y$191,"Cost-Effective")</f>
        <v>20</v>
      </c>
      <c r="P6" s="82">
        <f>COUNTIFS('studies (AP)'!$I$2:$I$191,A6,'studies (AP)'!$J$2:$J$191,B6,'studies (AP)'!$Y$2:$Y$191,"Not Cost-Effective")</f>
        <v>10</v>
      </c>
      <c r="Q6" s="82">
        <f>COUNTIFS('studies (AP)'!$I$2:$I$191,A6,'studies (AP)'!$J$2:$J$191,B6,'studies (AP)'!$Y$2:$Y$191,"No Threshold")</f>
        <v>1</v>
      </c>
      <c r="R6" s="83">
        <f t="shared" si="3"/>
        <v>0.48780487804878048</v>
      </c>
      <c r="S6" s="82">
        <f>COUNTIFS('studies (AP)'!$I$2:$I$191,A6,'studies (AP)'!$J$2:$J$191,B6,'studies (AP)'!$AA$2:$AA$191,"Cost-Effective")</f>
        <v>17</v>
      </c>
      <c r="T6" s="82">
        <f>COUNTIFS('studies (AP)'!$I$2:$I$191,A6,'studies (AP)'!$J$2:$J$191,B6,'studies (AP)'!$AA$2:$AA$191,"Not Cost-Effective")</f>
        <v>13</v>
      </c>
      <c r="U6" s="82">
        <f>COUNTIFS('studies (AP)'!$I$2:$I$191,A6,'studies (AP)'!$J$2:$J$191,B6,'studies (AP)'!$AA$2:$AA$191,"No Threshold")</f>
        <v>1</v>
      </c>
      <c r="V6" s="83">
        <f t="shared" si="4"/>
        <v>0.41463414634146339</v>
      </c>
      <c r="W6" s="84">
        <f>COUNTIFS('studies (AP)'!$I$2:$I$191,A6,'studies (AP)'!$J$2:$J$191,B6,'studies (AP)'!$AC$2:$AC$191,"Cost-Effective")</f>
        <v>23</v>
      </c>
      <c r="X6" s="84">
        <f>COUNTIFS('studies (AP)'!$I$2:$I$191,A6,'studies (AP)'!$J$2:$J$191,B6,'studies (AP)'!$AC$2:$AC$191,"Not Cost-Effective")</f>
        <v>8</v>
      </c>
      <c r="Y6" s="84">
        <f>COUNTIFS('studies (AP)'!$I$2:$I$191,A6,'studies (AP)'!$J$2:$J$191,B6,'studies (AP)'!$AC$2:$AC$191,"No Threshold")</f>
        <v>0</v>
      </c>
      <c r="Z6" s="85">
        <f t="shared" si="5"/>
        <v>0.56097560975609762</v>
      </c>
      <c r="AA6" s="84">
        <f>COUNTIFS('studies (AP)'!$I$2:$I$191,A6,'studies (AP)'!$J$2:$J$191,B6,'studies (AP)'!$AE$2:$AE$191,"Cost-Effective")</f>
        <v>13</v>
      </c>
      <c r="AB6" s="84">
        <f>COUNTIFS('studies (AP)'!$I$2:$I$191,A6,'studies (AP)'!$J$2:$J$191,B6,'studies (AP)'!$AE$2:$AE$191,"Not Cost-Effective")</f>
        <v>18</v>
      </c>
      <c r="AC6" s="84">
        <f>COUNTIFS('studies (AP)'!$I$2:$I$191,A6,'studies (AP)'!$J$2:$J$191,B6,'studies (AP)'!$AE$2:$AE$191,"No Threshold")</f>
        <v>0</v>
      </c>
      <c r="AD6" s="85">
        <f t="shared" si="6"/>
        <v>0.31707317073170732</v>
      </c>
    </row>
    <row r="7" spans="1:34">
      <c r="A7" s="1" t="s">
        <v>167</v>
      </c>
      <c r="B7" s="1" t="s">
        <v>166</v>
      </c>
      <c r="C7" s="1" t="str">
        <f>_xlfn.CONCAT(A7, " vs ", B7)</f>
        <v>PCV13 vs PCV10</v>
      </c>
      <c r="D7" s="28">
        <f>COUNTIFS('studies (AP)'!$I$2:$I$191,A7,'studies (AP)'!$J$2:$J$191,B7)</f>
        <v>9</v>
      </c>
      <c r="E7" s="80">
        <f>COUNTIFS('studies (AP)'!$I$2:$I$191,A7,'studies (AP)'!$J$2:$J$191,B7,'studies (AP)'!$U$2:$U$191,"Cost-Effective")</f>
        <v>3</v>
      </c>
      <c r="F7" s="80">
        <f>COUNTIFS('studies (AP)'!$I$2:$I$191,A7,'studies (AP)'!$J$2:$J$191,B7,'studies (AP)'!$U$2:$U$191,"Not Cost-Effective")</f>
        <v>2</v>
      </c>
      <c r="G7" s="81">
        <f t="shared" si="0"/>
        <v>0.33333333333333331</v>
      </c>
      <c r="H7" s="78">
        <f>COUNTIFS('studies (AP)'!$I$2:$I$191,A7,'studies (AP)'!$J$2:$J$191,B7,'studies (AP)'!$V$2:$V$191,"Cost-Effective")</f>
        <v>3</v>
      </c>
      <c r="I7" s="78">
        <f>COUNTIFS('studies (AP)'!$I$2:$I$191,A7,'studies (AP)'!$J$2:$J$191,B7,'studies (AP)'!$V$2:$V$191,"Not Cost-Effective")</f>
        <v>2</v>
      </c>
      <c r="J7" s="79">
        <f t="shared" si="1"/>
        <v>0.33333333333333331</v>
      </c>
      <c r="K7" s="86">
        <f>COUNTIFS('studies (AP)'!$I$2:$I$191,A7,'studies (AP)'!$J$2:$J$191,B7,'studies (AP)'!$AG$2:$AG$191,"Cost-Effective")+COUNTIFS('studies (AP)'!$I$2:$I$191,A7,'studies (AP)'!$J$2:$J$191,B7,'studies (AP)'!$AG$2:$AG$191,"Cost-Saving")</f>
        <v>9</v>
      </c>
      <c r="L7" s="86">
        <f>COUNTIFS('studies (AP)'!$I$2:$I$191,A7,'studies (AP)'!$J$2:$J$191,B7,'studies (AP)'!$AG$2:$AG$191,"Not Cost-Effective")</f>
        <v>0</v>
      </c>
      <c r="M7" s="86">
        <f>COUNTIFS('studies (AP)'!$I$2:$I$191,A7,'studies (AP)'!$J$2:$J$191,B7,'studies (AP)'!$AG$2:$AG$191,"No Threshold")</f>
        <v>0</v>
      </c>
      <c r="N7" s="87">
        <f t="shared" si="2"/>
        <v>1</v>
      </c>
      <c r="O7" s="82">
        <f>COUNTIFS('studies (AP)'!$I$2:$I$191,A7,'studies (AP)'!$J$2:$J$191,B7,'studies (AP)'!$Y$2:$Y$191,"Cost-Effective")</f>
        <v>2</v>
      </c>
      <c r="P7" s="82">
        <f>COUNTIFS('studies (AP)'!$I$2:$I$191,A7,'studies (AP)'!$J$2:$J$191,B7,'studies (AP)'!$Y$2:$Y$191,"Not Cost-Effective")</f>
        <v>2</v>
      </c>
      <c r="Q7" s="82">
        <f>COUNTIFS('studies (AP)'!$I$2:$I$191,A7,'studies (AP)'!$J$2:$J$191,B7,'studies (AP)'!$Y$2:$Y$191,"No Threshold")</f>
        <v>1</v>
      </c>
      <c r="R7" s="83">
        <f t="shared" si="3"/>
        <v>0.22222222222222221</v>
      </c>
      <c r="S7" s="82">
        <f>COUNTIFS('studies (AP)'!$I$2:$I$191,A7,'studies (AP)'!$J$2:$J$191,B7,'studies (AP)'!$AA$2:$AA$191,"Cost-Effective")</f>
        <v>2</v>
      </c>
      <c r="T7" s="82">
        <f>COUNTIFS('studies (AP)'!$I$2:$I$191,A7,'studies (AP)'!$J$2:$J$191,B7,'studies (AP)'!$AA$2:$AA$191,"Not Cost-Effective")</f>
        <v>2</v>
      </c>
      <c r="U7" s="82">
        <f>COUNTIFS('studies (AP)'!$I$2:$I$191,A7,'studies (AP)'!$J$2:$J$191,B7,'studies (AP)'!$AA$2:$AA$191,"No Threshold")</f>
        <v>1</v>
      </c>
      <c r="V7" s="83">
        <f t="shared" si="4"/>
        <v>0.22222222222222221</v>
      </c>
      <c r="W7" s="84">
        <f>COUNTIFS('studies (AP)'!$I$2:$I$191,A7,'studies (AP)'!$J$2:$J$191,B7,'studies (AP)'!$AC$2:$AC$191,"Cost-Effective")</f>
        <v>3</v>
      </c>
      <c r="X7" s="84">
        <f>COUNTIFS('studies (AP)'!$I$2:$I$191,A7,'studies (AP)'!$J$2:$J$191,B7,'studies (AP)'!$AC$2:$AC$191,"Not Cost-Effective")</f>
        <v>2</v>
      </c>
      <c r="Y7" s="84">
        <f>COUNTIFS('studies (AP)'!$I$2:$I$191,A7,'studies (AP)'!$J$2:$J$191,B7,'studies (AP)'!$AC$2:$AC$191,"No Threshold")</f>
        <v>0</v>
      </c>
      <c r="Z7" s="85">
        <f t="shared" si="5"/>
        <v>0.33333333333333331</v>
      </c>
      <c r="AA7" s="84">
        <f>COUNTIFS('studies (AP)'!$I$2:$I$191,A7,'studies (AP)'!$J$2:$J$191,B7,'studies (AP)'!$AE$2:$AE$191,"Cost-Effective")</f>
        <v>3</v>
      </c>
      <c r="AB7" s="84">
        <f>COUNTIFS('studies (AP)'!$I$2:$I$191,A7,'studies (AP)'!$J$2:$J$191,B7,'studies (AP)'!$AE$2:$AE$191,"Not Cost-Effective")</f>
        <v>2</v>
      </c>
      <c r="AC7" s="84">
        <f>COUNTIFS('studies (AP)'!$I$2:$I$191,A7,'studies (AP)'!$J$2:$J$191,B7,'studies (AP)'!$AE$2:$AE$191,"No Threshold")</f>
        <v>0</v>
      </c>
      <c r="AD7" s="85">
        <f t="shared" si="6"/>
        <v>0.33333333333333331</v>
      </c>
    </row>
    <row r="8" spans="1:34">
      <c r="C8" s="1" t="s">
        <v>798</v>
      </c>
      <c r="D8" s="27">
        <f>SUM(D4:D7)</f>
        <v>75</v>
      </c>
      <c r="E8" s="88">
        <f>SUM(E4:E7)</f>
        <v>31</v>
      </c>
      <c r="F8" s="88">
        <f>SUM(F4:F7)</f>
        <v>19</v>
      </c>
      <c r="G8" s="89">
        <f t="shared" si="0"/>
        <v>0.41333333333333333</v>
      </c>
      <c r="H8" s="90">
        <f>SUM(H4:H7)</f>
        <v>44</v>
      </c>
      <c r="I8" s="90">
        <f>SUM(I4:I7)</f>
        <v>6</v>
      </c>
      <c r="J8" s="91">
        <f t="shared" si="1"/>
        <v>0.58666666666666667</v>
      </c>
      <c r="K8" s="96">
        <f>SUM(K4:K7)</f>
        <v>57</v>
      </c>
      <c r="L8" s="96">
        <f>SUM(L4:L7)</f>
        <v>18</v>
      </c>
      <c r="M8" s="96">
        <f>SUM(M4:M7)</f>
        <v>0</v>
      </c>
      <c r="N8" s="97">
        <f t="shared" si="2"/>
        <v>0.76</v>
      </c>
      <c r="O8" s="92">
        <f>SUM(O4:O7)</f>
        <v>23</v>
      </c>
      <c r="P8" s="92">
        <f>SUM(P4:P7)</f>
        <v>24</v>
      </c>
      <c r="Q8" s="92">
        <f>SUM(Q4:Q7)</f>
        <v>3</v>
      </c>
      <c r="R8" s="93">
        <f t="shared" si="3"/>
        <v>0.30666666666666664</v>
      </c>
      <c r="S8" s="92">
        <f>SUM(S4:S7)</f>
        <v>20</v>
      </c>
      <c r="T8" s="92">
        <f>SUM(T4:T7)</f>
        <v>27</v>
      </c>
      <c r="U8" s="92">
        <f>SUM(U4:U7)</f>
        <v>3</v>
      </c>
      <c r="V8" s="93">
        <f t="shared" si="4"/>
        <v>0.26666666666666666</v>
      </c>
      <c r="W8" s="94">
        <f>SUM(W4:W7)</f>
        <v>30</v>
      </c>
      <c r="X8" s="94">
        <f>SUM(X4:X7)</f>
        <v>20</v>
      </c>
      <c r="Y8" s="94">
        <f>SUM(Y4:Y7)</f>
        <v>0</v>
      </c>
      <c r="Z8" s="95">
        <f t="shared" si="5"/>
        <v>0.4</v>
      </c>
      <c r="AA8" s="94">
        <f>SUM(AA4:AA7)</f>
        <v>17</v>
      </c>
      <c r="AB8" s="94">
        <f>SUM(AB4:AB7)</f>
        <v>33</v>
      </c>
      <c r="AC8" s="94">
        <f>SUM(AC4:AC7)</f>
        <v>0</v>
      </c>
      <c r="AD8" s="95">
        <f t="shared" si="6"/>
        <v>0.22666666666666666</v>
      </c>
    </row>
    <row r="9" spans="1:34">
      <c r="K9" s="28"/>
      <c r="L9" s="28"/>
      <c r="M9" s="28"/>
      <c r="R9" s="23"/>
      <c r="V9" s="23"/>
      <c r="Z9" s="23"/>
      <c r="AD9" s="23"/>
    </row>
    <row r="10" spans="1:34">
      <c r="K10" s="28"/>
      <c r="L10" s="28"/>
      <c r="M10" s="28"/>
      <c r="R10" s="23"/>
      <c r="V10" s="23"/>
      <c r="Z10" s="23"/>
      <c r="AD10" s="23"/>
    </row>
    <row r="11" spans="1:34">
      <c r="G11" s="225"/>
      <c r="H11" s="225"/>
      <c r="I11" s="58"/>
      <c r="P11" s="58"/>
      <c r="Q11" s="58"/>
      <c r="T11" s="58"/>
      <c r="U11" s="58"/>
      <c r="Z11" s="23"/>
      <c r="AD11" s="23"/>
    </row>
    <row r="12" spans="1:34">
      <c r="K12" s="28"/>
      <c r="L12" s="28"/>
      <c r="M12" s="28"/>
      <c r="Z12" s="23"/>
      <c r="AD12" s="23"/>
    </row>
    <row r="14" spans="1:34" ht="12.75" customHeight="1">
      <c r="C14" s="104"/>
      <c r="D14" s="221" t="s">
        <v>1094</v>
      </c>
      <c r="E14" s="226"/>
      <c r="F14" s="222"/>
      <c r="H14" s="221" t="s">
        <v>1095</v>
      </c>
      <c r="I14" s="226"/>
      <c r="J14" s="226"/>
      <c r="K14" s="226"/>
      <c r="L14" s="222"/>
      <c r="N14" s="221" t="s">
        <v>1096</v>
      </c>
      <c r="O14" s="226"/>
      <c r="P14" s="226"/>
      <c r="Q14" s="226"/>
      <c r="R14" s="222"/>
    </row>
    <row r="15" spans="1:34" ht="13" customHeight="1">
      <c r="C15" s="104"/>
      <c r="D15" s="109"/>
      <c r="E15" s="105"/>
      <c r="F15" s="105"/>
      <c r="H15" s="223" t="s">
        <v>1097</v>
      </c>
      <c r="I15" s="221" t="s">
        <v>1099</v>
      </c>
      <c r="J15" s="222"/>
      <c r="K15" s="221" t="s">
        <v>1098</v>
      </c>
      <c r="L15" s="222"/>
      <c r="N15" s="105"/>
      <c r="O15" s="221" t="s">
        <v>1099</v>
      </c>
      <c r="P15" s="222"/>
      <c r="Q15" s="221" t="s">
        <v>1098</v>
      </c>
      <c r="R15" s="222"/>
    </row>
    <row r="16" spans="1:34" ht="28">
      <c r="C16" s="106" t="s">
        <v>1092</v>
      </c>
      <c r="D16" s="109" t="s">
        <v>1097</v>
      </c>
      <c r="E16" s="107" t="s">
        <v>11</v>
      </c>
      <c r="F16" s="107" t="s">
        <v>1093</v>
      </c>
      <c r="H16" s="224"/>
      <c r="I16" s="107" t="s">
        <v>11</v>
      </c>
      <c r="J16" s="107" t="s">
        <v>1093</v>
      </c>
      <c r="K16" s="107" t="s">
        <v>11</v>
      </c>
      <c r="L16" s="107" t="s">
        <v>1093</v>
      </c>
      <c r="N16" s="107" t="s">
        <v>1097</v>
      </c>
      <c r="O16" s="107" t="s">
        <v>11</v>
      </c>
      <c r="P16" s="107" t="s">
        <v>1093</v>
      </c>
      <c r="Q16" s="107" t="s">
        <v>11</v>
      </c>
      <c r="R16" s="107" t="s">
        <v>1093</v>
      </c>
    </row>
    <row r="17" spans="3:18">
      <c r="C17" s="104" t="s">
        <v>367</v>
      </c>
      <c r="D17" s="104">
        <f>SUM(K4:L4)</f>
        <v>6</v>
      </c>
      <c r="E17" s="104">
        <f>K4</f>
        <v>3</v>
      </c>
      <c r="F17" s="108">
        <f t="shared" ref="F17:F21" si="7">E17/D17</f>
        <v>0.5</v>
      </c>
      <c r="H17" s="104">
        <f>SUM(O4:P4)</f>
        <v>6</v>
      </c>
      <c r="I17" s="104">
        <f>O4</f>
        <v>1</v>
      </c>
      <c r="J17" s="108">
        <f t="shared" ref="J17:J21" si="8">I17/H17</f>
        <v>0.16666666666666666</v>
      </c>
      <c r="K17" s="104">
        <f>S4</f>
        <v>1</v>
      </c>
      <c r="L17" s="108">
        <f t="shared" ref="L17:L21" si="9">K17/H17</f>
        <v>0.16666666666666666</v>
      </c>
      <c r="N17" s="104">
        <f>SUM(W4:X4)</f>
        <v>6</v>
      </c>
      <c r="O17" s="104">
        <f>W4</f>
        <v>1</v>
      </c>
      <c r="P17" s="108">
        <f t="shared" ref="P17:P21" si="10">O17/N17</f>
        <v>0.16666666666666666</v>
      </c>
      <c r="Q17" s="104">
        <f>AA4</f>
        <v>0</v>
      </c>
      <c r="R17" s="108">
        <f t="shared" ref="R17:R21" si="11">Q17/N17</f>
        <v>0</v>
      </c>
    </row>
    <row r="18" spans="3:18">
      <c r="C18" s="104" t="s">
        <v>533</v>
      </c>
      <c r="D18" s="104">
        <f>SUM(K5:L5)</f>
        <v>19</v>
      </c>
      <c r="E18" s="104">
        <f>K5</f>
        <v>11</v>
      </c>
      <c r="F18" s="108">
        <f t="shared" si="7"/>
        <v>0.57894736842105265</v>
      </c>
      <c r="H18" s="104">
        <f>SUM(O5:P5)</f>
        <v>7</v>
      </c>
      <c r="I18" s="104">
        <f>O5</f>
        <v>0</v>
      </c>
      <c r="J18" s="108">
        <f t="shared" si="8"/>
        <v>0</v>
      </c>
      <c r="K18" s="104">
        <f>S5</f>
        <v>0</v>
      </c>
      <c r="L18" s="108">
        <f t="shared" si="9"/>
        <v>0</v>
      </c>
      <c r="N18" s="104">
        <f>SUM(W5:X5)</f>
        <v>8</v>
      </c>
      <c r="O18" s="104">
        <f>W5</f>
        <v>3</v>
      </c>
      <c r="P18" s="108">
        <f t="shared" si="10"/>
        <v>0.375</v>
      </c>
      <c r="Q18" s="104">
        <f>AA5</f>
        <v>1</v>
      </c>
      <c r="R18" s="108">
        <f t="shared" si="11"/>
        <v>0.125</v>
      </c>
    </row>
    <row r="19" spans="3:18">
      <c r="C19" s="104" t="s">
        <v>534</v>
      </c>
      <c r="D19" s="104">
        <f>SUM(K6:L6)</f>
        <v>41</v>
      </c>
      <c r="E19" s="104">
        <f>K6</f>
        <v>34</v>
      </c>
      <c r="F19" s="108">
        <f t="shared" si="7"/>
        <v>0.82926829268292679</v>
      </c>
      <c r="H19" s="104">
        <f>SUM(O6:P6)</f>
        <v>30</v>
      </c>
      <c r="I19" s="104">
        <f>O6</f>
        <v>20</v>
      </c>
      <c r="J19" s="108">
        <f t="shared" si="8"/>
        <v>0.66666666666666663</v>
      </c>
      <c r="K19" s="104">
        <f>S6</f>
        <v>17</v>
      </c>
      <c r="L19" s="108">
        <f t="shared" si="9"/>
        <v>0.56666666666666665</v>
      </c>
      <c r="N19" s="104">
        <f>SUM(W6:X6)</f>
        <v>31</v>
      </c>
      <c r="O19" s="104">
        <f>W6</f>
        <v>23</v>
      </c>
      <c r="P19" s="108">
        <f t="shared" si="10"/>
        <v>0.74193548387096775</v>
      </c>
      <c r="Q19" s="104">
        <f>AA6</f>
        <v>13</v>
      </c>
      <c r="R19" s="108">
        <f t="shared" si="11"/>
        <v>0.41935483870967744</v>
      </c>
    </row>
    <row r="20" spans="3:18">
      <c r="C20" s="104" t="s">
        <v>550</v>
      </c>
      <c r="D20" s="104">
        <f>SUM(K7:L7)</f>
        <v>9</v>
      </c>
      <c r="E20" s="104">
        <f>K7</f>
        <v>9</v>
      </c>
      <c r="F20" s="108">
        <f t="shared" si="7"/>
        <v>1</v>
      </c>
      <c r="H20" s="104">
        <f>SUM(O7:P7)</f>
        <v>4</v>
      </c>
      <c r="I20" s="104">
        <f>O7</f>
        <v>2</v>
      </c>
      <c r="J20" s="108">
        <f t="shared" si="8"/>
        <v>0.5</v>
      </c>
      <c r="K20" s="104">
        <f>S7</f>
        <v>2</v>
      </c>
      <c r="L20" s="108">
        <f t="shared" si="9"/>
        <v>0.5</v>
      </c>
      <c r="N20" s="104">
        <f>SUM(W7:X7)</f>
        <v>5</v>
      </c>
      <c r="O20" s="104">
        <f>W7</f>
        <v>3</v>
      </c>
      <c r="P20" s="108">
        <f t="shared" si="10"/>
        <v>0.6</v>
      </c>
      <c r="Q20" s="104">
        <f>AA7</f>
        <v>3</v>
      </c>
      <c r="R20" s="108">
        <f t="shared" si="11"/>
        <v>0.6</v>
      </c>
    </row>
    <row r="21" spans="3:18">
      <c r="C21" s="106" t="s">
        <v>798</v>
      </c>
      <c r="D21" s="104">
        <f>SUM(D17:D20)</f>
        <v>75</v>
      </c>
      <c r="E21" s="104">
        <f>SUM(E17:E20)</f>
        <v>57</v>
      </c>
      <c r="F21" s="108">
        <f t="shared" si="7"/>
        <v>0.76</v>
      </c>
      <c r="H21" s="104">
        <f>SUM(H17:H20)</f>
        <v>47</v>
      </c>
      <c r="I21" s="104">
        <f>SUM(I17:I20)</f>
        <v>23</v>
      </c>
      <c r="J21" s="133">
        <f t="shared" si="8"/>
        <v>0.48936170212765956</v>
      </c>
      <c r="K21" s="104">
        <f>SUM(K17:K20)</f>
        <v>20</v>
      </c>
      <c r="L21" s="108">
        <f t="shared" si="9"/>
        <v>0.42553191489361702</v>
      </c>
      <c r="N21" s="104">
        <f>SUM(N17:N20)</f>
        <v>50</v>
      </c>
      <c r="O21" s="104">
        <f>SUM(O17:O20)</f>
        <v>30</v>
      </c>
      <c r="P21" s="133">
        <f t="shared" si="10"/>
        <v>0.6</v>
      </c>
      <c r="Q21" s="104">
        <f>SUM(Q17:Q20)</f>
        <v>17</v>
      </c>
      <c r="R21" s="108">
        <f t="shared" si="11"/>
        <v>0.34</v>
      </c>
    </row>
    <row r="25" spans="3:18" ht="36" customHeight="1">
      <c r="C25" s="217" t="s">
        <v>1126</v>
      </c>
      <c r="D25" s="217"/>
      <c r="E25" s="217"/>
      <c r="F25" s="217"/>
      <c r="G25" s="217"/>
      <c r="H25" s="217"/>
      <c r="I25" s="217"/>
    </row>
    <row r="26" spans="3:18" ht="28.5" customHeight="1">
      <c r="C26" s="216" t="s">
        <v>1092</v>
      </c>
      <c r="D26" s="220" t="s">
        <v>1127</v>
      </c>
      <c r="E26" s="220" t="s">
        <v>1105</v>
      </c>
      <c r="F26" s="220" t="s">
        <v>1106</v>
      </c>
      <c r="G26" s="220"/>
      <c r="H26" s="220" t="s">
        <v>1107</v>
      </c>
      <c r="I26" s="220"/>
      <c r="K26" s="1" t="s">
        <v>1108</v>
      </c>
      <c r="O26" s="29" t="s">
        <v>1109</v>
      </c>
    </row>
    <row r="27" spans="3:18" ht="26.25" customHeight="1">
      <c r="C27" s="216"/>
      <c r="D27" s="220"/>
      <c r="E27" s="220"/>
      <c r="F27" s="116" t="s">
        <v>1110</v>
      </c>
      <c r="G27" s="116" t="s">
        <v>1111</v>
      </c>
      <c r="H27" s="116" t="s">
        <v>1110</v>
      </c>
      <c r="I27" s="116" t="s">
        <v>1111</v>
      </c>
      <c r="K27" s="1" t="s">
        <v>382</v>
      </c>
      <c r="L27" s="1">
        <f>COUNTIF('studies (AP)'!$AG$2:$AG$191,K27)</f>
        <v>49</v>
      </c>
      <c r="M27" s="26">
        <f>L27/$L$31</f>
        <v>0.65333333333333332</v>
      </c>
      <c r="O27" s="1" t="s">
        <v>965</v>
      </c>
      <c r="P27" s="1">
        <f>COUNTIFS(data!$BE$2:$BE$191,O27,data!$B$2:$B$191,1)</f>
        <v>0</v>
      </c>
    </row>
    <row r="28" spans="3:18" ht="15">
      <c r="C28" s="117" t="s">
        <v>1112</v>
      </c>
      <c r="D28" s="110">
        <f>D4</f>
        <v>6</v>
      </c>
      <c r="E28" s="111">
        <f>F17</f>
        <v>0.5</v>
      </c>
      <c r="F28" s="111">
        <f>J17</f>
        <v>0.16666666666666666</v>
      </c>
      <c r="G28" s="112">
        <f>L17</f>
        <v>0.16666666666666666</v>
      </c>
      <c r="H28" s="111">
        <f>P17</f>
        <v>0.16666666666666666</v>
      </c>
      <c r="I28" s="112">
        <f>R17</f>
        <v>0</v>
      </c>
      <c r="K28" s="1" t="s">
        <v>439</v>
      </c>
      <c r="L28" s="1">
        <f>COUNTIF('studies (AP)'!$AG$2:$AG$191,K28)</f>
        <v>8</v>
      </c>
      <c r="M28" s="26">
        <f t="shared" ref="M28:M30" si="12">L28/$L$31</f>
        <v>0.10666666666666667</v>
      </c>
      <c r="O28" s="29" t="s">
        <v>176</v>
      </c>
      <c r="P28" s="1">
        <f>COUNTIFS(data!$BE$2:$BE$191,O28,data!$B$2:$B$191,1)</f>
        <v>21</v>
      </c>
    </row>
    <row r="29" spans="3:18" ht="15">
      <c r="C29" s="117" t="s">
        <v>1113</v>
      </c>
      <c r="D29" s="110">
        <f>D5</f>
        <v>19</v>
      </c>
      <c r="E29" s="111">
        <f>F18</f>
        <v>0.57894736842105265</v>
      </c>
      <c r="F29" s="111">
        <f>J18</f>
        <v>0</v>
      </c>
      <c r="G29" s="112">
        <f>L18</f>
        <v>0</v>
      </c>
      <c r="H29" s="111">
        <f>P18</f>
        <v>0.375</v>
      </c>
      <c r="I29" s="112">
        <f>R18</f>
        <v>0.125</v>
      </c>
      <c r="K29" s="1" t="s">
        <v>371</v>
      </c>
      <c r="L29" s="1">
        <f>COUNTIF('studies (AP)'!$AG$2:$AG$191,K29)</f>
        <v>18</v>
      </c>
      <c r="M29" s="26">
        <f t="shared" si="12"/>
        <v>0.24</v>
      </c>
      <c r="O29" s="29" t="s">
        <v>173</v>
      </c>
      <c r="P29" s="1">
        <f>COUNTIFS(data!$BE$2:$BE$191,O29,data!$B$2:$B$191,1)</f>
        <v>1</v>
      </c>
    </row>
    <row r="30" spans="3:18" ht="15">
      <c r="C30" s="117" t="s">
        <v>1114</v>
      </c>
      <c r="D30" s="110">
        <f>D6</f>
        <v>41</v>
      </c>
      <c r="E30" s="111">
        <f>F19</f>
        <v>0.82926829268292679</v>
      </c>
      <c r="F30" s="111">
        <f>J19</f>
        <v>0.66666666666666663</v>
      </c>
      <c r="G30" s="112">
        <f>L19</f>
        <v>0.56666666666666665</v>
      </c>
      <c r="H30" s="111">
        <f>P19</f>
        <v>0.74193548387096775</v>
      </c>
      <c r="I30" s="112">
        <f>R19</f>
        <v>0.41935483870967744</v>
      </c>
      <c r="K30" s="1" t="s">
        <v>968</v>
      </c>
      <c r="L30" s="1">
        <f>COUNTIF('studies (AP)'!$AG$2:$AG$191,K30)</f>
        <v>0</v>
      </c>
      <c r="M30" s="26">
        <f t="shared" si="12"/>
        <v>0</v>
      </c>
      <c r="O30" s="29" t="s">
        <v>161</v>
      </c>
      <c r="P30" s="1">
        <f>COUNTIFS(data!$BE$2:$BE$191,O30,data!$B$2:$B$191,1)</f>
        <v>17</v>
      </c>
    </row>
    <row r="31" spans="3:18" ht="15">
      <c r="C31" s="117" t="s">
        <v>550</v>
      </c>
      <c r="D31" s="110">
        <f>D7</f>
        <v>9</v>
      </c>
      <c r="E31" s="111">
        <f>F20</f>
        <v>1</v>
      </c>
      <c r="F31" s="111">
        <f>J20</f>
        <v>0.5</v>
      </c>
      <c r="G31" s="112">
        <f>L20</f>
        <v>0.5</v>
      </c>
      <c r="H31" s="111">
        <f>P20</f>
        <v>0.6</v>
      </c>
      <c r="I31" s="112">
        <f>R20</f>
        <v>0.6</v>
      </c>
      <c r="L31" s="1">
        <f>SUM(L27:L30)</f>
        <v>75</v>
      </c>
      <c r="O31" s="29" t="s">
        <v>1115</v>
      </c>
      <c r="P31" s="1">
        <f>MAX(data!A:A)-SUM(P27:P30)</f>
        <v>18</v>
      </c>
    </row>
    <row r="32" spans="3:18" ht="15">
      <c r="C32" s="118" t="s">
        <v>798</v>
      </c>
      <c r="D32" s="113">
        <f>SUM(D28:D31)</f>
        <v>75</v>
      </c>
      <c r="E32" s="114">
        <f>F21</f>
        <v>0.76</v>
      </c>
      <c r="F32" s="114">
        <f>J21</f>
        <v>0.48936170212765956</v>
      </c>
      <c r="G32" s="115">
        <f t="shared" ref="G32" si="13">L21</f>
        <v>0.42553191489361702</v>
      </c>
      <c r="H32" s="114">
        <f t="shared" ref="H32" si="14">P21</f>
        <v>0.6</v>
      </c>
      <c r="I32" s="115">
        <f t="shared" ref="I32" si="15">R21</f>
        <v>0.34</v>
      </c>
      <c r="M32" s="29"/>
    </row>
    <row r="33" spans="3:12" ht="57" customHeight="1">
      <c r="C33" s="218" t="s">
        <v>1128</v>
      </c>
      <c r="D33" s="219"/>
      <c r="E33" s="219"/>
      <c r="F33" s="219"/>
      <c r="G33" s="219"/>
      <c r="H33" s="219"/>
      <c r="I33" s="219"/>
    </row>
    <row r="34" spans="3:12">
      <c r="K34" s="1" t="s">
        <v>1129</v>
      </c>
    </row>
    <row r="35" spans="3:12">
      <c r="K35" s="1">
        <f>E21-I21</f>
        <v>34</v>
      </c>
      <c r="L35" s="1">
        <f>E21-O21</f>
        <v>27</v>
      </c>
    </row>
    <row r="36" spans="3:12">
      <c r="K36" s="7">
        <f>K35/E21</f>
        <v>0.59649122807017541</v>
      </c>
      <c r="L36" s="7">
        <f>L35/E21</f>
        <v>0.47368421052631576</v>
      </c>
    </row>
  </sheetData>
  <mergeCells count="23">
    <mergeCell ref="Q15:R15"/>
    <mergeCell ref="C25:I25"/>
    <mergeCell ref="AA2:AD2"/>
    <mergeCell ref="G11:H11"/>
    <mergeCell ref="D14:F14"/>
    <mergeCell ref="H14:L14"/>
    <mergeCell ref="N14:R14"/>
    <mergeCell ref="E2:G2"/>
    <mergeCell ref="H2:J2"/>
    <mergeCell ref="K2:N2"/>
    <mergeCell ref="O2:R2"/>
    <mergeCell ref="S2:V2"/>
    <mergeCell ref="W2:Z2"/>
    <mergeCell ref="C33:I33"/>
    <mergeCell ref="H15:H16"/>
    <mergeCell ref="I15:J15"/>
    <mergeCell ref="K15:L15"/>
    <mergeCell ref="O15:P15"/>
    <mergeCell ref="C26:C27"/>
    <mergeCell ref="D26:D27"/>
    <mergeCell ref="E26:E27"/>
    <mergeCell ref="F26:G26"/>
    <mergeCell ref="H26:I2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D513B-0CEB-4188-8AED-20BE676D573D}">
  <sheetPr codeName="Sheet11"/>
  <dimension ref="A1:BM267"/>
  <sheetViews>
    <sheetView zoomScale="150" zoomScaleNormal="150" workbookViewId="0">
      <pane ySplit="1" topLeftCell="A250" activePane="bottomLeft" state="frozen"/>
      <selection activeCell="Z64" sqref="Z64:AA184"/>
      <selection pane="bottomLeft" activeCell="A246" sqref="A246"/>
    </sheetView>
  </sheetViews>
  <sheetFormatPr baseColWidth="10" defaultColWidth="8.83203125" defaultRowHeight="13"/>
  <cols>
    <col min="1" max="1" width="36.33203125" style="1" bestFit="1" customWidth="1"/>
    <col min="2" max="11" width="6.6640625" style="1" bestFit="1" customWidth="1"/>
    <col min="12" max="36" width="7.6640625" style="1" bestFit="1" customWidth="1"/>
    <col min="37" max="38" width="8.6640625" style="1" bestFit="1" customWidth="1"/>
    <col min="39" max="42" width="7.6640625" style="1" bestFit="1" customWidth="1"/>
    <col min="43" max="62" width="9.83203125" style="1" customWidth="1"/>
    <col min="63" max="16384" width="8.83203125" style="1"/>
  </cols>
  <sheetData>
    <row r="1" spans="1:65">
      <c r="A1" s="2" t="s">
        <v>1130</v>
      </c>
      <c r="B1" s="2">
        <v>1960</v>
      </c>
      <c r="C1" s="2">
        <v>1961</v>
      </c>
      <c r="D1" s="2">
        <v>1962</v>
      </c>
      <c r="E1" s="2">
        <v>1963</v>
      </c>
      <c r="F1" s="2">
        <v>1964</v>
      </c>
      <c r="G1" s="2">
        <v>1965</v>
      </c>
      <c r="H1" s="2">
        <v>1966</v>
      </c>
      <c r="I1" s="2">
        <v>1967</v>
      </c>
      <c r="J1" s="2">
        <v>1968</v>
      </c>
      <c r="K1" s="2">
        <v>1969</v>
      </c>
      <c r="L1" s="2">
        <v>1970</v>
      </c>
      <c r="M1" s="2">
        <v>1971</v>
      </c>
      <c r="N1" s="2">
        <v>1972</v>
      </c>
      <c r="O1" s="2">
        <v>1973</v>
      </c>
      <c r="P1" s="2">
        <v>1974</v>
      </c>
      <c r="Q1" s="2">
        <v>1975</v>
      </c>
      <c r="R1" s="2">
        <v>1976</v>
      </c>
      <c r="S1" s="2">
        <v>1977</v>
      </c>
      <c r="T1" s="2">
        <v>1978</v>
      </c>
      <c r="U1" s="2">
        <v>1979</v>
      </c>
      <c r="V1" s="2">
        <v>1980</v>
      </c>
      <c r="W1" s="2">
        <v>1981</v>
      </c>
      <c r="X1" s="2">
        <v>1982</v>
      </c>
      <c r="Y1" s="2">
        <v>1983</v>
      </c>
      <c r="Z1" s="2">
        <v>1984</v>
      </c>
      <c r="AA1" s="2">
        <v>1985</v>
      </c>
      <c r="AB1" s="2">
        <v>1986</v>
      </c>
      <c r="AC1" s="2">
        <v>1987</v>
      </c>
      <c r="AD1" s="2">
        <v>1988</v>
      </c>
      <c r="AE1" s="2">
        <v>1989</v>
      </c>
      <c r="AF1" s="2">
        <v>1990</v>
      </c>
      <c r="AG1" s="2">
        <v>1991</v>
      </c>
      <c r="AH1" s="2">
        <v>1992</v>
      </c>
      <c r="AI1" s="2">
        <v>1993</v>
      </c>
      <c r="AJ1" s="2">
        <v>1994</v>
      </c>
      <c r="AK1" s="2">
        <v>1995</v>
      </c>
      <c r="AL1" s="2">
        <v>1996</v>
      </c>
      <c r="AM1" s="2">
        <v>1997</v>
      </c>
      <c r="AN1" s="2">
        <v>1998</v>
      </c>
      <c r="AO1" s="2">
        <v>1999</v>
      </c>
      <c r="AP1" s="2">
        <v>2000</v>
      </c>
      <c r="AQ1" s="2">
        <v>2001</v>
      </c>
      <c r="AR1" s="2">
        <v>2002</v>
      </c>
      <c r="AS1" s="2">
        <v>2003</v>
      </c>
      <c r="AT1" s="2">
        <v>2004</v>
      </c>
      <c r="AU1" s="2">
        <v>2005</v>
      </c>
      <c r="AV1" s="2">
        <v>2006</v>
      </c>
      <c r="AW1" s="2">
        <v>2007</v>
      </c>
      <c r="AX1" s="2">
        <v>2008</v>
      </c>
      <c r="AY1" s="2">
        <v>2009</v>
      </c>
      <c r="AZ1" s="2">
        <v>2010</v>
      </c>
      <c r="BA1" s="2">
        <v>2011</v>
      </c>
      <c r="BB1" s="2">
        <v>2012</v>
      </c>
      <c r="BC1" s="2">
        <v>2013</v>
      </c>
      <c r="BD1" s="2">
        <v>2014</v>
      </c>
      <c r="BE1" s="2">
        <v>2015</v>
      </c>
      <c r="BF1" s="2">
        <v>2016</v>
      </c>
      <c r="BG1" s="2">
        <v>2017</v>
      </c>
      <c r="BH1" s="2">
        <v>2018</v>
      </c>
      <c r="BI1" s="2">
        <v>2019</v>
      </c>
      <c r="BJ1" s="2">
        <v>2020</v>
      </c>
      <c r="BK1" s="1">
        <v>2021</v>
      </c>
      <c r="BL1" s="1">
        <v>2022</v>
      </c>
      <c r="BM1" s="1">
        <v>2023</v>
      </c>
    </row>
    <row r="2" spans="1:65">
      <c r="A2" s="1" t="s">
        <v>1131</v>
      </c>
      <c r="B2" s="34"/>
      <c r="C2" s="34"/>
      <c r="D2" s="34"/>
      <c r="E2" s="34"/>
      <c r="F2" s="34"/>
      <c r="G2" s="34"/>
      <c r="H2" s="34"/>
      <c r="I2" s="34"/>
      <c r="J2" s="34"/>
      <c r="K2" s="34"/>
      <c r="L2" s="34"/>
      <c r="M2" s="34"/>
      <c r="N2" s="34"/>
      <c r="O2" s="34"/>
      <c r="P2" s="34"/>
      <c r="Q2" s="34"/>
      <c r="R2" s="34"/>
      <c r="S2" s="34"/>
      <c r="T2" s="34"/>
      <c r="U2" s="34"/>
      <c r="V2" s="34"/>
      <c r="W2" s="34"/>
      <c r="X2" s="34"/>
      <c r="Y2" s="34"/>
      <c r="Z2" s="34"/>
      <c r="AA2" s="34"/>
      <c r="AB2" s="34">
        <v>6283</v>
      </c>
      <c r="AC2" s="34">
        <v>7567.3</v>
      </c>
      <c r="AD2" s="34">
        <v>9274.5</v>
      </c>
      <c r="AE2" s="34">
        <v>10767.4</v>
      </c>
      <c r="AF2" s="34">
        <v>11638.7</v>
      </c>
      <c r="AG2" s="34">
        <v>12850.2</v>
      </c>
      <c r="AH2" s="34">
        <v>13657.7</v>
      </c>
      <c r="AI2" s="34">
        <v>14970.2</v>
      </c>
      <c r="AJ2" s="34">
        <v>16675.3</v>
      </c>
      <c r="AK2" s="34">
        <v>17140.400000000001</v>
      </c>
      <c r="AL2" s="34">
        <v>17375.2</v>
      </c>
      <c r="AM2" s="34">
        <v>18713.400000000001</v>
      </c>
      <c r="AN2" s="34">
        <v>19742.3</v>
      </c>
      <c r="AO2" s="34">
        <v>19833.8</v>
      </c>
      <c r="AP2" s="34">
        <v>21026.2</v>
      </c>
      <c r="AQ2" s="34">
        <v>20911.2</v>
      </c>
      <c r="AR2" s="34">
        <v>21375.3</v>
      </c>
      <c r="AS2" s="34">
        <v>22050.6</v>
      </c>
      <c r="AT2" s="34">
        <v>24105.5</v>
      </c>
      <c r="AU2" s="34">
        <v>24978.2</v>
      </c>
      <c r="AV2" s="34">
        <v>25832.9</v>
      </c>
      <c r="AW2" s="34">
        <v>27665.3</v>
      </c>
      <c r="AX2" s="34">
        <v>29011.599999999999</v>
      </c>
      <c r="AY2" s="34">
        <v>25740.799999999999</v>
      </c>
      <c r="AZ2" s="34">
        <v>24452.6</v>
      </c>
      <c r="BA2" s="34">
        <v>26043.200000000001</v>
      </c>
      <c r="BB2" s="34">
        <v>25611.200000000001</v>
      </c>
      <c r="BC2" s="34">
        <v>26514.9</v>
      </c>
      <c r="BD2" s="34">
        <v>26940.3</v>
      </c>
      <c r="BE2" s="34">
        <v>28419.3</v>
      </c>
      <c r="BF2" s="34">
        <v>28449.7</v>
      </c>
      <c r="BG2" s="34">
        <v>29329.1</v>
      </c>
      <c r="BH2" s="34">
        <v>30918.5</v>
      </c>
      <c r="BI2" s="34">
        <v>31902.799999999999</v>
      </c>
      <c r="BJ2" s="34">
        <v>24008.1</v>
      </c>
      <c r="BK2" s="1">
        <v>29127.8</v>
      </c>
      <c r="BL2" s="1">
        <v>33300.800000000003</v>
      </c>
    </row>
    <row r="3" spans="1:65">
      <c r="A3" s="1" t="s">
        <v>1132</v>
      </c>
      <c r="B3" s="34">
        <v>162.30000000000001</v>
      </c>
      <c r="C3" s="34">
        <v>166.3</v>
      </c>
      <c r="D3" s="34">
        <v>172</v>
      </c>
      <c r="E3" s="34">
        <v>182</v>
      </c>
      <c r="F3" s="34">
        <v>192.6</v>
      </c>
      <c r="G3" s="34">
        <v>202.8</v>
      </c>
      <c r="H3" s="34">
        <v>214.7</v>
      </c>
      <c r="I3" s="34">
        <v>227</v>
      </c>
      <c r="J3" s="34">
        <v>237.9</v>
      </c>
      <c r="K3" s="34">
        <v>256.39999999999998</v>
      </c>
      <c r="L3" s="34">
        <v>253.4</v>
      </c>
      <c r="M3" s="34">
        <v>268.39999999999998</v>
      </c>
      <c r="N3" s="34">
        <v>282.7</v>
      </c>
      <c r="O3" s="34">
        <v>354.5</v>
      </c>
      <c r="P3" s="34">
        <v>422</v>
      </c>
      <c r="Q3" s="34">
        <v>436</v>
      </c>
      <c r="R3" s="34">
        <v>430.3</v>
      </c>
      <c r="S3" s="34">
        <v>468.3</v>
      </c>
      <c r="T3" s="34">
        <v>509.5</v>
      </c>
      <c r="U3" s="34">
        <v>578.6</v>
      </c>
      <c r="V3" s="34">
        <v>728.1</v>
      </c>
      <c r="W3" s="34">
        <v>747</v>
      </c>
      <c r="X3" s="34">
        <v>689.9</v>
      </c>
      <c r="Y3" s="34">
        <v>711.7</v>
      </c>
      <c r="Z3" s="34">
        <v>638.70000000000005</v>
      </c>
      <c r="AA3" s="34">
        <v>534.6</v>
      </c>
      <c r="AB3" s="34">
        <v>560.79999999999995</v>
      </c>
      <c r="AC3" s="34">
        <v>653.1</v>
      </c>
      <c r="AD3" s="34">
        <v>690.2</v>
      </c>
      <c r="AE3" s="34">
        <v>712.2</v>
      </c>
      <c r="AF3" s="34">
        <v>810.6</v>
      </c>
      <c r="AG3" s="34">
        <v>858.7</v>
      </c>
      <c r="AH3" s="34">
        <v>732.4</v>
      </c>
      <c r="AI3" s="34">
        <v>715.9</v>
      </c>
      <c r="AJ3" s="34">
        <v>707.2</v>
      </c>
      <c r="AK3" s="34">
        <v>773.6</v>
      </c>
      <c r="AL3" s="34">
        <v>750.8</v>
      </c>
      <c r="AM3" s="34">
        <v>774.5</v>
      </c>
      <c r="AN3" s="34">
        <v>704.3</v>
      </c>
      <c r="AO3" s="34">
        <v>678</v>
      </c>
      <c r="AP3" s="34">
        <v>715.1</v>
      </c>
      <c r="AQ3" s="34">
        <v>633.5</v>
      </c>
      <c r="AR3" s="34">
        <v>633.5</v>
      </c>
      <c r="AS3" s="34">
        <v>820</v>
      </c>
      <c r="AT3" s="34">
        <v>994.2</v>
      </c>
      <c r="AU3" s="34">
        <v>1130.2</v>
      </c>
      <c r="AV3" s="34">
        <v>1235.8</v>
      </c>
      <c r="AW3" s="34">
        <v>1379.7</v>
      </c>
      <c r="AX3" s="34">
        <v>1439.2</v>
      </c>
      <c r="AY3" s="34">
        <v>1404.5</v>
      </c>
      <c r="AZ3" s="34">
        <v>1622.7</v>
      </c>
      <c r="BA3" s="34">
        <v>1758</v>
      </c>
      <c r="BB3" s="34">
        <v>1724.2</v>
      </c>
      <c r="BC3" s="34">
        <v>1696.4</v>
      </c>
      <c r="BD3" s="34">
        <v>1678.6</v>
      </c>
      <c r="BE3" s="34">
        <v>1498.8</v>
      </c>
      <c r="BF3" s="34">
        <v>1346.3</v>
      </c>
      <c r="BG3" s="34">
        <v>1485.8</v>
      </c>
      <c r="BH3" s="34">
        <v>1558.6</v>
      </c>
      <c r="BI3" s="34">
        <v>1508.5</v>
      </c>
      <c r="BJ3" s="34">
        <v>1356.1</v>
      </c>
      <c r="BK3" s="1">
        <v>1546</v>
      </c>
      <c r="BL3" s="1">
        <v>1642.4</v>
      </c>
      <c r="BM3" s="1">
        <v>1672.5</v>
      </c>
    </row>
    <row r="4" spans="1:65">
      <c r="A4" s="1" t="s">
        <v>1133</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v>180.2</v>
      </c>
      <c r="AQ4" s="34">
        <v>142.9</v>
      </c>
      <c r="AR4" s="34">
        <v>182.2</v>
      </c>
      <c r="AS4" s="34">
        <v>199.6</v>
      </c>
      <c r="AT4" s="34">
        <v>221.8</v>
      </c>
      <c r="AU4" s="34">
        <v>254.1</v>
      </c>
      <c r="AV4" s="34">
        <v>274</v>
      </c>
      <c r="AW4" s="34">
        <v>376.3</v>
      </c>
      <c r="AX4" s="34">
        <v>382.5</v>
      </c>
      <c r="AY4" s="34">
        <v>453.4</v>
      </c>
      <c r="AZ4" s="34">
        <v>562.5</v>
      </c>
      <c r="BA4" s="34">
        <v>608.70000000000005</v>
      </c>
      <c r="BB4" s="34">
        <v>653.4</v>
      </c>
      <c r="BC4" s="34">
        <v>638.70000000000005</v>
      </c>
      <c r="BD4" s="34">
        <v>626.5</v>
      </c>
      <c r="BE4" s="34">
        <v>566.9</v>
      </c>
      <c r="BF4" s="34">
        <v>523.1</v>
      </c>
      <c r="BG4" s="34">
        <v>526.1</v>
      </c>
      <c r="BH4" s="34">
        <v>492.1</v>
      </c>
      <c r="BI4" s="34">
        <v>497.7</v>
      </c>
      <c r="BJ4" s="34">
        <v>512.1</v>
      </c>
      <c r="BK4" s="1">
        <v>355.8</v>
      </c>
      <c r="BL4" s="1">
        <v>352.6</v>
      </c>
    </row>
    <row r="5" spans="1:65">
      <c r="A5" s="1" t="s">
        <v>1134</v>
      </c>
      <c r="B5" s="34">
        <v>122.2</v>
      </c>
      <c r="C5" s="34">
        <v>127.7</v>
      </c>
      <c r="D5" s="34">
        <v>134.1</v>
      </c>
      <c r="E5" s="34">
        <v>139.30000000000001</v>
      </c>
      <c r="F5" s="34">
        <v>148.80000000000001</v>
      </c>
      <c r="G5" s="34">
        <v>156.30000000000001</v>
      </c>
      <c r="H5" s="34">
        <v>162.9</v>
      </c>
      <c r="I5" s="34">
        <v>145.6</v>
      </c>
      <c r="J5" s="34">
        <v>146.80000000000001</v>
      </c>
      <c r="K5" s="34">
        <v>162.69999999999999</v>
      </c>
      <c r="L5" s="34">
        <v>219.9</v>
      </c>
      <c r="M5" s="34">
        <v>197.1</v>
      </c>
      <c r="N5" s="34">
        <v>231.6</v>
      </c>
      <c r="O5" s="34">
        <v>282.60000000000002</v>
      </c>
      <c r="P5" s="34">
        <v>370.9</v>
      </c>
      <c r="Q5" s="34">
        <v>416.4</v>
      </c>
      <c r="R5" s="34">
        <v>484.1</v>
      </c>
      <c r="S5" s="34">
        <v>494.7</v>
      </c>
      <c r="T5" s="34">
        <v>528</v>
      </c>
      <c r="U5" s="34">
        <v>630</v>
      </c>
      <c r="V5" s="34">
        <v>763.5</v>
      </c>
      <c r="W5" s="34">
        <v>1336.3</v>
      </c>
      <c r="X5" s="34">
        <v>1173</v>
      </c>
      <c r="Y5" s="34">
        <v>881.4</v>
      </c>
      <c r="Z5" s="34">
        <v>745.3</v>
      </c>
      <c r="AA5" s="34">
        <v>762.1</v>
      </c>
      <c r="AB5" s="34">
        <v>588.20000000000005</v>
      </c>
      <c r="AC5" s="34">
        <v>588.70000000000005</v>
      </c>
      <c r="AD5" s="34">
        <v>567.6</v>
      </c>
      <c r="AE5" s="34">
        <v>516.1</v>
      </c>
      <c r="AF5" s="34">
        <v>598.4</v>
      </c>
      <c r="AG5" s="34">
        <v>612.4</v>
      </c>
      <c r="AH5" s="34">
        <v>571.6</v>
      </c>
      <c r="AI5" s="34">
        <v>579.70000000000005</v>
      </c>
      <c r="AJ5" s="34">
        <v>586.79999999999995</v>
      </c>
      <c r="AK5" s="34">
        <v>878.4</v>
      </c>
      <c r="AL5" s="34">
        <v>1084.2</v>
      </c>
      <c r="AM5" s="34">
        <v>1108.7</v>
      </c>
      <c r="AN5" s="34">
        <v>1159.2</v>
      </c>
      <c r="AO5" s="34">
        <v>531.5</v>
      </c>
      <c r="AP5" s="34">
        <v>527.20000000000005</v>
      </c>
      <c r="AQ5" s="34">
        <v>539.20000000000005</v>
      </c>
      <c r="AR5" s="34">
        <v>627.1</v>
      </c>
      <c r="AS5" s="34">
        <v>706.5</v>
      </c>
      <c r="AT5" s="34">
        <v>850.1</v>
      </c>
      <c r="AU5" s="34">
        <v>1008.3</v>
      </c>
      <c r="AV5" s="34">
        <v>1246.3</v>
      </c>
      <c r="AW5" s="34">
        <v>1421.4</v>
      </c>
      <c r="AX5" s="34">
        <v>1685.8</v>
      </c>
      <c r="AY5" s="34">
        <v>1467.8</v>
      </c>
      <c r="AZ5" s="34">
        <v>1680.1</v>
      </c>
      <c r="BA5" s="34">
        <v>1861.5</v>
      </c>
      <c r="BB5" s="34">
        <v>1958.1</v>
      </c>
      <c r="BC5" s="34">
        <v>2154.3000000000002</v>
      </c>
      <c r="BD5" s="34">
        <v>2248.5</v>
      </c>
      <c r="BE5" s="34">
        <v>1882.5</v>
      </c>
      <c r="BF5" s="34">
        <v>1648.9</v>
      </c>
      <c r="BG5" s="34">
        <v>1590.6</v>
      </c>
      <c r="BH5" s="34">
        <v>1735.4</v>
      </c>
      <c r="BI5" s="34">
        <v>1813.6</v>
      </c>
      <c r="BJ5" s="34">
        <v>1688.5</v>
      </c>
      <c r="BK5" s="1">
        <v>1769.2</v>
      </c>
      <c r="BL5" s="1">
        <v>1788.9</v>
      </c>
      <c r="BM5" s="1">
        <v>1584.3</v>
      </c>
    </row>
    <row r="6" spans="1:65">
      <c r="A6" s="1" t="s">
        <v>1135</v>
      </c>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v>451</v>
      </c>
      <c r="AJ6" s="34">
        <v>329.2</v>
      </c>
      <c r="AK6" s="34">
        <v>398.1</v>
      </c>
      <c r="AL6" s="34">
        <v>454.4</v>
      </c>
      <c r="AM6" s="34">
        <v>516.1</v>
      </c>
      <c r="AN6" s="34">
        <v>423.4</v>
      </c>
      <c r="AO6" s="34">
        <v>387.7</v>
      </c>
      <c r="AP6" s="34">
        <v>556.9</v>
      </c>
      <c r="AQ6" s="34">
        <v>527.5</v>
      </c>
      <c r="AR6" s="34">
        <v>872.7</v>
      </c>
      <c r="AS6" s="34">
        <v>982.8</v>
      </c>
      <c r="AT6" s="34">
        <v>1254.7</v>
      </c>
      <c r="AU6" s="34">
        <v>1900.7</v>
      </c>
      <c r="AV6" s="34">
        <v>2598</v>
      </c>
      <c r="AW6" s="34">
        <v>3121.3</v>
      </c>
      <c r="AX6" s="34">
        <v>4081.7</v>
      </c>
      <c r="AY6" s="34">
        <v>3123.7</v>
      </c>
      <c r="AZ6" s="34">
        <v>3586.7</v>
      </c>
      <c r="BA6" s="34">
        <v>4608.2</v>
      </c>
      <c r="BB6" s="34">
        <v>5083.8</v>
      </c>
      <c r="BC6" s="34">
        <v>5061.3</v>
      </c>
      <c r="BD6" s="34">
        <v>5012</v>
      </c>
      <c r="BE6" s="34">
        <v>3217.3</v>
      </c>
      <c r="BF6" s="34">
        <v>1809.7</v>
      </c>
      <c r="BG6" s="34">
        <v>2439.4</v>
      </c>
      <c r="BH6" s="34">
        <v>2540.5</v>
      </c>
      <c r="BI6" s="34">
        <v>2191.3000000000002</v>
      </c>
      <c r="BJ6" s="34">
        <v>1450.9</v>
      </c>
      <c r="BK6" s="1">
        <v>1927.5</v>
      </c>
      <c r="BL6" s="1">
        <v>2933.5</v>
      </c>
      <c r="BM6" s="1">
        <v>2309.5</v>
      </c>
    </row>
    <row r="7" spans="1:65">
      <c r="A7" s="1" t="s">
        <v>1136</v>
      </c>
      <c r="B7" s="34"/>
      <c r="C7" s="34"/>
      <c r="D7" s="34"/>
      <c r="E7" s="34"/>
      <c r="F7" s="34"/>
      <c r="G7" s="34"/>
      <c r="H7" s="34"/>
      <c r="I7" s="34"/>
      <c r="J7" s="34"/>
      <c r="K7" s="34"/>
      <c r="L7" s="34"/>
      <c r="M7" s="34"/>
      <c r="N7" s="34"/>
      <c r="O7" s="34"/>
      <c r="P7" s="34"/>
      <c r="Q7" s="34"/>
      <c r="R7" s="34"/>
      <c r="S7" s="34"/>
      <c r="T7" s="34"/>
      <c r="U7" s="34"/>
      <c r="V7" s="34"/>
      <c r="W7" s="34"/>
      <c r="X7" s="34"/>
      <c r="Y7" s="34"/>
      <c r="Z7" s="34">
        <v>639.5</v>
      </c>
      <c r="AA7" s="34">
        <v>639.9</v>
      </c>
      <c r="AB7" s="34">
        <v>693.9</v>
      </c>
      <c r="AC7" s="34">
        <v>674.8</v>
      </c>
      <c r="AD7" s="34">
        <v>652.79999999999995</v>
      </c>
      <c r="AE7" s="34">
        <v>698</v>
      </c>
      <c r="AF7" s="34">
        <v>617.20000000000005</v>
      </c>
      <c r="AG7" s="34">
        <v>336.6</v>
      </c>
      <c r="AH7" s="34">
        <v>200.9</v>
      </c>
      <c r="AI7" s="34">
        <v>367.3</v>
      </c>
      <c r="AJ7" s="34">
        <v>586.4</v>
      </c>
      <c r="AK7" s="34">
        <v>750.6</v>
      </c>
      <c r="AL7" s="34">
        <v>1010</v>
      </c>
      <c r="AM7" s="34">
        <v>717.4</v>
      </c>
      <c r="AN7" s="34">
        <v>813.8</v>
      </c>
      <c r="AO7" s="34">
        <v>1033.2</v>
      </c>
      <c r="AP7" s="34">
        <v>1126.7</v>
      </c>
      <c r="AQ7" s="34">
        <v>1281.7</v>
      </c>
      <c r="AR7" s="34">
        <v>1425.1</v>
      </c>
      <c r="AS7" s="34">
        <v>1846.1</v>
      </c>
      <c r="AT7" s="34">
        <v>2373.6</v>
      </c>
      <c r="AU7" s="34">
        <v>2673.8</v>
      </c>
      <c r="AV7" s="34">
        <v>2972.7</v>
      </c>
      <c r="AW7" s="34">
        <v>3595</v>
      </c>
      <c r="AX7" s="34">
        <v>4370.5</v>
      </c>
      <c r="AY7" s="34">
        <v>4114.1000000000004</v>
      </c>
      <c r="AZ7" s="34">
        <v>4094.3</v>
      </c>
      <c r="BA7" s="34">
        <v>4437.1000000000004</v>
      </c>
      <c r="BB7" s="34">
        <v>4247.6000000000004</v>
      </c>
      <c r="BC7" s="34">
        <v>4413.1000000000004</v>
      </c>
      <c r="BD7" s="34">
        <v>4578.6000000000004</v>
      </c>
      <c r="BE7" s="34">
        <v>3952.8</v>
      </c>
      <c r="BF7" s="34">
        <v>4124.1000000000004</v>
      </c>
      <c r="BG7" s="34">
        <v>4531</v>
      </c>
      <c r="BH7" s="34">
        <v>5287.7</v>
      </c>
      <c r="BI7" s="34">
        <v>5396.2</v>
      </c>
      <c r="BJ7" s="34">
        <v>5343</v>
      </c>
      <c r="BK7" s="1">
        <v>6377.2</v>
      </c>
      <c r="BL7" s="1">
        <v>6810.1</v>
      </c>
      <c r="BM7" s="1">
        <v>8367.7999999999993</v>
      </c>
    </row>
    <row r="8" spans="1:65">
      <c r="A8" s="1" t="s">
        <v>1137</v>
      </c>
      <c r="B8" s="34"/>
      <c r="C8" s="34"/>
      <c r="D8" s="34"/>
      <c r="E8" s="34"/>
      <c r="F8" s="34"/>
      <c r="G8" s="34"/>
      <c r="H8" s="34"/>
      <c r="I8" s="34"/>
      <c r="J8" s="34"/>
      <c r="K8" s="34"/>
      <c r="L8" s="34">
        <v>3958.6</v>
      </c>
      <c r="M8" s="34">
        <v>4193.2</v>
      </c>
      <c r="N8" s="34">
        <v>4967.3</v>
      </c>
      <c r="O8" s="34">
        <v>6183.8</v>
      </c>
      <c r="P8" s="34">
        <v>7174.4</v>
      </c>
      <c r="Q8" s="34">
        <v>7963.6</v>
      </c>
      <c r="R8" s="34">
        <v>7758.7</v>
      </c>
      <c r="S8" s="34">
        <v>8207</v>
      </c>
      <c r="T8" s="34">
        <v>9456</v>
      </c>
      <c r="U8" s="34">
        <v>12054</v>
      </c>
      <c r="V8" s="34">
        <v>12534.8</v>
      </c>
      <c r="W8" s="34">
        <v>10516.8</v>
      </c>
      <c r="X8" s="34">
        <v>9739.2000000000007</v>
      </c>
      <c r="Y8" s="34">
        <v>8108.7</v>
      </c>
      <c r="Z8" s="34">
        <v>7825.2</v>
      </c>
      <c r="AA8" s="34">
        <v>7914.9</v>
      </c>
      <c r="AB8" s="34">
        <v>10568.9</v>
      </c>
      <c r="AC8" s="34">
        <v>12833</v>
      </c>
      <c r="AD8" s="34">
        <v>14529.1</v>
      </c>
      <c r="AE8" s="34">
        <v>15404.8</v>
      </c>
      <c r="AF8" s="34">
        <v>19208.7</v>
      </c>
      <c r="AG8" s="34">
        <v>19967.7</v>
      </c>
      <c r="AH8" s="34">
        <v>21123.1</v>
      </c>
      <c r="AI8" s="34">
        <v>17024.3</v>
      </c>
      <c r="AJ8" s="34">
        <v>16670.900000000001</v>
      </c>
      <c r="AK8" s="34">
        <v>18731.7</v>
      </c>
      <c r="AL8" s="34">
        <v>19081.5</v>
      </c>
      <c r="AM8" s="34">
        <v>18253.099999999999</v>
      </c>
      <c r="AN8" s="34">
        <v>18592.2</v>
      </c>
      <c r="AO8" s="34">
        <v>18891.099999999999</v>
      </c>
      <c r="AP8" s="34">
        <v>21674.3</v>
      </c>
      <c r="AQ8" s="34">
        <v>22829</v>
      </c>
      <c r="AR8" s="34">
        <v>24902</v>
      </c>
      <c r="AS8" s="34">
        <v>32025.9</v>
      </c>
      <c r="AT8" s="34">
        <v>37698.300000000003</v>
      </c>
      <c r="AU8" s="34">
        <v>39599.699999999997</v>
      </c>
      <c r="AV8" s="34">
        <v>43122.6</v>
      </c>
      <c r="AW8" s="34">
        <v>50629.7</v>
      </c>
      <c r="AX8" s="34">
        <v>53938.9</v>
      </c>
      <c r="AY8" s="34">
        <v>49950.9</v>
      </c>
      <c r="AZ8" s="34">
        <v>48237.9</v>
      </c>
      <c r="BA8" s="34">
        <v>51428.2</v>
      </c>
      <c r="BB8" s="34">
        <v>44902.400000000001</v>
      </c>
      <c r="BC8" s="34">
        <v>44747.8</v>
      </c>
      <c r="BD8" s="34">
        <v>45680.5</v>
      </c>
      <c r="BE8" s="34">
        <v>38885.5</v>
      </c>
      <c r="BF8" s="34">
        <v>39931.199999999997</v>
      </c>
      <c r="BG8" s="34">
        <v>40632.199999999997</v>
      </c>
      <c r="BH8" s="34">
        <v>42904.800000000003</v>
      </c>
      <c r="BI8" s="34">
        <v>41328.6</v>
      </c>
      <c r="BJ8" s="34">
        <v>37207.199999999997</v>
      </c>
      <c r="BK8" s="1">
        <v>42066.5</v>
      </c>
      <c r="BL8" s="1">
        <v>42350.7</v>
      </c>
      <c r="BM8" s="1">
        <v>46544.7</v>
      </c>
    </row>
    <row r="9" spans="1:65">
      <c r="A9" s="1" t="s">
        <v>1138</v>
      </c>
      <c r="B9" s="34"/>
      <c r="C9" s="34"/>
      <c r="D9" s="34"/>
      <c r="E9" s="34"/>
      <c r="F9" s="34"/>
      <c r="G9" s="34">
        <v>251.5</v>
      </c>
      <c r="H9" s="34">
        <v>259.2</v>
      </c>
      <c r="I9" s="34">
        <v>272</v>
      </c>
      <c r="J9" s="34">
        <v>302.2</v>
      </c>
      <c r="K9" s="34">
        <v>323.89999999999998</v>
      </c>
      <c r="L9" s="34">
        <v>351.9</v>
      </c>
      <c r="M9" s="34">
        <v>396.3</v>
      </c>
      <c r="N9" s="34">
        <v>462.7</v>
      </c>
      <c r="O9" s="34">
        <v>593.29999999999995</v>
      </c>
      <c r="P9" s="34">
        <v>1108</v>
      </c>
      <c r="Q9" s="34">
        <v>1186.4000000000001</v>
      </c>
      <c r="R9" s="34">
        <v>1430.4</v>
      </c>
      <c r="S9" s="34">
        <v>1594.4</v>
      </c>
      <c r="T9" s="34">
        <v>1693.4</v>
      </c>
      <c r="U9" s="34">
        <v>2210.5</v>
      </c>
      <c r="V9" s="34">
        <v>2900.5</v>
      </c>
      <c r="W9" s="34">
        <v>2859</v>
      </c>
      <c r="X9" s="34">
        <v>2593.1999999999998</v>
      </c>
      <c r="Y9" s="34">
        <v>2373.3000000000002</v>
      </c>
      <c r="Z9" s="34">
        <v>2314.9</v>
      </c>
      <c r="AA9" s="34">
        <v>2209.1999999999998</v>
      </c>
      <c r="AB9" s="34">
        <v>2008.3</v>
      </c>
      <c r="AC9" s="34">
        <v>2074.6</v>
      </c>
      <c r="AD9" s="34">
        <v>2011.7</v>
      </c>
      <c r="AE9" s="34">
        <v>2088.4</v>
      </c>
      <c r="AF9" s="34">
        <v>2833.2</v>
      </c>
      <c r="AG9" s="34">
        <v>2020.4</v>
      </c>
      <c r="AH9" s="34">
        <v>1969.8</v>
      </c>
      <c r="AI9" s="34">
        <v>1963.8</v>
      </c>
      <c r="AJ9" s="34">
        <v>1995.6</v>
      </c>
      <c r="AK9" s="34">
        <v>2058.5</v>
      </c>
      <c r="AL9" s="34">
        <v>2171.3000000000002</v>
      </c>
      <c r="AM9" s="34">
        <v>2283.6999999999998</v>
      </c>
      <c r="AN9" s="34">
        <v>2174.9</v>
      </c>
      <c r="AO9" s="34">
        <v>2363</v>
      </c>
      <c r="AP9" s="34">
        <v>2649.8</v>
      </c>
      <c r="AQ9" s="34">
        <v>2527.9</v>
      </c>
      <c r="AR9" s="34">
        <v>2478.9</v>
      </c>
      <c r="AS9" s="34">
        <v>2697.5</v>
      </c>
      <c r="AT9" s="34">
        <v>3140.3</v>
      </c>
      <c r="AU9" s="34">
        <v>3760.9</v>
      </c>
      <c r="AV9" s="34">
        <v>4362.8999999999996</v>
      </c>
      <c r="AW9" s="34">
        <v>4943.5</v>
      </c>
      <c r="AX9" s="34">
        <v>6084.8</v>
      </c>
      <c r="AY9" s="34">
        <v>5123.7</v>
      </c>
      <c r="AZ9" s="34">
        <v>5911.3</v>
      </c>
      <c r="BA9" s="34">
        <v>6874.8</v>
      </c>
      <c r="BB9" s="34">
        <v>7344.6</v>
      </c>
      <c r="BC9" s="34">
        <v>7344.2</v>
      </c>
      <c r="BD9" s="34">
        <v>7300.6</v>
      </c>
      <c r="BE9" s="34">
        <v>6258.6</v>
      </c>
      <c r="BF9" s="34">
        <v>6022.9</v>
      </c>
      <c r="BG9" s="34">
        <v>6068.6</v>
      </c>
      <c r="BH9" s="34">
        <v>6624.8</v>
      </c>
      <c r="BI9" s="34">
        <v>6566</v>
      </c>
      <c r="BJ9" s="34">
        <v>5735.5</v>
      </c>
      <c r="BK9" s="1">
        <v>6503.8</v>
      </c>
      <c r="BL9" s="1">
        <v>7776.6</v>
      </c>
      <c r="BM9" s="1">
        <v>7377.4</v>
      </c>
    </row>
    <row r="10" spans="1:65">
      <c r="A10" s="1" t="s">
        <v>1139</v>
      </c>
      <c r="B10" s="34"/>
      <c r="C10" s="34"/>
      <c r="D10" s="34"/>
      <c r="E10" s="34"/>
      <c r="F10" s="34"/>
      <c r="G10" s="34"/>
      <c r="H10" s="34"/>
      <c r="I10" s="34"/>
      <c r="J10" s="34"/>
      <c r="K10" s="34"/>
      <c r="L10" s="34">
        <v>2301.3000000000002</v>
      </c>
      <c r="M10" s="34">
        <v>2728.2</v>
      </c>
      <c r="N10" s="34">
        <v>3606.5</v>
      </c>
      <c r="O10" s="34">
        <v>9582.7999999999993</v>
      </c>
      <c r="P10" s="34">
        <v>23684.1</v>
      </c>
      <c r="Q10" s="34">
        <v>27090.3</v>
      </c>
      <c r="R10" s="34">
        <v>31282.799999999999</v>
      </c>
      <c r="S10" s="34">
        <v>35186.199999999997</v>
      </c>
      <c r="T10" s="34">
        <v>29526.6</v>
      </c>
      <c r="U10" s="34">
        <v>34372.400000000001</v>
      </c>
      <c r="V10" s="34">
        <v>42995.199999999997</v>
      </c>
      <c r="W10" s="34">
        <v>44841.2</v>
      </c>
      <c r="X10" s="34">
        <v>39921.599999999999</v>
      </c>
      <c r="Y10" s="34">
        <v>34586.5</v>
      </c>
      <c r="Z10" s="34">
        <v>31955.200000000001</v>
      </c>
      <c r="AA10" s="34">
        <v>29432.799999999999</v>
      </c>
      <c r="AB10" s="34">
        <v>23111.4</v>
      </c>
      <c r="AC10" s="34">
        <v>23088.2</v>
      </c>
      <c r="AD10" s="34">
        <v>21545.5</v>
      </c>
      <c r="AE10" s="34">
        <v>23141</v>
      </c>
      <c r="AF10" s="34">
        <v>26682.799999999999</v>
      </c>
      <c r="AG10" s="34">
        <v>25668.5</v>
      </c>
      <c r="AH10" s="34">
        <v>25630.1</v>
      </c>
      <c r="AI10" s="34">
        <v>25019.4</v>
      </c>
      <c r="AJ10" s="34">
        <v>25463.5</v>
      </c>
      <c r="AK10" s="34">
        <v>27010.7</v>
      </c>
      <c r="AL10" s="34">
        <v>28596.5</v>
      </c>
      <c r="AM10" s="34">
        <v>28709.200000000001</v>
      </c>
      <c r="AN10" s="34">
        <v>25905.8</v>
      </c>
      <c r="AO10" s="34">
        <v>27261.9</v>
      </c>
      <c r="AP10" s="34">
        <v>31855.5</v>
      </c>
      <c r="AQ10" s="34">
        <v>29909</v>
      </c>
      <c r="AR10" s="34">
        <v>30222</v>
      </c>
      <c r="AS10" s="34">
        <v>32607.4</v>
      </c>
      <c r="AT10" s="34">
        <v>37017.699999999997</v>
      </c>
      <c r="AU10" s="34">
        <v>42190.6</v>
      </c>
      <c r="AV10" s="34">
        <v>45339.6</v>
      </c>
      <c r="AW10" s="34">
        <v>43918.400000000001</v>
      </c>
      <c r="AX10" s="34">
        <v>45140.800000000003</v>
      </c>
      <c r="AY10" s="34">
        <v>31722.6</v>
      </c>
      <c r="AZ10" s="34">
        <v>35392.300000000003</v>
      </c>
      <c r="BA10" s="34">
        <v>42078.6</v>
      </c>
      <c r="BB10" s="34">
        <v>44386.8</v>
      </c>
      <c r="BC10" s="34">
        <v>45729.599999999999</v>
      </c>
      <c r="BD10" s="34">
        <v>46866</v>
      </c>
      <c r="BE10" s="34">
        <v>41525.1</v>
      </c>
      <c r="BF10" s="34">
        <v>41054.5</v>
      </c>
      <c r="BG10" s="34">
        <v>43064</v>
      </c>
      <c r="BH10" s="34">
        <v>46722.3</v>
      </c>
      <c r="BI10" s="34">
        <v>45376.2</v>
      </c>
      <c r="BJ10" s="34">
        <v>37629.199999999997</v>
      </c>
      <c r="BK10" s="1">
        <v>44332.3</v>
      </c>
      <c r="BL10" s="1">
        <v>53708</v>
      </c>
      <c r="BM10" s="1">
        <v>52976.800000000003</v>
      </c>
    </row>
    <row r="11" spans="1:65">
      <c r="A11" s="1" t="s">
        <v>221</v>
      </c>
      <c r="B11" s="34"/>
      <c r="C11" s="34"/>
      <c r="D11" s="34"/>
      <c r="E11" s="34"/>
      <c r="F11" s="34"/>
      <c r="G11" s="34"/>
      <c r="H11" s="34"/>
      <c r="I11" s="34"/>
      <c r="J11" s="34"/>
      <c r="K11" s="34"/>
      <c r="L11" s="34"/>
      <c r="M11" s="34"/>
      <c r="N11" s="34"/>
      <c r="O11" s="34"/>
      <c r="P11" s="34"/>
      <c r="Q11" s="34"/>
      <c r="R11" s="34"/>
      <c r="S11" s="34"/>
      <c r="T11" s="34"/>
      <c r="U11" s="34"/>
      <c r="V11" s="34"/>
      <c r="W11" s="34"/>
      <c r="X11" s="34"/>
      <c r="Y11" s="34">
        <v>3727</v>
      </c>
      <c r="Z11" s="34">
        <v>3787.5</v>
      </c>
      <c r="AA11" s="34">
        <v>2919.3</v>
      </c>
      <c r="AB11" s="34">
        <v>3454.3</v>
      </c>
      <c r="AC11" s="34">
        <v>3492.7</v>
      </c>
      <c r="AD11" s="34">
        <v>4005.2</v>
      </c>
      <c r="AE11" s="34">
        <v>2382.3000000000002</v>
      </c>
      <c r="AF11" s="34">
        <v>4331</v>
      </c>
      <c r="AG11" s="34">
        <v>5730.7</v>
      </c>
      <c r="AH11" s="34">
        <v>6815.3</v>
      </c>
      <c r="AI11" s="34">
        <v>6957.4</v>
      </c>
      <c r="AJ11" s="34">
        <v>7464.5</v>
      </c>
      <c r="AK11" s="34">
        <v>7383.7</v>
      </c>
      <c r="AL11" s="34">
        <v>7690.2</v>
      </c>
      <c r="AM11" s="34">
        <v>8176.8</v>
      </c>
      <c r="AN11" s="34">
        <v>8250.7000000000007</v>
      </c>
      <c r="AO11" s="34">
        <v>7735.3</v>
      </c>
      <c r="AP11" s="34">
        <v>7666.5</v>
      </c>
      <c r="AQ11" s="34">
        <v>7169</v>
      </c>
      <c r="AR11" s="34">
        <v>2579.5</v>
      </c>
      <c r="AS11" s="34">
        <v>3333.2</v>
      </c>
      <c r="AT11" s="34">
        <v>4258.2</v>
      </c>
      <c r="AU11" s="34">
        <v>5086.6000000000004</v>
      </c>
      <c r="AV11" s="34">
        <v>5891</v>
      </c>
      <c r="AW11" s="34">
        <v>7210.6</v>
      </c>
      <c r="AX11" s="34">
        <v>8977.5</v>
      </c>
      <c r="AY11" s="34">
        <v>8184.4</v>
      </c>
      <c r="AZ11" s="34">
        <v>10386</v>
      </c>
      <c r="BA11" s="34">
        <v>12848.7</v>
      </c>
      <c r="BB11" s="34">
        <v>13082.7</v>
      </c>
      <c r="BC11" s="34">
        <v>13080.3</v>
      </c>
      <c r="BD11" s="34">
        <v>12334.8</v>
      </c>
      <c r="BE11" s="34">
        <v>13789.1</v>
      </c>
      <c r="BF11" s="34">
        <v>12790.3</v>
      </c>
      <c r="BG11" s="34">
        <v>14613</v>
      </c>
      <c r="BH11" s="34">
        <v>11795.2</v>
      </c>
      <c r="BI11" s="34">
        <v>9963.7000000000007</v>
      </c>
      <c r="BJ11" s="34">
        <v>8500.7999999999993</v>
      </c>
      <c r="BK11" s="1">
        <v>10650.9</v>
      </c>
      <c r="BL11" s="1">
        <v>13650.6</v>
      </c>
      <c r="BM11" s="1">
        <v>13730.5</v>
      </c>
    </row>
    <row r="12" spans="1:65">
      <c r="A12" s="1" t="s">
        <v>1140</v>
      </c>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v>634.6</v>
      </c>
      <c r="AG12" s="34">
        <v>572.20000000000005</v>
      </c>
      <c r="AH12" s="34">
        <v>356.1</v>
      </c>
      <c r="AI12" s="34">
        <v>347.5</v>
      </c>
      <c r="AJ12" s="34">
        <v>389.8</v>
      </c>
      <c r="AK12" s="34">
        <v>441.9</v>
      </c>
      <c r="AL12" s="34">
        <v>484.1</v>
      </c>
      <c r="AM12" s="34">
        <v>501.2</v>
      </c>
      <c r="AN12" s="34">
        <v>584.4</v>
      </c>
      <c r="AO12" s="34">
        <v>575.6</v>
      </c>
      <c r="AP12" s="34">
        <v>603.29999999999995</v>
      </c>
      <c r="AQ12" s="34">
        <v>676.2</v>
      </c>
      <c r="AR12" s="34">
        <v>765.3</v>
      </c>
      <c r="AS12" s="34">
        <v>910.2</v>
      </c>
      <c r="AT12" s="34">
        <v>1166.5999999999999</v>
      </c>
      <c r="AU12" s="34">
        <v>1608.2</v>
      </c>
      <c r="AV12" s="34">
        <v>2109.5</v>
      </c>
      <c r="AW12" s="34">
        <v>3064.3</v>
      </c>
      <c r="AX12" s="34">
        <v>3908.9</v>
      </c>
      <c r="AY12" s="34">
        <v>2917.4</v>
      </c>
      <c r="AZ12" s="34">
        <v>3143</v>
      </c>
      <c r="BA12" s="34">
        <v>3462.7</v>
      </c>
      <c r="BB12" s="34">
        <v>3643.7</v>
      </c>
      <c r="BC12" s="34">
        <v>3833.2</v>
      </c>
      <c r="BD12" s="34">
        <v>4017.2</v>
      </c>
      <c r="BE12" s="34">
        <v>3666.1</v>
      </c>
      <c r="BF12" s="34">
        <v>3680</v>
      </c>
      <c r="BG12" s="34">
        <v>4042</v>
      </c>
      <c r="BH12" s="34">
        <v>4391.8999999999996</v>
      </c>
      <c r="BI12" s="34">
        <v>4828.5</v>
      </c>
      <c r="BJ12" s="34">
        <v>4505.8999999999996</v>
      </c>
      <c r="BK12" s="1">
        <v>4972.8</v>
      </c>
      <c r="BL12" s="1">
        <v>7018.1</v>
      </c>
      <c r="BM12" s="1">
        <v>8715.7999999999993</v>
      </c>
    </row>
    <row r="13" spans="1:65">
      <c r="A13" s="1" t="s">
        <v>1141</v>
      </c>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v>8800.7000000000007</v>
      </c>
      <c r="AS13" s="34">
        <v>9043.7000000000007</v>
      </c>
      <c r="AT13" s="34">
        <v>8832.7999999999993</v>
      </c>
      <c r="AU13" s="34">
        <v>8733</v>
      </c>
      <c r="AV13" s="34">
        <v>8673.9</v>
      </c>
      <c r="AW13" s="34">
        <v>9187.2000000000007</v>
      </c>
      <c r="AX13" s="34">
        <v>10019.5</v>
      </c>
      <c r="AY13" s="34">
        <v>12191.6</v>
      </c>
      <c r="AZ13" s="34">
        <v>10446.9</v>
      </c>
      <c r="BA13" s="34">
        <v>10495.3</v>
      </c>
      <c r="BB13" s="34">
        <v>11920.1</v>
      </c>
      <c r="BC13" s="34">
        <v>12038.9</v>
      </c>
      <c r="BD13" s="34">
        <v>12314</v>
      </c>
      <c r="BE13" s="34">
        <v>13101.5</v>
      </c>
      <c r="BF13" s="34">
        <v>13300.8</v>
      </c>
      <c r="BG13" s="34">
        <v>12372.9</v>
      </c>
      <c r="BH13" s="34">
        <v>13195.9</v>
      </c>
      <c r="BI13" s="34">
        <v>13672.6</v>
      </c>
      <c r="BJ13" s="34">
        <v>15609.8</v>
      </c>
      <c r="BK13" s="1">
        <v>16653.7</v>
      </c>
      <c r="BL13" s="1">
        <v>19673.400000000001</v>
      </c>
    </row>
    <row r="14" spans="1:65">
      <c r="A14" s="1" t="s">
        <v>1142</v>
      </c>
      <c r="B14" s="34"/>
      <c r="C14" s="34"/>
      <c r="D14" s="34"/>
      <c r="E14" s="34"/>
      <c r="F14" s="34"/>
      <c r="G14" s="34"/>
      <c r="H14" s="34"/>
      <c r="I14" s="34"/>
      <c r="J14" s="34"/>
      <c r="K14" s="34"/>
      <c r="L14" s="34"/>
      <c r="M14" s="34"/>
      <c r="N14" s="34"/>
      <c r="O14" s="34"/>
      <c r="P14" s="34"/>
      <c r="Q14" s="34"/>
      <c r="R14" s="34"/>
      <c r="S14" s="34">
        <v>1208.7</v>
      </c>
      <c r="T14" s="34">
        <v>1368.5</v>
      </c>
      <c r="U14" s="34">
        <v>1696.1</v>
      </c>
      <c r="V14" s="34">
        <v>2041</v>
      </c>
      <c r="W14" s="34">
        <v>2295.4</v>
      </c>
      <c r="X14" s="34">
        <v>2551.3000000000002</v>
      </c>
      <c r="Y14" s="34">
        <v>2826.1</v>
      </c>
      <c r="Z14" s="34">
        <v>3246.4</v>
      </c>
      <c r="AA14" s="34">
        <v>3787.1</v>
      </c>
      <c r="AB14" s="34">
        <v>4597.8999999999996</v>
      </c>
      <c r="AC14" s="34">
        <v>5389.7</v>
      </c>
      <c r="AD14" s="34">
        <v>6429.5</v>
      </c>
      <c r="AE14" s="34">
        <v>7152.4</v>
      </c>
      <c r="AF14" s="34">
        <v>7558.9</v>
      </c>
      <c r="AG14" s="34">
        <v>7925.1</v>
      </c>
      <c r="AH14" s="34">
        <v>8121.1</v>
      </c>
      <c r="AI14" s="34">
        <v>8591.7999999999993</v>
      </c>
      <c r="AJ14" s="34">
        <v>9319.1</v>
      </c>
      <c r="AK14" s="34">
        <v>9006.2999999999993</v>
      </c>
      <c r="AL14" s="34">
        <v>9729.7000000000007</v>
      </c>
      <c r="AM14" s="34">
        <v>10311.9</v>
      </c>
      <c r="AN14" s="34">
        <v>10882.5</v>
      </c>
      <c r="AO14" s="34">
        <v>11318.1</v>
      </c>
      <c r="AP14" s="34">
        <v>11998.6</v>
      </c>
      <c r="AQ14" s="34">
        <v>11513.7</v>
      </c>
      <c r="AR14" s="34">
        <v>11632.7</v>
      </c>
      <c r="AS14" s="34">
        <v>12141.6</v>
      </c>
      <c r="AT14" s="34">
        <v>12999.3</v>
      </c>
      <c r="AU14" s="34">
        <v>14319.9</v>
      </c>
      <c r="AV14" s="34">
        <v>16114.1</v>
      </c>
      <c r="AW14" s="34">
        <v>18134.3</v>
      </c>
      <c r="AX14" s="34">
        <v>18709</v>
      </c>
      <c r="AY14" s="34">
        <v>16401</v>
      </c>
      <c r="AZ14" s="34">
        <v>15149.7</v>
      </c>
      <c r="BA14" s="34">
        <v>14774</v>
      </c>
      <c r="BB14" s="34">
        <v>15136.8</v>
      </c>
      <c r="BC14" s="34">
        <v>14977.1</v>
      </c>
      <c r="BD14" s="34">
        <v>15451.5</v>
      </c>
      <c r="BE14" s="34">
        <v>15985.5</v>
      </c>
      <c r="BF14" s="34">
        <v>16449.099999999999</v>
      </c>
      <c r="BG14" s="34">
        <v>16803.900000000001</v>
      </c>
      <c r="BH14" s="34">
        <v>18133.8</v>
      </c>
      <c r="BI14" s="34">
        <v>18730</v>
      </c>
      <c r="BJ14" s="34">
        <v>15224.9</v>
      </c>
      <c r="BK14" s="1">
        <v>17178.5</v>
      </c>
      <c r="BL14" s="1">
        <v>19919.7</v>
      </c>
      <c r="BM14" s="1">
        <v>21560.2</v>
      </c>
    </row>
    <row r="15" spans="1:65">
      <c r="A15" s="1" t="s">
        <v>1143</v>
      </c>
      <c r="B15" s="34">
        <v>1810.6</v>
      </c>
      <c r="C15" s="34">
        <v>1877.6</v>
      </c>
      <c r="D15" s="34">
        <v>1854.6</v>
      </c>
      <c r="E15" s="34">
        <v>1967.1</v>
      </c>
      <c r="F15" s="34">
        <v>2131.4</v>
      </c>
      <c r="G15" s="34">
        <v>2281</v>
      </c>
      <c r="H15" s="34">
        <v>2343.8000000000002</v>
      </c>
      <c r="I15" s="34">
        <v>2580.1</v>
      </c>
      <c r="J15" s="34">
        <v>2724.1</v>
      </c>
      <c r="K15" s="34">
        <v>2991.4</v>
      </c>
      <c r="L15" s="34">
        <v>3304.8</v>
      </c>
      <c r="M15" s="34">
        <v>3495.1</v>
      </c>
      <c r="N15" s="34">
        <v>3949.4</v>
      </c>
      <c r="O15" s="34">
        <v>4770.6000000000004</v>
      </c>
      <c r="P15" s="34">
        <v>6482.8</v>
      </c>
      <c r="Q15" s="34">
        <v>7003.7</v>
      </c>
      <c r="R15" s="34">
        <v>7486.6</v>
      </c>
      <c r="S15" s="34">
        <v>7775.5</v>
      </c>
      <c r="T15" s="34">
        <v>8252.7000000000007</v>
      </c>
      <c r="U15" s="34">
        <v>9294.4</v>
      </c>
      <c r="V15" s="34">
        <v>10208.700000000001</v>
      </c>
      <c r="W15" s="34">
        <v>11853.5</v>
      </c>
      <c r="X15" s="34">
        <v>12778.9</v>
      </c>
      <c r="Y15" s="34">
        <v>11515.6</v>
      </c>
      <c r="Z15" s="34">
        <v>12421.5</v>
      </c>
      <c r="AA15" s="34">
        <v>11441.2</v>
      </c>
      <c r="AB15" s="34">
        <v>11391.7</v>
      </c>
      <c r="AC15" s="34">
        <v>11650.8</v>
      </c>
      <c r="AD15" s="34">
        <v>14284.5</v>
      </c>
      <c r="AE15" s="34">
        <v>17834.2</v>
      </c>
      <c r="AF15" s="34">
        <v>18248.900000000001</v>
      </c>
      <c r="AG15" s="34">
        <v>18859.400000000001</v>
      </c>
      <c r="AH15" s="34">
        <v>18623.8</v>
      </c>
      <c r="AI15" s="34">
        <v>17699.599999999999</v>
      </c>
      <c r="AJ15" s="34">
        <v>18129.400000000001</v>
      </c>
      <c r="AK15" s="34">
        <v>20448.099999999999</v>
      </c>
      <c r="AL15" s="34">
        <v>22021.8</v>
      </c>
      <c r="AM15" s="34">
        <v>23646.6</v>
      </c>
      <c r="AN15" s="34">
        <v>21479.1</v>
      </c>
      <c r="AO15" s="34">
        <v>20712.7</v>
      </c>
      <c r="AP15" s="34">
        <v>21870.400000000001</v>
      </c>
      <c r="AQ15" s="34">
        <v>19695.7</v>
      </c>
      <c r="AR15" s="34">
        <v>20301.8</v>
      </c>
      <c r="AS15" s="34">
        <v>23718.1</v>
      </c>
      <c r="AT15" s="34">
        <v>30836.7</v>
      </c>
      <c r="AU15" s="34">
        <v>34479.800000000003</v>
      </c>
      <c r="AV15" s="34">
        <v>36595.699999999997</v>
      </c>
      <c r="AW15" s="34">
        <v>41051.599999999999</v>
      </c>
      <c r="AX15" s="34">
        <v>49701.3</v>
      </c>
      <c r="AY15" s="34">
        <v>42816.6</v>
      </c>
      <c r="AZ15" s="34">
        <v>52147</v>
      </c>
      <c r="BA15" s="34">
        <v>62609.7</v>
      </c>
      <c r="BB15" s="34">
        <v>68078</v>
      </c>
      <c r="BC15" s="34">
        <v>68198.399999999994</v>
      </c>
      <c r="BD15" s="34">
        <v>62558.2</v>
      </c>
      <c r="BE15" s="34">
        <v>56758.9</v>
      </c>
      <c r="BF15" s="34">
        <v>49918.8</v>
      </c>
      <c r="BG15" s="34">
        <v>53954.6</v>
      </c>
      <c r="BH15" s="34">
        <v>57273.5</v>
      </c>
      <c r="BI15" s="34">
        <v>55049.599999999999</v>
      </c>
      <c r="BJ15" s="34">
        <v>51868.2</v>
      </c>
      <c r="BK15" s="1">
        <v>60697.2</v>
      </c>
      <c r="BL15" s="1">
        <v>65077.7</v>
      </c>
      <c r="BM15" s="1">
        <v>64711.8</v>
      </c>
    </row>
    <row r="16" spans="1:65">
      <c r="A16" s="1" t="s">
        <v>1144</v>
      </c>
      <c r="B16" s="34">
        <v>943.6</v>
      </c>
      <c r="C16" s="34">
        <v>1040.8</v>
      </c>
      <c r="D16" s="34">
        <v>1097.3</v>
      </c>
      <c r="E16" s="34">
        <v>1177.2</v>
      </c>
      <c r="F16" s="34">
        <v>1280.5</v>
      </c>
      <c r="G16" s="34">
        <v>1386.5</v>
      </c>
      <c r="H16" s="34">
        <v>1499.9</v>
      </c>
      <c r="I16" s="34">
        <v>1583.3</v>
      </c>
      <c r="J16" s="34">
        <v>1692.3</v>
      </c>
      <c r="K16" s="34">
        <v>1841.3</v>
      </c>
      <c r="L16" s="34">
        <v>2058.8000000000002</v>
      </c>
      <c r="M16" s="34">
        <v>2381</v>
      </c>
      <c r="N16" s="34">
        <v>2924</v>
      </c>
      <c r="O16" s="34">
        <v>3890.7</v>
      </c>
      <c r="P16" s="34">
        <v>4630.8</v>
      </c>
      <c r="Q16" s="34">
        <v>5285.6</v>
      </c>
      <c r="R16" s="34">
        <v>5678.4</v>
      </c>
      <c r="S16" s="34">
        <v>6810.6</v>
      </c>
      <c r="T16" s="34">
        <v>8205.5</v>
      </c>
      <c r="U16" s="34">
        <v>9793.7999999999993</v>
      </c>
      <c r="V16" s="34">
        <v>10869.5</v>
      </c>
      <c r="W16" s="34">
        <v>9385.2000000000007</v>
      </c>
      <c r="X16" s="34">
        <v>9410.2999999999993</v>
      </c>
      <c r="Y16" s="34">
        <v>9537.4</v>
      </c>
      <c r="Z16" s="34">
        <v>8991.1</v>
      </c>
      <c r="AA16" s="34">
        <v>9172.1</v>
      </c>
      <c r="AB16" s="34">
        <v>13083.1</v>
      </c>
      <c r="AC16" s="34">
        <v>16392.8</v>
      </c>
      <c r="AD16" s="34">
        <v>17578.599999999999</v>
      </c>
      <c r="AE16" s="34">
        <v>17468.900000000001</v>
      </c>
      <c r="AF16" s="34">
        <v>21681</v>
      </c>
      <c r="AG16" s="34">
        <v>22410.9</v>
      </c>
      <c r="AH16" s="34">
        <v>24880.2</v>
      </c>
      <c r="AI16" s="34">
        <v>24081.5</v>
      </c>
      <c r="AJ16" s="34">
        <v>25646.7</v>
      </c>
      <c r="AK16" s="34">
        <v>30325.8</v>
      </c>
      <c r="AL16" s="34">
        <v>29809.1</v>
      </c>
      <c r="AM16" s="34">
        <v>26705.5</v>
      </c>
      <c r="AN16" s="34">
        <v>27361.9</v>
      </c>
      <c r="AO16" s="34">
        <v>27183.5</v>
      </c>
      <c r="AP16" s="34">
        <v>24625.599999999999</v>
      </c>
      <c r="AQ16" s="34">
        <v>24558.799999999999</v>
      </c>
      <c r="AR16" s="34">
        <v>26527.599999999999</v>
      </c>
      <c r="AS16" s="34">
        <v>32294</v>
      </c>
      <c r="AT16" s="34">
        <v>36889.199999999997</v>
      </c>
      <c r="AU16" s="34">
        <v>38417.5</v>
      </c>
      <c r="AV16" s="34">
        <v>40669.300000000003</v>
      </c>
      <c r="AW16" s="34">
        <v>46915.3</v>
      </c>
      <c r="AX16" s="34">
        <v>51920</v>
      </c>
      <c r="AY16" s="34">
        <v>48153.3</v>
      </c>
      <c r="AZ16" s="34">
        <v>46903.8</v>
      </c>
      <c r="BA16" s="34">
        <v>51442.3</v>
      </c>
      <c r="BB16" s="34">
        <v>48564.9</v>
      </c>
      <c r="BC16" s="34">
        <v>50731.1</v>
      </c>
      <c r="BD16" s="34">
        <v>51786.400000000001</v>
      </c>
      <c r="BE16" s="34">
        <v>44195.8</v>
      </c>
      <c r="BF16" s="34">
        <v>45307.6</v>
      </c>
      <c r="BG16" s="34">
        <v>47429.2</v>
      </c>
      <c r="BH16" s="34">
        <v>51466.6</v>
      </c>
      <c r="BI16" s="34">
        <v>50067.6</v>
      </c>
      <c r="BJ16" s="34">
        <v>48789.5</v>
      </c>
      <c r="BK16" s="1">
        <v>53517.9</v>
      </c>
      <c r="BL16" s="1">
        <v>52084.7</v>
      </c>
      <c r="BM16" s="1">
        <v>56506</v>
      </c>
    </row>
    <row r="17" spans="1:65">
      <c r="A17" s="1" t="s">
        <v>1145</v>
      </c>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v>1238.3</v>
      </c>
      <c r="AG17" s="34">
        <v>734.9</v>
      </c>
      <c r="AH17" s="34">
        <v>60.2</v>
      </c>
      <c r="AI17" s="34">
        <v>209.5</v>
      </c>
      <c r="AJ17" s="34">
        <v>157.1</v>
      </c>
      <c r="AK17" s="34">
        <v>314.60000000000002</v>
      </c>
      <c r="AL17" s="34">
        <v>409.2</v>
      </c>
      <c r="AM17" s="34">
        <v>505.5</v>
      </c>
      <c r="AN17" s="34">
        <v>561.9</v>
      </c>
      <c r="AO17" s="34">
        <v>573.9</v>
      </c>
      <c r="AP17" s="34">
        <v>655.1</v>
      </c>
      <c r="AQ17" s="34">
        <v>703.7</v>
      </c>
      <c r="AR17" s="34">
        <v>763.1</v>
      </c>
      <c r="AS17" s="34">
        <v>883.7</v>
      </c>
      <c r="AT17" s="34">
        <v>1045</v>
      </c>
      <c r="AU17" s="34">
        <v>1578.4</v>
      </c>
      <c r="AV17" s="34">
        <v>2473</v>
      </c>
      <c r="AW17" s="34">
        <v>3851.3</v>
      </c>
      <c r="AX17" s="34">
        <v>5574.5</v>
      </c>
      <c r="AY17" s="34">
        <v>4950.3999999999996</v>
      </c>
      <c r="AZ17" s="34">
        <v>5843.5</v>
      </c>
      <c r="BA17" s="34">
        <v>7189.8</v>
      </c>
      <c r="BB17" s="34">
        <v>7495.9</v>
      </c>
      <c r="BC17" s="34">
        <v>7875.3</v>
      </c>
      <c r="BD17" s="34">
        <v>7890.8</v>
      </c>
      <c r="BE17" s="34">
        <v>5500.5</v>
      </c>
      <c r="BF17" s="34">
        <v>3880.7</v>
      </c>
      <c r="BG17" s="34">
        <v>4147.2</v>
      </c>
      <c r="BH17" s="34">
        <v>4739.8</v>
      </c>
      <c r="BI17" s="34">
        <v>4805.8</v>
      </c>
      <c r="BJ17" s="34">
        <v>4229.8999999999996</v>
      </c>
      <c r="BK17" s="1">
        <v>5408</v>
      </c>
      <c r="BL17" s="1">
        <v>7770.6</v>
      </c>
      <c r="BM17" s="1">
        <v>7155.1</v>
      </c>
    </row>
    <row r="18" spans="1:65">
      <c r="A18" s="1" t="s">
        <v>1146</v>
      </c>
      <c r="B18" s="34">
        <v>71.400000000000006</v>
      </c>
      <c r="C18" s="34">
        <v>72.099999999999994</v>
      </c>
      <c r="D18" s="34">
        <v>73.900000000000006</v>
      </c>
      <c r="E18" s="34">
        <v>78.900000000000006</v>
      </c>
      <c r="F18" s="34">
        <v>86</v>
      </c>
      <c r="G18" s="34">
        <v>51</v>
      </c>
      <c r="H18" s="34">
        <v>51.8</v>
      </c>
      <c r="I18" s="34">
        <v>54.5</v>
      </c>
      <c r="J18" s="34">
        <v>54.6</v>
      </c>
      <c r="K18" s="34">
        <v>55.5</v>
      </c>
      <c r="L18" s="34">
        <v>69.400000000000006</v>
      </c>
      <c r="M18" s="34">
        <v>70.599999999999994</v>
      </c>
      <c r="N18" s="34">
        <v>69</v>
      </c>
      <c r="O18" s="34">
        <v>85.2</v>
      </c>
      <c r="P18" s="34">
        <v>94.3</v>
      </c>
      <c r="Q18" s="34">
        <v>112.3</v>
      </c>
      <c r="R18" s="34">
        <v>117.1</v>
      </c>
      <c r="S18" s="34">
        <v>139.4</v>
      </c>
      <c r="T18" s="34">
        <v>151.1</v>
      </c>
      <c r="U18" s="34">
        <v>189.1</v>
      </c>
      <c r="V18" s="34">
        <v>213.3</v>
      </c>
      <c r="W18" s="34">
        <v>215.8</v>
      </c>
      <c r="X18" s="34">
        <v>220.2</v>
      </c>
      <c r="Y18" s="34">
        <v>229.1</v>
      </c>
      <c r="Z18" s="34">
        <v>203.9</v>
      </c>
      <c r="AA18" s="34">
        <v>232.4</v>
      </c>
      <c r="AB18" s="34">
        <v>238.4</v>
      </c>
      <c r="AC18" s="34">
        <v>219.4</v>
      </c>
      <c r="AD18" s="34">
        <v>205.3</v>
      </c>
      <c r="AE18" s="34">
        <v>207.3</v>
      </c>
      <c r="AF18" s="34">
        <v>206.4</v>
      </c>
      <c r="AG18" s="34">
        <v>208.7</v>
      </c>
      <c r="AH18" s="34">
        <v>188.6</v>
      </c>
      <c r="AI18" s="34">
        <v>169</v>
      </c>
      <c r="AJ18" s="34">
        <v>165.6</v>
      </c>
      <c r="AK18" s="34">
        <v>168.6</v>
      </c>
      <c r="AL18" s="34">
        <v>146.5</v>
      </c>
      <c r="AM18" s="34">
        <v>164.2</v>
      </c>
      <c r="AN18" s="34">
        <v>148.1</v>
      </c>
      <c r="AO18" s="34">
        <v>130.80000000000001</v>
      </c>
      <c r="AP18" s="34">
        <v>138</v>
      </c>
      <c r="AQ18" s="34">
        <v>135.6</v>
      </c>
      <c r="AR18" s="34">
        <v>124.1</v>
      </c>
      <c r="AS18" s="34">
        <v>114.4</v>
      </c>
      <c r="AT18" s="34">
        <v>128.5</v>
      </c>
      <c r="AU18" s="34">
        <v>151.19999999999999</v>
      </c>
      <c r="AV18" s="34">
        <v>166.3</v>
      </c>
      <c r="AW18" s="34">
        <v>170.7</v>
      </c>
      <c r="AX18" s="34">
        <v>194.7</v>
      </c>
      <c r="AY18" s="34">
        <v>204.5</v>
      </c>
      <c r="AZ18" s="34">
        <v>222.7</v>
      </c>
      <c r="BA18" s="34">
        <v>236.5</v>
      </c>
      <c r="BB18" s="34">
        <v>238.2</v>
      </c>
      <c r="BC18" s="34">
        <v>241.5</v>
      </c>
      <c r="BD18" s="34">
        <v>257.8</v>
      </c>
      <c r="BE18" s="34">
        <v>289.39999999999998</v>
      </c>
      <c r="BF18" s="34">
        <v>242.5</v>
      </c>
      <c r="BG18" s="34">
        <v>244.1</v>
      </c>
      <c r="BH18" s="34">
        <v>232.1</v>
      </c>
      <c r="BI18" s="34">
        <v>217</v>
      </c>
      <c r="BJ18" s="34">
        <v>216.8</v>
      </c>
      <c r="BK18" s="1">
        <v>221.2</v>
      </c>
      <c r="BL18" s="1">
        <v>259</v>
      </c>
      <c r="BM18" s="1">
        <v>199.6</v>
      </c>
    </row>
    <row r="19" spans="1:65">
      <c r="A19" s="1" t="s">
        <v>1147</v>
      </c>
      <c r="B19" s="34">
        <v>1290.3</v>
      </c>
      <c r="C19" s="34">
        <v>1367.8</v>
      </c>
      <c r="D19" s="34">
        <v>1457.3</v>
      </c>
      <c r="E19" s="34">
        <v>1555</v>
      </c>
      <c r="F19" s="34">
        <v>1724</v>
      </c>
      <c r="G19" s="34">
        <v>1859.5</v>
      </c>
      <c r="H19" s="34">
        <v>1983.1</v>
      </c>
      <c r="I19" s="34">
        <v>2113.8000000000002</v>
      </c>
      <c r="J19" s="34">
        <v>2251.3000000000002</v>
      </c>
      <c r="K19" s="34">
        <v>2490.1</v>
      </c>
      <c r="L19" s="34">
        <v>2765.9</v>
      </c>
      <c r="M19" s="34">
        <v>3082.9</v>
      </c>
      <c r="N19" s="34">
        <v>3831.6</v>
      </c>
      <c r="O19" s="34">
        <v>4901</v>
      </c>
      <c r="P19" s="34">
        <v>5733.8</v>
      </c>
      <c r="Q19" s="34">
        <v>6701.4</v>
      </c>
      <c r="R19" s="34">
        <v>7243</v>
      </c>
      <c r="S19" s="34">
        <v>8426.9</v>
      </c>
      <c r="T19" s="34">
        <v>10289.799999999999</v>
      </c>
      <c r="U19" s="34">
        <v>11810.6</v>
      </c>
      <c r="V19" s="34">
        <v>12864</v>
      </c>
      <c r="W19" s="34">
        <v>10622.8</v>
      </c>
      <c r="X19" s="34">
        <v>9343.9</v>
      </c>
      <c r="Y19" s="34">
        <v>8846.2000000000007</v>
      </c>
      <c r="Z19" s="34">
        <v>8457.2999999999993</v>
      </c>
      <c r="AA19" s="34">
        <v>8750.7999999999993</v>
      </c>
      <c r="AB19" s="34">
        <v>12170</v>
      </c>
      <c r="AC19" s="34">
        <v>15135.9</v>
      </c>
      <c r="AD19" s="34">
        <v>16391.099999999999</v>
      </c>
      <c r="AE19" s="34">
        <v>16525.099999999999</v>
      </c>
      <c r="AF19" s="34">
        <v>20600.400000000001</v>
      </c>
      <c r="AG19" s="34">
        <v>21041.7</v>
      </c>
      <c r="AH19" s="34">
        <v>23372.6</v>
      </c>
      <c r="AI19" s="34">
        <v>22283.9</v>
      </c>
      <c r="AJ19" s="34">
        <v>24208.6</v>
      </c>
      <c r="AK19" s="34">
        <v>28413.8</v>
      </c>
      <c r="AL19" s="34">
        <v>27489.599999999999</v>
      </c>
      <c r="AM19" s="34">
        <v>24820.9</v>
      </c>
      <c r="AN19" s="34">
        <v>25338.400000000001</v>
      </c>
      <c r="AO19" s="34">
        <v>25252.799999999999</v>
      </c>
      <c r="AP19" s="34">
        <v>23098.9</v>
      </c>
      <c r="AQ19" s="34">
        <v>23015.1</v>
      </c>
      <c r="AR19" s="34">
        <v>25006.2</v>
      </c>
      <c r="AS19" s="34">
        <v>30655.200000000001</v>
      </c>
      <c r="AT19" s="34">
        <v>35429.4</v>
      </c>
      <c r="AU19" s="34">
        <v>36809.699999999997</v>
      </c>
      <c r="AV19" s="34">
        <v>38705.1</v>
      </c>
      <c r="AW19" s="34">
        <v>44319.199999999997</v>
      </c>
      <c r="AX19" s="34">
        <v>48303.4</v>
      </c>
      <c r="AY19" s="34">
        <v>44760.3</v>
      </c>
      <c r="AZ19" s="34">
        <v>44184.9</v>
      </c>
      <c r="BA19" s="34">
        <v>47410.6</v>
      </c>
      <c r="BB19" s="34">
        <v>44670.6</v>
      </c>
      <c r="BC19" s="34">
        <v>46758</v>
      </c>
      <c r="BD19" s="34">
        <v>47764.1</v>
      </c>
      <c r="BE19" s="34">
        <v>41008.300000000003</v>
      </c>
      <c r="BF19" s="34">
        <v>42012.6</v>
      </c>
      <c r="BG19" s="34">
        <v>44198.5</v>
      </c>
      <c r="BH19" s="34">
        <v>47545</v>
      </c>
      <c r="BI19" s="34">
        <v>46641.7</v>
      </c>
      <c r="BJ19" s="34">
        <v>45588</v>
      </c>
      <c r="BK19" s="1">
        <v>51863.8</v>
      </c>
      <c r="BL19" s="1">
        <v>49942.1</v>
      </c>
      <c r="BM19" s="1">
        <v>53475.3</v>
      </c>
    </row>
    <row r="20" spans="1:65">
      <c r="A20" s="1" t="s">
        <v>1148</v>
      </c>
      <c r="B20" s="34">
        <v>90</v>
      </c>
      <c r="C20" s="34">
        <v>92.4</v>
      </c>
      <c r="D20" s="34">
        <v>91.2</v>
      </c>
      <c r="E20" s="34">
        <v>96.3</v>
      </c>
      <c r="F20" s="34">
        <v>100.5</v>
      </c>
      <c r="G20" s="34">
        <v>106</v>
      </c>
      <c r="H20" s="34">
        <v>108.6</v>
      </c>
      <c r="I20" s="34">
        <v>107.7</v>
      </c>
      <c r="J20" s="34">
        <v>112.5</v>
      </c>
      <c r="K20" s="34">
        <v>111.7</v>
      </c>
      <c r="L20" s="34">
        <v>110.3</v>
      </c>
      <c r="M20" s="34">
        <v>108.5</v>
      </c>
      <c r="N20" s="34">
        <v>130</v>
      </c>
      <c r="O20" s="34">
        <v>156.30000000000001</v>
      </c>
      <c r="P20" s="34">
        <v>168</v>
      </c>
      <c r="Q20" s="34">
        <v>200.3</v>
      </c>
      <c r="R20" s="34">
        <v>201.8</v>
      </c>
      <c r="S20" s="34">
        <v>211.5</v>
      </c>
      <c r="T20" s="34">
        <v>255.4</v>
      </c>
      <c r="U20" s="34">
        <v>317.8</v>
      </c>
      <c r="V20" s="34">
        <v>366.5</v>
      </c>
      <c r="W20" s="34">
        <v>327.60000000000002</v>
      </c>
      <c r="X20" s="34">
        <v>312.7</v>
      </c>
      <c r="Y20" s="34">
        <v>262.60000000000002</v>
      </c>
      <c r="Z20" s="34">
        <v>244.8</v>
      </c>
      <c r="AA20" s="34">
        <v>236.6</v>
      </c>
      <c r="AB20" s="34">
        <v>293.60000000000002</v>
      </c>
      <c r="AC20" s="34">
        <v>333.2</v>
      </c>
      <c r="AD20" s="34">
        <v>335.3</v>
      </c>
      <c r="AE20" s="34">
        <v>301.7</v>
      </c>
      <c r="AF20" s="34">
        <v>381.8</v>
      </c>
      <c r="AG20" s="34">
        <v>375.3</v>
      </c>
      <c r="AH20" s="34">
        <v>310.60000000000002</v>
      </c>
      <c r="AI20" s="34">
        <v>398.6</v>
      </c>
      <c r="AJ20" s="34">
        <v>269.8</v>
      </c>
      <c r="AK20" s="34">
        <v>358.8</v>
      </c>
      <c r="AL20" s="34">
        <v>380.6</v>
      </c>
      <c r="AM20" s="34">
        <v>355.1</v>
      </c>
      <c r="AN20" s="34">
        <v>372.9</v>
      </c>
      <c r="AO20" s="34">
        <v>541.70000000000005</v>
      </c>
      <c r="AP20" s="34">
        <v>503</v>
      </c>
      <c r="AQ20" s="34">
        <v>508.3</v>
      </c>
      <c r="AR20" s="34">
        <v>564.4</v>
      </c>
      <c r="AS20" s="34">
        <v>698.4</v>
      </c>
      <c r="AT20" s="34">
        <v>784.1</v>
      </c>
      <c r="AU20" s="34">
        <v>805.9</v>
      </c>
      <c r="AV20" s="34">
        <v>837.1</v>
      </c>
      <c r="AW20" s="34">
        <v>944.6</v>
      </c>
      <c r="AX20" s="34">
        <v>1098.9000000000001</v>
      </c>
      <c r="AY20" s="34">
        <v>1061.7</v>
      </c>
      <c r="AZ20" s="34">
        <v>1009.5</v>
      </c>
      <c r="BA20" s="34">
        <v>1099.4000000000001</v>
      </c>
      <c r="BB20" s="34">
        <v>1112.5999999999999</v>
      </c>
      <c r="BC20" s="34">
        <v>1214.3</v>
      </c>
      <c r="BD20" s="34">
        <v>1251.5</v>
      </c>
      <c r="BE20" s="34">
        <v>1041.7</v>
      </c>
      <c r="BF20" s="34">
        <v>1049.8</v>
      </c>
      <c r="BG20" s="34">
        <v>1095.3</v>
      </c>
      <c r="BH20" s="34">
        <v>1194.4000000000001</v>
      </c>
      <c r="BI20" s="34">
        <v>1170.9000000000001</v>
      </c>
      <c r="BJ20" s="34">
        <v>1240.7</v>
      </c>
      <c r="BK20" s="1">
        <v>1360.9</v>
      </c>
      <c r="BL20" s="1">
        <v>1305</v>
      </c>
      <c r="BM20" s="1">
        <v>1434.7</v>
      </c>
    </row>
    <row r="21" spans="1:65">
      <c r="A21" s="1" t="s">
        <v>1149</v>
      </c>
      <c r="B21" s="34">
        <v>69.099999999999994</v>
      </c>
      <c r="C21" s="34">
        <v>72.2</v>
      </c>
      <c r="D21" s="34">
        <v>77.099999999999994</v>
      </c>
      <c r="E21" s="34">
        <v>78.8</v>
      </c>
      <c r="F21" s="34">
        <v>80.8</v>
      </c>
      <c r="G21" s="34">
        <v>82</v>
      </c>
      <c r="H21" s="34">
        <v>82.8</v>
      </c>
      <c r="I21" s="34">
        <v>84.6</v>
      </c>
      <c r="J21" s="34">
        <v>84.9</v>
      </c>
      <c r="K21" s="34">
        <v>86.7</v>
      </c>
      <c r="L21" s="34">
        <v>81.7</v>
      </c>
      <c r="M21" s="34">
        <v>84.5</v>
      </c>
      <c r="N21" s="34">
        <v>99.7</v>
      </c>
      <c r="O21" s="34">
        <v>114.2</v>
      </c>
      <c r="P21" s="34">
        <v>124.8</v>
      </c>
      <c r="Q21" s="34">
        <v>153.1</v>
      </c>
      <c r="R21" s="34">
        <v>155.80000000000001</v>
      </c>
      <c r="S21" s="34">
        <v>176.3</v>
      </c>
      <c r="T21" s="34">
        <v>224.3</v>
      </c>
      <c r="U21" s="34">
        <v>259</v>
      </c>
      <c r="V21" s="34">
        <v>278.2</v>
      </c>
      <c r="W21" s="34">
        <v>249.3</v>
      </c>
      <c r="X21" s="34">
        <v>239.6</v>
      </c>
      <c r="Y21" s="34">
        <v>212.5</v>
      </c>
      <c r="Z21" s="34">
        <v>188.3</v>
      </c>
      <c r="AA21" s="34">
        <v>194.6</v>
      </c>
      <c r="AB21" s="34">
        <v>248.1</v>
      </c>
      <c r="AC21" s="34">
        <v>281</v>
      </c>
      <c r="AD21" s="34">
        <v>302</v>
      </c>
      <c r="AE21" s="34">
        <v>294</v>
      </c>
      <c r="AF21" s="34">
        <v>339.6</v>
      </c>
      <c r="AG21" s="34">
        <v>334.8</v>
      </c>
      <c r="AH21" s="34">
        <v>349.7</v>
      </c>
      <c r="AI21" s="34">
        <v>325.2</v>
      </c>
      <c r="AJ21" s="34">
        <v>187.8</v>
      </c>
      <c r="AK21" s="34">
        <v>229.8</v>
      </c>
      <c r="AL21" s="34">
        <v>243.5</v>
      </c>
      <c r="AM21" s="34">
        <v>224.6</v>
      </c>
      <c r="AN21" s="34">
        <v>250.4</v>
      </c>
      <c r="AO21" s="34">
        <v>293.89999999999998</v>
      </c>
      <c r="AP21" s="34">
        <v>249.8</v>
      </c>
      <c r="AQ21" s="34">
        <v>260.39999999999998</v>
      </c>
      <c r="AR21" s="34">
        <v>286.8</v>
      </c>
      <c r="AS21" s="34">
        <v>363.8</v>
      </c>
      <c r="AT21" s="34">
        <v>405.5</v>
      </c>
      <c r="AU21" s="34">
        <v>442.9</v>
      </c>
      <c r="AV21" s="34">
        <v>457.3</v>
      </c>
      <c r="AW21" s="34">
        <v>516.79999999999995</v>
      </c>
      <c r="AX21" s="34">
        <v>621.9</v>
      </c>
      <c r="AY21" s="34">
        <v>603.9</v>
      </c>
      <c r="AZ21" s="34">
        <v>627.29999999999995</v>
      </c>
      <c r="BA21" s="34">
        <v>727.6</v>
      </c>
      <c r="BB21" s="34">
        <v>734</v>
      </c>
      <c r="BC21" s="34">
        <v>762.3</v>
      </c>
      <c r="BD21" s="34">
        <v>767.4</v>
      </c>
      <c r="BE21" s="34">
        <v>632.1</v>
      </c>
      <c r="BF21" s="34">
        <v>665.8</v>
      </c>
      <c r="BG21" s="34">
        <v>711.2</v>
      </c>
      <c r="BH21" s="34">
        <v>779.2</v>
      </c>
      <c r="BI21" s="34">
        <v>765.2</v>
      </c>
      <c r="BJ21" s="34">
        <v>823.6</v>
      </c>
      <c r="BK21" s="1">
        <v>888.8</v>
      </c>
      <c r="BL21" s="1">
        <v>830</v>
      </c>
      <c r="BM21" s="1">
        <v>874.1</v>
      </c>
    </row>
    <row r="22" spans="1:65">
      <c r="A22" s="1" t="s">
        <v>1150</v>
      </c>
      <c r="B22" s="34">
        <v>84.8</v>
      </c>
      <c r="C22" s="34">
        <v>92.9</v>
      </c>
      <c r="D22" s="34">
        <v>95</v>
      </c>
      <c r="E22" s="34">
        <v>96.6</v>
      </c>
      <c r="F22" s="34">
        <v>94.9</v>
      </c>
      <c r="G22" s="34">
        <v>101</v>
      </c>
      <c r="H22" s="34">
        <v>106.9</v>
      </c>
      <c r="I22" s="34">
        <v>116.8</v>
      </c>
      <c r="J22" s="34">
        <v>116.9</v>
      </c>
      <c r="K22" s="34">
        <v>128.6</v>
      </c>
      <c r="L22" s="34">
        <v>133.1</v>
      </c>
      <c r="M22" s="34">
        <v>128</v>
      </c>
      <c r="N22" s="34">
        <v>90.7</v>
      </c>
      <c r="O22" s="34">
        <v>113.7</v>
      </c>
      <c r="P22" s="34">
        <v>171.5</v>
      </c>
      <c r="Q22" s="34">
        <v>260.39999999999998</v>
      </c>
      <c r="R22" s="34">
        <v>132.5</v>
      </c>
      <c r="S22" s="34">
        <v>123.5</v>
      </c>
      <c r="T22" s="34">
        <v>166</v>
      </c>
      <c r="U22" s="34">
        <v>190</v>
      </c>
      <c r="V22" s="34">
        <v>216.1</v>
      </c>
      <c r="W22" s="34">
        <v>235</v>
      </c>
      <c r="X22" s="34">
        <v>209.2</v>
      </c>
      <c r="Y22" s="34">
        <v>193.4</v>
      </c>
      <c r="Z22" s="34">
        <v>202.3</v>
      </c>
      <c r="AA22" s="34">
        <v>232.2</v>
      </c>
      <c r="AB22" s="34">
        <v>221.6</v>
      </c>
      <c r="AC22" s="34">
        <v>241.8</v>
      </c>
      <c r="AD22" s="34">
        <v>258.8</v>
      </c>
      <c r="AE22" s="34">
        <v>274.39999999999998</v>
      </c>
      <c r="AF22" s="34">
        <v>294.89999999999998</v>
      </c>
      <c r="AG22" s="34">
        <v>283.39999999999998</v>
      </c>
      <c r="AH22" s="34">
        <v>285</v>
      </c>
      <c r="AI22" s="34">
        <v>292.39999999999998</v>
      </c>
      <c r="AJ22" s="34">
        <v>292.10000000000002</v>
      </c>
      <c r="AK22" s="34">
        <v>322.10000000000002</v>
      </c>
      <c r="AL22" s="34">
        <v>387.4</v>
      </c>
      <c r="AM22" s="34">
        <v>395.3</v>
      </c>
      <c r="AN22" s="34">
        <v>402</v>
      </c>
      <c r="AO22" s="34">
        <v>404.5</v>
      </c>
      <c r="AP22" s="34">
        <v>413.1</v>
      </c>
      <c r="AQ22" s="34">
        <v>410</v>
      </c>
      <c r="AR22" s="34">
        <v>408</v>
      </c>
      <c r="AS22" s="34">
        <v>440.7</v>
      </c>
      <c r="AT22" s="34">
        <v>469.1</v>
      </c>
      <c r="AU22" s="34">
        <v>493</v>
      </c>
      <c r="AV22" s="34">
        <v>503.4</v>
      </c>
      <c r="AW22" s="34">
        <v>552.29999999999995</v>
      </c>
      <c r="AX22" s="34">
        <v>630.1</v>
      </c>
      <c r="AY22" s="34">
        <v>698.5</v>
      </c>
      <c r="AZ22" s="34">
        <v>776.8</v>
      </c>
      <c r="BA22" s="34">
        <v>856.2</v>
      </c>
      <c r="BB22" s="34">
        <v>876.5</v>
      </c>
      <c r="BC22" s="34">
        <v>973.8</v>
      </c>
      <c r="BD22" s="34">
        <v>1108.5</v>
      </c>
      <c r="BE22" s="34">
        <v>1236.4000000000001</v>
      </c>
      <c r="BF22" s="34">
        <v>1659.9</v>
      </c>
      <c r="BG22" s="34">
        <v>1815.5</v>
      </c>
      <c r="BH22" s="34">
        <v>1963.3</v>
      </c>
      <c r="BI22" s="34">
        <v>2122</v>
      </c>
      <c r="BJ22" s="34">
        <v>2233.8000000000002</v>
      </c>
      <c r="BK22" s="1">
        <v>2458</v>
      </c>
      <c r="BL22" s="1">
        <v>2687.9</v>
      </c>
      <c r="BM22" s="1">
        <v>2529.1</v>
      </c>
    </row>
    <row r="23" spans="1:65">
      <c r="A23" s="1" t="s">
        <v>1151</v>
      </c>
      <c r="B23" s="34"/>
      <c r="C23" s="34"/>
      <c r="D23" s="34"/>
      <c r="E23" s="34"/>
      <c r="F23" s="34"/>
      <c r="G23" s="34"/>
      <c r="H23" s="34"/>
      <c r="I23" s="34"/>
      <c r="J23" s="34"/>
      <c r="K23" s="34"/>
      <c r="L23" s="34"/>
      <c r="M23" s="34"/>
      <c r="N23" s="34"/>
      <c r="O23" s="34"/>
      <c r="P23" s="34"/>
      <c r="Q23" s="34"/>
      <c r="R23" s="34"/>
      <c r="S23" s="34"/>
      <c r="T23" s="34"/>
      <c r="U23" s="34"/>
      <c r="V23" s="34">
        <v>2238.8000000000002</v>
      </c>
      <c r="W23" s="34">
        <v>2234.8000000000002</v>
      </c>
      <c r="X23" s="34">
        <v>2169</v>
      </c>
      <c r="Y23" s="34">
        <v>1852.8</v>
      </c>
      <c r="Z23" s="34">
        <v>1963.6</v>
      </c>
      <c r="AA23" s="34">
        <v>1914.6</v>
      </c>
      <c r="AB23" s="34">
        <v>2260.4</v>
      </c>
      <c r="AC23" s="34">
        <v>3132.3</v>
      </c>
      <c r="AD23" s="34">
        <v>2511.4</v>
      </c>
      <c r="AE23" s="34">
        <v>2477</v>
      </c>
      <c r="AF23" s="34">
        <v>2366.5</v>
      </c>
      <c r="AG23" s="34">
        <v>1267.7</v>
      </c>
      <c r="AH23" s="34">
        <v>1212</v>
      </c>
      <c r="AI23" s="34">
        <v>1278.5</v>
      </c>
      <c r="AJ23" s="34">
        <v>1148.5</v>
      </c>
      <c r="AK23" s="34">
        <v>2259.3000000000002</v>
      </c>
      <c r="AL23" s="34">
        <v>1470.2</v>
      </c>
      <c r="AM23" s="34">
        <v>1361.4</v>
      </c>
      <c r="AN23" s="34">
        <v>1820.4</v>
      </c>
      <c r="AO23" s="34">
        <v>1659.7</v>
      </c>
      <c r="AP23" s="34">
        <v>1621.3</v>
      </c>
      <c r="AQ23" s="34">
        <v>1770.9</v>
      </c>
      <c r="AR23" s="34">
        <v>2093</v>
      </c>
      <c r="AS23" s="34">
        <v>2719.5</v>
      </c>
      <c r="AT23" s="34">
        <v>3389.7</v>
      </c>
      <c r="AU23" s="34">
        <v>3899.8</v>
      </c>
      <c r="AV23" s="34">
        <v>4523.1000000000004</v>
      </c>
      <c r="AW23" s="34">
        <v>5888.8</v>
      </c>
      <c r="AX23" s="34">
        <v>7271.3</v>
      </c>
      <c r="AY23" s="34">
        <v>6988.3</v>
      </c>
      <c r="AZ23" s="34">
        <v>6863.7</v>
      </c>
      <c r="BA23" s="34">
        <v>7857.2</v>
      </c>
      <c r="BB23" s="34">
        <v>7430.7</v>
      </c>
      <c r="BC23" s="34">
        <v>7687.7</v>
      </c>
      <c r="BD23" s="34">
        <v>7912.3</v>
      </c>
      <c r="BE23" s="34">
        <v>7078.9</v>
      </c>
      <c r="BF23" s="34">
        <v>7570.9</v>
      </c>
      <c r="BG23" s="34">
        <v>8381.9</v>
      </c>
      <c r="BH23" s="34">
        <v>9447.7000000000007</v>
      </c>
      <c r="BI23" s="34">
        <v>9874.2999999999993</v>
      </c>
      <c r="BJ23" s="34">
        <v>10148.299999999999</v>
      </c>
      <c r="BK23" s="1">
        <v>12219.3</v>
      </c>
      <c r="BL23" s="1">
        <v>13974.4</v>
      </c>
      <c r="BM23" s="1">
        <v>15797.6</v>
      </c>
    </row>
    <row r="24" spans="1:65">
      <c r="A24" s="1" t="s">
        <v>1152</v>
      </c>
      <c r="B24" s="34"/>
      <c r="C24" s="34"/>
      <c r="D24" s="34"/>
      <c r="E24" s="34"/>
      <c r="F24" s="34"/>
      <c r="G24" s="34"/>
      <c r="H24" s="34"/>
      <c r="I24" s="34"/>
      <c r="J24" s="34"/>
      <c r="K24" s="34"/>
      <c r="L24" s="34">
        <v>1759.5</v>
      </c>
      <c r="M24" s="34">
        <v>1827.7</v>
      </c>
      <c r="N24" s="34">
        <v>2196.6</v>
      </c>
      <c r="O24" s="34">
        <v>2965.9</v>
      </c>
      <c r="P24" s="34">
        <v>3851</v>
      </c>
      <c r="Q24" s="34">
        <v>3854.9</v>
      </c>
      <c r="R24" s="34">
        <v>5271.6</v>
      </c>
      <c r="S24" s="34">
        <v>6307.7</v>
      </c>
      <c r="T24" s="34">
        <v>6866</v>
      </c>
      <c r="U24" s="34">
        <v>7817.1</v>
      </c>
      <c r="V24" s="34">
        <v>9635.6</v>
      </c>
      <c r="W24" s="34">
        <v>10447.299999999999</v>
      </c>
      <c r="X24" s="34">
        <v>10601.6</v>
      </c>
      <c r="Y24" s="34">
        <v>10492.4</v>
      </c>
      <c r="Z24" s="34">
        <v>10593.3</v>
      </c>
      <c r="AA24" s="34">
        <v>9559.4</v>
      </c>
      <c r="AB24" s="34">
        <v>7709.4</v>
      </c>
      <c r="AC24" s="34">
        <v>8266.6</v>
      </c>
      <c r="AD24" s="34">
        <v>8709.9</v>
      </c>
      <c r="AE24" s="34">
        <v>8780.1</v>
      </c>
      <c r="AF24" s="34">
        <v>9295.2000000000007</v>
      </c>
      <c r="AG24" s="34">
        <v>9803.4</v>
      </c>
      <c r="AH24" s="34">
        <v>9743.1</v>
      </c>
      <c r="AI24" s="34">
        <v>10305.799999999999</v>
      </c>
      <c r="AJ24" s="34">
        <v>10671</v>
      </c>
      <c r="AK24" s="34">
        <v>10851.4</v>
      </c>
      <c r="AL24" s="34">
        <v>10965</v>
      </c>
      <c r="AM24" s="34">
        <v>11061.8</v>
      </c>
      <c r="AN24" s="34">
        <v>10455.700000000001</v>
      </c>
      <c r="AO24" s="34">
        <v>10877.2</v>
      </c>
      <c r="AP24" s="34">
        <v>12738.8</v>
      </c>
      <c r="AQ24" s="34">
        <v>12291.8</v>
      </c>
      <c r="AR24" s="34">
        <v>12820</v>
      </c>
      <c r="AS24" s="34">
        <v>14230.3</v>
      </c>
      <c r="AT24" s="34">
        <v>15778</v>
      </c>
      <c r="AU24" s="34">
        <v>17705.2</v>
      </c>
      <c r="AV24" s="34">
        <v>19057.8</v>
      </c>
      <c r="AW24" s="34">
        <v>20883.5</v>
      </c>
      <c r="AX24" s="34">
        <v>23155.8</v>
      </c>
      <c r="AY24" s="34">
        <v>19448.2</v>
      </c>
      <c r="AZ24" s="34">
        <v>21186.799999999999</v>
      </c>
      <c r="BA24" s="34">
        <v>23741.599999999999</v>
      </c>
      <c r="BB24" s="34">
        <v>25102.7</v>
      </c>
      <c r="BC24" s="34">
        <v>25790.7</v>
      </c>
      <c r="BD24" s="34">
        <v>25464.799999999999</v>
      </c>
      <c r="BE24" s="34">
        <v>22850.7</v>
      </c>
      <c r="BF24" s="34">
        <v>22877.9</v>
      </c>
      <c r="BG24" s="34">
        <v>24315.5</v>
      </c>
      <c r="BH24" s="34">
        <v>25415.8</v>
      </c>
      <c r="BI24" s="34">
        <v>25869.1</v>
      </c>
      <c r="BJ24" s="34">
        <v>23433.200000000001</v>
      </c>
      <c r="BK24" s="1">
        <v>26850</v>
      </c>
      <c r="BL24" s="1">
        <v>30146.9</v>
      </c>
      <c r="BM24" s="1">
        <v>29084.3</v>
      </c>
    </row>
    <row r="25" spans="1:65">
      <c r="A25" s="1" t="s">
        <v>1153</v>
      </c>
      <c r="B25" s="34">
        <v>1483</v>
      </c>
      <c r="C25" s="34">
        <v>1581.3</v>
      </c>
      <c r="D25" s="34">
        <v>1680.5</v>
      </c>
      <c r="E25" s="34">
        <v>1792.4</v>
      </c>
      <c r="F25" s="34">
        <v>1921.4</v>
      </c>
      <c r="G25" s="34">
        <v>2073.8000000000002</v>
      </c>
      <c r="H25" s="34">
        <v>2246.8000000000002</v>
      </c>
      <c r="I25" s="34">
        <v>2466.5</v>
      </c>
      <c r="J25" s="34">
        <v>2688.9</v>
      </c>
      <c r="K25" s="34">
        <v>3057.3</v>
      </c>
      <c r="L25" s="34">
        <v>3005.8</v>
      </c>
      <c r="M25" s="34">
        <v>3109</v>
      </c>
      <c r="N25" s="34">
        <v>3123.5</v>
      </c>
      <c r="O25" s="34">
        <v>3466.1</v>
      </c>
      <c r="P25" s="34">
        <v>3197.7</v>
      </c>
      <c r="Q25" s="34">
        <v>2953.2</v>
      </c>
      <c r="R25" s="34">
        <v>3115.5</v>
      </c>
      <c r="S25" s="34">
        <v>3386.6</v>
      </c>
      <c r="T25" s="34">
        <v>3871.3</v>
      </c>
      <c r="U25" s="34">
        <v>5194.5</v>
      </c>
      <c r="V25" s="34">
        <v>5967.8</v>
      </c>
      <c r="W25" s="34">
        <v>6257.8</v>
      </c>
      <c r="X25" s="34">
        <v>6797.8</v>
      </c>
      <c r="Y25" s="34">
        <v>7324.2</v>
      </c>
      <c r="Z25" s="34">
        <v>8463.5</v>
      </c>
      <c r="AA25" s="34">
        <v>9436.2000000000007</v>
      </c>
      <c r="AB25" s="34">
        <v>9858.2999999999993</v>
      </c>
      <c r="AC25" s="34">
        <v>10617.4</v>
      </c>
      <c r="AD25" s="34">
        <v>10819.3</v>
      </c>
      <c r="AE25" s="34">
        <v>11533.3</v>
      </c>
      <c r="AF25" s="34">
        <v>11696.5</v>
      </c>
      <c r="AG25" s="34">
        <v>11270</v>
      </c>
      <c r="AH25" s="34">
        <v>11025.9</v>
      </c>
      <c r="AI25" s="34">
        <v>10730</v>
      </c>
      <c r="AJ25" s="34">
        <v>11085.1</v>
      </c>
      <c r="AK25" s="34">
        <v>11447</v>
      </c>
      <c r="AL25" s="34">
        <v>11835.4</v>
      </c>
      <c r="AM25" s="34">
        <v>20415.7</v>
      </c>
      <c r="AN25" s="34">
        <v>21665.4</v>
      </c>
      <c r="AO25" s="34">
        <v>23991.7</v>
      </c>
      <c r="AP25" s="34">
        <v>24849.599999999999</v>
      </c>
      <c r="AQ25" s="34">
        <v>25234.1</v>
      </c>
      <c r="AR25" s="34">
        <v>26590.1</v>
      </c>
      <c r="AS25" s="34">
        <v>26204.9</v>
      </c>
      <c r="AT25" s="34">
        <v>26393.4</v>
      </c>
      <c r="AU25" s="34">
        <v>28280.9</v>
      </c>
      <c r="AV25" s="34">
        <v>28829.8</v>
      </c>
      <c r="AW25" s="34">
        <v>29687.9</v>
      </c>
      <c r="AX25" s="34">
        <v>29013.599999999999</v>
      </c>
      <c r="AY25" s="34">
        <v>27120.7</v>
      </c>
      <c r="AZ25" s="34">
        <v>27046.7</v>
      </c>
      <c r="BA25" s="34">
        <v>26644.9</v>
      </c>
      <c r="BB25" s="34">
        <v>28059.7</v>
      </c>
      <c r="BC25" s="34">
        <v>26956.6</v>
      </c>
      <c r="BD25" s="34">
        <v>28201.599999999999</v>
      </c>
      <c r="BE25" s="34">
        <v>29722.400000000001</v>
      </c>
      <c r="BF25" s="34">
        <v>29661.1</v>
      </c>
      <c r="BG25" s="34">
        <v>30666.9</v>
      </c>
      <c r="BH25" s="34">
        <v>31389.9</v>
      </c>
      <c r="BI25" s="34">
        <v>32174</v>
      </c>
      <c r="BJ25" s="34">
        <v>24499.200000000001</v>
      </c>
      <c r="BK25" s="1">
        <v>27871.4</v>
      </c>
      <c r="BL25" s="1">
        <v>32041.3</v>
      </c>
      <c r="BM25" s="1">
        <v>34749.599999999999</v>
      </c>
    </row>
    <row r="26" spans="1:65">
      <c r="A26" s="1" t="s">
        <v>1154</v>
      </c>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v>1725.2</v>
      </c>
      <c r="AG26" s="34">
        <v>1359.9</v>
      </c>
      <c r="AH26" s="34">
        <v>1107.4000000000001</v>
      </c>
      <c r="AI26" s="34">
        <v>920.8</v>
      </c>
      <c r="AJ26" s="34">
        <v>333.8</v>
      </c>
      <c r="AK26" s="34">
        <v>497.7</v>
      </c>
      <c r="AL26" s="34">
        <v>713</v>
      </c>
      <c r="AM26" s="34">
        <v>907.1</v>
      </c>
      <c r="AN26" s="34">
        <v>1000.4</v>
      </c>
      <c r="AO26" s="34">
        <v>1128.4000000000001</v>
      </c>
      <c r="AP26" s="34">
        <v>1332.2</v>
      </c>
      <c r="AQ26" s="34">
        <v>1382.8</v>
      </c>
      <c r="AR26" s="34">
        <v>1602.6</v>
      </c>
      <c r="AS26" s="34">
        <v>2031.4</v>
      </c>
      <c r="AT26" s="34">
        <v>2451.6</v>
      </c>
      <c r="AU26" s="34">
        <v>2741.1</v>
      </c>
      <c r="AV26" s="34">
        <v>3170.2</v>
      </c>
      <c r="AW26" s="34">
        <v>3936.9</v>
      </c>
      <c r="AX26" s="34">
        <v>4846.8</v>
      </c>
      <c r="AY26" s="34">
        <v>4542.3</v>
      </c>
      <c r="AZ26" s="34">
        <v>4506.8999999999996</v>
      </c>
      <c r="BA26" s="34">
        <v>4980.8999999999996</v>
      </c>
      <c r="BB26" s="34">
        <v>4688.3</v>
      </c>
      <c r="BC26" s="34">
        <v>5025.2</v>
      </c>
      <c r="BD26" s="34">
        <v>5197</v>
      </c>
      <c r="BE26" s="34">
        <v>4654.6000000000004</v>
      </c>
      <c r="BF26" s="34">
        <v>4917.3</v>
      </c>
      <c r="BG26" s="34">
        <v>5327.4</v>
      </c>
      <c r="BH26" s="34">
        <v>6024.5</v>
      </c>
      <c r="BI26" s="34">
        <v>6094.7</v>
      </c>
      <c r="BJ26" s="34">
        <v>6095.1</v>
      </c>
      <c r="BK26" s="1">
        <v>7237.3</v>
      </c>
      <c r="BL26" s="1">
        <v>7587.6</v>
      </c>
      <c r="BM26" s="1">
        <v>8426.1</v>
      </c>
    </row>
    <row r="27" spans="1:65">
      <c r="A27" s="1" t="s">
        <v>1155</v>
      </c>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v>900.5</v>
      </c>
      <c r="AI27" s="34">
        <v>1603.3</v>
      </c>
      <c r="AJ27" s="34">
        <v>1462</v>
      </c>
      <c r="AK27" s="34">
        <v>1370.5</v>
      </c>
      <c r="AL27" s="34">
        <v>1452.5</v>
      </c>
      <c r="AM27" s="34">
        <v>1396.7</v>
      </c>
      <c r="AN27" s="34">
        <v>1511.3</v>
      </c>
      <c r="AO27" s="34">
        <v>1210.5999999999999</v>
      </c>
      <c r="AP27" s="34">
        <v>1276.3</v>
      </c>
      <c r="AQ27" s="34">
        <v>1244.4000000000001</v>
      </c>
      <c r="AR27" s="34">
        <v>1479.4</v>
      </c>
      <c r="AS27" s="34">
        <v>1819.5</v>
      </c>
      <c r="AT27" s="34">
        <v>2378.3000000000002</v>
      </c>
      <c r="AU27" s="34">
        <v>3126.1</v>
      </c>
      <c r="AV27" s="34">
        <v>3848.2</v>
      </c>
      <c r="AW27" s="34">
        <v>4735.5</v>
      </c>
      <c r="AX27" s="34">
        <v>6376.2</v>
      </c>
      <c r="AY27" s="34">
        <v>5352.5</v>
      </c>
      <c r="AZ27" s="34">
        <v>6034.7</v>
      </c>
      <c r="BA27" s="34">
        <v>6527.7</v>
      </c>
      <c r="BB27" s="34">
        <v>6953.2</v>
      </c>
      <c r="BC27" s="34">
        <v>7998.1</v>
      </c>
      <c r="BD27" s="34">
        <v>8341.2999999999993</v>
      </c>
      <c r="BE27" s="34">
        <v>5967.1</v>
      </c>
      <c r="BF27" s="34">
        <v>5039.8</v>
      </c>
      <c r="BG27" s="34">
        <v>5785.5</v>
      </c>
      <c r="BH27" s="34">
        <v>6360.1</v>
      </c>
      <c r="BI27" s="34">
        <v>6837.8</v>
      </c>
      <c r="BJ27" s="34">
        <v>6542.9</v>
      </c>
      <c r="BK27" s="1">
        <v>7489.7</v>
      </c>
      <c r="BL27" s="1">
        <v>7994.6</v>
      </c>
      <c r="BM27" s="1">
        <v>7829.1</v>
      </c>
    </row>
    <row r="28" spans="1:65">
      <c r="A28" s="1" t="s">
        <v>1156</v>
      </c>
      <c r="B28" s="34">
        <v>307.10000000000002</v>
      </c>
      <c r="C28" s="34">
        <v>319.60000000000002</v>
      </c>
      <c r="D28" s="34">
        <v>331.2</v>
      </c>
      <c r="E28" s="34">
        <v>341.4</v>
      </c>
      <c r="F28" s="34">
        <v>355.6</v>
      </c>
      <c r="G28" s="34">
        <v>382.6</v>
      </c>
      <c r="H28" s="34">
        <v>411.3</v>
      </c>
      <c r="I28" s="34">
        <v>425.7</v>
      </c>
      <c r="J28" s="34">
        <v>391.9</v>
      </c>
      <c r="K28" s="34">
        <v>401.2</v>
      </c>
      <c r="L28" s="34">
        <v>441.2</v>
      </c>
      <c r="M28" s="34">
        <v>479.9</v>
      </c>
      <c r="N28" s="34">
        <v>527.79999999999995</v>
      </c>
      <c r="O28" s="34">
        <v>616.5</v>
      </c>
      <c r="P28" s="34">
        <v>802.1</v>
      </c>
      <c r="Q28" s="34">
        <v>903.6</v>
      </c>
      <c r="R28" s="34">
        <v>727.5</v>
      </c>
      <c r="S28" s="34">
        <v>863.9</v>
      </c>
      <c r="T28" s="34">
        <v>981</v>
      </c>
      <c r="U28" s="34">
        <v>1070.3</v>
      </c>
      <c r="V28" s="34">
        <v>1363.8</v>
      </c>
      <c r="W28" s="34">
        <v>1318.1</v>
      </c>
      <c r="X28" s="34">
        <v>1195.5</v>
      </c>
      <c r="Y28" s="34">
        <v>1231</v>
      </c>
      <c r="Z28" s="34">
        <v>1342.2</v>
      </c>
      <c r="AA28" s="34">
        <v>1301.0999999999999</v>
      </c>
      <c r="AB28" s="34">
        <v>1385.5</v>
      </c>
      <c r="AC28" s="34">
        <v>1643.9</v>
      </c>
      <c r="AD28" s="34">
        <v>1831</v>
      </c>
      <c r="AE28" s="34">
        <v>2065.6999999999998</v>
      </c>
      <c r="AF28" s="34">
        <v>2988.6</v>
      </c>
      <c r="AG28" s="34">
        <v>3190.9</v>
      </c>
      <c r="AH28" s="34">
        <v>3644.9</v>
      </c>
      <c r="AI28" s="34">
        <v>3862.6</v>
      </c>
      <c r="AJ28" s="34">
        <v>3879</v>
      </c>
      <c r="AK28" s="34">
        <v>4011.1</v>
      </c>
      <c r="AL28" s="34">
        <v>4042.2</v>
      </c>
      <c r="AM28" s="34">
        <v>4011</v>
      </c>
      <c r="AN28" s="34">
        <v>4119.7</v>
      </c>
      <c r="AO28" s="34">
        <v>4283.5</v>
      </c>
      <c r="AP28" s="34">
        <v>4720.2</v>
      </c>
      <c r="AQ28" s="34">
        <v>4708.3</v>
      </c>
      <c r="AR28" s="34">
        <v>4844.2</v>
      </c>
      <c r="AS28" s="34">
        <v>4937.1000000000004</v>
      </c>
      <c r="AT28" s="34">
        <v>5123.6000000000004</v>
      </c>
      <c r="AU28" s="34">
        <v>5236.3999999999996</v>
      </c>
      <c r="AV28" s="34">
        <v>5486.8</v>
      </c>
      <c r="AW28" s="34">
        <v>5717.9</v>
      </c>
      <c r="AX28" s="34">
        <v>5666</v>
      </c>
      <c r="AY28" s="34">
        <v>5352.1</v>
      </c>
      <c r="AZ28" s="34">
        <v>5399.1</v>
      </c>
      <c r="BA28" s="34">
        <v>5519.3</v>
      </c>
      <c r="BB28" s="34">
        <v>5635.5</v>
      </c>
      <c r="BC28" s="34">
        <v>5865.5</v>
      </c>
      <c r="BD28" s="34">
        <v>6031.5</v>
      </c>
      <c r="BE28" s="34">
        <v>6098.6</v>
      </c>
      <c r="BF28" s="34">
        <v>6100</v>
      </c>
      <c r="BG28" s="34">
        <v>6049.4</v>
      </c>
      <c r="BH28" s="34">
        <v>6001</v>
      </c>
      <c r="BI28" s="34">
        <v>6134.2</v>
      </c>
      <c r="BJ28" s="34">
        <v>5185.2</v>
      </c>
      <c r="BK28" s="1">
        <v>6061</v>
      </c>
      <c r="BL28" s="1">
        <v>6984.2</v>
      </c>
      <c r="BM28" s="1">
        <v>7987.6</v>
      </c>
    </row>
    <row r="29" spans="1:65">
      <c r="A29" s="1" t="s">
        <v>1157</v>
      </c>
      <c r="B29" s="34">
        <v>1902.4</v>
      </c>
      <c r="C29" s="34">
        <v>1961.5</v>
      </c>
      <c r="D29" s="34">
        <v>2020.4</v>
      </c>
      <c r="E29" s="34">
        <v>2020.3</v>
      </c>
      <c r="F29" s="34">
        <v>2199.6999999999998</v>
      </c>
      <c r="G29" s="34">
        <v>2282.1999999999998</v>
      </c>
      <c r="H29" s="34">
        <v>2630.9</v>
      </c>
      <c r="I29" s="34">
        <v>2982.7</v>
      </c>
      <c r="J29" s="34">
        <v>2830.2</v>
      </c>
      <c r="K29" s="34">
        <v>3053.7</v>
      </c>
      <c r="L29" s="34">
        <v>3387.3</v>
      </c>
      <c r="M29" s="34">
        <v>3866.3</v>
      </c>
      <c r="N29" s="34">
        <v>4343.2</v>
      </c>
      <c r="O29" s="34">
        <v>5009.3</v>
      </c>
      <c r="P29" s="34">
        <v>5853.9</v>
      </c>
      <c r="Q29" s="34">
        <v>6509.4</v>
      </c>
      <c r="R29" s="34">
        <v>7261.3</v>
      </c>
      <c r="S29" s="34">
        <v>8370.7999999999993</v>
      </c>
      <c r="T29" s="34">
        <v>8876.9</v>
      </c>
      <c r="U29" s="34">
        <v>9613.4</v>
      </c>
      <c r="V29" s="34">
        <v>11218.2</v>
      </c>
      <c r="W29" s="34">
        <v>13426</v>
      </c>
      <c r="X29" s="34">
        <v>14166.2</v>
      </c>
      <c r="Y29" s="34">
        <v>15902</v>
      </c>
      <c r="Z29" s="34">
        <v>17469.8</v>
      </c>
      <c r="AA29" s="34">
        <v>18269.5</v>
      </c>
      <c r="AB29" s="34">
        <v>20450.7</v>
      </c>
      <c r="AC29" s="34">
        <v>22411.8</v>
      </c>
      <c r="AD29" s="34">
        <v>24253.200000000001</v>
      </c>
      <c r="AE29" s="34">
        <v>25517.9</v>
      </c>
      <c r="AF29" s="34">
        <v>26841.5</v>
      </c>
      <c r="AG29" s="34">
        <v>27700.3</v>
      </c>
      <c r="AH29" s="34">
        <v>28669.7</v>
      </c>
      <c r="AI29" s="34">
        <v>30900.7</v>
      </c>
      <c r="AJ29" s="34">
        <v>31476.1</v>
      </c>
      <c r="AK29" s="34">
        <v>33989.699999999997</v>
      </c>
      <c r="AL29" s="34">
        <v>44826.8</v>
      </c>
      <c r="AM29" s="34">
        <v>48478.9</v>
      </c>
      <c r="AN29" s="34">
        <v>51371.7</v>
      </c>
      <c r="AO29" s="34">
        <v>54245.5</v>
      </c>
      <c r="AP29" s="34">
        <v>56284.2</v>
      </c>
      <c r="AQ29" s="34">
        <v>58884</v>
      </c>
      <c r="AR29" s="34">
        <v>62583.1</v>
      </c>
      <c r="AS29" s="34">
        <v>66111.7</v>
      </c>
      <c r="AT29" s="34">
        <v>70359.3</v>
      </c>
      <c r="AU29" s="34">
        <v>75882</v>
      </c>
      <c r="AV29" s="34">
        <v>95221.9</v>
      </c>
      <c r="AW29" s="34">
        <v>104287.4</v>
      </c>
      <c r="AX29" s="34">
        <v>106935.5</v>
      </c>
      <c r="AY29" s="34">
        <v>101407.8</v>
      </c>
      <c r="AZ29" s="34">
        <v>101875.3</v>
      </c>
      <c r="BA29" s="34">
        <v>97774.2</v>
      </c>
      <c r="BB29" s="34">
        <v>98431.9</v>
      </c>
      <c r="BC29" s="34">
        <v>99471.6</v>
      </c>
      <c r="BD29" s="34">
        <v>98467.7</v>
      </c>
      <c r="BE29" s="34">
        <v>102005.6</v>
      </c>
      <c r="BF29" s="34">
        <v>106885.9</v>
      </c>
      <c r="BG29" s="34">
        <v>111820.6</v>
      </c>
      <c r="BH29" s="34">
        <v>113050.7</v>
      </c>
      <c r="BI29" s="34">
        <v>116153.2</v>
      </c>
      <c r="BJ29" s="34">
        <v>107791.9</v>
      </c>
      <c r="BK29" s="1">
        <v>114274.6</v>
      </c>
      <c r="BL29" s="1">
        <v>123091.1</v>
      </c>
    </row>
    <row r="30" spans="1:65">
      <c r="A30" s="1" t="s">
        <v>1158</v>
      </c>
      <c r="B30" s="34">
        <v>100.7</v>
      </c>
      <c r="C30" s="34">
        <v>107.3</v>
      </c>
      <c r="D30" s="34">
        <v>114.9</v>
      </c>
      <c r="E30" s="34">
        <v>121.1</v>
      </c>
      <c r="F30" s="34">
        <v>133.69999999999999</v>
      </c>
      <c r="G30" s="34">
        <v>145.4</v>
      </c>
      <c r="H30" s="34">
        <v>157.6</v>
      </c>
      <c r="I30" s="34">
        <v>174.2</v>
      </c>
      <c r="J30" s="34">
        <v>193.5</v>
      </c>
      <c r="K30" s="34">
        <v>205.2</v>
      </c>
      <c r="L30" s="34">
        <v>219.6</v>
      </c>
      <c r="M30" s="34">
        <v>231.4</v>
      </c>
      <c r="N30" s="34">
        <v>268.3</v>
      </c>
      <c r="O30" s="34">
        <v>257.8</v>
      </c>
      <c r="P30" s="34">
        <v>419.1</v>
      </c>
      <c r="Q30" s="34">
        <v>469.2</v>
      </c>
      <c r="R30" s="34">
        <v>521.20000000000005</v>
      </c>
      <c r="S30" s="34">
        <v>602</v>
      </c>
      <c r="T30" s="34">
        <v>685.4</v>
      </c>
      <c r="U30" s="34">
        <v>804</v>
      </c>
      <c r="V30" s="34">
        <v>775.9</v>
      </c>
      <c r="W30" s="34">
        <v>985.6</v>
      </c>
      <c r="X30" s="34">
        <v>934.8</v>
      </c>
      <c r="Y30" s="34">
        <v>884.6</v>
      </c>
      <c r="Z30" s="34">
        <v>986.8</v>
      </c>
      <c r="AA30" s="34">
        <v>842.1</v>
      </c>
      <c r="AB30" s="34">
        <v>607.1</v>
      </c>
      <c r="AC30" s="34">
        <v>652.70000000000005</v>
      </c>
      <c r="AD30" s="34">
        <v>675.7</v>
      </c>
      <c r="AE30" s="34">
        <v>678.6</v>
      </c>
      <c r="AF30" s="34">
        <v>685.9</v>
      </c>
      <c r="AG30" s="34">
        <v>737.5</v>
      </c>
      <c r="AH30" s="34">
        <v>763.3</v>
      </c>
      <c r="AI30" s="34">
        <v>760.1</v>
      </c>
      <c r="AJ30" s="34">
        <v>777.4</v>
      </c>
      <c r="AK30" s="34">
        <v>856.4</v>
      </c>
      <c r="AL30" s="34">
        <v>925.8</v>
      </c>
      <c r="AM30" s="34">
        <v>974</v>
      </c>
      <c r="AN30" s="34">
        <v>1025.4000000000001</v>
      </c>
      <c r="AO30" s="34">
        <v>981.8</v>
      </c>
      <c r="AP30" s="34">
        <v>977.3</v>
      </c>
      <c r="AQ30" s="34">
        <v>930.9</v>
      </c>
      <c r="AR30" s="34">
        <v>888.2</v>
      </c>
      <c r="AS30" s="34">
        <v>892.4</v>
      </c>
      <c r="AT30" s="34">
        <v>952</v>
      </c>
      <c r="AU30" s="34">
        <v>1018.3</v>
      </c>
      <c r="AV30" s="34">
        <v>1200.0999999999999</v>
      </c>
      <c r="AW30" s="34">
        <v>1351</v>
      </c>
      <c r="AX30" s="34">
        <v>1687.6</v>
      </c>
      <c r="AY30" s="34">
        <v>1725.1</v>
      </c>
      <c r="AZ30" s="34">
        <v>1922.1</v>
      </c>
      <c r="BA30" s="34">
        <v>2305</v>
      </c>
      <c r="BB30" s="34">
        <v>2562.5</v>
      </c>
      <c r="BC30" s="34">
        <v>2853.8</v>
      </c>
      <c r="BD30" s="34">
        <v>3022.5</v>
      </c>
      <c r="BE30" s="34">
        <v>2975.6</v>
      </c>
      <c r="BF30" s="34">
        <v>3013.5</v>
      </c>
      <c r="BG30" s="34">
        <v>3280</v>
      </c>
      <c r="BH30" s="34">
        <v>3471</v>
      </c>
      <c r="BI30" s="34">
        <v>3472.4</v>
      </c>
      <c r="BJ30" s="34">
        <v>3068.8</v>
      </c>
      <c r="BK30" s="1">
        <v>3345</v>
      </c>
      <c r="BL30" s="1">
        <v>3600.1</v>
      </c>
      <c r="BM30" s="1">
        <v>3701</v>
      </c>
    </row>
    <row r="31" spans="1:65">
      <c r="A31" s="1" t="s">
        <v>211</v>
      </c>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v>2875.6</v>
      </c>
      <c r="AF31" s="34">
        <v>2554.4</v>
      </c>
      <c r="AG31" s="34">
        <v>2233.9</v>
      </c>
      <c r="AH31" s="34">
        <v>2105.1</v>
      </c>
      <c r="AI31" s="34">
        <v>2324.5</v>
      </c>
      <c r="AJ31" s="34">
        <v>3263.6</v>
      </c>
      <c r="AK31" s="34">
        <v>4705</v>
      </c>
      <c r="AL31" s="34">
        <v>5121.8999999999996</v>
      </c>
      <c r="AM31" s="34">
        <v>5240.1000000000004</v>
      </c>
      <c r="AN31" s="34">
        <v>5049.8</v>
      </c>
      <c r="AO31" s="34">
        <v>3456.4</v>
      </c>
      <c r="AP31" s="34">
        <v>3726.8</v>
      </c>
      <c r="AQ31" s="34">
        <v>3142.2</v>
      </c>
      <c r="AR31" s="34">
        <v>2824.7</v>
      </c>
      <c r="AS31" s="34">
        <v>3056.6</v>
      </c>
      <c r="AT31" s="34">
        <v>3623.2</v>
      </c>
      <c r="AU31" s="34">
        <v>4773.3</v>
      </c>
      <c r="AV31" s="34">
        <v>5866</v>
      </c>
      <c r="AW31" s="34">
        <v>7323.2</v>
      </c>
      <c r="AX31" s="34">
        <v>8801.7999999999993</v>
      </c>
      <c r="AY31" s="34">
        <v>8569.9</v>
      </c>
      <c r="AZ31" s="34">
        <v>11249.3</v>
      </c>
      <c r="BA31" s="34">
        <v>13200.6</v>
      </c>
      <c r="BB31" s="34">
        <v>12327.5</v>
      </c>
      <c r="BC31" s="34">
        <v>12258.6</v>
      </c>
      <c r="BD31" s="34">
        <v>12071.4</v>
      </c>
      <c r="BE31" s="34">
        <v>8783.2000000000007</v>
      </c>
      <c r="BF31" s="34">
        <v>8680.7000000000007</v>
      </c>
      <c r="BG31" s="34">
        <v>9896.7000000000007</v>
      </c>
      <c r="BH31" s="34">
        <v>9121</v>
      </c>
      <c r="BI31" s="34">
        <v>8845.2999999999993</v>
      </c>
      <c r="BJ31" s="34">
        <v>6923.7</v>
      </c>
      <c r="BK31" s="1">
        <v>7794.9</v>
      </c>
      <c r="BL31" s="1">
        <v>9065.5</v>
      </c>
      <c r="BM31" s="1">
        <v>10043.6</v>
      </c>
    </row>
    <row r="32" spans="1:65">
      <c r="A32" s="1" t="s">
        <v>1159</v>
      </c>
      <c r="B32" s="34">
        <v>344.1</v>
      </c>
      <c r="C32" s="34">
        <v>365.3</v>
      </c>
      <c r="D32" s="34">
        <v>378.1</v>
      </c>
      <c r="E32" s="34">
        <v>423.5</v>
      </c>
      <c r="F32" s="34">
        <v>419.1</v>
      </c>
      <c r="G32" s="34">
        <v>441.8</v>
      </c>
      <c r="H32" s="34">
        <v>474.6</v>
      </c>
      <c r="I32" s="34">
        <v>524.79999999999995</v>
      </c>
      <c r="J32" s="34">
        <v>524.1</v>
      </c>
      <c r="K32" s="34">
        <v>587.70000000000005</v>
      </c>
      <c r="L32" s="34">
        <v>688.5</v>
      </c>
      <c r="M32" s="34">
        <v>770.9</v>
      </c>
      <c r="N32" s="34">
        <v>877.9</v>
      </c>
      <c r="O32" s="34">
        <v>1065.9000000000001</v>
      </c>
      <c r="P32" s="34">
        <v>1268.3</v>
      </c>
      <c r="Q32" s="34">
        <v>1627.7</v>
      </c>
      <c r="R32" s="34">
        <v>1755.2</v>
      </c>
      <c r="S32" s="34">
        <v>1983.1</v>
      </c>
      <c r="T32" s="34">
        <v>2202.6</v>
      </c>
      <c r="U32" s="34">
        <v>2656.6</v>
      </c>
      <c r="V32" s="34">
        <v>3992</v>
      </c>
      <c r="W32" s="34">
        <v>4374.8999999999996</v>
      </c>
      <c r="X32" s="34">
        <v>4552.8999999999996</v>
      </c>
      <c r="Y32" s="34">
        <v>4818.7</v>
      </c>
      <c r="Z32" s="34">
        <v>5235.1000000000004</v>
      </c>
      <c r="AA32" s="34">
        <v>5465.2</v>
      </c>
      <c r="AB32" s="34">
        <v>5990.5</v>
      </c>
      <c r="AC32" s="34">
        <v>6589.4</v>
      </c>
      <c r="AD32" s="34">
        <v>7005.5</v>
      </c>
      <c r="AE32" s="34">
        <v>7753</v>
      </c>
      <c r="AF32" s="34">
        <v>7772.8</v>
      </c>
      <c r="AG32" s="34">
        <v>7789.4</v>
      </c>
      <c r="AH32" s="34">
        <v>7520.8</v>
      </c>
      <c r="AI32" s="34">
        <v>7905.7</v>
      </c>
      <c r="AJ32" s="34">
        <v>8220.2999999999993</v>
      </c>
      <c r="AK32" s="34">
        <v>8452</v>
      </c>
      <c r="AL32" s="34">
        <v>8994.2999999999993</v>
      </c>
      <c r="AM32" s="34">
        <v>9491.5</v>
      </c>
      <c r="AN32" s="34">
        <v>10685.3</v>
      </c>
      <c r="AO32" s="34">
        <v>11173.9</v>
      </c>
      <c r="AP32" s="34">
        <v>11560.2</v>
      </c>
      <c r="AQ32" s="34">
        <v>11510</v>
      </c>
      <c r="AR32" s="34">
        <v>11658.6</v>
      </c>
      <c r="AS32" s="34">
        <v>11998.2</v>
      </c>
      <c r="AT32" s="34">
        <v>12828.4</v>
      </c>
      <c r="AU32" s="34">
        <v>14173.8</v>
      </c>
      <c r="AV32" s="34">
        <v>15595.2</v>
      </c>
      <c r="AW32" s="34">
        <v>17225.5</v>
      </c>
      <c r="AX32" s="34">
        <v>17570.8</v>
      </c>
      <c r="AY32" s="34">
        <v>16314.7</v>
      </c>
      <c r="AZ32" s="34">
        <v>16507.400000000001</v>
      </c>
      <c r="BA32" s="34">
        <v>16924.099999999999</v>
      </c>
      <c r="BB32" s="34">
        <v>16736.900000000001</v>
      </c>
      <c r="BC32" s="34">
        <v>16952.099999999999</v>
      </c>
      <c r="BD32" s="34">
        <v>16980</v>
      </c>
      <c r="BE32" s="34">
        <v>17040.400000000001</v>
      </c>
      <c r="BF32" s="34">
        <v>17399</v>
      </c>
      <c r="BG32" s="34">
        <v>17910.8</v>
      </c>
      <c r="BH32" s="34">
        <v>18336</v>
      </c>
      <c r="BI32" s="34">
        <v>19156</v>
      </c>
      <c r="BJ32" s="34">
        <v>17028.400000000001</v>
      </c>
      <c r="BK32" s="1">
        <v>17586.3</v>
      </c>
      <c r="BL32" s="1">
        <v>20738.5</v>
      </c>
      <c r="BM32" s="1">
        <v>22672.6</v>
      </c>
    </row>
    <row r="33" spans="1:65">
      <c r="A33" s="1" t="s">
        <v>1160</v>
      </c>
      <c r="B33" s="34"/>
      <c r="C33" s="34"/>
      <c r="D33" s="34"/>
      <c r="E33" s="34"/>
      <c r="F33" s="34"/>
      <c r="G33" s="34">
        <v>1059</v>
      </c>
      <c r="H33" s="34">
        <v>1179.0999999999999</v>
      </c>
      <c r="I33" s="34">
        <v>1181.9000000000001</v>
      </c>
      <c r="J33" s="34">
        <v>1310</v>
      </c>
      <c r="K33" s="34">
        <v>1259.3</v>
      </c>
      <c r="L33" s="34">
        <v>1343</v>
      </c>
      <c r="M33" s="34">
        <v>1424.5</v>
      </c>
      <c r="N33" s="34">
        <v>1882.2</v>
      </c>
      <c r="O33" s="34">
        <v>2905.4</v>
      </c>
      <c r="P33" s="34">
        <v>6957.2</v>
      </c>
      <c r="Q33" s="34">
        <v>7317.8</v>
      </c>
      <c r="R33" s="34">
        <v>8621.1</v>
      </c>
      <c r="S33" s="34">
        <v>10159</v>
      </c>
      <c r="T33" s="34">
        <v>11020.7</v>
      </c>
      <c r="U33" s="34">
        <v>15409.8</v>
      </c>
      <c r="V33" s="34">
        <v>26228.1</v>
      </c>
      <c r="W33" s="34">
        <v>22494.9</v>
      </c>
      <c r="X33" s="34">
        <v>21254.1</v>
      </c>
      <c r="Y33" s="34">
        <v>18526.3</v>
      </c>
      <c r="Z33" s="34">
        <v>17619.3</v>
      </c>
      <c r="AA33" s="34">
        <v>15863.3</v>
      </c>
      <c r="AB33" s="34">
        <v>10262.9</v>
      </c>
      <c r="AC33" s="34">
        <v>11587.5</v>
      </c>
      <c r="AD33" s="34">
        <v>10949.8</v>
      </c>
      <c r="AE33" s="34">
        <v>11762.4</v>
      </c>
      <c r="AF33" s="34">
        <v>13440.7</v>
      </c>
      <c r="AG33" s="34">
        <v>13717.4</v>
      </c>
      <c r="AH33" s="34">
        <v>15080.7</v>
      </c>
      <c r="AI33" s="34">
        <v>14420.6</v>
      </c>
      <c r="AJ33" s="34">
        <v>14000.4</v>
      </c>
      <c r="AK33" s="34">
        <v>15828</v>
      </c>
      <c r="AL33" s="34">
        <v>16706.5</v>
      </c>
      <c r="AM33" s="34">
        <v>16593.400000000001</v>
      </c>
      <c r="AN33" s="34">
        <v>12653.8</v>
      </c>
      <c r="AO33" s="34">
        <v>14065.7</v>
      </c>
      <c r="AP33" s="34">
        <v>17971.900000000001</v>
      </c>
      <c r="AQ33" s="34">
        <v>16437.400000000001</v>
      </c>
      <c r="AR33" s="34">
        <v>16817.2</v>
      </c>
      <c r="AS33" s="34">
        <v>18521.400000000001</v>
      </c>
      <c r="AT33" s="34">
        <v>21839.3</v>
      </c>
      <c r="AU33" s="34">
        <v>25991.200000000001</v>
      </c>
      <c r="AV33" s="34">
        <v>30767.8</v>
      </c>
      <c r="AW33" s="34">
        <v>32337.3</v>
      </c>
      <c r="AX33" s="34">
        <v>37427.5</v>
      </c>
      <c r="AY33" s="34">
        <v>27497.5</v>
      </c>
      <c r="AZ33" s="34">
        <v>34609.699999999997</v>
      </c>
      <c r="BA33" s="34">
        <v>46139.1</v>
      </c>
      <c r="BB33" s="34">
        <v>46844.2</v>
      </c>
      <c r="BC33" s="34">
        <v>43950</v>
      </c>
      <c r="BD33" s="34">
        <v>41035.800000000003</v>
      </c>
      <c r="BE33" s="34">
        <v>30681.4</v>
      </c>
      <c r="BF33" s="34">
        <v>26762</v>
      </c>
      <c r="BG33" s="34">
        <v>28187</v>
      </c>
      <c r="BH33" s="34">
        <v>31240.5</v>
      </c>
      <c r="BI33" s="34">
        <v>30748.3</v>
      </c>
      <c r="BJ33" s="34">
        <v>27179.4</v>
      </c>
      <c r="BK33" s="1">
        <v>31448.9</v>
      </c>
      <c r="BL33" s="1">
        <v>37152.5</v>
      </c>
      <c r="BM33" s="1">
        <v>33430.9</v>
      </c>
    </row>
    <row r="34" spans="1:65">
      <c r="A34" s="1" t="s">
        <v>209</v>
      </c>
      <c r="B34" s="34"/>
      <c r="C34" s="34"/>
      <c r="D34" s="34"/>
      <c r="E34" s="34"/>
      <c r="F34" s="34"/>
      <c r="G34" s="34"/>
      <c r="H34" s="34"/>
      <c r="I34" s="34"/>
      <c r="J34" s="34"/>
      <c r="K34" s="34"/>
      <c r="L34" s="34">
        <v>206.8</v>
      </c>
      <c r="M34" s="34">
        <v>214.6</v>
      </c>
      <c r="N34" s="34">
        <v>219.8</v>
      </c>
      <c r="O34" s="34">
        <v>239.2</v>
      </c>
      <c r="P34" s="34">
        <v>272.60000000000002</v>
      </c>
      <c r="Q34" s="34">
        <v>246.5</v>
      </c>
      <c r="R34" s="34">
        <v>242.9</v>
      </c>
      <c r="S34" s="34">
        <v>260.10000000000002</v>
      </c>
      <c r="T34" s="34">
        <v>241.8</v>
      </c>
      <c r="U34" s="34">
        <v>262.10000000000002</v>
      </c>
      <c r="V34" s="34">
        <v>309.89999999999998</v>
      </c>
      <c r="W34" s="34">
        <v>324.7</v>
      </c>
      <c r="X34" s="34">
        <v>319.89999999999998</v>
      </c>
      <c r="Y34" s="34">
        <v>343.6</v>
      </c>
      <c r="Z34" s="34">
        <v>341.2</v>
      </c>
      <c r="AA34" s="34">
        <v>337</v>
      </c>
      <c r="AB34" s="34">
        <v>383.1</v>
      </c>
      <c r="AC34" s="34">
        <v>472.2</v>
      </c>
      <c r="AD34" s="34">
        <v>514.70000000000005</v>
      </c>
      <c r="AE34" s="34">
        <v>486.6</v>
      </c>
      <c r="AF34" s="34">
        <v>515.29999999999995</v>
      </c>
      <c r="AG34" s="34">
        <v>423.3</v>
      </c>
      <c r="AH34" s="34">
        <v>440</v>
      </c>
      <c r="AI34" s="34">
        <v>433.9</v>
      </c>
      <c r="AJ34" s="34">
        <v>496.8</v>
      </c>
      <c r="AK34" s="34">
        <v>550.70000000000005</v>
      </c>
      <c r="AL34" s="34">
        <v>564.5</v>
      </c>
      <c r="AM34" s="34">
        <v>644.1</v>
      </c>
      <c r="AN34" s="34">
        <v>652.4</v>
      </c>
      <c r="AO34" s="34">
        <v>699.3</v>
      </c>
      <c r="AP34" s="34">
        <v>784.6</v>
      </c>
      <c r="AQ34" s="34">
        <v>822.4</v>
      </c>
      <c r="AR34" s="34">
        <v>903.6</v>
      </c>
      <c r="AS34" s="34">
        <v>1027.3</v>
      </c>
      <c r="AT34" s="34">
        <v>1131.3</v>
      </c>
      <c r="AU34" s="34">
        <v>1297.0999999999999</v>
      </c>
      <c r="AV34" s="34">
        <v>1400.5</v>
      </c>
      <c r="AW34" s="34">
        <v>1842.3</v>
      </c>
      <c r="AX34" s="34">
        <v>1910.2</v>
      </c>
      <c r="AY34" s="34">
        <v>1908.2</v>
      </c>
      <c r="AZ34" s="34">
        <v>2372</v>
      </c>
      <c r="BA34" s="34">
        <v>2717.4</v>
      </c>
      <c r="BB34" s="34">
        <v>2689.8</v>
      </c>
      <c r="BC34" s="34">
        <v>2624.8</v>
      </c>
      <c r="BD34" s="34">
        <v>2793.9</v>
      </c>
      <c r="BE34" s="34">
        <v>2899.2</v>
      </c>
      <c r="BF34" s="34">
        <v>3098</v>
      </c>
      <c r="BG34" s="34">
        <v>3427.2</v>
      </c>
      <c r="BH34" s="34">
        <v>3389.8</v>
      </c>
      <c r="BI34" s="34">
        <v>3564.6</v>
      </c>
      <c r="BJ34" s="34">
        <v>3181.3</v>
      </c>
      <c r="BK34" s="1">
        <v>3561.2</v>
      </c>
      <c r="BL34" s="1">
        <v>3704</v>
      </c>
    </row>
    <row r="35" spans="1:65">
      <c r="A35" s="1" t="s">
        <v>1161</v>
      </c>
      <c r="B35" s="34">
        <v>59.3</v>
      </c>
      <c r="C35" s="34">
        <v>62.7</v>
      </c>
      <c r="D35" s="34">
        <v>66.400000000000006</v>
      </c>
      <c r="E35" s="34">
        <v>69.400000000000006</v>
      </c>
      <c r="F35" s="34">
        <v>74</v>
      </c>
      <c r="G35" s="34">
        <v>80.2</v>
      </c>
      <c r="H35" s="34">
        <v>89.5</v>
      </c>
      <c r="I35" s="34">
        <v>101.3</v>
      </c>
      <c r="J35" s="34">
        <v>113.7</v>
      </c>
      <c r="K35" s="34">
        <v>131.9</v>
      </c>
      <c r="L35" s="34">
        <v>162.5</v>
      </c>
      <c r="M35" s="34">
        <v>211</v>
      </c>
      <c r="N35" s="34">
        <v>262.5</v>
      </c>
      <c r="O35" s="34">
        <v>371.4</v>
      </c>
      <c r="P35" s="34">
        <v>442.5</v>
      </c>
      <c r="Q35" s="34">
        <v>487.9</v>
      </c>
      <c r="R35" s="34">
        <v>485.4</v>
      </c>
      <c r="S35" s="34">
        <v>559.70000000000005</v>
      </c>
      <c r="T35" s="34">
        <v>695.1</v>
      </c>
      <c r="U35" s="34">
        <v>917.6</v>
      </c>
      <c r="V35" s="34">
        <v>1130.3</v>
      </c>
      <c r="W35" s="34">
        <v>1092.7</v>
      </c>
      <c r="X35" s="34">
        <v>992.1</v>
      </c>
      <c r="Y35" s="34">
        <v>1105.0999999999999</v>
      </c>
      <c r="Z35" s="34">
        <v>1128.9000000000001</v>
      </c>
      <c r="AA35" s="34">
        <v>979</v>
      </c>
      <c r="AB35" s="34">
        <v>1180.9000000000001</v>
      </c>
      <c r="AC35" s="34">
        <v>1610.4</v>
      </c>
      <c r="AD35" s="34">
        <v>2096.6999999999998</v>
      </c>
      <c r="AE35" s="34">
        <v>2369.1</v>
      </c>
      <c r="AF35" s="34">
        <v>2825.7</v>
      </c>
      <c r="AG35" s="34">
        <v>2855.9</v>
      </c>
      <c r="AH35" s="34">
        <v>2918.6</v>
      </c>
      <c r="AI35" s="34">
        <v>2845</v>
      </c>
      <c r="AJ35" s="34">
        <v>2832.8</v>
      </c>
      <c r="AK35" s="34">
        <v>3064.6</v>
      </c>
      <c r="AL35" s="34">
        <v>3064</v>
      </c>
      <c r="AM35" s="34">
        <v>3100.2</v>
      </c>
      <c r="AN35" s="34">
        <v>2893.3</v>
      </c>
      <c r="AO35" s="34">
        <v>3242.1</v>
      </c>
      <c r="AP35" s="34">
        <v>3351.7</v>
      </c>
      <c r="AQ35" s="34">
        <v>3115.7</v>
      </c>
      <c r="AR35" s="34">
        <v>3029.8</v>
      </c>
      <c r="AS35" s="34">
        <v>4111.7</v>
      </c>
      <c r="AT35" s="34">
        <v>4818.2</v>
      </c>
      <c r="AU35" s="34">
        <v>5240.3</v>
      </c>
      <c r="AV35" s="34">
        <v>5142.8999999999996</v>
      </c>
      <c r="AW35" s="34">
        <v>5372.3</v>
      </c>
      <c r="AX35" s="34">
        <v>5345.8</v>
      </c>
      <c r="AY35" s="34">
        <v>4938.2</v>
      </c>
      <c r="AZ35" s="34">
        <v>6041.7</v>
      </c>
      <c r="BA35" s="34">
        <v>7080.8</v>
      </c>
      <c r="BB35" s="34">
        <v>6393</v>
      </c>
      <c r="BC35" s="34">
        <v>6436.6</v>
      </c>
      <c r="BD35" s="34">
        <v>6844</v>
      </c>
      <c r="BE35" s="34">
        <v>5869.7</v>
      </c>
      <c r="BF35" s="34">
        <v>6411.6</v>
      </c>
      <c r="BG35" s="34">
        <v>6705.3</v>
      </c>
      <c r="BH35" s="34">
        <v>6947.8</v>
      </c>
      <c r="BI35" s="34">
        <v>6691.2</v>
      </c>
      <c r="BJ35" s="34">
        <v>5875.1</v>
      </c>
      <c r="BK35" s="1">
        <v>7244.2</v>
      </c>
      <c r="BL35" s="1">
        <v>7726.1</v>
      </c>
      <c r="BM35" s="1">
        <v>7249.8</v>
      </c>
    </row>
    <row r="36" spans="1:65">
      <c r="A36" s="1" t="s">
        <v>1162</v>
      </c>
      <c r="B36" s="34">
        <v>66.8</v>
      </c>
      <c r="C36" s="34">
        <v>72</v>
      </c>
      <c r="D36" s="34">
        <v>71.400000000000006</v>
      </c>
      <c r="E36" s="34">
        <v>72.8</v>
      </c>
      <c r="F36" s="34">
        <v>78.400000000000006</v>
      </c>
      <c r="G36" s="34">
        <v>81.400000000000006</v>
      </c>
      <c r="H36" s="34">
        <v>83.6</v>
      </c>
      <c r="I36" s="34">
        <v>84.8</v>
      </c>
      <c r="J36" s="34">
        <v>97.1</v>
      </c>
      <c r="K36" s="34">
        <v>93</v>
      </c>
      <c r="L36" s="34">
        <v>91.5</v>
      </c>
      <c r="M36" s="34">
        <v>95.4</v>
      </c>
      <c r="N36" s="34">
        <v>106.9</v>
      </c>
      <c r="O36" s="34">
        <v>123.5</v>
      </c>
      <c r="P36" s="34">
        <v>125.7</v>
      </c>
      <c r="Q36" s="34">
        <v>165.8</v>
      </c>
      <c r="R36" s="34">
        <v>194.6</v>
      </c>
      <c r="S36" s="34">
        <v>216.6</v>
      </c>
      <c r="T36" s="34">
        <v>258.10000000000002</v>
      </c>
      <c r="U36" s="34">
        <v>293.2</v>
      </c>
      <c r="V36" s="34">
        <v>330</v>
      </c>
      <c r="W36" s="34">
        <v>284.60000000000002</v>
      </c>
      <c r="X36" s="34">
        <v>303.3</v>
      </c>
      <c r="Y36" s="34">
        <v>264</v>
      </c>
      <c r="Z36" s="34">
        <v>252.7</v>
      </c>
      <c r="AA36" s="34">
        <v>338.7</v>
      </c>
      <c r="AB36" s="34">
        <v>434.4</v>
      </c>
      <c r="AC36" s="34">
        <v>459.2</v>
      </c>
      <c r="AD36" s="34">
        <v>476</v>
      </c>
      <c r="AE36" s="34">
        <v>453</v>
      </c>
      <c r="AF36" s="34">
        <v>512.9</v>
      </c>
      <c r="AG36" s="34">
        <v>475.3</v>
      </c>
      <c r="AH36" s="34">
        <v>471.9</v>
      </c>
      <c r="AI36" s="34">
        <v>414</v>
      </c>
      <c r="AJ36" s="34">
        <v>267</v>
      </c>
      <c r="AK36" s="34">
        <v>340.4</v>
      </c>
      <c r="AL36" s="34">
        <v>299.60000000000002</v>
      </c>
      <c r="AM36" s="34">
        <v>271.10000000000002</v>
      </c>
      <c r="AN36" s="34">
        <v>272.10000000000002</v>
      </c>
      <c r="AO36" s="34">
        <v>273.39999999999998</v>
      </c>
      <c r="AP36" s="34">
        <v>243.9</v>
      </c>
      <c r="AQ36" s="34">
        <v>242.6</v>
      </c>
      <c r="AR36" s="34">
        <v>253.4</v>
      </c>
      <c r="AS36" s="34">
        <v>283.7</v>
      </c>
      <c r="AT36" s="34">
        <v>309.2</v>
      </c>
      <c r="AU36" s="34">
        <v>317.89999999999998</v>
      </c>
      <c r="AV36" s="34">
        <v>340.4</v>
      </c>
      <c r="AW36" s="34">
        <v>388.5</v>
      </c>
      <c r="AX36" s="34">
        <v>446.2</v>
      </c>
      <c r="AY36" s="34">
        <v>452.9</v>
      </c>
      <c r="AZ36" s="34">
        <v>459.8</v>
      </c>
      <c r="BA36" s="34">
        <v>515.20000000000005</v>
      </c>
      <c r="BB36" s="34">
        <v>525.9</v>
      </c>
      <c r="BC36" s="34">
        <v>352.2</v>
      </c>
      <c r="BD36" s="34">
        <v>394.9</v>
      </c>
      <c r="BE36" s="34">
        <v>351.9</v>
      </c>
      <c r="BF36" s="34">
        <v>372.1</v>
      </c>
      <c r="BG36" s="34">
        <v>414.7</v>
      </c>
      <c r="BH36" s="34">
        <v>435.9</v>
      </c>
      <c r="BI36" s="34">
        <v>426.4</v>
      </c>
      <c r="BJ36" s="34">
        <v>435.5</v>
      </c>
      <c r="BK36" s="1">
        <v>461.1</v>
      </c>
      <c r="BL36" s="1">
        <v>427.1</v>
      </c>
      <c r="BM36" s="1">
        <v>445</v>
      </c>
    </row>
    <row r="37" spans="1:65">
      <c r="A37" s="1" t="s">
        <v>1163</v>
      </c>
      <c r="B37" s="34">
        <v>2264.9</v>
      </c>
      <c r="C37" s="34">
        <v>2246.1</v>
      </c>
      <c r="D37" s="34">
        <v>2274.4</v>
      </c>
      <c r="E37" s="34">
        <v>2380.3000000000002</v>
      </c>
      <c r="F37" s="34">
        <v>2561.6</v>
      </c>
      <c r="G37" s="34">
        <v>2777.2</v>
      </c>
      <c r="H37" s="34">
        <v>3055.3</v>
      </c>
      <c r="I37" s="34">
        <v>3226.4</v>
      </c>
      <c r="J37" s="34">
        <v>3473.2</v>
      </c>
      <c r="K37" s="34">
        <v>3776.2</v>
      </c>
      <c r="L37" s="34">
        <v>4135.8</v>
      </c>
      <c r="M37" s="34">
        <v>4535.3999999999996</v>
      </c>
      <c r="N37" s="34">
        <v>5106.7</v>
      </c>
      <c r="O37" s="34">
        <v>5858.3</v>
      </c>
      <c r="P37" s="34">
        <v>7056.7</v>
      </c>
      <c r="Q37" s="34">
        <v>7536.5</v>
      </c>
      <c r="R37" s="34">
        <v>8838.9</v>
      </c>
      <c r="S37" s="34">
        <v>8949.1</v>
      </c>
      <c r="T37" s="34">
        <v>9154.4</v>
      </c>
      <c r="U37" s="34">
        <v>10077.5</v>
      </c>
      <c r="V37" s="34">
        <v>11208.2</v>
      </c>
      <c r="W37" s="34">
        <v>12379</v>
      </c>
      <c r="X37" s="34">
        <v>12527.3</v>
      </c>
      <c r="Y37" s="34">
        <v>13477.1</v>
      </c>
      <c r="Z37" s="34">
        <v>13930.5</v>
      </c>
      <c r="AA37" s="34">
        <v>14170.1</v>
      </c>
      <c r="AB37" s="34">
        <v>14521.2</v>
      </c>
      <c r="AC37" s="34">
        <v>16377.7</v>
      </c>
      <c r="AD37" s="34">
        <v>19012.599999999999</v>
      </c>
      <c r="AE37" s="34">
        <v>20794.7</v>
      </c>
      <c r="AF37" s="34">
        <v>21525.9</v>
      </c>
      <c r="AG37" s="34">
        <v>21846.799999999999</v>
      </c>
      <c r="AH37" s="34">
        <v>20950.3</v>
      </c>
      <c r="AI37" s="34">
        <v>20186.8</v>
      </c>
      <c r="AJ37" s="34">
        <v>19997.599999999999</v>
      </c>
      <c r="AK37" s="34">
        <v>20679.599999999999</v>
      </c>
      <c r="AL37" s="34">
        <v>21297</v>
      </c>
      <c r="AM37" s="34">
        <v>21901.599999999999</v>
      </c>
      <c r="AN37" s="34">
        <v>21024.6</v>
      </c>
      <c r="AO37" s="34">
        <v>22315.200000000001</v>
      </c>
      <c r="AP37" s="34">
        <v>24271</v>
      </c>
      <c r="AQ37" s="34">
        <v>23822.1</v>
      </c>
      <c r="AR37" s="34">
        <v>24256</v>
      </c>
      <c r="AS37" s="34">
        <v>28301.9</v>
      </c>
      <c r="AT37" s="34">
        <v>32145.5</v>
      </c>
      <c r="AU37" s="34">
        <v>36383.699999999997</v>
      </c>
      <c r="AV37" s="34">
        <v>40504</v>
      </c>
      <c r="AW37" s="34">
        <v>44660.1</v>
      </c>
      <c r="AX37" s="34">
        <v>46710.3</v>
      </c>
      <c r="AY37" s="34">
        <v>40874.9</v>
      </c>
      <c r="AZ37" s="34">
        <v>47560.7</v>
      </c>
      <c r="BA37" s="34">
        <v>52223.9</v>
      </c>
      <c r="BB37" s="34">
        <v>52670.3</v>
      </c>
      <c r="BC37" s="34">
        <v>52638.1</v>
      </c>
      <c r="BD37" s="34">
        <v>50960.800000000003</v>
      </c>
      <c r="BE37" s="34">
        <v>43594.2</v>
      </c>
      <c r="BF37" s="34">
        <v>42314.1</v>
      </c>
      <c r="BG37" s="34">
        <v>45129.599999999999</v>
      </c>
      <c r="BH37" s="34">
        <v>46539.199999999997</v>
      </c>
      <c r="BI37" s="34">
        <v>46352.9</v>
      </c>
      <c r="BJ37" s="34">
        <v>43537.8</v>
      </c>
      <c r="BK37" s="1">
        <v>52496.800000000003</v>
      </c>
      <c r="BL37" s="1">
        <v>55509.4</v>
      </c>
      <c r="BM37" s="1">
        <v>53371.7</v>
      </c>
    </row>
    <row r="38" spans="1:65">
      <c r="A38" s="1" t="s">
        <v>1164</v>
      </c>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v>2452.9</v>
      </c>
      <c r="AG38" s="34">
        <v>2261</v>
      </c>
      <c r="AH38" s="34">
        <v>2329</v>
      </c>
      <c r="AI38" s="34">
        <v>2452</v>
      </c>
      <c r="AJ38" s="34">
        <v>2799.6</v>
      </c>
      <c r="AK38" s="34">
        <v>3580.9</v>
      </c>
      <c r="AL38" s="34">
        <v>3796.5</v>
      </c>
      <c r="AM38" s="34">
        <v>3748.5</v>
      </c>
      <c r="AN38" s="34">
        <v>4109.3</v>
      </c>
      <c r="AO38" s="34">
        <v>3989.2</v>
      </c>
      <c r="AP38" s="34">
        <v>3952.1</v>
      </c>
      <c r="AQ38" s="34">
        <v>4352.7</v>
      </c>
      <c r="AR38" s="34">
        <v>4937.1000000000004</v>
      </c>
      <c r="AS38" s="34">
        <v>5949.8</v>
      </c>
      <c r="AT38" s="34">
        <v>7176.5</v>
      </c>
      <c r="AU38" s="34">
        <v>8355.9</v>
      </c>
      <c r="AV38" s="34">
        <v>9469.7000000000007</v>
      </c>
      <c r="AW38" s="34">
        <v>12009.7</v>
      </c>
      <c r="AX38" s="34">
        <v>14578</v>
      </c>
      <c r="AY38" s="34">
        <v>12307.7</v>
      </c>
      <c r="AZ38" s="34">
        <v>12608</v>
      </c>
      <c r="BA38" s="34">
        <v>13964.4</v>
      </c>
      <c r="BB38" s="34">
        <v>13075.9</v>
      </c>
      <c r="BC38" s="34">
        <v>13668</v>
      </c>
      <c r="BD38" s="34">
        <v>14143.7</v>
      </c>
      <c r="BE38" s="34">
        <v>12528.1</v>
      </c>
      <c r="BF38" s="34">
        <v>12785.4</v>
      </c>
      <c r="BG38" s="34">
        <v>14225.9</v>
      </c>
      <c r="BH38" s="34">
        <v>16081.9</v>
      </c>
      <c r="BI38" s="34">
        <v>16355.9</v>
      </c>
      <c r="BJ38" s="34">
        <v>16302.8</v>
      </c>
      <c r="BK38" s="1">
        <v>18816.099999999999</v>
      </c>
      <c r="BL38" s="1">
        <v>19414.7</v>
      </c>
      <c r="BM38" s="1">
        <v>22494.5</v>
      </c>
    </row>
    <row r="39" spans="1:65">
      <c r="A39" s="1" t="s">
        <v>1165</v>
      </c>
      <c r="B39" s="34">
        <v>1954.3</v>
      </c>
      <c r="C39" s="34">
        <v>2155.4</v>
      </c>
      <c r="D39" s="34">
        <v>2330.5</v>
      </c>
      <c r="E39" s="34">
        <v>2508.5</v>
      </c>
      <c r="F39" s="34">
        <v>2734.9</v>
      </c>
      <c r="G39" s="34">
        <v>2865.2</v>
      </c>
      <c r="H39" s="34">
        <v>3044.8</v>
      </c>
      <c r="I39" s="34">
        <v>3237.3</v>
      </c>
      <c r="J39" s="34">
        <v>3413.5</v>
      </c>
      <c r="K39" s="34">
        <v>3657.2</v>
      </c>
      <c r="L39" s="34">
        <v>4044.4</v>
      </c>
      <c r="M39" s="34">
        <v>4834.7</v>
      </c>
      <c r="N39" s="34">
        <v>5884.8</v>
      </c>
      <c r="O39" s="34">
        <v>7855.9</v>
      </c>
      <c r="P39" s="34">
        <v>9004.7999999999993</v>
      </c>
      <c r="Q39" s="34">
        <v>10328.1</v>
      </c>
      <c r="R39" s="34">
        <v>10865</v>
      </c>
      <c r="S39" s="34">
        <v>11643.6</v>
      </c>
      <c r="T39" s="34">
        <v>16282.2</v>
      </c>
      <c r="U39" s="34">
        <v>18265.599999999999</v>
      </c>
      <c r="V39" s="34">
        <v>19393.900000000001</v>
      </c>
      <c r="W39" s="34">
        <v>17665</v>
      </c>
      <c r="X39" s="34">
        <v>18000</v>
      </c>
      <c r="Y39" s="34">
        <v>17859.2</v>
      </c>
      <c r="Z39" s="34">
        <v>16991.2</v>
      </c>
      <c r="AA39" s="34">
        <v>17152.099999999999</v>
      </c>
      <c r="AB39" s="34">
        <v>24459.9</v>
      </c>
      <c r="AC39" s="34">
        <v>30440.5</v>
      </c>
      <c r="AD39" s="34">
        <v>32690.400000000001</v>
      </c>
      <c r="AE39" s="34">
        <v>31308.7</v>
      </c>
      <c r="AF39" s="34">
        <v>39574.5</v>
      </c>
      <c r="AG39" s="34">
        <v>39544.5</v>
      </c>
      <c r="AH39" s="34">
        <v>40713.699999999997</v>
      </c>
      <c r="AI39" s="34">
        <v>39237.1</v>
      </c>
      <c r="AJ39" s="34">
        <v>43091.8</v>
      </c>
      <c r="AK39" s="34">
        <v>50113.8</v>
      </c>
      <c r="AL39" s="34">
        <v>48092.6</v>
      </c>
      <c r="AM39" s="34">
        <v>41584.400000000001</v>
      </c>
      <c r="AN39" s="34">
        <v>42680.6</v>
      </c>
      <c r="AO39" s="34">
        <v>41695.699999999997</v>
      </c>
      <c r="AP39" s="34">
        <v>38865</v>
      </c>
      <c r="AQ39" s="34">
        <v>39638.800000000003</v>
      </c>
      <c r="AR39" s="34">
        <v>42458.7</v>
      </c>
      <c r="AS39" s="34">
        <v>49335.7</v>
      </c>
      <c r="AT39" s="34">
        <v>54659.5</v>
      </c>
      <c r="AU39" s="34">
        <v>56242.9</v>
      </c>
      <c r="AV39" s="34">
        <v>59011</v>
      </c>
      <c r="AW39" s="34">
        <v>64989.2</v>
      </c>
      <c r="AX39" s="34">
        <v>74175.199999999997</v>
      </c>
      <c r="AY39" s="34">
        <v>71568.3</v>
      </c>
      <c r="AZ39" s="34">
        <v>76531.399999999994</v>
      </c>
      <c r="BA39" s="34">
        <v>90476.800000000003</v>
      </c>
      <c r="BB39" s="34">
        <v>85836.2</v>
      </c>
      <c r="BC39" s="34">
        <v>87304.3</v>
      </c>
      <c r="BD39" s="34">
        <v>88725</v>
      </c>
      <c r="BE39" s="34">
        <v>83806.399999999994</v>
      </c>
      <c r="BF39" s="34">
        <v>82153.100000000006</v>
      </c>
      <c r="BG39" s="34">
        <v>82254.399999999994</v>
      </c>
      <c r="BH39" s="34">
        <v>85217.4</v>
      </c>
      <c r="BI39" s="34">
        <v>84121.9</v>
      </c>
      <c r="BJ39" s="34">
        <v>85897.8</v>
      </c>
      <c r="BK39" s="1">
        <v>93446.399999999994</v>
      </c>
      <c r="BL39" s="1">
        <v>93259.9</v>
      </c>
      <c r="BM39" s="1">
        <v>99994.9</v>
      </c>
    </row>
    <row r="40" spans="1:65">
      <c r="A40" s="1" t="s">
        <v>1166</v>
      </c>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v>41229</v>
      </c>
      <c r="AO40" s="34">
        <v>43247.7</v>
      </c>
      <c r="AP40" s="34">
        <v>44318.2</v>
      </c>
      <c r="AQ40" s="34">
        <v>42678.3</v>
      </c>
      <c r="AR40" s="34">
        <v>45279.6</v>
      </c>
      <c r="AS40" s="34">
        <v>49428.3</v>
      </c>
      <c r="AT40" s="34">
        <v>57200.5</v>
      </c>
      <c r="AU40" s="34">
        <v>58550.7</v>
      </c>
      <c r="AV40" s="34">
        <v>63665.3</v>
      </c>
      <c r="AW40" s="34">
        <v>75148.3</v>
      </c>
      <c r="AX40" s="34"/>
      <c r="AY40" s="34"/>
      <c r="AZ40" s="34"/>
      <c r="BA40" s="34"/>
      <c r="BB40" s="34"/>
      <c r="BC40" s="34"/>
      <c r="BD40" s="34"/>
      <c r="BE40" s="34"/>
      <c r="BF40" s="34">
        <v>55411.7</v>
      </c>
      <c r="BG40" s="34">
        <v>54904.1</v>
      </c>
      <c r="BH40" s="34">
        <v>59433.4</v>
      </c>
      <c r="BI40" s="34">
        <v>58564.4</v>
      </c>
      <c r="BJ40" s="34">
        <v>54357.9</v>
      </c>
      <c r="BK40" s="1">
        <v>64502.5</v>
      </c>
      <c r="BL40" s="1">
        <v>64501.3</v>
      </c>
    </row>
    <row r="41" spans="1:65">
      <c r="A41" s="1" t="s">
        <v>1167</v>
      </c>
      <c r="B41" s="34">
        <v>504.8</v>
      </c>
      <c r="C41" s="34">
        <v>580.9</v>
      </c>
      <c r="D41" s="34">
        <v>663.6</v>
      </c>
      <c r="E41" s="34">
        <v>645.9</v>
      </c>
      <c r="F41" s="34">
        <v>675.8</v>
      </c>
      <c r="G41" s="34">
        <v>679.1</v>
      </c>
      <c r="H41" s="34">
        <v>781.8</v>
      </c>
      <c r="I41" s="34">
        <v>756.7</v>
      </c>
      <c r="J41" s="34">
        <v>757.7</v>
      </c>
      <c r="K41" s="34">
        <v>865.7</v>
      </c>
      <c r="L41" s="34">
        <v>931.1</v>
      </c>
      <c r="M41" s="34">
        <v>1089.3</v>
      </c>
      <c r="N41" s="34">
        <v>1166.4000000000001</v>
      </c>
      <c r="O41" s="34">
        <v>1632.4</v>
      </c>
      <c r="P41" s="34">
        <v>1547.8</v>
      </c>
      <c r="Q41" s="34">
        <v>716.3</v>
      </c>
      <c r="R41" s="34">
        <v>956.8</v>
      </c>
      <c r="S41" s="34">
        <v>1273.0999999999999</v>
      </c>
      <c r="T41" s="34">
        <v>1435.8</v>
      </c>
      <c r="U41" s="34">
        <v>1929</v>
      </c>
      <c r="V41" s="34">
        <v>2531.6</v>
      </c>
      <c r="W41" s="34">
        <v>2965.4</v>
      </c>
      <c r="X41" s="34">
        <v>1654</v>
      </c>
      <c r="Y41" s="34">
        <v>1700.2</v>
      </c>
      <c r="Z41" s="34">
        <v>1619.4</v>
      </c>
      <c r="AA41" s="34">
        <v>1437.4</v>
      </c>
      <c r="AB41" s="34">
        <v>1510</v>
      </c>
      <c r="AC41" s="34">
        <v>1750.3</v>
      </c>
      <c r="AD41" s="34">
        <v>2015.9</v>
      </c>
      <c r="AE41" s="34">
        <v>2280.3000000000002</v>
      </c>
      <c r="AF41" s="34">
        <v>2483.6</v>
      </c>
      <c r="AG41" s="34">
        <v>2790.6</v>
      </c>
      <c r="AH41" s="34">
        <v>3334</v>
      </c>
      <c r="AI41" s="34">
        <v>3520.9</v>
      </c>
      <c r="AJ41" s="34">
        <v>4011</v>
      </c>
      <c r="AK41" s="34">
        <v>5094.3999999999996</v>
      </c>
      <c r="AL41" s="34">
        <v>5376.8</v>
      </c>
      <c r="AM41" s="34">
        <v>5789.7</v>
      </c>
      <c r="AN41" s="34">
        <v>5467.2</v>
      </c>
      <c r="AO41" s="34">
        <v>4980</v>
      </c>
      <c r="AP41" s="34">
        <v>5103</v>
      </c>
      <c r="AQ41" s="34">
        <v>4610.6000000000004</v>
      </c>
      <c r="AR41" s="34">
        <v>4477.2</v>
      </c>
      <c r="AS41" s="34">
        <v>4823.3</v>
      </c>
      <c r="AT41" s="34">
        <v>6185.3</v>
      </c>
      <c r="AU41" s="34">
        <v>7560.5</v>
      </c>
      <c r="AV41" s="34">
        <v>9418.2999999999993</v>
      </c>
      <c r="AW41" s="34">
        <v>10456.799999999999</v>
      </c>
      <c r="AX41" s="34">
        <v>10797</v>
      </c>
      <c r="AY41" s="34">
        <v>10204.6</v>
      </c>
      <c r="AZ41" s="34">
        <v>12764.6</v>
      </c>
      <c r="BA41" s="34">
        <v>14637.8</v>
      </c>
      <c r="BB41" s="34">
        <v>15397.8</v>
      </c>
      <c r="BC41" s="34">
        <v>15842.2</v>
      </c>
      <c r="BD41" s="34">
        <v>14675.2</v>
      </c>
      <c r="BE41" s="34">
        <v>13567.4</v>
      </c>
      <c r="BF41" s="34">
        <v>13788.2</v>
      </c>
      <c r="BG41" s="34">
        <v>15034.1</v>
      </c>
      <c r="BH41" s="34">
        <v>15820</v>
      </c>
      <c r="BI41" s="34">
        <v>14616.2</v>
      </c>
      <c r="BJ41" s="34">
        <v>13162.6</v>
      </c>
      <c r="BK41" s="1">
        <v>16185.9</v>
      </c>
      <c r="BL41" s="1">
        <v>15411.2</v>
      </c>
      <c r="BM41" s="1">
        <v>17093.2</v>
      </c>
    </row>
    <row r="42" spans="1:65">
      <c r="A42" s="1" t="s">
        <v>145</v>
      </c>
      <c r="B42" s="34">
        <v>89.5</v>
      </c>
      <c r="C42" s="34">
        <v>75.8</v>
      </c>
      <c r="D42" s="34">
        <v>70.900000000000006</v>
      </c>
      <c r="E42" s="34">
        <v>74.3</v>
      </c>
      <c r="F42" s="34">
        <v>85.5</v>
      </c>
      <c r="G42" s="34">
        <v>98.5</v>
      </c>
      <c r="H42" s="34">
        <v>104.3</v>
      </c>
      <c r="I42" s="34">
        <v>96.6</v>
      </c>
      <c r="J42" s="34">
        <v>91.5</v>
      </c>
      <c r="K42" s="34">
        <v>100.1</v>
      </c>
      <c r="L42" s="34">
        <v>113.2</v>
      </c>
      <c r="M42" s="34">
        <v>118.7</v>
      </c>
      <c r="N42" s="34">
        <v>131.9</v>
      </c>
      <c r="O42" s="34">
        <v>157.1</v>
      </c>
      <c r="P42" s="34">
        <v>160.1</v>
      </c>
      <c r="Q42" s="34">
        <v>178.3</v>
      </c>
      <c r="R42" s="34">
        <v>165.4</v>
      </c>
      <c r="S42" s="34">
        <v>185.4</v>
      </c>
      <c r="T42" s="34">
        <v>156.4</v>
      </c>
      <c r="U42" s="34">
        <v>184</v>
      </c>
      <c r="V42" s="34">
        <v>194.8</v>
      </c>
      <c r="W42" s="34">
        <v>197.1</v>
      </c>
      <c r="X42" s="34">
        <v>203.3</v>
      </c>
      <c r="Y42" s="34">
        <v>225.4</v>
      </c>
      <c r="Z42" s="34">
        <v>250.7</v>
      </c>
      <c r="AA42" s="34">
        <v>294.5</v>
      </c>
      <c r="AB42" s="34">
        <v>281.89999999999998</v>
      </c>
      <c r="AC42" s="34">
        <v>251.8</v>
      </c>
      <c r="AD42" s="34">
        <v>283.5</v>
      </c>
      <c r="AE42" s="34">
        <v>310.89999999999998</v>
      </c>
      <c r="AF42" s="34">
        <v>317.89999999999998</v>
      </c>
      <c r="AG42" s="34">
        <v>333.1</v>
      </c>
      <c r="AH42" s="34">
        <v>366.5</v>
      </c>
      <c r="AI42" s="34">
        <v>377.4</v>
      </c>
      <c r="AJ42" s="34">
        <v>473.5</v>
      </c>
      <c r="AK42" s="34">
        <v>609.6</v>
      </c>
      <c r="AL42" s="34">
        <v>709.4</v>
      </c>
      <c r="AM42" s="34">
        <v>781.7</v>
      </c>
      <c r="AN42" s="34">
        <v>828.6</v>
      </c>
      <c r="AO42" s="34">
        <v>873.3</v>
      </c>
      <c r="AP42" s="34">
        <v>959.4</v>
      </c>
      <c r="AQ42" s="34">
        <v>1053.0999999999999</v>
      </c>
      <c r="AR42" s="34">
        <v>1148.5</v>
      </c>
      <c r="AS42" s="34">
        <v>1288.5999999999999</v>
      </c>
      <c r="AT42" s="34">
        <v>1508.7</v>
      </c>
      <c r="AU42" s="34">
        <v>1753.4</v>
      </c>
      <c r="AV42" s="34">
        <v>2099.1999999999998</v>
      </c>
      <c r="AW42" s="34">
        <v>2694</v>
      </c>
      <c r="AX42" s="34">
        <v>3468.3</v>
      </c>
      <c r="AY42" s="34">
        <v>3832.2</v>
      </c>
      <c r="AZ42" s="34">
        <v>4550.5</v>
      </c>
      <c r="BA42" s="34">
        <v>5614.4</v>
      </c>
      <c r="BB42" s="34">
        <v>6300.6</v>
      </c>
      <c r="BC42" s="34">
        <v>7020.4</v>
      </c>
      <c r="BD42" s="34">
        <v>7636.1</v>
      </c>
      <c r="BE42" s="34">
        <v>8016.4</v>
      </c>
      <c r="BF42" s="34">
        <v>8094.4</v>
      </c>
      <c r="BG42" s="34">
        <v>8817</v>
      </c>
      <c r="BH42" s="34">
        <v>9905.4</v>
      </c>
      <c r="BI42" s="34">
        <v>10143.9</v>
      </c>
      <c r="BJ42" s="34">
        <v>10408.700000000001</v>
      </c>
      <c r="BK42" s="1">
        <v>12617.5</v>
      </c>
      <c r="BL42" s="1">
        <v>12662.6</v>
      </c>
      <c r="BM42" s="1">
        <v>12614.1</v>
      </c>
    </row>
    <row r="43" spans="1:65">
      <c r="A43" s="1" t="s">
        <v>1168</v>
      </c>
      <c r="B43" s="34">
        <v>147.30000000000001</v>
      </c>
      <c r="C43" s="34">
        <v>160.69999999999999</v>
      </c>
      <c r="D43" s="34">
        <v>161.4</v>
      </c>
      <c r="E43" s="34">
        <v>183.1</v>
      </c>
      <c r="F43" s="34">
        <v>213.1</v>
      </c>
      <c r="G43" s="34">
        <v>204.7</v>
      </c>
      <c r="H43" s="34">
        <v>219.2</v>
      </c>
      <c r="I43" s="34">
        <v>223</v>
      </c>
      <c r="J43" s="34">
        <v>253.7</v>
      </c>
      <c r="K43" s="34">
        <v>259.10000000000002</v>
      </c>
      <c r="L43" s="34">
        <v>265.7</v>
      </c>
      <c r="M43" s="34">
        <v>277</v>
      </c>
      <c r="N43" s="34">
        <v>309.3</v>
      </c>
      <c r="O43" s="34">
        <v>400.9</v>
      </c>
      <c r="P43" s="34">
        <v>468.8</v>
      </c>
      <c r="Q43" s="34">
        <v>568.1</v>
      </c>
      <c r="R43" s="34">
        <v>652.70000000000005</v>
      </c>
      <c r="S43" s="34">
        <v>844.8</v>
      </c>
      <c r="T43" s="34">
        <v>1025.9000000000001</v>
      </c>
      <c r="U43" s="34">
        <v>1143.4000000000001</v>
      </c>
      <c r="V43" s="34">
        <v>1225.4000000000001</v>
      </c>
      <c r="W43" s="34">
        <v>978.1</v>
      </c>
      <c r="X43" s="34">
        <v>845.7</v>
      </c>
      <c r="Y43" s="34">
        <v>736.7</v>
      </c>
      <c r="Z43" s="34">
        <v>711.1</v>
      </c>
      <c r="AA43" s="34">
        <v>700.3</v>
      </c>
      <c r="AB43" s="34">
        <v>888.3</v>
      </c>
      <c r="AC43" s="34">
        <v>946</v>
      </c>
      <c r="AD43" s="34">
        <v>928.6</v>
      </c>
      <c r="AE43" s="34">
        <v>851.2</v>
      </c>
      <c r="AF43" s="34">
        <v>906.4</v>
      </c>
      <c r="AG43" s="34">
        <v>848.3</v>
      </c>
      <c r="AH43" s="34">
        <v>868.7</v>
      </c>
      <c r="AI43" s="34">
        <v>829.5</v>
      </c>
      <c r="AJ43" s="34">
        <v>602.29999999999995</v>
      </c>
      <c r="AK43" s="34">
        <v>769.3</v>
      </c>
      <c r="AL43" s="34">
        <v>1220.0999999999999</v>
      </c>
      <c r="AM43" s="34">
        <v>1176.9000000000001</v>
      </c>
      <c r="AN43" s="34">
        <v>1237.0999999999999</v>
      </c>
      <c r="AO43" s="34">
        <v>1154.5</v>
      </c>
      <c r="AP43" s="34">
        <v>986.8</v>
      </c>
      <c r="AQ43" s="34">
        <v>974.8</v>
      </c>
      <c r="AR43" s="34">
        <v>1021</v>
      </c>
      <c r="AS43" s="34">
        <v>1173.0999999999999</v>
      </c>
      <c r="AT43" s="34">
        <v>1267.8</v>
      </c>
      <c r="AU43" s="34">
        <v>1267.0999999999999</v>
      </c>
      <c r="AV43" s="34">
        <v>1303.5999999999999</v>
      </c>
      <c r="AW43" s="34">
        <v>1451.2</v>
      </c>
      <c r="AX43" s="34">
        <v>1683.3</v>
      </c>
      <c r="AY43" s="34">
        <v>1638.8</v>
      </c>
      <c r="AZ43" s="34">
        <v>1654.2</v>
      </c>
      <c r="BA43" s="34">
        <v>1701.7</v>
      </c>
      <c r="BB43" s="34">
        <v>1649.3</v>
      </c>
      <c r="BC43" s="34">
        <v>1903.1</v>
      </c>
      <c r="BD43" s="34">
        <v>2124</v>
      </c>
      <c r="BE43" s="34">
        <v>1941.6</v>
      </c>
      <c r="BF43" s="34">
        <v>1999.2</v>
      </c>
      <c r="BG43" s="34">
        <v>2113.3000000000002</v>
      </c>
      <c r="BH43" s="34">
        <v>2295.5</v>
      </c>
      <c r="BI43" s="34">
        <v>2309.3000000000002</v>
      </c>
      <c r="BJ43" s="34">
        <v>2350.8000000000002</v>
      </c>
      <c r="BK43" s="1">
        <v>2649.2</v>
      </c>
      <c r="BL43" s="1">
        <v>2491.9</v>
      </c>
      <c r="BM43" s="1">
        <v>2728.8</v>
      </c>
    </row>
    <row r="44" spans="1:65">
      <c r="A44" s="1" t="s">
        <v>1169</v>
      </c>
      <c r="B44" s="34">
        <v>120</v>
      </c>
      <c r="C44" s="34">
        <v>125.5</v>
      </c>
      <c r="D44" s="34">
        <v>130.9</v>
      </c>
      <c r="E44" s="34">
        <v>132.30000000000001</v>
      </c>
      <c r="F44" s="34">
        <v>139.80000000000001</v>
      </c>
      <c r="G44" s="34">
        <v>143.1</v>
      </c>
      <c r="H44" s="34">
        <v>146</v>
      </c>
      <c r="I44" s="34">
        <v>156.69999999999999</v>
      </c>
      <c r="J44" s="34">
        <v>170.7</v>
      </c>
      <c r="K44" s="34">
        <v>175.1</v>
      </c>
      <c r="L44" s="34">
        <v>178.4</v>
      </c>
      <c r="M44" s="34">
        <v>186.6</v>
      </c>
      <c r="N44" s="34">
        <v>220</v>
      </c>
      <c r="O44" s="34">
        <v>271.7</v>
      </c>
      <c r="P44" s="34">
        <v>299.89999999999998</v>
      </c>
      <c r="Q44" s="34">
        <v>386.2</v>
      </c>
      <c r="R44" s="34">
        <v>381.4</v>
      </c>
      <c r="S44" s="34">
        <v>435.4</v>
      </c>
      <c r="T44" s="34">
        <v>581.9</v>
      </c>
      <c r="U44" s="34">
        <v>718</v>
      </c>
      <c r="V44" s="34">
        <v>783.4</v>
      </c>
      <c r="W44" s="34">
        <v>748.8</v>
      </c>
      <c r="X44" s="34">
        <v>730.8</v>
      </c>
      <c r="Y44" s="34">
        <v>743.5</v>
      </c>
      <c r="Z44" s="34">
        <v>769</v>
      </c>
      <c r="AA44" s="34">
        <v>871.5</v>
      </c>
      <c r="AB44" s="34">
        <v>1172.5</v>
      </c>
      <c r="AC44" s="34">
        <v>1250.7</v>
      </c>
      <c r="AD44" s="34">
        <v>1137.2</v>
      </c>
      <c r="AE44" s="34">
        <v>993.1</v>
      </c>
      <c r="AF44" s="34">
        <v>1077.3</v>
      </c>
      <c r="AG44" s="34">
        <v>1005.3</v>
      </c>
      <c r="AH44" s="34">
        <v>995.3</v>
      </c>
      <c r="AI44" s="34">
        <v>1295.9000000000001</v>
      </c>
      <c r="AJ44" s="34">
        <v>692.9</v>
      </c>
      <c r="AK44" s="34">
        <v>822.4</v>
      </c>
      <c r="AL44" s="34">
        <v>817.2</v>
      </c>
      <c r="AM44" s="34">
        <v>773.9</v>
      </c>
      <c r="AN44" s="34">
        <v>789.3</v>
      </c>
      <c r="AO44" s="34">
        <v>786.8</v>
      </c>
      <c r="AP44" s="34">
        <v>700.2</v>
      </c>
      <c r="AQ44" s="34">
        <v>707</v>
      </c>
      <c r="AR44" s="34">
        <v>780.3</v>
      </c>
      <c r="AS44" s="34">
        <v>976.5</v>
      </c>
      <c r="AT44" s="34">
        <v>1120</v>
      </c>
      <c r="AU44" s="34">
        <v>1129.4000000000001</v>
      </c>
      <c r="AV44" s="34">
        <v>1178</v>
      </c>
      <c r="AW44" s="34">
        <v>1311</v>
      </c>
      <c r="AX44" s="34">
        <v>1476</v>
      </c>
      <c r="AY44" s="34">
        <v>1445.9</v>
      </c>
      <c r="AZ44" s="34">
        <v>1383.8</v>
      </c>
      <c r="BA44" s="34">
        <v>1497.9</v>
      </c>
      <c r="BB44" s="34">
        <v>1433.7</v>
      </c>
      <c r="BC44" s="34">
        <v>1559.1</v>
      </c>
      <c r="BD44" s="34">
        <v>1631.7</v>
      </c>
      <c r="BE44" s="34">
        <v>1399.7</v>
      </c>
      <c r="BF44" s="34">
        <v>1426.1</v>
      </c>
      <c r="BG44" s="34">
        <v>1479.9</v>
      </c>
      <c r="BH44" s="34">
        <v>1593.3</v>
      </c>
      <c r="BI44" s="34">
        <v>1538.6</v>
      </c>
      <c r="BJ44" s="34">
        <v>1539.1</v>
      </c>
      <c r="BK44" s="1">
        <v>1654.3</v>
      </c>
      <c r="BL44" s="1">
        <v>1563.5</v>
      </c>
      <c r="BM44" s="1">
        <v>1673.6</v>
      </c>
    </row>
    <row r="45" spans="1:65">
      <c r="A45" s="1" t="s">
        <v>1170</v>
      </c>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v>230.9</v>
      </c>
      <c r="AI45" s="34">
        <v>272.10000000000002</v>
      </c>
      <c r="AJ45" s="34">
        <v>140.19999999999999</v>
      </c>
      <c r="AK45" s="34">
        <v>130.4</v>
      </c>
      <c r="AL45" s="34">
        <v>130.80000000000001</v>
      </c>
      <c r="AM45" s="34">
        <v>135.9</v>
      </c>
      <c r="AN45" s="34">
        <v>135.5</v>
      </c>
      <c r="AO45" s="34">
        <v>99.8</v>
      </c>
      <c r="AP45" s="34">
        <v>392.6</v>
      </c>
      <c r="AQ45" s="34">
        <v>148.4</v>
      </c>
      <c r="AR45" s="34">
        <v>168.9</v>
      </c>
      <c r="AS45" s="34">
        <v>168</v>
      </c>
      <c r="AT45" s="34">
        <v>187.9</v>
      </c>
      <c r="AU45" s="34">
        <v>211.6</v>
      </c>
      <c r="AV45" s="34">
        <v>247.5</v>
      </c>
      <c r="AW45" s="34">
        <v>277.60000000000002</v>
      </c>
      <c r="AX45" s="34">
        <v>317.89999999999998</v>
      </c>
      <c r="AY45" s="34">
        <v>290.2</v>
      </c>
      <c r="AZ45" s="34">
        <v>324.8</v>
      </c>
      <c r="BA45" s="34">
        <v>376.4</v>
      </c>
      <c r="BB45" s="34">
        <v>412.8</v>
      </c>
      <c r="BC45" s="34">
        <v>444.9</v>
      </c>
      <c r="BD45" s="34">
        <v>472.3</v>
      </c>
      <c r="BE45" s="34">
        <v>482.1</v>
      </c>
      <c r="BF45" s="34">
        <v>456</v>
      </c>
      <c r="BG45" s="34">
        <v>451.1</v>
      </c>
      <c r="BH45" s="34">
        <v>546.20000000000005</v>
      </c>
      <c r="BI45" s="34">
        <v>575.9</v>
      </c>
      <c r="BJ45" s="34">
        <v>524.70000000000005</v>
      </c>
      <c r="BK45" s="1">
        <v>577</v>
      </c>
      <c r="BL45" s="1">
        <v>664.6</v>
      </c>
      <c r="BM45" s="1">
        <v>649.1</v>
      </c>
    </row>
    <row r="46" spans="1:65">
      <c r="A46" s="1" t="s">
        <v>1171</v>
      </c>
      <c r="B46" s="34">
        <v>124.8</v>
      </c>
      <c r="C46" s="34">
        <v>140</v>
      </c>
      <c r="D46" s="34">
        <v>149.69999999999999</v>
      </c>
      <c r="E46" s="34">
        <v>150.69999999999999</v>
      </c>
      <c r="F46" s="34">
        <v>158.1</v>
      </c>
      <c r="G46" s="34">
        <v>164.3</v>
      </c>
      <c r="H46" s="34">
        <v>177.6</v>
      </c>
      <c r="I46" s="34">
        <v>185.7</v>
      </c>
      <c r="J46" s="34">
        <v>190.9</v>
      </c>
      <c r="K46" s="34">
        <v>195.5</v>
      </c>
      <c r="L46" s="34">
        <v>196.8</v>
      </c>
      <c r="M46" s="34">
        <v>223.7</v>
      </c>
      <c r="N46" s="34">
        <v>276.5</v>
      </c>
      <c r="O46" s="34">
        <v>353.8</v>
      </c>
      <c r="P46" s="34">
        <v>370.4</v>
      </c>
      <c r="Q46" s="34">
        <v>472.1</v>
      </c>
      <c r="R46" s="34">
        <v>453.1</v>
      </c>
      <c r="S46" s="34">
        <v>448.5</v>
      </c>
      <c r="T46" s="34">
        <v>503</v>
      </c>
      <c r="U46" s="34">
        <v>670.4</v>
      </c>
      <c r="V46" s="34">
        <v>932.5</v>
      </c>
      <c r="W46" s="34">
        <v>1065.7</v>
      </c>
      <c r="X46" s="34">
        <v>1130.3</v>
      </c>
      <c r="Y46" s="34">
        <v>1074.5</v>
      </c>
      <c r="Z46" s="34">
        <v>1095.8</v>
      </c>
      <c r="AA46" s="34">
        <v>1047.7</v>
      </c>
      <c r="AB46" s="34">
        <v>870.3</v>
      </c>
      <c r="AC46" s="34">
        <v>1049.8</v>
      </c>
      <c r="AD46" s="34">
        <v>981.9</v>
      </c>
      <c r="AE46" s="34">
        <v>1030.4000000000001</v>
      </c>
      <c r="AF46" s="34">
        <v>1173.3</v>
      </c>
      <c r="AG46" s="34">
        <v>1111</v>
      </c>
      <c r="AH46" s="34">
        <v>1163.5</v>
      </c>
      <c r="AI46" s="34">
        <v>1034.8</v>
      </c>
      <c r="AJ46" s="34">
        <v>662.9</v>
      </c>
      <c r="AK46" s="34">
        <v>771.6</v>
      </c>
      <c r="AL46" s="34">
        <v>902</v>
      </c>
      <c r="AM46" s="34">
        <v>807.9</v>
      </c>
      <c r="AN46" s="34">
        <v>663.7</v>
      </c>
      <c r="AO46" s="34">
        <v>780.6</v>
      </c>
      <c r="AP46" s="34">
        <v>1030</v>
      </c>
      <c r="AQ46" s="34">
        <v>859.4</v>
      </c>
      <c r="AR46" s="34">
        <v>910.9</v>
      </c>
      <c r="AS46" s="34">
        <v>1023.1</v>
      </c>
      <c r="AT46" s="34">
        <v>1314.4</v>
      </c>
      <c r="AU46" s="34">
        <v>1810.6</v>
      </c>
      <c r="AV46" s="34">
        <v>2116.9</v>
      </c>
      <c r="AW46" s="34">
        <v>2219.9</v>
      </c>
      <c r="AX46" s="34">
        <v>2848.7</v>
      </c>
      <c r="AY46" s="34">
        <v>2283.9</v>
      </c>
      <c r="AZ46" s="34">
        <v>2962.8</v>
      </c>
      <c r="BA46" s="34">
        <v>3415.1</v>
      </c>
      <c r="BB46" s="34">
        <v>3753.9</v>
      </c>
      <c r="BC46" s="34">
        <v>3719.7</v>
      </c>
      <c r="BD46" s="34">
        <v>3623.8</v>
      </c>
      <c r="BE46" s="34">
        <v>2455.3000000000002</v>
      </c>
      <c r="BF46" s="34">
        <v>2107.5</v>
      </c>
      <c r="BG46" s="34">
        <v>2227.6999999999998</v>
      </c>
      <c r="BH46" s="34">
        <v>2715.3</v>
      </c>
      <c r="BI46" s="34">
        <v>2508.9</v>
      </c>
      <c r="BJ46" s="34">
        <v>2011.3</v>
      </c>
      <c r="BK46" s="1">
        <v>2540.5</v>
      </c>
      <c r="BL46" s="1">
        <v>2649.2</v>
      </c>
      <c r="BM46" s="1">
        <v>2508.8000000000002</v>
      </c>
    </row>
    <row r="47" spans="1:65">
      <c r="A47" s="1" t="s">
        <v>241</v>
      </c>
      <c r="B47" s="34">
        <v>257</v>
      </c>
      <c r="C47" s="34">
        <v>280.60000000000002</v>
      </c>
      <c r="D47" s="34">
        <v>296.89999999999998</v>
      </c>
      <c r="E47" s="34">
        <v>281</v>
      </c>
      <c r="F47" s="34">
        <v>336.7</v>
      </c>
      <c r="G47" s="34">
        <v>315.2</v>
      </c>
      <c r="H47" s="34">
        <v>288.60000000000002</v>
      </c>
      <c r="I47" s="34">
        <v>301.10000000000002</v>
      </c>
      <c r="J47" s="34">
        <v>299.89999999999998</v>
      </c>
      <c r="K47" s="34">
        <v>316.3</v>
      </c>
      <c r="L47" s="34">
        <v>344.3</v>
      </c>
      <c r="M47" s="34">
        <v>365.3</v>
      </c>
      <c r="N47" s="34">
        <v>396</v>
      </c>
      <c r="O47" s="34">
        <v>460.6</v>
      </c>
      <c r="P47" s="34">
        <v>540.20000000000005</v>
      </c>
      <c r="Q47" s="34">
        <v>559.70000000000005</v>
      </c>
      <c r="R47" s="34">
        <v>641.6</v>
      </c>
      <c r="S47" s="34">
        <v>796.6</v>
      </c>
      <c r="T47" s="34">
        <v>930.4</v>
      </c>
      <c r="U47" s="34">
        <v>1092.3</v>
      </c>
      <c r="V47" s="34">
        <v>1276</v>
      </c>
      <c r="W47" s="34">
        <v>1358.5</v>
      </c>
      <c r="X47" s="34">
        <v>1421.9</v>
      </c>
      <c r="Y47" s="34">
        <v>1381.1</v>
      </c>
      <c r="Z47" s="34">
        <v>1333.4</v>
      </c>
      <c r="AA47" s="34">
        <v>1189.9000000000001</v>
      </c>
      <c r="AB47" s="34">
        <v>1166.3</v>
      </c>
      <c r="AC47" s="34">
        <v>1188.5999999999999</v>
      </c>
      <c r="AD47" s="34">
        <v>1254.5</v>
      </c>
      <c r="AE47" s="34">
        <v>1238.5999999999999</v>
      </c>
      <c r="AF47" s="34">
        <v>1467.5</v>
      </c>
      <c r="AG47" s="34">
        <v>1491.9</v>
      </c>
      <c r="AH47" s="34">
        <v>1720.6</v>
      </c>
      <c r="AI47" s="34">
        <v>1920.4</v>
      </c>
      <c r="AJ47" s="34">
        <v>2314.9</v>
      </c>
      <c r="AK47" s="34">
        <v>2571.5</v>
      </c>
      <c r="AL47" s="34">
        <v>2652.1</v>
      </c>
      <c r="AM47" s="34">
        <v>2860</v>
      </c>
      <c r="AN47" s="34">
        <v>2595.5</v>
      </c>
      <c r="AO47" s="34">
        <v>2236.1</v>
      </c>
      <c r="AP47" s="34">
        <v>2546.9</v>
      </c>
      <c r="AQ47" s="34">
        <v>2465</v>
      </c>
      <c r="AR47" s="34">
        <v>2421.1999999999998</v>
      </c>
      <c r="AS47" s="34">
        <v>2305.1999999999998</v>
      </c>
      <c r="AT47" s="34">
        <v>2811.5</v>
      </c>
      <c r="AU47" s="34">
        <v>3448.5</v>
      </c>
      <c r="AV47" s="34">
        <v>3782.6</v>
      </c>
      <c r="AW47" s="34">
        <v>4762.1000000000004</v>
      </c>
      <c r="AX47" s="34">
        <v>5534.7</v>
      </c>
      <c r="AY47" s="34">
        <v>5246</v>
      </c>
      <c r="AZ47" s="34">
        <v>6392.8</v>
      </c>
      <c r="BA47" s="34">
        <v>7392.9</v>
      </c>
      <c r="BB47" s="34">
        <v>8096.8</v>
      </c>
      <c r="BC47" s="34">
        <v>8263.6</v>
      </c>
      <c r="BD47" s="34">
        <v>8167.5</v>
      </c>
      <c r="BE47" s="34">
        <v>6228.7</v>
      </c>
      <c r="BF47" s="34">
        <v>5936.3</v>
      </c>
      <c r="BG47" s="34">
        <v>6450</v>
      </c>
      <c r="BH47" s="34">
        <v>6782</v>
      </c>
      <c r="BI47" s="34">
        <v>6436.5</v>
      </c>
      <c r="BJ47" s="34">
        <v>5308.2</v>
      </c>
      <c r="BK47" s="1">
        <v>6183</v>
      </c>
      <c r="BL47" s="1">
        <v>6657.1</v>
      </c>
      <c r="BM47" s="1">
        <v>6979.7</v>
      </c>
    </row>
    <row r="48" spans="1:65">
      <c r="A48" s="1" t="s">
        <v>1172</v>
      </c>
      <c r="B48" s="34"/>
      <c r="C48" s="34"/>
      <c r="D48" s="34"/>
      <c r="E48" s="34"/>
      <c r="F48" s="34"/>
      <c r="G48" s="34"/>
      <c r="H48" s="34"/>
      <c r="I48" s="34"/>
      <c r="J48" s="34"/>
      <c r="K48" s="34"/>
      <c r="L48" s="34"/>
      <c r="M48" s="34"/>
      <c r="N48" s="34"/>
      <c r="O48" s="34"/>
      <c r="P48" s="34"/>
      <c r="Q48" s="34"/>
      <c r="R48" s="34"/>
      <c r="S48" s="34"/>
      <c r="T48" s="34"/>
      <c r="U48" s="34"/>
      <c r="V48" s="34">
        <v>646.4</v>
      </c>
      <c r="W48" s="34">
        <v>580.9</v>
      </c>
      <c r="X48" s="34">
        <v>530.20000000000005</v>
      </c>
      <c r="Y48" s="34">
        <v>538.1</v>
      </c>
      <c r="Z48" s="34">
        <v>505.1</v>
      </c>
      <c r="AA48" s="34">
        <v>523.70000000000005</v>
      </c>
      <c r="AB48" s="34">
        <v>723.2</v>
      </c>
      <c r="AC48" s="34">
        <v>850.4</v>
      </c>
      <c r="AD48" s="34">
        <v>873.6</v>
      </c>
      <c r="AE48" s="34">
        <v>813.8</v>
      </c>
      <c r="AF48" s="34">
        <v>996.5</v>
      </c>
      <c r="AG48" s="34">
        <v>958.9</v>
      </c>
      <c r="AH48" s="34">
        <v>1009.7</v>
      </c>
      <c r="AI48" s="34">
        <v>977.5</v>
      </c>
      <c r="AJ48" s="34">
        <v>674.1</v>
      </c>
      <c r="AK48" s="34">
        <v>823.7</v>
      </c>
      <c r="AL48" s="34">
        <v>801.3</v>
      </c>
      <c r="AM48" s="34">
        <v>721.6</v>
      </c>
      <c r="AN48" s="34">
        <v>717.3</v>
      </c>
      <c r="AO48" s="34">
        <v>726.5</v>
      </c>
      <c r="AP48" s="34">
        <v>654.20000000000005</v>
      </c>
      <c r="AQ48" s="34">
        <v>691</v>
      </c>
      <c r="AR48" s="34">
        <v>761.9</v>
      </c>
      <c r="AS48" s="34">
        <v>959.2</v>
      </c>
      <c r="AT48" s="34">
        <v>1090.4000000000001</v>
      </c>
      <c r="AU48" s="34">
        <v>1103.2</v>
      </c>
      <c r="AV48" s="34">
        <v>1155.0999999999999</v>
      </c>
      <c r="AW48" s="34">
        <v>1289.8</v>
      </c>
      <c r="AX48" s="34">
        <v>1454.7</v>
      </c>
      <c r="AY48" s="34">
        <v>1409.1</v>
      </c>
      <c r="AZ48" s="34">
        <v>1384.1</v>
      </c>
      <c r="BA48" s="34">
        <v>1526.8</v>
      </c>
      <c r="BB48" s="34">
        <v>1484</v>
      </c>
      <c r="BC48" s="34">
        <v>1596</v>
      </c>
      <c r="BD48" s="34">
        <v>1608.7</v>
      </c>
      <c r="BE48" s="34">
        <v>1322.9</v>
      </c>
      <c r="BF48" s="34">
        <v>1357.3</v>
      </c>
      <c r="BG48" s="34">
        <v>1414.6</v>
      </c>
      <c r="BH48" s="34">
        <v>1531.3</v>
      </c>
      <c r="BI48" s="34">
        <v>1510.8</v>
      </c>
      <c r="BJ48" s="34">
        <v>1519.6</v>
      </c>
      <c r="BK48" s="1">
        <v>1577.5</v>
      </c>
      <c r="BL48" s="1">
        <v>1484.9</v>
      </c>
      <c r="BM48" s="1">
        <v>1587.2</v>
      </c>
    </row>
    <row r="49" spans="1:65">
      <c r="A49" s="1" t="s">
        <v>1173</v>
      </c>
      <c r="B49" s="34"/>
      <c r="C49" s="34"/>
      <c r="D49" s="34"/>
      <c r="E49" s="34"/>
      <c r="F49" s="34"/>
      <c r="G49" s="34"/>
      <c r="H49" s="34"/>
      <c r="I49" s="34"/>
      <c r="J49" s="34"/>
      <c r="K49" s="34"/>
      <c r="L49" s="34"/>
      <c r="M49" s="34"/>
      <c r="N49" s="34"/>
      <c r="O49" s="34"/>
      <c r="P49" s="34"/>
      <c r="Q49" s="34"/>
      <c r="R49" s="34"/>
      <c r="S49" s="34"/>
      <c r="T49" s="34"/>
      <c r="U49" s="34"/>
      <c r="V49" s="34">
        <v>448.4</v>
      </c>
      <c r="W49" s="34">
        <v>433.6</v>
      </c>
      <c r="X49" s="34">
        <v>431</v>
      </c>
      <c r="Y49" s="34">
        <v>418.4</v>
      </c>
      <c r="Z49" s="34">
        <v>393.5</v>
      </c>
      <c r="AA49" s="34">
        <v>405.2</v>
      </c>
      <c r="AB49" s="34">
        <v>553.79999999999995</v>
      </c>
      <c r="AC49" s="34">
        <v>674.6</v>
      </c>
      <c r="AD49" s="34">
        <v>748.3</v>
      </c>
      <c r="AE49" s="34">
        <v>746.8</v>
      </c>
      <c r="AF49" s="34">
        <v>841.8</v>
      </c>
      <c r="AG49" s="34">
        <v>858.1</v>
      </c>
      <c r="AH49" s="34">
        <v>935.1</v>
      </c>
      <c r="AI49" s="34">
        <v>1251.9000000000001</v>
      </c>
      <c r="AJ49" s="34">
        <v>1012.3</v>
      </c>
      <c r="AK49" s="34">
        <v>1184.2</v>
      </c>
      <c r="AL49" s="34">
        <v>1192.3</v>
      </c>
      <c r="AM49" s="34">
        <v>1139.2</v>
      </c>
      <c r="AN49" s="34">
        <v>1185.5999999999999</v>
      </c>
      <c r="AO49" s="34">
        <v>1317.6</v>
      </c>
      <c r="AP49" s="34">
        <v>1176.7</v>
      </c>
      <c r="AQ49" s="34">
        <v>1208.5</v>
      </c>
      <c r="AR49" s="34">
        <v>1311.2</v>
      </c>
      <c r="AS49" s="34">
        <v>1694</v>
      </c>
      <c r="AT49" s="34">
        <v>1900.9</v>
      </c>
      <c r="AU49" s="34">
        <v>1972.8</v>
      </c>
      <c r="AV49" s="34">
        <v>2220.1</v>
      </c>
      <c r="AW49" s="34">
        <v>3268.3</v>
      </c>
      <c r="AX49" s="34">
        <v>3839.9</v>
      </c>
      <c r="AY49" s="34">
        <v>3592.3</v>
      </c>
      <c r="AZ49" s="34">
        <v>3501</v>
      </c>
      <c r="BA49" s="34">
        <v>3880.1</v>
      </c>
      <c r="BB49" s="34">
        <v>3583.5</v>
      </c>
      <c r="BC49" s="34">
        <v>3757.7</v>
      </c>
      <c r="BD49" s="34">
        <v>3739.3</v>
      </c>
      <c r="BE49" s="34">
        <v>3169.1</v>
      </c>
      <c r="BF49" s="34">
        <v>3312.7</v>
      </c>
      <c r="BG49" s="34">
        <v>3534.3</v>
      </c>
      <c r="BH49" s="34">
        <v>3860.5</v>
      </c>
      <c r="BI49" s="34">
        <v>3903.1</v>
      </c>
      <c r="BJ49" s="34">
        <v>3126.4</v>
      </c>
      <c r="BK49" s="1">
        <v>3490</v>
      </c>
      <c r="BL49" s="1">
        <v>3883.9</v>
      </c>
      <c r="BM49" s="1">
        <v>4321.6000000000004</v>
      </c>
    </row>
    <row r="50" spans="1:65">
      <c r="A50" s="1" t="s">
        <v>1174</v>
      </c>
      <c r="B50" s="34">
        <v>377</v>
      </c>
      <c r="C50" s="34">
        <v>351.2</v>
      </c>
      <c r="D50" s="34">
        <v>331.1</v>
      </c>
      <c r="E50" s="34">
        <v>341.6</v>
      </c>
      <c r="F50" s="34">
        <v>349.9</v>
      </c>
      <c r="G50" s="34">
        <v>370</v>
      </c>
      <c r="H50" s="34">
        <v>391.2</v>
      </c>
      <c r="I50" s="34">
        <v>410</v>
      </c>
      <c r="J50" s="34">
        <v>440.6</v>
      </c>
      <c r="K50" s="34">
        <v>472.7</v>
      </c>
      <c r="L50" s="34">
        <v>530.70000000000005</v>
      </c>
      <c r="M50" s="34">
        <v>565.29999999999995</v>
      </c>
      <c r="N50" s="34">
        <v>633.20000000000005</v>
      </c>
      <c r="O50" s="34">
        <v>762.1</v>
      </c>
      <c r="P50" s="34">
        <v>809.7</v>
      </c>
      <c r="Q50" s="34">
        <v>928.5</v>
      </c>
      <c r="R50" s="34">
        <v>1113</v>
      </c>
      <c r="S50" s="34">
        <v>1380.5</v>
      </c>
      <c r="T50" s="34">
        <v>1541.1</v>
      </c>
      <c r="U50" s="34">
        <v>1717.8</v>
      </c>
      <c r="V50" s="34">
        <v>2001.2</v>
      </c>
      <c r="W50" s="34">
        <v>1057.4000000000001</v>
      </c>
      <c r="X50" s="34">
        <v>1021.9</v>
      </c>
      <c r="Y50" s="34">
        <v>1199.9000000000001</v>
      </c>
      <c r="Z50" s="34">
        <v>1357.6</v>
      </c>
      <c r="AA50" s="34">
        <v>1414.1</v>
      </c>
      <c r="AB50" s="34">
        <v>1551.7</v>
      </c>
      <c r="AC50" s="34">
        <v>1549.9</v>
      </c>
      <c r="AD50" s="34">
        <v>1537.5</v>
      </c>
      <c r="AE50" s="34">
        <v>1705.4</v>
      </c>
      <c r="AF50" s="34">
        <v>1808.5</v>
      </c>
      <c r="AG50" s="34">
        <v>2221.5</v>
      </c>
      <c r="AH50" s="34">
        <v>2578</v>
      </c>
      <c r="AI50" s="34">
        <v>2814</v>
      </c>
      <c r="AJ50" s="34">
        <v>3005.5</v>
      </c>
      <c r="AK50" s="34">
        <v>3240.7</v>
      </c>
      <c r="AL50" s="34">
        <v>3194.1</v>
      </c>
      <c r="AM50" s="34">
        <v>3373.4</v>
      </c>
      <c r="AN50" s="34">
        <v>3580.9</v>
      </c>
      <c r="AO50" s="34">
        <v>3653.8</v>
      </c>
      <c r="AP50" s="34">
        <v>3773</v>
      </c>
      <c r="AQ50" s="34">
        <v>3941.6</v>
      </c>
      <c r="AR50" s="34">
        <v>4021.4</v>
      </c>
      <c r="AS50" s="34">
        <v>4123.5</v>
      </c>
      <c r="AT50" s="34">
        <v>4376.1000000000004</v>
      </c>
      <c r="AU50" s="34">
        <v>4643.5</v>
      </c>
      <c r="AV50" s="34">
        <v>5188.3999999999996</v>
      </c>
      <c r="AW50" s="34">
        <v>6055.1</v>
      </c>
      <c r="AX50" s="34">
        <v>6841.9</v>
      </c>
      <c r="AY50" s="34">
        <v>6737.9</v>
      </c>
      <c r="AZ50" s="34">
        <v>8147.2</v>
      </c>
      <c r="BA50" s="34">
        <v>9137.5</v>
      </c>
      <c r="BB50" s="34">
        <v>9971.7000000000007</v>
      </c>
      <c r="BC50" s="34">
        <v>10633.3</v>
      </c>
      <c r="BD50" s="34">
        <v>10737.7</v>
      </c>
      <c r="BE50" s="34">
        <v>11530</v>
      </c>
      <c r="BF50" s="34">
        <v>11899.8</v>
      </c>
      <c r="BG50" s="34">
        <v>12118.1</v>
      </c>
      <c r="BH50" s="34">
        <v>12383.1</v>
      </c>
      <c r="BI50" s="34">
        <v>12669.3</v>
      </c>
      <c r="BJ50" s="34">
        <v>12179.3</v>
      </c>
      <c r="BK50" s="1">
        <v>12604</v>
      </c>
      <c r="BL50" s="1">
        <v>13365.4</v>
      </c>
      <c r="BM50" s="1">
        <v>16595.400000000001</v>
      </c>
    </row>
    <row r="51" spans="1:65">
      <c r="A51" s="1" t="s">
        <v>1175</v>
      </c>
      <c r="B51" s="34">
        <v>373</v>
      </c>
      <c r="C51" s="34">
        <v>397.6</v>
      </c>
      <c r="D51" s="34">
        <v>417</v>
      </c>
      <c r="E51" s="34">
        <v>425.1</v>
      </c>
      <c r="F51" s="34">
        <v>451.7</v>
      </c>
      <c r="G51" s="34">
        <v>490.4</v>
      </c>
      <c r="H51" s="34">
        <v>541.20000000000005</v>
      </c>
      <c r="I51" s="34">
        <v>597.9</v>
      </c>
      <c r="J51" s="34">
        <v>614.5</v>
      </c>
      <c r="K51" s="34">
        <v>680.2</v>
      </c>
      <c r="L51" s="34">
        <v>709.9</v>
      </c>
      <c r="M51" s="34">
        <v>755</v>
      </c>
      <c r="N51" s="34">
        <v>786.2</v>
      </c>
      <c r="O51" s="34">
        <v>879</v>
      </c>
      <c r="P51" s="34">
        <v>997.7</v>
      </c>
      <c r="Q51" s="34">
        <v>1085.9000000000001</v>
      </c>
      <c r="R51" s="34">
        <v>1105.5999999999999</v>
      </c>
      <c r="S51" s="34">
        <v>1254.3</v>
      </c>
      <c r="T51" s="34">
        <v>1431.4</v>
      </c>
      <c r="U51" s="34">
        <v>1681.7</v>
      </c>
      <c r="V51" s="34">
        <v>2008.6</v>
      </c>
      <c r="W51" s="34">
        <v>2143.9</v>
      </c>
      <c r="X51" s="34">
        <v>2202.1999999999998</v>
      </c>
      <c r="Y51" s="34">
        <v>2304.8000000000002</v>
      </c>
      <c r="Z51" s="34">
        <v>2505.6999999999998</v>
      </c>
      <c r="AA51" s="34">
        <v>2699.4</v>
      </c>
      <c r="AB51" s="34">
        <v>2920.8</v>
      </c>
      <c r="AC51" s="34">
        <v>3139.7</v>
      </c>
      <c r="AD51" s="34">
        <v>3422</v>
      </c>
      <c r="AE51" s="34">
        <v>3413.6</v>
      </c>
      <c r="AF51" s="34">
        <v>3544.5</v>
      </c>
      <c r="AG51" s="34">
        <v>3580.8</v>
      </c>
      <c r="AH51" s="34">
        <v>3618.4</v>
      </c>
      <c r="AI51" s="34">
        <v>3726.6</v>
      </c>
      <c r="AJ51" s="34">
        <v>3973.6</v>
      </c>
      <c r="AK51" s="34">
        <v>4156.5</v>
      </c>
      <c r="AL51" s="34">
        <v>4418.8</v>
      </c>
      <c r="AM51" s="34">
        <v>5604.4</v>
      </c>
      <c r="AN51" s="34">
        <v>6033.1</v>
      </c>
      <c r="AO51" s="34">
        <v>6348.3</v>
      </c>
      <c r="AP51" s="34">
        <v>6622.1</v>
      </c>
      <c r="AQ51" s="34">
        <v>6623.9</v>
      </c>
      <c r="AR51" s="34">
        <v>6953.2</v>
      </c>
      <c r="AS51" s="34">
        <v>7097.2</v>
      </c>
      <c r="AT51" s="34">
        <v>7415.2</v>
      </c>
      <c r="AU51" s="34">
        <v>8056.6</v>
      </c>
      <c r="AV51" s="34">
        <v>9333.1</v>
      </c>
      <c r="AW51" s="34">
        <v>10028.9</v>
      </c>
      <c r="AX51" s="34">
        <v>10425.1</v>
      </c>
      <c r="AY51" s="34">
        <v>10106.200000000001</v>
      </c>
      <c r="AZ51" s="34">
        <v>10389.200000000001</v>
      </c>
      <c r="BA51" s="34">
        <v>10543</v>
      </c>
      <c r="BB51" s="34">
        <v>11057.1</v>
      </c>
      <c r="BC51" s="34">
        <v>11085.1</v>
      </c>
      <c r="BD51" s="34">
        <v>11359.2</v>
      </c>
      <c r="BE51" s="34">
        <v>11629.1</v>
      </c>
      <c r="BF51" s="34">
        <v>11175.6</v>
      </c>
      <c r="BG51" s="34">
        <v>11576.3</v>
      </c>
      <c r="BH51" s="34">
        <v>11845.7</v>
      </c>
      <c r="BI51" s="34">
        <v>12173.6</v>
      </c>
      <c r="BJ51" s="34">
        <v>10101.799999999999</v>
      </c>
      <c r="BK51" s="1">
        <v>11732.9</v>
      </c>
      <c r="BL51" s="1">
        <v>15296.2</v>
      </c>
      <c r="BM51" s="1">
        <v>16810.900000000001</v>
      </c>
    </row>
    <row r="52" spans="1:65">
      <c r="A52" s="1" t="s">
        <v>255</v>
      </c>
      <c r="B52" s="34"/>
      <c r="C52" s="34"/>
      <c r="D52" s="34"/>
      <c r="E52" s="34"/>
      <c r="F52" s="34"/>
      <c r="G52" s="34"/>
      <c r="H52" s="34"/>
      <c r="I52" s="34"/>
      <c r="J52" s="34"/>
      <c r="K52" s="34"/>
      <c r="L52" s="34">
        <v>641.9</v>
      </c>
      <c r="M52" s="34">
        <v>766.1</v>
      </c>
      <c r="N52" s="34">
        <v>887.2</v>
      </c>
      <c r="O52" s="34">
        <v>1074.2</v>
      </c>
      <c r="P52" s="34">
        <v>1211.7</v>
      </c>
      <c r="Q52" s="34">
        <v>1369.2</v>
      </c>
      <c r="R52" s="34">
        <v>1436.3</v>
      </c>
      <c r="S52" s="34">
        <v>1468.7</v>
      </c>
      <c r="T52" s="34">
        <v>1834</v>
      </c>
      <c r="U52" s="34">
        <v>2003.6</v>
      </c>
      <c r="V52" s="34">
        <v>2030</v>
      </c>
      <c r="W52" s="34">
        <v>2046</v>
      </c>
      <c r="X52" s="34">
        <v>2114.6</v>
      </c>
      <c r="Y52" s="34">
        <v>2223.9</v>
      </c>
      <c r="Z52" s="34">
        <v>2388.3000000000002</v>
      </c>
      <c r="AA52" s="34">
        <v>2258.4</v>
      </c>
      <c r="AB52" s="34">
        <v>2366.9</v>
      </c>
      <c r="AC52" s="34">
        <v>2441.6</v>
      </c>
      <c r="AD52" s="34">
        <v>2633.8</v>
      </c>
      <c r="AE52" s="34">
        <v>2567</v>
      </c>
      <c r="AF52" s="34">
        <v>2695.6</v>
      </c>
      <c r="AG52" s="34">
        <v>2269.6</v>
      </c>
      <c r="AH52" s="34">
        <v>2048.1</v>
      </c>
      <c r="AI52" s="34">
        <v>2063.1999999999998</v>
      </c>
      <c r="AJ52" s="34">
        <v>2613</v>
      </c>
      <c r="AK52" s="34">
        <v>2784.9</v>
      </c>
      <c r="AL52" s="34">
        <v>2282</v>
      </c>
      <c r="AM52" s="34">
        <v>2306.4</v>
      </c>
      <c r="AN52" s="34">
        <v>2332.5</v>
      </c>
      <c r="AO52" s="34">
        <v>2562.3000000000002</v>
      </c>
      <c r="AP52" s="34">
        <v>2752.2</v>
      </c>
      <c r="AQ52" s="34">
        <v>2844.2</v>
      </c>
      <c r="AR52" s="34">
        <v>3007.2</v>
      </c>
      <c r="AS52" s="34">
        <v>3205.7</v>
      </c>
      <c r="AT52" s="34">
        <v>3403.3</v>
      </c>
      <c r="AU52" s="34">
        <v>3791.9</v>
      </c>
      <c r="AV52" s="34">
        <v>4336.8999999999996</v>
      </c>
      <c r="AW52" s="34">
        <v>4814.8999999999996</v>
      </c>
      <c r="AX52" s="34">
        <v>4992.8</v>
      </c>
      <c r="AY52" s="34">
        <v>5094.3999999999996</v>
      </c>
      <c r="AZ52" s="34">
        <v>5275.5</v>
      </c>
      <c r="BA52" s="34">
        <v>6106</v>
      </c>
      <c r="BB52" s="34">
        <v>6467.3</v>
      </c>
      <c r="BC52" s="34">
        <v>6814.2</v>
      </c>
      <c r="BD52" s="34">
        <v>7117.5</v>
      </c>
      <c r="BE52" s="34">
        <v>7683.7</v>
      </c>
      <c r="BF52" s="34">
        <v>8055.9</v>
      </c>
      <c r="BG52" s="34">
        <v>8543.2999999999993</v>
      </c>
      <c r="BH52" s="34">
        <v>8831.9</v>
      </c>
      <c r="BI52" s="34">
        <v>9139.4</v>
      </c>
      <c r="BJ52" s="34">
        <v>9499.6</v>
      </c>
    </row>
    <row r="53" spans="1:65">
      <c r="A53" s="1" t="s">
        <v>1176</v>
      </c>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v>19426.3</v>
      </c>
      <c r="BB53" s="34">
        <v>19809.8</v>
      </c>
      <c r="BC53" s="34">
        <v>19721.3</v>
      </c>
      <c r="BD53" s="34">
        <v>19623</v>
      </c>
      <c r="BE53" s="34">
        <v>19361.8</v>
      </c>
      <c r="BF53" s="34">
        <v>18944.099999999999</v>
      </c>
      <c r="BG53" s="34">
        <v>18938.2</v>
      </c>
      <c r="BH53" s="34">
        <v>19119.099999999999</v>
      </c>
      <c r="BI53" s="34">
        <v>19220.7</v>
      </c>
      <c r="BJ53" s="34">
        <v>16356.1</v>
      </c>
      <c r="BK53" s="1">
        <v>17980.099999999999</v>
      </c>
      <c r="BL53" s="1">
        <v>20492.8</v>
      </c>
    </row>
    <row r="54" spans="1:65">
      <c r="A54" s="1" t="s">
        <v>1177</v>
      </c>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v>87184.5</v>
      </c>
      <c r="AW54" s="34">
        <v>89960.7</v>
      </c>
      <c r="AX54" s="34">
        <v>89704.2</v>
      </c>
      <c r="AY54" s="34">
        <v>81398.3</v>
      </c>
      <c r="AZ54" s="34">
        <v>76873.2</v>
      </c>
      <c r="BA54" s="34">
        <v>75435.600000000006</v>
      </c>
      <c r="BB54" s="34">
        <v>75466.100000000006</v>
      </c>
      <c r="BC54" s="34">
        <v>75685.399999999994</v>
      </c>
      <c r="BD54" s="34">
        <v>76610.600000000006</v>
      </c>
      <c r="BE54" s="34">
        <v>77295.8</v>
      </c>
      <c r="BF54" s="34">
        <v>78858.3</v>
      </c>
      <c r="BG54" s="34">
        <v>81255.100000000006</v>
      </c>
      <c r="BH54" s="34">
        <v>85231.8</v>
      </c>
      <c r="BI54" s="34">
        <v>89846.3</v>
      </c>
      <c r="BJ54" s="34">
        <v>84018.3</v>
      </c>
      <c r="BK54" s="1">
        <v>88940.2</v>
      </c>
      <c r="BL54" s="1">
        <v>96073.8</v>
      </c>
    </row>
    <row r="55" spans="1:65">
      <c r="A55" s="1" t="s">
        <v>1178</v>
      </c>
      <c r="B55" s="34"/>
      <c r="C55" s="34"/>
      <c r="D55" s="34"/>
      <c r="E55" s="34"/>
      <c r="F55" s="34"/>
      <c r="G55" s="34"/>
      <c r="H55" s="34"/>
      <c r="I55" s="34"/>
      <c r="J55" s="34"/>
      <c r="K55" s="34"/>
      <c r="L55" s="34"/>
      <c r="M55" s="34"/>
      <c r="N55" s="34"/>
      <c r="O55" s="34"/>
      <c r="P55" s="34"/>
      <c r="Q55" s="34">
        <v>976.3</v>
      </c>
      <c r="R55" s="34">
        <v>1157.4000000000001</v>
      </c>
      <c r="S55" s="34">
        <v>1476.3</v>
      </c>
      <c r="T55" s="34">
        <v>1929.4</v>
      </c>
      <c r="U55" s="34">
        <v>2559.3000000000002</v>
      </c>
      <c r="V55" s="34">
        <v>4232</v>
      </c>
      <c r="W55" s="34">
        <v>4033.2</v>
      </c>
      <c r="X55" s="34">
        <v>4122.8</v>
      </c>
      <c r="Y55" s="34">
        <v>4091</v>
      </c>
      <c r="Z55" s="34">
        <v>4258.7</v>
      </c>
      <c r="AA55" s="34">
        <v>4488.3</v>
      </c>
      <c r="AB55" s="34">
        <v>5642.6</v>
      </c>
      <c r="AC55" s="34">
        <v>6690.6</v>
      </c>
      <c r="AD55" s="34">
        <v>7645.6</v>
      </c>
      <c r="AE55" s="34">
        <v>8038.9</v>
      </c>
      <c r="AF55" s="34">
        <v>9641.6</v>
      </c>
      <c r="AG55" s="34">
        <v>9696.1</v>
      </c>
      <c r="AH55" s="34">
        <v>11310.1</v>
      </c>
      <c r="AI55" s="34">
        <v>10526.1</v>
      </c>
      <c r="AJ55" s="34">
        <v>11617.7</v>
      </c>
      <c r="AK55" s="34">
        <v>15261.4</v>
      </c>
      <c r="AL55" s="34">
        <v>15139.2</v>
      </c>
      <c r="AM55" s="34">
        <v>14234.2</v>
      </c>
      <c r="AN55" s="34">
        <v>15092.8</v>
      </c>
      <c r="AO55" s="34">
        <v>15287.9</v>
      </c>
      <c r="AP55" s="34">
        <v>14388.3</v>
      </c>
      <c r="AQ55" s="34">
        <v>14821.4</v>
      </c>
      <c r="AR55" s="34">
        <v>16093.2</v>
      </c>
      <c r="AS55" s="34">
        <v>20252.2</v>
      </c>
      <c r="AT55" s="34">
        <v>23792.6</v>
      </c>
      <c r="AU55" s="34">
        <v>24959.3</v>
      </c>
      <c r="AV55" s="34">
        <v>26729.3</v>
      </c>
      <c r="AW55" s="34">
        <v>31244.9</v>
      </c>
      <c r="AX55" s="34">
        <v>35397.4</v>
      </c>
      <c r="AY55" s="34">
        <v>32236.5</v>
      </c>
      <c r="AZ55" s="34">
        <v>31105</v>
      </c>
      <c r="BA55" s="34">
        <v>32485.8</v>
      </c>
      <c r="BB55" s="34">
        <v>28991.9</v>
      </c>
      <c r="BC55" s="34">
        <v>27797.5</v>
      </c>
      <c r="BD55" s="34">
        <v>27244.3</v>
      </c>
      <c r="BE55" s="34">
        <v>23487.200000000001</v>
      </c>
      <c r="BF55" s="34">
        <v>24715.1</v>
      </c>
      <c r="BG55" s="34">
        <v>26697</v>
      </c>
      <c r="BH55" s="34">
        <v>29419.9</v>
      </c>
      <c r="BI55" s="34">
        <v>29420</v>
      </c>
      <c r="BJ55" s="34">
        <v>28281.4</v>
      </c>
      <c r="BK55" s="1">
        <v>32745.8</v>
      </c>
      <c r="BL55" s="1">
        <v>32048.2</v>
      </c>
      <c r="BM55" s="1">
        <v>34701.4</v>
      </c>
    </row>
    <row r="56" spans="1:65">
      <c r="A56" s="1" t="s">
        <v>1179</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v>3941.5</v>
      </c>
      <c r="AG56" s="34">
        <v>2896.6</v>
      </c>
      <c r="AH56" s="34">
        <v>3372.9</v>
      </c>
      <c r="AI56" s="34">
        <v>3956.2</v>
      </c>
      <c r="AJ56" s="34">
        <v>4630.6000000000004</v>
      </c>
      <c r="AK56" s="34">
        <v>5824.1</v>
      </c>
      <c r="AL56" s="34">
        <v>6532.8</v>
      </c>
      <c r="AM56" s="34">
        <v>6034.5</v>
      </c>
      <c r="AN56" s="34">
        <v>6489.7</v>
      </c>
      <c r="AO56" s="34">
        <v>6337.4</v>
      </c>
      <c r="AP56" s="34">
        <v>6029</v>
      </c>
      <c r="AQ56" s="34">
        <v>6637</v>
      </c>
      <c r="AR56" s="34">
        <v>8060.9</v>
      </c>
      <c r="AS56" s="34">
        <v>9818.6</v>
      </c>
      <c r="AT56" s="34">
        <v>11749.9</v>
      </c>
      <c r="AU56" s="34">
        <v>13430.7</v>
      </c>
      <c r="AV56" s="34">
        <v>15261.8</v>
      </c>
      <c r="AW56" s="34">
        <v>18466.5</v>
      </c>
      <c r="AX56" s="34">
        <v>22804.6</v>
      </c>
      <c r="AY56" s="34">
        <v>19861.7</v>
      </c>
      <c r="AZ56" s="34">
        <v>19960.099999999999</v>
      </c>
      <c r="BA56" s="34">
        <v>21871.3</v>
      </c>
      <c r="BB56" s="34">
        <v>19870.8</v>
      </c>
      <c r="BC56" s="34">
        <v>20133.2</v>
      </c>
      <c r="BD56" s="34">
        <v>19890.900000000001</v>
      </c>
      <c r="BE56" s="34">
        <v>17829.7</v>
      </c>
      <c r="BF56" s="34">
        <v>18575.2</v>
      </c>
      <c r="BG56" s="34">
        <v>20636.2</v>
      </c>
      <c r="BH56" s="34">
        <v>23424.5</v>
      </c>
      <c r="BI56" s="34">
        <v>23664.799999999999</v>
      </c>
      <c r="BJ56" s="34">
        <v>22992.9</v>
      </c>
      <c r="BK56" s="1">
        <v>26822.5</v>
      </c>
      <c r="BL56" s="1">
        <v>27226.6</v>
      </c>
      <c r="BM56" s="1">
        <v>30427.4</v>
      </c>
    </row>
    <row r="57" spans="1:65">
      <c r="A57" s="1" t="s">
        <v>1180</v>
      </c>
      <c r="B57" s="34">
        <v>1157.9000000000001</v>
      </c>
      <c r="C57" s="34">
        <v>1311.1</v>
      </c>
      <c r="D57" s="34">
        <v>1425.3</v>
      </c>
      <c r="E57" s="34">
        <v>1496.7</v>
      </c>
      <c r="F57" s="34">
        <v>1631.5</v>
      </c>
      <c r="G57" s="34">
        <v>1767.7</v>
      </c>
      <c r="H57" s="34">
        <v>1864</v>
      </c>
      <c r="I57" s="34">
        <v>1878.7</v>
      </c>
      <c r="J57" s="34">
        <v>2017.7</v>
      </c>
      <c r="K57" s="34">
        <v>2272.9</v>
      </c>
      <c r="L57" s="34">
        <v>2761.2</v>
      </c>
      <c r="M57" s="34">
        <v>3192.1</v>
      </c>
      <c r="N57" s="34">
        <v>3810</v>
      </c>
      <c r="O57" s="34">
        <v>5046.8</v>
      </c>
      <c r="P57" s="34">
        <v>5639.1</v>
      </c>
      <c r="Q57" s="34">
        <v>6236.4</v>
      </c>
      <c r="R57" s="34">
        <v>6634.9</v>
      </c>
      <c r="S57" s="34">
        <v>7683</v>
      </c>
      <c r="T57" s="34">
        <v>9482</v>
      </c>
      <c r="U57" s="34">
        <v>11281</v>
      </c>
      <c r="V57" s="34">
        <v>12138.3</v>
      </c>
      <c r="W57" s="34">
        <v>10209.1</v>
      </c>
      <c r="X57" s="34">
        <v>9913.7000000000007</v>
      </c>
      <c r="Y57" s="34">
        <v>9864.2999999999993</v>
      </c>
      <c r="Z57" s="34">
        <v>9313.2000000000007</v>
      </c>
      <c r="AA57" s="34">
        <v>9429.6</v>
      </c>
      <c r="AB57" s="34">
        <v>13461.8</v>
      </c>
      <c r="AC57" s="34">
        <v>16677.5</v>
      </c>
      <c r="AD57" s="34">
        <v>17931.3</v>
      </c>
      <c r="AE57" s="34">
        <v>17764.400000000001</v>
      </c>
      <c r="AF57" s="34">
        <v>22304</v>
      </c>
      <c r="AG57" s="34">
        <v>23357.8</v>
      </c>
      <c r="AH57" s="34">
        <v>26438.2</v>
      </c>
      <c r="AI57" s="34">
        <v>25522.6</v>
      </c>
      <c r="AJ57" s="34">
        <v>27076.6</v>
      </c>
      <c r="AK57" s="34">
        <v>31658.3</v>
      </c>
      <c r="AL57" s="34">
        <v>30485.9</v>
      </c>
      <c r="AM57" s="34">
        <v>26964</v>
      </c>
      <c r="AN57" s="34">
        <v>27289.1</v>
      </c>
      <c r="AO57" s="34">
        <v>26734.9</v>
      </c>
      <c r="AP57" s="34">
        <v>23694.799999999999</v>
      </c>
      <c r="AQ57" s="34">
        <v>23628.3</v>
      </c>
      <c r="AR57" s="34">
        <v>25197.3</v>
      </c>
      <c r="AS57" s="34">
        <v>30310.400000000001</v>
      </c>
      <c r="AT57" s="34">
        <v>34106.699999999997</v>
      </c>
      <c r="AU57" s="34">
        <v>34520.199999999997</v>
      </c>
      <c r="AV57" s="34">
        <v>36353.9</v>
      </c>
      <c r="AW57" s="34">
        <v>41640.1</v>
      </c>
      <c r="AX57" s="34">
        <v>45612.7</v>
      </c>
      <c r="AY57" s="34">
        <v>41650.400000000001</v>
      </c>
      <c r="AZ57" s="34">
        <v>41572.5</v>
      </c>
      <c r="BA57" s="34">
        <v>46705.9</v>
      </c>
      <c r="BB57" s="34">
        <v>43855.9</v>
      </c>
      <c r="BC57" s="34">
        <v>46298.9</v>
      </c>
      <c r="BD57" s="34">
        <v>48023.9</v>
      </c>
      <c r="BE57" s="34">
        <v>41103.300000000003</v>
      </c>
      <c r="BF57" s="34">
        <v>42136.1</v>
      </c>
      <c r="BG57" s="34">
        <v>44652.6</v>
      </c>
      <c r="BH57" s="34">
        <v>47939.3</v>
      </c>
      <c r="BI57" s="34">
        <v>46805.1</v>
      </c>
      <c r="BJ57" s="34">
        <v>46749.5</v>
      </c>
      <c r="BK57" s="1">
        <v>51426.8</v>
      </c>
      <c r="BL57" s="1">
        <v>48718</v>
      </c>
      <c r="BM57" s="1">
        <v>52745.8</v>
      </c>
    </row>
    <row r="58" spans="1:65">
      <c r="A58" s="1" t="s">
        <v>1181</v>
      </c>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v>851</v>
      </c>
      <c r="AB58" s="34"/>
      <c r="AC58" s="34">
        <v>825.5</v>
      </c>
      <c r="AD58" s="34">
        <v>820.6</v>
      </c>
      <c r="AE58" s="34">
        <v>785.3</v>
      </c>
      <c r="AF58" s="34">
        <v>783.7</v>
      </c>
      <c r="AG58" s="34">
        <v>735.7</v>
      </c>
      <c r="AH58" s="34">
        <v>767.1</v>
      </c>
      <c r="AI58" s="34">
        <v>762.5</v>
      </c>
      <c r="AJ58" s="34">
        <v>788.6</v>
      </c>
      <c r="AK58" s="34">
        <v>790.5</v>
      </c>
      <c r="AL58" s="34">
        <v>766.3</v>
      </c>
      <c r="AM58" s="34">
        <v>752.7</v>
      </c>
      <c r="AN58" s="34">
        <v>740</v>
      </c>
      <c r="AO58" s="34">
        <v>745.2</v>
      </c>
      <c r="AP58" s="34">
        <v>742.9</v>
      </c>
      <c r="AQ58" s="34">
        <v>747.8</v>
      </c>
      <c r="AR58" s="34">
        <v>749.1</v>
      </c>
      <c r="AS58" s="34">
        <v>771.4</v>
      </c>
      <c r="AT58" s="34">
        <v>813.9</v>
      </c>
      <c r="AU58" s="34">
        <v>852.9</v>
      </c>
      <c r="AV58" s="34">
        <v>907.8</v>
      </c>
      <c r="AW58" s="34">
        <v>980</v>
      </c>
      <c r="AX58" s="34">
        <v>1131.5999999999999</v>
      </c>
      <c r="AY58" s="34">
        <v>1164.3</v>
      </c>
      <c r="AZ58" s="34">
        <v>1227.8</v>
      </c>
      <c r="BA58" s="34">
        <v>1322.7</v>
      </c>
      <c r="BB58" s="34">
        <v>1418.5</v>
      </c>
      <c r="BC58" s="34">
        <v>2102.1999999999998</v>
      </c>
      <c r="BD58" s="34">
        <v>2239.1</v>
      </c>
      <c r="BE58" s="34">
        <v>2409.3000000000002</v>
      </c>
      <c r="BF58" s="34">
        <v>2545.6999999999998</v>
      </c>
      <c r="BG58" s="34">
        <v>2655.7</v>
      </c>
      <c r="BH58" s="34">
        <v>2755.8</v>
      </c>
      <c r="BI58" s="34">
        <v>2876</v>
      </c>
      <c r="BJ58" s="34">
        <v>2921.7</v>
      </c>
      <c r="BK58" s="1">
        <v>3062.6</v>
      </c>
      <c r="BL58" s="1">
        <v>3278.1</v>
      </c>
      <c r="BM58" s="1">
        <v>3606.4</v>
      </c>
    </row>
    <row r="59" spans="1:65">
      <c r="A59" s="1" t="s">
        <v>1182</v>
      </c>
      <c r="B59" s="34"/>
      <c r="C59" s="34"/>
      <c r="D59" s="34"/>
      <c r="E59" s="34"/>
      <c r="F59" s="34"/>
      <c r="G59" s="34"/>
      <c r="H59" s="34"/>
      <c r="I59" s="34"/>
      <c r="J59" s="34"/>
      <c r="K59" s="34"/>
      <c r="L59" s="34"/>
      <c r="M59" s="34"/>
      <c r="N59" s="34"/>
      <c r="O59" s="34"/>
      <c r="P59" s="34"/>
      <c r="Q59" s="34"/>
      <c r="R59" s="34"/>
      <c r="S59" s="34">
        <v>635.9</v>
      </c>
      <c r="T59" s="34">
        <v>788.2</v>
      </c>
      <c r="U59" s="34">
        <v>756.1</v>
      </c>
      <c r="V59" s="34">
        <v>997.6</v>
      </c>
      <c r="W59" s="34">
        <v>1125.8</v>
      </c>
      <c r="X59" s="34">
        <v>1232.7</v>
      </c>
      <c r="Y59" s="34">
        <v>1365.2</v>
      </c>
      <c r="Z59" s="34">
        <v>1517.4</v>
      </c>
      <c r="AA59" s="34">
        <v>1669</v>
      </c>
      <c r="AB59" s="34">
        <v>1897.9</v>
      </c>
      <c r="AC59" s="34">
        <v>2144.8000000000002</v>
      </c>
      <c r="AD59" s="34">
        <v>2430.6</v>
      </c>
      <c r="AE59" s="34">
        <v>2645.8</v>
      </c>
      <c r="AF59" s="34">
        <v>2899.1</v>
      </c>
      <c r="AG59" s="34">
        <v>3178.5</v>
      </c>
      <c r="AH59" s="34">
        <v>3386.7</v>
      </c>
      <c r="AI59" s="34">
        <v>3549.7</v>
      </c>
      <c r="AJ59" s="34">
        <v>3820.5</v>
      </c>
      <c r="AK59" s="34">
        <v>3967</v>
      </c>
      <c r="AL59" s="34">
        <v>4225.8999999999996</v>
      </c>
      <c r="AM59" s="34">
        <v>4386</v>
      </c>
      <c r="AN59" s="34">
        <v>4676.8</v>
      </c>
      <c r="AO59" s="34">
        <v>4829.2</v>
      </c>
      <c r="AP59" s="34">
        <v>4879.1000000000004</v>
      </c>
      <c r="AQ59" s="34">
        <v>4991.8</v>
      </c>
      <c r="AR59" s="34">
        <v>4881.1000000000004</v>
      </c>
      <c r="AS59" s="34">
        <v>5016.1000000000004</v>
      </c>
      <c r="AT59" s="34">
        <v>5354.8</v>
      </c>
      <c r="AU59" s="34">
        <v>5304.1</v>
      </c>
      <c r="AV59" s="34">
        <v>5677.1</v>
      </c>
      <c r="AW59" s="34">
        <v>6126.8</v>
      </c>
      <c r="AX59" s="34">
        <v>6661.5</v>
      </c>
      <c r="AY59" s="34">
        <v>7110</v>
      </c>
      <c r="AZ59" s="34">
        <v>7182.4</v>
      </c>
      <c r="BA59" s="34">
        <v>7288.5</v>
      </c>
      <c r="BB59" s="34">
        <v>7054.9</v>
      </c>
      <c r="BC59" s="34">
        <v>7240.7</v>
      </c>
      <c r="BD59" s="34">
        <v>7502.1</v>
      </c>
      <c r="BE59" s="34">
        <v>7724</v>
      </c>
      <c r="BF59" s="34">
        <v>8223</v>
      </c>
      <c r="BG59" s="34">
        <v>7408.1</v>
      </c>
      <c r="BH59" s="34">
        <v>7833.2</v>
      </c>
      <c r="BI59" s="34">
        <v>8561.6</v>
      </c>
      <c r="BJ59" s="34">
        <v>7003.5</v>
      </c>
      <c r="BK59" s="1">
        <v>7668.2</v>
      </c>
      <c r="BL59" s="1">
        <v>8347.2999999999993</v>
      </c>
      <c r="BM59" s="1">
        <v>8953.9</v>
      </c>
    </row>
    <row r="60" spans="1:65">
      <c r="A60" s="1" t="s">
        <v>1183</v>
      </c>
      <c r="B60" s="34">
        <v>1389</v>
      </c>
      <c r="C60" s="34">
        <v>1530.5</v>
      </c>
      <c r="D60" s="34">
        <v>1711.2</v>
      </c>
      <c r="E60" s="34">
        <v>1807.3</v>
      </c>
      <c r="F60" s="34">
        <v>2049.4</v>
      </c>
      <c r="G60" s="34">
        <v>2284.1999999999998</v>
      </c>
      <c r="H60" s="34">
        <v>2487.1</v>
      </c>
      <c r="I60" s="34">
        <v>2700.7</v>
      </c>
      <c r="J60" s="34">
        <v>2776.1</v>
      </c>
      <c r="K60" s="34">
        <v>3151.1</v>
      </c>
      <c r="L60" s="34">
        <v>3464.5</v>
      </c>
      <c r="M60" s="34">
        <v>3845.5</v>
      </c>
      <c r="N60" s="34">
        <v>4654.3</v>
      </c>
      <c r="O60" s="34">
        <v>6119.4</v>
      </c>
      <c r="P60" s="34">
        <v>6770.8</v>
      </c>
      <c r="Q60" s="34">
        <v>7999.1</v>
      </c>
      <c r="R60" s="34">
        <v>8787.6</v>
      </c>
      <c r="S60" s="34">
        <v>9783.9</v>
      </c>
      <c r="T60" s="34">
        <v>11826</v>
      </c>
      <c r="U60" s="34">
        <v>13752</v>
      </c>
      <c r="V60" s="34">
        <v>13883.9</v>
      </c>
      <c r="W60" s="34">
        <v>12081.8</v>
      </c>
      <c r="X60" s="34">
        <v>11804.4</v>
      </c>
      <c r="Y60" s="34">
        <v>11857.9</v>
      </c>
      <c r="Z60" s="34">
        <v>11562.9</v>
      </c>
      <c r="AA60" s="34">
        <v>12253.1</v>
      </c>
      <c r="AB60" s="34">
        <v>17201.099999999999</v>
      </c>
      <c r="AC60" s="34">
        <v>21340.7</v>
      </c>
      <c r="AD60" s="34">
        <v>22527</v>
      </c>
      <c r="AE60" s="34">
        <v>21901.1</v>
      </c>
      <c r="AF60" s="34">
        <v>26891.4</v>
      </c>
      <c r="AG60" s="34">
        <v>27011.4</v>
      </c>
      <c r="AH60" s="34">
        <v>29569.7</v>
      </c>
      <c r="AI60" s="34">
        <v>27598</v>
      </c>
      <c r="AJ60" s="34">
        <v>29995.599999999999</v>
      </c>
      <c r="AK60" s="34">
        <v>35351.4</v>
      </c>
      <c r="AL60" s="34">
        <v>35650.699999999997</v>
      </c>
      <c r="AM60" s="34">
        <v>32835.9</v>
      </c>
      <c r="AN60" s="34">
        <v>33368.1</v>
      </c>
      <c r="AO60" s="34">
        <v>33440.800000000003</v>
      </c>
      <c r="AP60" s="34">
        <v>30743.5</v>
      </c>
      <c r="AQ60" s="34">
        <v>30751.7</v>
      </c>
      <c r="AR60" s="34">
        <v>33228.699999999997</v>
      </c>
      <c r="AS60" s="34">
        <v>40458.800000000003</v>
      </c>
      <c r="AT60" s="34">
        <v>46511.6</v>
      </c>
      <c r="AU60" s="34">
        <v>48799.8</v>
      </c>
      <c r="AV60" s="34">
        <v>52027</v>
      </c>
      <c r="AW60" s="34">
        <v>58487.1</v>
      </c>
      <c r="AX60" s="34">
        <v>64322.1</v>
      </c>
      <c r="AY60" s="34">
        <v>58163.3</v>
      </c>
      <c r="AZ60" s="34">
        <v>58041.4</v>
      </c>
      <c r="BA60" s="34">
        <v>61753.599999999999</v>
      </c>
      <c r="BB60" s="34">
        <v>58507.5</v>
      </c>
      <c r="BC60" s="34">
        <v>61191.199999999997</v>
      </c>
      <c r="BD60" s="34">
        <v>62549</v>
      </c>
      <c r="BE60" s="34">
        <v>53254.9</v>
      </c>
      <c r="BF60" s="34">
        <v>54664</v>
      </c>
      <c r="BG60" s="34">
        <v>57610.1</v>
      </c>
      <c r="BH60" s="34">
        <v>61591.9</v>
      </c>
      <c r="BI60" s="34">
        <v>59593</v>
      </c>
      <c r="BJ60" s="34">
        <v>60836.6</v>
      </c>
      <c r="BK60" s="1">
        <v>69268.7</v>
      </c>
      <c r="BL60" s="1">
        <v>67790.100000000006</v>
      </c>
      <c r="BM60" s="1">
        <v>67967.399999999994</v>
      </c>
    </row>
    <row r="61" spans="1:65">
      <c r="A61" s="1" t="s">
        <v>1184</v>
      </c>
      <c r="B61" s="34">
        <v>203.9</v>
      </c>
      <c r="C61" s="34">
        <v>191.9</v>
      </c>
      <c r="D61" s="34">
        <v>234</v>
      </c>
      <c r="E61" s="34">
        <v>258.8</v>
      </c>
      <c r="F61" s="34">
        <v>273.3</v>
      </c>
      <c r="G61" s="34">
        <v>229.6</v>
      </c>
      <c r="H61" s="34">
        <v>246.8</v>
      </c>
      <c r="I61" s="34">
        <v>251.8</v>
      </c>
      <c r="J61" s="34">
        <v>255.1</v>
      </c>
      <c r="K61" s="34">
        <v>282.7</v>
      </c>
      <c r="L61" s="34">
        <v>331.9</v>
      </c>
      <c r="M61" s="34">
        <v>362.3</v>
      </c>
      <c r="N61" s="34">
        <v>420.6</v>
      </c>
      <c r="O61" s="34">
        <v>483.3</v>
      </c>
      <c r="P61" s="34">
        <v>587.70000000000005</v>
      </c>
      <c r="Q61" s="34">
        <v>704.8</v>
      </c>
      <c r="R61" s="34">
        <v>754.8</v>
      </c>
      <c r="S61" s="34">
        <v>855</v>
      </c>
      <c r="T61" s="34">
        <v>861.5</v>
      </c>
      <c r="U61" s="34">
        <v>977.4</v>
      </c>
      <c r="V61" s="34">
        <v>1174.7</v>
      </c>
      <c r="W61" s="34">
        <v>1284.8</v>
      </c>
      <c r="X61" s="34">
        <v>1374.5</v>
      </c>
      <c r="Y61" s="34">
        <v>1500</v>
      </c>
      <c r="Z61" s="34">
        <v>1845.6</v>
      </c>
      <c r="AA61" s="34">
        <v>786</v>
      </c>
      <c r="AB61" s="34">
        <v>934.1</v>
      </c>
      <c r="AC61" s="34">
        <v>870.7</v>
      </c>
      <c r="AD61" s="34">
        <v>786.4</v>
      </c>
      <c r="AE61" s="34">
        <v>958</v>
      </c>
      <c r="AF61" s="34">
        <v>992.2</v>
      </c>
      <c r="AG61" s="34">
        <v>1349.8</v>
      </c>
      <c r="AH61" s="34">
        <v>1562.5</v>
      </c>
      <c r="AI61" s="34">
        <v>1726.6</v>
      </c>
      <c r="AJ61" s="34">
        <v>1896</v>
      </c>
      <c r="AK61" s="34">
        <v>2114.1</v>
      </c>
      <c r="AL61" s="34">
        <v>2276.6999999999998</v>
      </c>
      <c r="AM61" s="34">
        <v>2456.1</v>
      </c>
      <c r="AN61" s="34">
        <v>2616.6999999999998</v>
      </c>
      <c r="AO61" s="34">
        <v>2631.7</v>
      </c>
      <c r="AP61" s="34">
        <v>2845.8</v>
      </c>
      <c r="AQ61" s="34">
        <v>2953.2</v>
      </c>
      <c r="AR61" s="34">
        <v>3085.5</v>
      </c>
      <c r="AS61" s="34">
        <v>2399.5</v>
      </c>
      <c r="AT61" s="34">
        <v>2468.4</v>
      </c>
      <c r="AU61" s="34">
        <v>3903.8</v>
      </c>
      <c r="AV61" s="34">
        <v>4080</v>
      </c>
      <c r="AW61" s="34">
        <v>4676.1000000000004</v>
      </c>
      <c r="AX61" s="34">
        <v>5053.3</v>
      </c>
      <c r="AY61" s="34">
        <v>5002.2</v>
      </c>
      <c r="AZ61" s="34">
        <v>5509.6</v>
      </c>
      <c r="BA61" s="34">
        <v>5859.4</v>
      </c>
      <c r="BB61" s="34">
        <v>6049.5</v>
      </c>
      <c r="BC61" s="34">
        <v>6171.3</v>
      </c>
      <c r="BD61" s="34">
        <v>6533.7</v>
      </c>
      <c r="BE61" s="34">
        <v>6838.9</v>
      </c>
      <c r="BF61" s="34">
        <v>7191.1</v>
      </c>
      <c r="BG61" s="34">
        <v>7513.5</v>
      </c>
      <c r="BH61" s="34">
        <v>7947.2</v>
      </c>
      <c r="BI61" s="34">
        <v>8173.3</v>
      </c>
      <c r="BJ61" s="34">
        <v>7167.9</v>
      </c>
      <c r="BK61" s="1">
        <v>8476.7000000000007</v>
      </c>
      <c r="BL61" s="1">
        <v>10111.200000000001</v>
      </c>
      <c r="BM61" s="1">
        <v>10716</v>
      </c>
    </row>
    <row r="62" spans="1:65">
      <c r="A62" s="1" t="s">
        <v>294</v>
      </c>
      <c r="B62" s="34">
        <v>239</v>
      </c>
      <c r="C62" s="34">
        <v>209.9</v>
      </c>
      <c r="D62" s="34">
        <v>169.9</v>
      </c>
      <c r="E62" s="34">
        <v>225.8</v>
      </c>
      <c r="F62" s="34">
        <v>238.9</v>
      </c>
      <c r="G62" s="34">
        <v>253.3</v>
      </c>
      <c r="H62" s="34">
        <v>241</v>
      </c>
      <c r="I62" s="34">
        <v>261.39999999999998</v>
      </c>
      <c r="J62" s="34">
        <v>292</v>
      </c>
      <c r="K62" s="34">
        <v>315.60000000000002</v>
      </c>
      <c r="L62" s="34">
        <v>352.5</v>
      </c>
      <c r="M62" s="34">
        <v>359.8</v>
      </c>
      <c r="N62" s="34">
        <v>468.6</v>
      </c>
      <c r="O62" s="34">
        <v>588.9</v>
      </c>
      <c r="P62" s="34">
        <v>871.7</v>
      </c>
      <c r="Q62" s="34">
        <v>989.4</v>
      </c>
      <c r="R62" s="34">
        <v>1074.4000000000001</v>
      </c>
      <c r="S62" s="34">
        <v>1224</v>
      </c>
      <c r="T62" s="34">
        <v>1495.2</v>
      </c>
      <c r="U62" s="34">
        <v>1829.9</v>
      </c>
      <c r="V62" s="34">
        <v>2259.6999999999998</v>
      </c>
      <c r="W62" s="34">
        <v>2291.8000000000002</v>
      </c>
      <c r="X62" s="34">
        <v>2260.3000000000002</v>
      </c>
      <c r="Y62" s="34">
        <v>2359.6</v>
      </c>
      <c r="Z62" s="34">
        <v>2510</v>
      </c>
      <c r="AA62" s="34">
        <v>2617.6999999999998</v>
      </c>
      <c r="AB62" s="34">
        <v>2783.4</v>
      </c>
      <c r="AC62" s="34">
        <v>2829.9</v>
      </c>
      <c r="AD62" s="34">
        <v>2437.4</v>
      </c>
      <c r="AE62" s="34">
        <v>2235.3000000000002</v>
      </c>
      <c r="AF62" s="34">
        <v>2431.6</v>
      </c>
      <c r="AG62" s="34">
        <v>1749.3</v>
      </c>
      <c r="AH62" s="34">
        <v>1794.6</v>
      </c>
      <c r="AI62" s="34">
        <v>1825.9</v>
      </c>
      <c r="AJ62" s="34">
        <v>1522.8</v>
      </c>
      <c r="AK62" s="34">
        <v>1466.5</v>
      </c>
      <c r="AL62" s="34">
        <v>1619.5</v>
      </c>
      <c r="AM62" s="34">
        <v>1634.5</v>
      </c>
      <c r="AN62" s="34">
        <v>1610.3</v>
      </c>
      <c r="AO62" s="34">
        <v>1602.9</v>
      </c>
      <c r="AP62" s="34">
        <v>1780.4</v>
      </c>
      <c r="AQ62" s="34">
        <v>1904.2</v>
      </c>
      <c r="AR62" s="34">
        <v>1945.2</v>
      </c>
      <c r="AS62" s="34">
        <v>2292.3000000000002</v>
      </c>
      <c r="AT62" s="34">
        <v>2827.2</v>
      </c>
      <c r="AU62" s="34">
        <v>3248.1</v>
      </c>
      <c r="AV62" s="34">
        <v>3681.3</v>
      </c>
      <c r="AW62" s="34">
        <v>4192.7</v>
      </c>
      <c r="AX62" s="34">
        <v>5218</v>
      </c>
      <c r="AY62" s="34">
        <v>4270.8999999999996</v>
      </c>
      <c r="AZ62" s="34">
        <v>4958.3</v>
      </c>
      <c r="BA62" s="34">
        <v>5974.6</v>
      </c>
      <c r="BB62" s="34">
        <v>6096.1</v>
      </c>
      <c r="BC62" s="34">
        <v>6044.7</v>
      </c>
      <c r="BD62" s="34">
        <v>6164.6</v>
      </c>
      <c r="BE62" s="34">
        <v>4741.5</v>
      </c>
      <c r="BF62" s="34">
        <v>4481.1000000000004</v>
      </c>
      <c r="BG62" s="34">
        <v>4615.8999999999996</v>
      </c>
      <c r="BH62" s="34">
        <v>4640.3</v>
      </c>
      <c r="BI62" s="34">
        <v>4530.1000000000004</v>
      </c>
      <c r="BJ62" s="34">
        <v>3794.4</v>
      </c>
      <c r="BK62" s="1">
        <v>4216.3</v>
      </c>
      <c r="BL62" s="1">
        <v>5023.3</v>
      </c>
      <c r="BM62" s="1">
        <v>5260.2</v>
      </c>
    </row>
    <row r="63" spans="1:65">
      <c r="A63" s="1" t="s">
        <v>1185</v>
      </c>
      <c r="B63" s="34">
        <v>90.1</v>
      </c>
      <c r="C63" s="34">
        <v>79.400000000000006</v>
      </c>
      <c r="D63" s="34">
        <v>71.5</v>
      </c>
      <c r="E63" s="34">
        <v>75.400000000000006</v>
      </c>
      <c r="F63" s="34">
        <v>85</v>
      </c>
      <c r="G63" s="34">
        <v>96.7</v>
      </c>
      <c r="H63" s="34">
        <v>102.9</v>
      </c>
      <c r="I63" s="34">
        <v>97.4</v>
      </c>
      <c r="J63" s="34">
        <v>95.9</v>
      </c>
      <c r="K63" s="34">
        <v>105</v>
      </c>
      <c r="L63" s="34">
        <v>113.8</v>
      </c>
      <c r="M63" s="34">
        <v>119</v>
      </c>
      <c r="N63" s="34">
        <v>132.19999999999999</v>
      </c>
      <c r="O63" s="34">
        <v>162.5</v>
      </c>
      <c r="P63" s="34">
        <v>180.2</v>
      </c>
      <c r="Q63" s="34">
        <v>198.5</v>
      </c>
      <c r="R63" s="34">
        <v>198.3</v>
      </c>
      <c r="S63" s="34">
        <v>225</v>
      </c>
      <c r="T63" s="34">
        <v>214.9</v>
      </c>
      <c r="U63" s="34">
        <v>244.9</v>
      </c>
      <c r="V63" s="34">
        <v>278.2</v>
      </c>
      <c r="W63" s="34">
        <v>292.39999999999998</v>
      </c>
      <c r="X63" s="34">
        <v>301.89999999999998</v>
      </c>
      <c r="Y63" s="34">
        <v>310.89999999999998</v>
      </c>
      <c r="Z63" s="34">
        <v>331.6</v>
      </c>
      <c r="AA63" s="34">
        <v>357.3</v>
      </c>
      <c r="AB63" s="34">
        <v>350.5</v>
      </c>
      <c r="AC63" s="34">
        <v>340.5</v>
      </c>
      <c r="AD63" s="34">
        <v>371.4</v>
      </c>
      <c r="AE63" s="34">
        <v>394.9</v>
      </c>
      <c r="AF63" s="34">
        <v>416.4</v>
      </c>
      <c r="AG63" s="34">
        <v>445</v>
      </c>
      <c r="AH63" s="34">
        <v>492</v>
      </c>
      <c r="AI63" s="34">
        <v>532.70000000000005</v>
      </c>
      <c r="AJ63" s="34">
        <v>632.6</v>
      </c>
      <c r="AK63" s="34">
        <v>770.3</v>
      </c>
      <c r="AL63" s="34">
        <v>873.7</v>
      </c>
      <c r="AM63" s="34">
        <v>892.8</v>
      </c>
      <c r="AN63" s="34">
        <v>805.3</v>
      </c>
      <c r="AO63" s="34">
        <v>877.1</v>
      </c>
      <c r="AP63" s="34">
        <v>955.5</v>
      </c>
      <c r="AQ63" s="34">
        <v>1007.1</v>
      </c>
      <c r="AR63" s="34">
        <v>1104.8</v>
      </c>
      <c r="AS63" s="34">
        <v>1239.9000000000001</v>
      </c>
      <c r="AT63" s="34">
        <v>1425.9</v>
      </c>
      <c r="AU63" s="34">
        <v>1638.4</v>
      </c>
      <c r="AV63" s="34">
        <v>1957.8</v>
      </c>
      <c r="AW63" s="34">
        <v>2456.4</v>
      </c>
      <c r="AX63" s="34">
        <v>3084.9</v>
      </c>
      <c r="AY63" s="34">
        <v>3320.3</v>
      </c>
      <c r="AZ63" s="34">
        <v>4012.1</v>
      </c>
      <c r="BA63" s="34">
        <v>4863.6000000000004</v>
      </c>
      <c r="BB63" s="34">
        <v>5376.6</v>
      </c>
      <c r="BC63" s="34">
        <v>5881.9</v>
      </c>
      <c r="BD63" s="34">
        <v>6292.3</v>
      </c>
      <c r="BE63" s="34">
        <v>6500</v>
      </c>
      <c r="BF63" s="34">
        <v>6592.5</v>
      </c>
      <c r="BG63" s="34">
        <v>7151.3</v>
      </c>
      <c r="BH63" s="34">
        <v>7944.8</v>
      </c>
      <c r="BI63" s="34">
        <v>8172</v>
      </c>
      <c r="BJ63" s="34">
        <v>8262.9</v>
      </c>
      <c r="BK63" s="1">
        <v>9813.5</v>
      </c>
      <c r="BL63" s="1">
        <v>9916.7999999999993</v>
      </c>
      <c r="BM63" s="1">
        <v>9912.7000000000007</v>
      </c>
    </row>
    <row r="64" spans="1:65">
      <c r="A64" s="1" t="s">
        <v>1186</v>
      </c>
      <c r="B64" s="34">
        <v>134.4</v>
      </c>
      <c r="C64" s="34">
        <v>139.4</v>
      </c>
      <c r="D64" s="34">
        <v>140</v>
      </c>
      <c r="E64" s="34">
        <v>153.19999999999999</v>
      </c>
      <c r="F64" s="34">
        <v>166.2</v>
      </c>
      <c r="G64" s="34">
        <v>174.8</v>
      </c>
      <c r="H64" s="34">
        <v>167.4</v>
      </c>
      <c r="I64" s="34">
        <v>178.4</v>
      </c>
      <c r="J64" s="34">
        <v>190.7</v>
      </c>
      <c r="K64" s="34">
        <v>206.4</v>
      </c>
      <c r="L64" s="34">
        <v>215.3</v>
      </c>
      <c r="M64" s="34">
        <v>226.7</v>
      </c>
      <c r="N64" s="34">
        <v>246</v>
      </c>
      <c r="O64" s="34">
        <v>301.3</v>
      </c>
      <c r="P64" s="34">
        <v>414.5</v>
      </c>
      <c r="Q64" s="34">
        <v>450.7</v>
      </c>
      <c r="R64" s="34">
        <v>487</v>
      </c>
      <c r="S64" s="34">
        <v>534.4</v>
      </c>
      <c r="T64" s="34">
        <v>582.4</v>
      </c>
      <c r="U64" s="34">
        <v>693.4</v>
      </c>
      <c r="V64" s="34">
        <v>848</v>
      </c>
      <c r="W64" s="34">
        <v>918.9</v>
      </c>
      <c r="X64" s="34">
        <v>847.3</v>
      </c>
      <c r="Y64" s="34">
        <v>824.3</v>
      </c>
      <c r="Z64" s="34">
        <v>813.7</v>
      </c>
      <c r="AA64" s="34">
        <v>792.9</v>
      </c>
      <c r="AB64" s="34">
        <v>777.8</v>
      </c>
      <c r="AC64" s="34">
        <v>770.9</v>
      </c>
      <c r="AD64" s="34">
        <v>795.9</v>
      </c>
      <c r="AE64" s="34">
        <v>792.3</v>
      </c>
      <c r="AF64" s="34">
        <v>901.7</v>
      </c>
      <c r="AG64" s="34">
        <v>935.1</v>
      </c>
      <c r="AH64" s="34">
        <v>1005.3</v>
      </c>
      <c r="AI64" s="34">
        <v>1093.0999999999999</v>
      </c>
      <c r="AJ64" s="34">
        <v>1125.5</v>
      </c>
      <c r="AK64" s="34">
        <v>1125.2</v>
      </c>
      <c r="AL64" s="34">
        <v>1196</v>
      </c>
      <c r="AM64" s="34">
        <v>1252.0999999999999</v>
      </c>
      <c r="AN64" s="34">
        <v>1213.5999999999999</v>
      </c>
      <c r="AO64" s="34">
        <v>1259.9000000000001</v>
      </c>
      <c r="AP64" s="34">
        <v>1351.5</v>
      </c>
      <c r="AQ64" s="34">
        <v>1316.3</v>
      </c>
      <c r="AR64" s="34">
        <v>1256.2</v>
      </c>
      <c r="AS64" s="34">
        <v>1374.6</v>
      </c>
      <c r="AT64" s="34">
        <v>1570.6</v>
      </c>
      <c r="AU64" s="34">
        <v>1796.6</v>
      </c>
      <c r="AV64" s="34">
        <v>2020.9</v>
      </c>
      <c r="AW64" s="34">
        <v>2354.4</v>
      </c>
      <c r="AX64" s="34">
        <v>2610.6</v>
      </c>
      <c r="AY64" s="34">
        <v>2472.1999999999998</v>
      </c>
      <c r="AZ64" s="34">
        <v>2955.7</v>
      </c>
      <c r="BA64" s="34">
        <v>3280.7</v>
      </c>
      <c r="BB64" s="34">
        <v>3381</v>
      </c>
      <c r="BC64" s="34">
        <v>3380.6</v>
      </c>
      <c r="BD64" s="34">
        <v>3449</v>
      </c>
      <c r="BE64" s="34">
        <v>3234.2</v>
      </c>
      <c r="BF64" s="34">
        <v>3284.2</v>
      </c>
      <c r="BG64" s="34">
        <v>3504.9</v>
      </c>
      <c r="BH64" s="34">
        <v>3499.8</v>
      </c>
      <c r="BI64" s="34">
        <v>3529</v>
      </c>
      <c r="BJ64" s="34">
        <v>3254.2</v>
      </c>
      <c r="BK64" s="1">
        <v>3743.9</v>
      </c>
      <c r="BL64" s="1">
        <v>4099.1000000000004</v>
      </c>
      <c r="BM64" s="1">
        <v>4258.8999999999996</v>
      </c>
    </row>
    <row r="65" spans="1:65">
      <c r="A65" s="1" t="s">
        <v>1187</v>
      </c>
      <c r="B65" s="34">
        <v>150.6</v>
      </c>
      <c r="C65" s="34">
        <v>151.6</v>
      </c>
      <c r="D65" s="34">
        <v>153</v>
      </c>
      <c r="E65" s="34">
        <v>166.7</v>
      </c>
      <c r="F65" s="34">
        <v>187</v>
      </c>
      <c r="G65" s="34">
        <v>203.4</v>
      </c>
      <c r="H65" s="34">
        <v>221.9</v>
      </c>
      <c r="I65" s="34">
        <v>235.4</v>
      </c>
      <c r="J65" s="34">
        <v>253.8</v>
      </c>
      <c r="K65" s="34">
        <v>285.3</v>
      </c>
      <c r="L65" s="34">
        <v>320.2</v>
      </c>
      <c r="M65" s="34">
        <v>346.7</v>
      </c>
      <c r="N65" s="34">
        <v>421</v>
      </c>
      <c r="O65" s="34">
        <v>542.70000000000005</v>
      </c>
      <c r="P65" s="34">
        <v>612.4</v>
      </c>
      <c r="Q65" s="34">
        <v>658</v>
      </c>
      <c r="R65" s="34">
        <v>711.8</v>
      </c>
      <c r="S65" s="34">
        <v>835.2</v>
      </c>
      <c r="T65" s="34">
        <v>1039.0999999999999</v>
      </c>
      <c r="U65" s="34">
        <v>1110.5999999999999</v>
      </c>
      <c r="V65" s="34">
        <v>1182.3</v>
      </c>
      <c r="W65" s="34">
        <v>1283.7</v>
      </c>
      <c r="X65" s="34">
        <v>1237.2</v>
      </c>
      <c r="Y65" s="34">
        <v>1296.5</v>
      </c>
      <c r="Z65" s="34">
        <v>1366.7</v>
      </c>
      <c r="AA65" s="34">
        <v>1420.4</v>
      </c>
      <c r="AB65" s="34">
        <v>1829.3</v>
      </c>
      <c r="AC65" s="34">
        <v>2113.3000000000002</v>
      </c>
      <c r="AD65" s="34">
        <v>2500.1</v>
      </c>
      <c r="AE65" s="34">
        <v>2563</v>
      </c>
      <c r="AF65" s="34">
        <v>2634.9</v>
      </c>
      <c r="AG65" s="34">
        <v>2934.4</v>
      </c>
      <c r="AH65" s="34">
        <v>3165.2</v>
      </c>
      <c r="AI65" s="34">
        <v>3495.7</v>
      </c>
      <c r="AJ65" s="34">
        <v>3861.4</v>
      </c>
      <c r="AK65" s="34">
        <v>4331.8</v>
      </c>
      <c r="AL65" s="34">
        <v>4124.8999999999996</v>
      </c>
      <c r="AM65" s="34">
        <v>3897.7</v>
      </c>
      <c r="AN65" s="34">
        <v>3450.9</v>
      </c>
      <c r="AO65" s="34">
        <v>3816.4</v>
      </c>
      <c r="AP65" s="34">
        <v>4090.2</v>
      </c>
      <c r="AQ65" s="34">
        <v>3769.4</v>
      </c>
      <c r="AR65" s="34">
        <v>3797</v>
      </c>
      <c r="AS65" s="34">
        <v>4142.7</v>
      </c>
      <c r="AT65" s="34">
        <v>4610.3</v>
      </c>
      <c r="AU65" s="34">
        <v>4882.2</v>
      </c>
      <c r="AV65" s="34">
        <v>5136.3</v>
      </c>
      <c r="AW65" s="34">
        <v>5697.9</v>
      </c>
      <c r="AX65" s="34">
        <v>6523.3</v>
      </c>
      <c r="AY65" s="34">
        <v>6664.9</v>
      </c>
      <c r="AZ65" s="34">
        <v>7726.9</v>
      </c>
      <c r="BA65" s="34">
        <v>8893.5</v>
      </c>
      <c r="BB65" s="34">
        <v>9436.7999999999993</v>
      </c>
      <c r="BC65" s="34">
        <v>9468.7000000000007</v>
      </c>
      <c r="BD65" s="34">
        <v>9696</v>
      </c>
      <c r="BE65" s="34">
        <v>9586.1</v>
      </c>
      <c r="BF65" s="34">
        <v>9856.7000000000007</v>
      </c>
      <c r="BG65" s="34">
        <v>10454.5</v>
      </c>
      <c r="BH65" s="34">
        <v>11312.9</v>
      </c>
      <c r="BI65" s="34">
        <v>11484.3</v>
      </c>
      <c r="BJ65" s="34">
        <v>11487.8</v>
      </c>
      <c r="BK65" s="1">
        <v>13141.5</v>
      </c>
      <c r="BL65" s="1">
        <v>12909.9</v>
      </c>
      <c r="BM65" s="1">
        <v>12927.7</v>
      </c>
    </row>
    <row r="66" spans="1:65">
      <c r="A66" s="1" t="s">
        <v>1188</v>
      </c>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v>1171.5999999999999</v>
      </c>
      <c r="AD66" s="34">
        <v>1275.4000000000001</v>
      </c>
      <c r="AE66" s="34">
        <v>1424.5</v>
      </c>
      <c r="AF66" s="34">
        <v>1690.1</v>
      </c>
      <c r="AG66" s="34">
        <v>1608.5</v>
      </c>
      <c r="AH66" s="34">
        <v>1544.4</v>
      </c>
      <c r="AI66" s="34">
        <v>1625.8</v>
      </c>
      <c r="AJ66" s="34">
        <v>1291.8</v>
      </c>
      <c r="AK66" s="34">
        <v>1444.1</v>
      </c>
      <c r="AL66" s="34">
        <v>1523.5</v>
      </c>
      <c r="AM66" s="34">
        <v>1609.7</v>
      </c>
      <c r="AN66" s="34">
        <v>1954</v>
      </c>
      <c r="AO66" s="34">
        <v>1777.7</v>
      </c>
      <c r="AP66" s="34">
        <v>1806.7</v>
      </c>
      <c r="AQ66" s="34">
        <v>1541.9</v>
      </c>
      <c r="AR66" s="34">
        <v>1786.1</v>
      </c>
      <c r="AS66" s="34">
        <v>2267.1</v>
      </c>
      <c r="AT66" s="34">
        <v>2907</v>
      </c>
      <c r="AU66" s="34">
        <v>3602.2</v>
      </c>
      <c r="AV66" s="34">
        <v>4167.7</v>
      </c>
      <c r="AW66" s="34">
        <v>5222.8</v>
      </c>
      <c r="AX66" s="34">
        <v>6207</v>
      </c>
      <c r="AY66" s="34">
        <v>5133.3999999999996</v>
      </c>
      <c r="AZ66" s="34">
        <v>6022.6</v>
      </c>
      <c r="BA66" s="34">
        <v>6785.4</v>
      </c>
      <c r="BB66" s="34">
        <v>7100.4</v>
      </c>
      <c r="BC66" s="34">
        <v>7678.8</v>
      </c>
      <c r="BD66" s="34">
        <v>7307</v>
      </c>
      <c r="BE66" s="34">
        <v>6312.2</v>
      </c>
      <c r="BF66" s="34">
        <v>6006.4</v>
      </c>
      <c r="BG66" s="34">
        <v>6111.4</v>
      </c>
      <c r="BH66" s="34">
        <v>5957.8</v>
      </c>
      <c r="BI66" s="34">
        <v>6022.6</v>
      </c>
      <c r="BJ66" s="34">
        <v>5738.3</v>
      </c>
      <c r="BK66" s="1">
        <v>6620.2</v>
      </c>
      <c r="BL66" s="1">
        <v>7302.2</v>
      </c>
      <c r="BM66" s="1">
        <v>8479.1</v>
      </c>
    </row>
    <row r="67" spans="1:65">
      <c r="A67" s="1" t="s">
        <v>1189</v>
      </c>
      <c r="B67" s="34">
        <v>640</v>
      </c>
      <c r="C67" s="34">
        <v>696.3</v>
      </c>
      <c r="D67" s="34">
        <v>752.7</v>
      </c>
      <c r="E67" s="34">
        <v>813.8</v>
      </c>
      <c r="F67" s="34">
        <v>889.3</v>
      </c>
      <c r="G67" s="34">
        <v>959.2</v>
      </c>
      <c r="H67" s="34">
        <v>1027.4000000000001</v>
      </c>
      <c r="I67" s="34">
        <v>1081.4000000000001</v>
      </c>
      <c r="J67" s="34">
        <v>1128.9000000000001</v>
      </c>
      <c r="K67" s="34">
        <v>1241.2</v>
      </c>
      <c r="L67" s="34">
        <v>1384.3</v>
      </c>
      <c r="M67" s="34">
        <v>1550.5</v>
      </c>
      <c r="N67" s="34">
        <v>1844.2</v>
      </c>
      <c r="O67" s="34">
        <v>2327.9</v>
      </c>
      <c r="P67" s="34">
        <v>2611.3000000000002</v>
      </c>
      <c r="Q67" s="34">
        <v>3028.8</v>
      </c>
      <c r="R67" s="34">
        <v>3127.1</v>
      </c>
      <c r="S67" s="34">
        <v>3512.5</v>
      </c>
      <c r="T67" s="34">
        <v>4277</v>
      </c>
      <c r="U67" s="34">
        <v>5179.3</v>
      </c>
      <c r="V67" s="34">
        <v>5815.7</v>
      </c>
      <c r="W67" s="34">
        <v>5147</v>
      </c>
      <c r="X67" s="34">
        <v>4931.8</v>
      </c>
      <c r="Y67" s="34">
        <v>4755.1000000000004</v>
      </c>
      <c r="Z67" s="34">
        <v>4543</v>
      </c>
      <c r="AA67" s="34">
        <v>4672.3</v>
      </c>
      <c r="AB67" s="34">
        <v>6331.3</v>
      </c>
      <c r="AC67" s="34">
        <v>7769.5</v>
      </c>
      <c r="AD67" s="34">
        <v>8594.2000000000007</v>
      </c>
      <c r="AE67" s="34">
        <v>8658.2000000000007</v>
      </c>
      <c r="AF67" s="34">
        <v>10531.5</v>
      </c>
      <c r="AG67" s="34">
        <v>10795.3</v>
      </c>
      <c r="AH67" s="34">
        <v>11517.3</v>
      </c>
      <c r="AI67" s="34">
        <v>10554.1</v>
      </c>
      <c r="AJ67" s="34">
        <v>11008.1</v>
      </c>
      <c r="AK67" s="34">
        <v>12688.1</v>
      </c>
      <c r="AL67" s="34">
        <v>12924.9</v>
      </c>
      <c r="AM67" s="34">
        <v>12237.1</v>
      </c>
      <c r="AN67" s="34">
        <v>12537.1</v>
      </c>
      <c r="AO67" s="34">
        <v>12385.7</v>
      </c>
      <c r="AP67" s="34">
        <v>11665.1</v>
      </c>
      <c r="AQ67" s="34">
        <v>11768.2</v>
      </c>
      <c r="AR67" s="34">
        <v>12862.9</v>
      </c>
      <c r="AS67" s="34">
        <v>15595.9</v>
      </c>
      <c r="AT67" s="34">
        <v>18124.8</v>
      </c>
      <c r="AU67" s="34">
        <v>19222.099999999999</v>
      </c>
      <c r="AV67" s="34">
        <v>20747</v>
      </c>
      <c r="AW67" s="34">
        <v>24164.3</v>
      </c>
      <c r="AX67" s="34">
        <v>26487</v>
      </c>
      <c r="AY67" s="34">
        <v>23199</v>
      </c>
      <c r="AZ67" s="34">
        <v>23638.6</v>
      </c>
      <c r="BA67" s="34">
        <v>26149.1</v>
      </c>
      <c r="BB67" s="34">
        <v>25096.2</v>
      </c>
      <c r="BC67" s="34">
        <v>26096.9</v>
      </c>
      <c r="BD67" s="34">
        <v>26341.1</v>
      </c>
      <c r="BE67" s="34">
        <v>22579.200000000001</v>
      </c>
      <c r="BF67" s="34">
        <v>22398.1</v>
      </c>
      <c r="BG67" s="34">
        <v>23670.799999999999</v>
      </c>
      <c r="BH67" s="34">
        <v>25255.1</v>
      </c>
      <c r="BI67" s="34">
        <v>24867.5</v>
      </c>
      <c r="BJ67" s="34">
        <v>23994.9</v>
      </c>
      <c r="BK67" s="1">
        <v>27409.9</v>
      </c>
      <c r="BL67" s="1">
        <v>27567.4</v>
      </c>
      <c r="BM67" s="1">
        <v>29483.4</v>
      </c>
    </row>
    <row r="68" spans="1:65">
      <c r="A68" s="1" t="s">
        <v>286</v>
      </c>
      <c r="B68" s="34">
        <v>448.1</v>
      </c>
      <c r="C68" s="34">
        <v>369.1</v>
      </c>
      <c r="D68" s="34">
        <v>310.39999999999998</v>
      </c>
      <c r="E68" s="34">
        <v>362.4</v>
      </c>
      <c r="F68" s="34">
        <v>433</v>
      </c>
      <c r="G68" s="34">
        <v>447.2</v>
      </c>
      <c r="H68" s="34">
        <v>442</v>
      </c>
      <c r="I68" s="34">
        <v>451.3</v>
      </c>
      <c r="J68" s="34">
        <v>443.2</v>
      </c>
      <c r="K68" s="34">
        <v>519</v>
      </c>
      <c r="L68" s="34">
        <v>463.8</v>
      </c>
      <c r="M68" s="34">
        <v>433.7</v>
      </c>
      <c r="N68" s="34">
        <v>487.6</v>
      </c>
      <c r="O68" s="34">
        <v>579.1</v>
      </c>
      <c r="P68" s="34">
        <v>954.9</v>
      </c>
      <c r="Q68" s="34">
        <v>1088.0999999999999</v>
      </c>
      <c r="R68" s="34">
        <v>1244.7</v>
      </c>
      <c r="S68" s="34">
        <v>1468.9</v>
      </c>
      <c r="T68" s="34">
        <v>1545.8</v>
      </c>
      <c r="U68" s="34">
        <v>1789.2</v>
      </c>
      <c r="V68" s="34">
        <v>2197.9</v>
      </c>
      <c r="W68" s="34">
        <v>2611.3000000000002</v>
      </c>
      <c r="X68" s="34">
        <v>2324.8000000000002</v>
      </c>
      <c r="Y68" s="34">
        <v>1950.1</v>
      </c>
      <c r="Z68" s="34">
        <v>1874.4</v>
      </c>
      <c r="AA68" s="34">
        <v>1853.1</v>
      </c>
      <c r="AB68" s="34">
        <v>1613.7</v>
      </c>
      <c r="AC68" s="34">
        <v>1433.3</v>
      </c>
      <c r="AD68" s="34">
        <v>1309.0999999999999</v>
      </c>
      <c r="AE68" s="34">
        <v>1360.5</v>
      </c>
      <c r="AF68" s="34">
        <v>1458.3</v>
      </c>
      <c r="AG68" s="34">
        <v>1589.8</v>
      </c>
      <c r="AH68" s="34">
        <v>1657.9</v>
      </c>
      <c r="AI68" s="34">
        <v>1701.2</v>
      </c>
      <c r="AJ68" s="34">
        <v>2001.2</v>
      </c>
      <c r="AK68" s="34">
        <v>2113.3000000000002</v>
      </c>
      <c r="AL68" s="34">
        <v>2142.3000000000002</v>
      </c>
      <c r="AM68" s="34">
        <v>2349.1999999999998</v>
      </c>
      <c r="AN68" s="34">
        <v>2293.6999999999998</v>
      </c>
      <c r="AO68" s="34">
        <v>1582.8</v>
      </c>
      <c r="AP68" s="34">
        <v>1389.1</v>
      </c>
      <c r="AQ68" s="34">
        <v>1800.4</v>
      </c>
      <c r="AR68" s="34">
        <v>2069.8000000000002</v>
      </c>
      <c r="AS68" s="34">
        <v>2328</v>
      </c>
      <c r="AT68" s="34">
        <v>2600.4</v>
      </c>
      <c r="AU68" s="34">
        <v>2925.1</v>
      </c>
      <c r="AV68" s="34">
        <v>3261.5</v>
      </c>
      <c r="AW68" s="34">
        <v>3497.7</v>
      </c>
      <c r="AX68" s="34">
        <v>4217.3999999999996</v>
      </c>
      <c r="AY68" s="34">
        <v>4076.2</v>
      </c>
      <c r="AZ68" s="34">
        <v>4546.6000000000004</v>
      </c>
      <c r="BA68" s="34">
        <v>5183.6000000000004</v>
      </c>
      <c r="BB68" s="34">
        <v>5666.2</v>
      </c>
      <c r="BC68" s="34">
        <v>6142</v>
      </c>
      <c r="BD68" s="34">
        <v>6436.8</v>
      </c>
      <c r="BE68" s="34">
        <v>6002.1</v>
      </c>
      <c r="BF68" s="34">
        <v>5941.2</v>
      </c>
      <c r="BG68" s="34">
        <v>6256.7</v>
      </c>
      <c r="BH68" s="34">
        <v>6316.5</v>
      </c>
      <c r="BI68" s="34">
        <v>6203.7</v>
      </c>
      <c r="BJ68" s="34">
        <v>5450.4</v>
      </c>
      <c r="BK68" s="1">
        <v>6036.4</v>
      </c>
      <c r="BL68" s="1">
        <v>6476.6</v>
      </c>
      <c r="BM68" s="1">
        <v>6533.4</v>
      </c>
    </row>
    <row r="69" spans="1:65">
      <c r="A69" s="1" t="s">
        <v>232</v>
      </c>
      <c r="B69" s="34"/>
      <c r="C69" s="34"/>
      <c r="D69" s="34"/>
      <c r="E69" s="34"/>
      <c r="F69" s="34"/>
      <c r="G69" s="34">
        <v>160.6</v>
      </c>
      <c r="H69" s="34">
        <v>167</v>
      </c>
      <c r="I69" s="34">
        <v>173</v>
      </c>
      <c r="J69" s="34">
        <v>178.7</v>
      </c>
      <c r="K69" s="34">
        <v>191.9</v>
      </c>
      <c r="L69" s="34">
        <v>231.2</v>
      </c>
      <c r="M69" s="34">
        <v>242.1</v>
      </c>
      <c r="N69" s="34">
        <v>256</v>
      </c>
      <c r="O69" s="34">
        <v>272</v>
      </c>
      <c r="P69" s="34">
        <v>243.3</v>
      </c>
      <c r="Q69" s="34">
        <v>300</v>
      </c>
      <c r="R69" s="34">
        <v>335.8</v>
      </c>
      <c r="S69" s="34">
        <v>354.9</v>
      </c>
      <c r="T69" s="34">
        <v>356.3</v>
      </c>
      <c r="U69" s="34">
        <v>422.7</v>
      </c>
      <c r="V69" s="34">
        <v>495.3</v>
      </c>
      <c r="W69" s="34">
        <v>493</v>
      </c>
      <c r="X69" s="34">
        <v>600</v>
      </c>
      <c r="Y69" s="34">
        <v>653.9</v>
      </c>
      <c r="Z69" s="34">
        <v>697.9</v>
      </c>
      <c r="AA69" s="34">
        <v>780.5</v>
      </c>
      <c r="AB69" s="34">
        <v>802.2</v>
      </c>
      <c r="AC69" s="34">
        <v>765.6</v>
      </c>
      <c r="AD69" s="34">
        <v>644.20000000000005</v>
      </c>
      <c r="AE69" s="34">
        <v>712.9</v>
      </c>
      <c r="AF69" s="34">
        <v>751.2</v>
      </c>
      <c r="AG69" s="34">
        <v>637.9</v>
      </c>
      <c r="AH69" s="34">
        <v>697.7</v>
      </c>
      <c r="AI69" s="34">
        <v>758.8</v>
      </c>
      <c r="AJ69" s="34">
        <v>826.7</v>
      </c>
      <c r="AK69" s="34">
        <v>937.5</v>
      </c>
      <c r="AL69" s="34">
        <v>1031.5</v>
      </c>
      <c r="AM69" s="34">
        <v>1170.8</v>
      </c>
      <c r="AN69" s="34">
        <v>1239.4000000000001</v>
      </c>
      <c r="AO69" s="34">
        <v>1297.5999999999999</v>
      </c>
      <c r="AP69" s="34">
        <v>1398.9</v>
      </c>
      <c r="AQ69" s="34">
        <v>1327.1</v>
      </c>
      <c r="AR69" s="34">
        <v>1144.5</v>
      </c>
      <c r="AS69" s="34">
        <v>1056.9000000000001</v>
      </c>
      <c r="AT69" s="34">
        <v>1016.3</v>
      </c>
      <c r="AU69" s="34">
        <v>1133.0999999999999</v>
      </c>
      <c r="AV69" s="34">
        <v>1332.3</v>
      </c>
      <c r="AW69" s="34">
        <v>1586.5</v>
      </c>
      <c r="AX69" s="34">
        <v>1941.9</v>
      </c>
      <c r="AY69" s="34">
        <v>2212.1999999999998</v>
      </c>
      <c r="AZ69" s="34">
        <v>2509.8000000000002</v>
      </c>
      <c r="BA69" s="34">
        <v>2645.6</v>
      </c>
      <c r="BB69" s="34">
        <v>3059.1</v>
      </c>
      <c r="BC69" s="34">
        <v>3088.9</v>
      </c>
      <c r="BD69" s="34">
        <v>3196.9</v>
      </c>
      <c r="BE69" s="34">
        <v>3370.4</v>
      </c>
      <c r="BF69" s="34">
        <v>3331.6</v>
      </c>
      <c r="BG69" s="34">
        <v>2440</v>
      </c>
      <c r="BH69" s="34">
        <v>2531.1999999999998</v>
      </c>
      <c r="BI69" s="34">
        <v>3017.3</v>
      </c>
      <c r="BJ69" s="34">
        <v>3571.6</v>
      </c>
      <c r="BK69" s="1">
        <v>3886.7</v>
      </c>
      <c r="BL69" s="1">
        <v>4295.3999999999996</v>
      </c>
      <c r="BM69" s="1">
        <v>3512.6</v>
      </c>
    </row>
    <row r="70" spans="1:65">
      <c r="A70" s="1" t="s">
        <v>291</v>
      </c>
      <c r="B70" s="34">
        <v>933.8</v>
      </c>
      <c r="C70" s="34">
        <v>1030.4000000000001</v>
      </c>
      <c r="D70" s="34">
        <v>1129.8</v>
      </c>
      <c r="E70" s="34">
        <v>1232.7</v>
      </c>
      <c r="F70" s="34">
        <v>1353.9</v>
      </c>
      <c r="G70" s="34">
        <v>1467</v>
      </c>
      <c r="H70" s="34">
        <v>1574</v>
      </c>
      <c r="I70" s="34">
        <v>1660.5</v>
      </c>
      <c r="J70" s="34">
        <v>1772.9</v>
      </c>
      <c r="K70" s="34">
        <v>1967.1</v>
      </c>
      <c r="L70" s="34">
        <v>2215.1</v>
      </c>
      <c r="M70" s="34">
        <v>2496.5</v>
      </c>
      <c r="N70" s="34">
        <v>2995.4</v>
      </c>
      <c r="O70" s="34">
        <v>3864.2</v>
      </c>
      <c r="P70" s="34">
        <v>4357.8999999999996</v>
      </c>
      <c r="Q70" s="34">
        <v>5027.8</v>
      </c>
      <c r="R70" s="34">
        <v>5224.3</v>
      </c>
      <c r="S70" s="34">
        <v>5918.5</v>
      </c>
      <c r="T70" s="34">
        <v>7217.1</v>
      </c>
      <c r="U70" s="34">
        <v>8705.7000000000007</v>
      </c>
      <c r="V70" s="34">
        <v>9707</v>
      </c>
      <c r="W70" s="34">
        <v>8402.6</v>
      </c>
      <c r="X70" s="34">
        <v>8111.8</v>
      </c>
      <c r="Y70" s="34">
        <v>7897.3</v>
      </c>
      <c r="Z70" s="34">
        <v>7562.6</v>
      </c>
      <c r="AA70" s="34">
        <v>7754.8</v>
      </c>
      <c r="AB70" s="34">
        <v>10856.9</v>
      </c>
      <c r="AC70" s="34">
        <v>13392.1</v>
      </c>
      <c r="AD70" s="34">
        <v>14680.5</v>
      </c>
      <c r="AE70" s="34">
        <v>14933</v>
      </c>
      <c r="AF70" s="34">
        <v>18709.5</v>
      </c>
      <c r="AG70" s="34">
        <v>19313.3</v>
      </c>
      <c r="AH70" s="34">
        <v>21181.9</v>
      </c>
      <c r="AI70" s="34">
        <v>19312</v>
      </c>
      <c r="AJ70" s="34">
        <v>20337.2</v>
      </c>
      <c r="AK70" s="34">
        <v>23425.3</v>
      </c>
      <c r="AL70" s="34">
        <v>23649.9</v>
      </c>
      <c r="AM70" s="34">
        <v>21578.3</v>
      </c>
      <c r="AN70" s="34">
        <v>22147</v>
      </c>
      <c r="AO70" s="34">
        <v>21983.599999999999</v>
      </c>
      <c r="AP70" s="34">
        <v>20005.400000000001</v>
      </c>
      <c r="AQ70" s="34">
        <v>20251.3</v>
      </c>
      <c r="AR70" s="34">
        <v>22002.799999999999</v>
      </c>
      <c r="AS70" s="34">
        <v>26945.3</v>
      </c>
      <c r="AT70" s="34">
        <v>30729</v>
      </c>
      <c r="AU70" s="34">
        <v>31670</v>
      </c>
      <c r="AV70" s="34">
        <v>33508.199999999997</v>
      </c>
      <c r="AW70" s="34">
        <v>38396.300000000003</v>
      </c>
      <c r="AX70" s="34">
        <v>42016.5</v>
      </c>
      <c r="AY70" s="34">
        <v>38273.1</v>
      </c>
      <c r="AZ70" s="34">
        <v>37303.4</v>
      </c>
      <c r="BA70" s="34">
        <v>40329.4</v>
      </c>
      <c r="BB70" s="34">
        <v>37290.800000000003</v>
      </c>
      <c r="BC70" s="34">
        <v>38806.400000000001</v>
      </c>
      <c r="BD70" s="34">
        <v>39594.6</v>
      </c>
      <c r="BE70" s="34">
        <v>34118.400000000001</v>
      </c>
      <c r="BF70" s="34">
        <v>34889.699999999997</v>
      </c>
      <c r="BG70" s="34">
        <v>36878.9</v>
      </c>
      <c r="BH70" s="34">
        <v>39754.400000000001</v>
      </c>
      <c r="BI70" s="34">
        <v>38904.6</v>
      </c>
      <c r="BJ70" s="34">
        <v>37915.4</v>
      </c>
      <c r="BK70" s="1">
        <v>42527.5</v>
      </c>
      <c r="BL70" s="1">
        <v>40835.699999999997</v>
      </c>
      <c r="BM70" s="1">
        <v>44368.6</v>
      </c>
    </row>
    <row r="71" spans="1:65">
      <c r="A71" s="1" t="s">
        <v>1190</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v>248.3</v>
      </c>
      <c r="AI71" s="34">
        <v>236.1</v>
      </c>
      <c r="AJ71" s="34">
        <v>260.3</v>
      </c>
      <c r="AK71" s="34">
        <v>267.89999999999998</v>
      </c>
      <c r="AL71" s="34">
        <v>306.3</v>
      </c>
      <c r="AM71" s="34">
        <v>299.60000000000002</v>
      </c>
      <c r="AN71" s="34">
        <v>321</v>
      </c>
      <c r="AO71" s="34">
        <v>292.39999999999998</v>
      </c>
      <c r="AP71" s="34">
        <v>295.2</v>
      </c>
      <c r="AQ71" s="34">
        <v>305.60000000000002</v>
      </c>
      <c r="AR71" s="34">
        <v>286.3</v>
      </c>
      <c r="AS71" s="34">
        <v>328</v>
      </c>
      <c r="AT71" s="34">
        <v>401.4</v>
      </c>
      <c r="AU71" s="34">
        <v>387.9</v>
      </c>
      <c r="AV71" s="34">
        <v>420.5</v>
      </c>
      <c r="AW71" s="34">
        <v>450.4</v>
      </c>
      <c r="AX71" s="34">
        <v>459.2</v>
      </c>
      <c r="AY71" s="34">
        <v>602.1</v>
      </c>
      <c r="AZ71" s="34">
        <v>505</v>
      </c>
      <c r="BA71" s="34">
        <v>643.79999999999995</v>
      </c>
      <c r="BB71" s="34"/>
      <c r="BC71" s="34"/>
      <c r="BD71" s="34"/>
      <c r="BE71" s="34"/>
      <c r="BF71" s="34"/>
      <c r="BG71" s="34"/>
      <c r="BH71" s="34"/>
      <c r="BI71" s="34"/>
      <c r="BJ71" s="34"/>
    </row>
    <row r="72" spans="1:65">
      <c r="A72" s="1" t="s">
        <v>1191</v>
      </c>
      <c r="B72" s="34">
        <v>408.3</v>
      </c>
      <c r="C72" s="34">
        <v>463.5</v>
      </c>
      <c r="D72" s="34">
        <v>535.79999999999995</v>
      </c>
      <c r="E72" s="34">
        <v>627.70000000000005</v>
      </c>
      <c r="F72" s="34">
        <v>695.4</v>
      </c>
      <c r="G72" s="34">
        <v>797.9</v>
      </c>
      <c r="H72" s="34">
        <v>916.3</v>
      </c>
      <c r="I72" s="34">
        <v>997.3</v>
      </c>
      <c r="J72" s="34">
        <v>979</v>
      </c>
      <c r="K72" s="34">
        <v>1109.9000000000001</v>
      </c>
      <c r="L72" s="34">
        <v>1212.3</v>
      </c>
      <c r="M72" s="34">
        <v>1362.2</v>
      </c>
      <c r="N72" s="34">
        <v>1708.8</v>
      </c>
      <c r="O72" s="34">
        <v>2247.6</v>
      </c>
      <c r="P72" s="34">
        <v>2749.9</v>
      </c>
      <c r="Q72" s="34">
        <v>3209.8</v>
      </c>
      <c r="R72" s="34">
        <v>3279.3</v>
      </c>
      <c r="S72" s="34">
        <v>3627.6</v>
      </c>
      <c r="T72" s="34">
        <v>4356.3999999999996</v>
      </c>
      <c r="U72" s="34">
        <v>5770.2</v>
      </c>
      <c r="V72" s="34">
        <v>6208.6</v>
      </c>
      <c r="W72" s="34">
        <v>5371.2</v>
      </c>
      <c r="X72" s="34">
        <v>5159.7</v>
      </c>
      <c r="Y72" s="34">
        <v>4478.5</v>
      </c>
      <c r="Z72" s="34">
        <v>4490</v>
      </c>
      <c r="AA72" s="34">
        <v>4699.7</v>
      </c>
      <c r="AB72" s="34">
        <v>6513.5</v>
      </c>
      <c r="AC72" s="34">
        <v>8239.6</v>
      </c>
      <c r="AD72" s="34">
        <v>9703.1</v>
      </c>
      <c r="AE72" s="34">
        <v>10682</v>
      </c>
      <c r="AF72" s="34">
        <v>13804.9</v>
      </c>
      <c r="AG72" s="34">
        <v>14811.9</v>
      </c>
      <c r="AH72" s="34">
        <v>16112.2</v>
      </c>
      <c r="AI72" s="34">
        <v>13339.9</v>
      </c>
      <c r="AJ72" s="34">
        <v>13415.3</v>
      </c>
      <c r="AK72" s="34">
        <v>15472</v>
      </c>
      <c r="AL72" s="34">
        <v>16109.1</v>
      </c>
      <c r="AM72" s="34">
        <v>14730.8</v>
      </c>
      <c r="AN72" s="34">
        <v>15394.4</v>
      </c>
      <c r="AO72" s="34">
        <v>15720.6</v>
      </c>
      <c r="AP72" s="34">
        <v>14749.7</v>
      </c>
      <c r="AQ72" s="34">
        <v>15369</v>
      </c>
      <c r="AR72" s="34">
        <v>17106.7</v>
      </c>
      <c r="AS72" s="34">
        <v>21510.799999999999</v>
      </c>
      <c r="AT72" s="34">
        <v>24907</v>
      </c>
      <c r="AU72" s="34">
        <v>26429.200000000001</v>
      </c>
      <c r="AV72" s="34">
        <v>28389.1</v>
      </c>
      <c r="AW72" s="34">
        <v>32591.4</v>
      </c>
      <c r="AX72" s="34">
        <v>35510.699999999997</v>
      </c>
      <c r="AY72" s="34">
        <v>32169.5</v>
      </c>
      <c r="AZ72" s="34">
        <v>30532.5</v>
      </c>
      <c r="BA72" s="34">
        <v>31677.9</v>
      </c>
      <c r="BB72" s="34">
        <v>28322.9</v>
      </c>
      <c r="BC72" s="34">
        <v>29077.200000000001</v>
      </c>
      <c r="BD72" s="34">
        <v>29513.7</v>
      </c>
      <c r="BE72" s="34">
        <v>25754.400000000001</v>
      </c>
      <c r="BF72" s="34">
        <v>26537.200000000001</v>
      </c>
      <c r="BG72" s="34">
        <v>28185.3</v>
      </c>
      <c r="BH72" s="34">
        <v>30379.7</v>
      </c>
      <c r="BI72" s="34">
        <v>29581.5</v>
      </c>
      <c r="BJ72" s="34">
        <v>26984.3</v>
      </c>
      <c r="BK72" s="1">
        <v>30488.799999999999</v>
      </c>
      <c r="BL72" s="1">
        <v>29674.5</v>
      </c>
      <c r="BM72" s="1">
        <v>32677</v>
      </c>
    </row>
    <row r="73" spans="1:65">
      <c r="A73" s="1" t="s">
        <v>1192</v>
      </c>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v>2685.9</v>
      </c>
      <c r="AJ73" s="34">
        <v>2819.1</v>
      </c>
      <c r="AK73" s="34">
        <v>3134.4</v>
      </c>
      <c r="AL73" s="34">
        <v>3380.9</v>
      </c>
      <c r="AM73" s="34">
        <v>3683</v>
      </c>
      <c r="AN73" s="34">
        <v>4093.4</v>
      </c>
      <c r="AO73" s="34">
        <v>4140.8999999999996</v>
      </c>
      <c r="AP73" s="34">
        <v>4070.6</v>
      </c>
      <c r="AQ73" s="34">
        <v>4505.8999999999996</v>
      </c>
      <c r="AR73" s="34">
        <v>5341.6</v>
      </c>
      <c r="AS73" s="34">
        <v>7203.5</v>
      </c>
      <c r="AT73" s="34">
        <v>8914.1</v>
      </c>
      <c r="AU73" s="34">
        <v>10412.6</v>
      </c>
      <c r="AV73" s="34">
        <v>12639.4</v>
      </c>
      <c r="AW73" s="34">
        <v>16744.599999999999</v>
      </c>
      <c r="AX73" s="34">
        <v>18205</v>
      </c>
      <c r="AY73" s="34">
        <v>14711.7</v>
      </c>
      <c r="AZ73" s="34">
        <v>14663</v>
      </c>
      <c r="BA73" s="34">
        <v>17487.8</v>
      </c>
      <c r="BB73" s="34">
        <v>17403.2</v>
      </c>
      <c r="BC73" s="34">
        <v>19056</v>
      </c>
      <c r="BD73" s="34">
        <v>20261.099999999999</v>
      </c>
      <c r="BE73" s="34">
        <v>17402</v>
      </c>
      <c r="BF73" s="34">
        <v>18295.3</v>
      </c>
      <c r="BG73" s="34">
        <v>20437.8</v>
      </c>
      <c r="BH73" s="34">
        <v>23165.8</v>
      </c>
      <c r="BI73" s="34">
        <v>23581.7</v>
      </c>
      <c r="BJ73" s="34">
        <v>23565.200000000001</v>
      </c>
      <c r="BK73" s="1">
        <v>27698.5</v>
      </c>
      <c r="BL73" s="1">
        <v>28114.1</v>
      </c>
      <c r="BM73" s="1">
        <v>29823.7</v>
      </c>
    </row>
    <row r="74" spans="1:65">
      <c r="A74" s="1" t="s">
        <v>246</v>
      </c>
      <c r="B74" s="34">
        <v>74.099999999999994</v>
      </c>
      <c r="C74" s="34">
        <v>75.400000000000006</v>
      </c>
      <c r="D74" s="34">
        <v>76.5</v>
      </c>
      <c r="E74" s="34">
        <v>77.8</v>
      </c>
      <c r="F74" s="34">
        <v>82.4</v>
      </c>
      <c r="G74" s="34">
        <v>87.4</v>
      </c>
      <c r="H74" s="34">
        <v>91.6</v>
      </c>
      <c r="I74" s="34">
        <v>94.5</v>
      </c>
      <c r="J74" s="34">
        <v>97.8</v>
      </c>
      <c r="K74" s="34">
        <v>100.6</v>
      </c>
      <c r="L74" s="34">
        <v>107.6</v>
      </c>
      <c r="M74" s="34">
        <v>110.8</v>
      </c>
      <c r="N74" s="34">
        <v>117.8</v>
      </c>
      <c r="O74" s="34">
        <v>132.6</v>
      </c>
      <c r="P74" s="34">
        <v>145.4</v>
      </c>
      <c r="Q74" s="34">
        <v>141.9</v>
      </c>
      <c r="R74" s="34">
        <v>149.5</v>
      </c>
      <c r="S74" s="34">
        <v>167.7</v>
      </c>
      <c r="T74" s="34">
        <v>175.6</v>
      </c>
      <c r="U74" s="34">
        <v>189.5</v>
      </c>
      <c r="V74" s="34">
        <v>200.7</v>
      </c>
      <c r="W74" s="34">
        <v>209.6</v>
      </c>
      <c r="X74" s="34">
        <v>212.3</v>
      </c>
      <c r="Y74" s="34">
        <v>229.7</v>
      </c>
      <c r="Z74" s="34">
        <v>211.7</v>
      </c>
      <c r="AA74" s="34">
        <v>241.2</v>
      </c>
      <c r="AB74" s="34">
        <v>243.5</v>
      </c>
      <c r="AC74" s="34">
        <v>251.8</v>
      </c>
      <c r="AD74" s="34">
        <v>251.2</v>
      </c>
      <c r="AE74" s="34">
        <v>254.6</v>
      </c>
      <c r="AF74" s="34">
        <v>260.60000000000002</v>
      </c>
      <c r="AG74" s="34">
        <v>276.3</v>
      </c>
      <c r="AH74" s="34">
        <v>206.8</v>
      </c>
      <c r="AI74" s="34">
        <v>168.3</v>
      </c>
      <c r="AJ74" s="34">
        <v>127.7</v>
      </c>
      <c r="AK74" s="34">
        <v>136.69999999999999</v>
      </c>
      <c r="AL74" s="34">
        <v>147.6</v>
      </c>
      <c r="AM74" s="34">
        <v>143.80000000000001</v>
      </c>
      <c r="AN74" s="34">
        <v>126.9</v>
      </c>
      <c r="AO74" s="34">
        <v>121.3</v>
      </c>
      <c r="AP74" s="34">
        <v>123</v>
      </c>
      <c r="AQ74" s="34">
        <v>119.3</v>
      </c>
      <c r="AR74" s="34">
        <v>110.5</v>
      </c>
      <c r="AS74" s="34">
        <v>117.9</v>
      </c>
      <c r="AT74" s="34">
        <v>134.5</v>
      </c>
      <c r="AU74" s="34">
        <v>160.1</v>
      </c>
      <c r="AV74" s="34">
        <v>191.8</v>
      </c>
      <c r="AW74" s="34">
        <v>240.3</v>
      </c>
      <c r="AX74" s="34">
        <v>320.89999999999998</v>
      </c>
      <c r="AY74" s="34">
        <v>373.9</v>
      </c>
      <c r="AZ74" s="34">
        <v>335.4</v>
      </c>
      <c r="BA74" s="34">
        <v>348</v>
      </c>
      <c r="BB74" s="34">
        <v>458.6</v>
      </c>
      <c r="BC74" s="34">
        <v>490.8</v>
      </c>
      <c r="BD74" s="34">
        <v>557.5</v>
      </c>
      <c r="BE74" s="34">
        <v>630.29999999999995</v>
      </c>
      <c r="BF74" s="34">
        <v>705.6</v>
      </c>
      <c r="BG74" s="34">
        <v>755.8</v>
      </c>
      <c r="BH74" s="34">
        <v>758.3</v>
      </c>
      <c r="BI74" s="34">
        <v>840.4</v>
      </c>
      <c r="BJ74" s="34">
        <v>918.7</v>
      </c>
      <c r="BK74" s="1">
        <v>925</v>
      </c>
      <c r="BL74" s="1">
        <v>1027.5</v>
      </c>
      <c r="BM74" s="1">
        <v>1293.8</v>
      </c>
    </row>
    <row r="75" spans="1:65">
      <c r="A75" s="1" t="s">
        <v>1193</v>
      </c>
      <c r="B75" s="34">
        <v>798.6</v>
      </c>
      <c r="C75" s="34">
        <v>880.3</v>
      </c>
      <c r="D75" s="34">
        <v>964.8</v>
      </c>
      <c r="E75" s="34">
        <v>1051</v>
      </c>
      <c r="F75" s="34">
        <v>1155.5999999999999</v>
      </c>
      <c r="G75" s="34">
        <v>1253.8</v>
      </c>
      <c r="H75" s="34">
        <v>1346.5</v>
      </c>
      <c r="I75" s="34">
        <v>1422.7</v>
      </c>
      <c r="J75" s="34">
        <v>1515.9</v>
      </c>
      <c r="K75" s="34">
        <v>1680</v>
      </c>
      <c r="L75" s="34">
        <v>1888.6</v>
      </c>
      <c r="M75" s="34">
        <v>2123.1999999999998</v>
      </c>
      <c r="N75" s="34">
        <v>2544.1</v>
      </c>
      <c r="O75" s="34">
        <v>3270.9</v>
      </c>
      <c r="P75" s="34">
        <v>3680.7</v>
      </c>
      <c r="Q75" s="34">
        <v>4261.3999999999996</v>
      </c>
      <c r="R75" s="34">
        <v>4440.7</v>
      </c>
      <c r="S75" s="34">
        <v>5004.8</v>
      </c>
      <c r="T75" s="34">
        <v>6067.3</v>
      </c>
      <c r="U75" s="34">
        <v>7299.1</v>
      </c>
      <c r="V75" s="34">
        <v>8129.5</v>
      </c>
      <c r="W75" s="34">
        <v>7067</v>
      </c>
      <c r="X75" s="34">
        <v>6795.4</v>
      </c>
      <c r="Y75" s="34">
        <v>6589.9</v>
      </c>
      <c r="Z75" s="34">
        <v>6335.2</v>
      </c>
      <c r="AA75" s="34">
        <v>6499.7</v>
      </c>
      <c r="AB75" s="34">
        <v>9050.2999999999993</v>
      </c>
      <c r="AC75" s="34">
        <v>11154</v>
      </c>
      <c r="AD75" s="34">
        <v>12205.9</v>
      </c>
      <c r="AE75" s="34">
        <v>12426.2</v>
      </c>
      <c r="AF75" s="34">
        <v>15488.3</v>
      </c>
      <c r="AG75" s="34">
        <v>15966.1</v>
      </c>
      <c r="AH75" s="34">
        <v>17476.8</v>
      </c>
      <c r="AI75" s="34">
        <v>15909.6</v>
      </c>
      <c r="AJ75" s="34">
        <v>16820.400000000001</v>
      </c>
      <c r="AK75" s="34">
        <v>19464.7</v>
      </c>
      <c r="AL75" s="34">
        <v>19750.400000000001</v>
      </c>
      <c r="AM75" s="34">
        <v>18088.8</v>
      </c>
      <c r="AN75" s="34">
        <v>18615.900000000001</v>
      </c>
      <c r="AO75" s="34">
        <v>18482.5</v>
      </c>
      <c r="AP75" s="34">
        <v>16947.8</v>
      </c>
      <c r="AQ75" s="34">
        <v>17198</v>
      </c>
      <c r="AR75" s="34">
        <v>18759.7</v>
      </c>
      <c r="AS75" s="34">
        <v>22967.9</v>
      </c>
      <c r="AT75" s="34">
        <v>26307.200000000001</v>
      </c>
      <c r="AU75" s="34">
        <v>27341.7</v>
      </c>
      <c r="AV75" s="34">
        <v>29089.7</v>
      </c>
      <c r="AW75" s="34">
        <v>33587.4</v>
      </c>
      <c r="AX75" s="34">
        <v>37044.1</v>
      </c>
      <c r="AY75" s="34">
        <v>33480.800000000003</v>
      </c>
      <c r="AZ75" s="34">
        <v>32965.800000000003</v>
      </c>
      <c r="BA75" s="34">
        <v>35767.300000000003</v>
      </c>
      <c r="BB75" s="34">
        <v>33169.4</v>
      </c>
      <c r="BC75" s="34">
        <v>34564.9</v>
      </c>
      <c r="BD75" s="34">
        <v>35282.5</v>
      </c>
      <c r="BE75" s="34">
        <v>30487.7</v>
      </c>
      <c r="BF75" s="34">
        <v>31174.799999999999</v>
      </c>
      <c r="BG75" s="34">
        <v>33091.4</v>
      </c>
      <c r="BH75" s="34">
        <v>35752.6</v>
      </c>
      <c r="BI75" s="34">
        <v>35080.9</v>
      </c>
      <c r="BJ75" s="34">
        <v>34357.1</v>
      </c>
      <c r="BK75" s="1">
        <v>38720.9</v>
      </c>
      <c r="BL75" s="1">
        <v>37466.699999999997</v>
      </c>
      <c r="BM75" s="1">
        <v>40823.9</v>
      </c>
    </row>
    <row r="76" spans="1:65">
      <c r="A76" s="1" t="s">
        <v>1194</v>
      </c>
      <c r="B76" s="34">
        <v>125.4</v>
      </c>
      <c r="C76" s="34">
        <v>130.6</v>
      </c>
      <c r="D76" s="34">
        <v>139.19999999999999</v>
      </c>
      <c r="E76" s="34">
        <v>145.5</v>
      </c>
      <c r="F76" s="34">
        <v>143.19999999999999</v>
      </c>
      <c r="G76" s="34">
        <v>149.4</v>
      </c>
      <c r="H76" s="34">
        <v>154.9</v>
      </c>
      <c r="I76" s="34">
        <v>154.80000000000001</v>
      </c>
      <c r="J76" s="34">
        <v>166.5</v>
      </c>
      <c r="K76" s="34">
        <v>179.7</v>
      </c>
      <c r="L76" s="34">
        <v>214.5</v>
      </c>
      <c r="M76" s="34">
        <v>213.5</v>
      </c>
      <c r="N76" s="34">
        <v>242.9</v>
      </c>
      <c r="O76" s="34">
        <v>292.7</v>
      </c>
      <c r="P76" s="34">
        <v>439.8</v>
      </c>
      <c r="Q76" s="34">
        <v>472.3</v>
      </c>
      <c r="R76" s="34">
        <v>557.20000000000005</v>
      </c>
      <c r="S76" s="34">
        <v>593.9</v>
      </c>
      <c r="T76" s="34">
        <v>629.4</v>
      </c>
      <c r="U76" s="34">
        <v>790.6</v>
      </c>
      <c r="V76" s="34">
        <v>994.4</v>
      </c>
      <c r="W76" s="34">
        <v>1304.9000000000001</v>
      </c>
      <c r="X76" s="34">
        <v>1213</v>
      </c>
      <c r="Y76" s="34">
        <v>1026.5</v>
      </c>
      <c r="Z76" s="34">
        <v>909.1</v>
      </c>
      <c r="AA76" s="34">
        <v>905.5</v>
      </c>
      <c r="AB76" s="34">
        <v>811.3</v>
      </c>
      <c r="AC76" s="34">
        <v>799</v>
      </c>
      <c r="AD76" s="34">
        <v>845.6</v>
      </c>
      <c r="AE76" s="34">
        <v>812.5</v>
      </c>
      <c r="AF76" s="34">
        <v>1139.3</v>
      </c>
      <c r="AG76" s="34">
        <v>782.5</v>
      </c>
      <c r="AH76" s="34">
        <v>681.6</v>
      </c>
      <c r="AI76" s="34">
        <v>675.4</v>
      </c>
      <c r="AJ76" s="34">
        <v>660.8</v>
      </c>
      <c r="AK76" s="34">
        <v>786.9</v>
      </c>
      <c r="AL76" s="34">
        <v>831.4</v>
      </c>
      <c r="AM76" s="34">
        <v>911.2</v>
      </c>
      <c r="AN76" s="34">
        <v>914.9</v>
      </c>
      <c r="AO76" s="34">
        <v>667.8</v>
      </c>
      <c r="AP76" s="34">
        <v>763.8</v>
      </c>
      <c r="AQ76" s="34">
        <v>731</v>
      </c>
      <c r="AR76" s="34">
        <v>696.2</v>
      </c>
      <c r="AS76" s="34">
        <v>715</v>
      </c>
      <c r="AT76" s="34">
        <v>885.5</v>
      </c>
      <c r="AU76" s="34">
        <v>1093.5999999999999</v>
      </c>
      <c r="AV76" s="34">
        <v>1337.5</v>
      </c>
      <c r="AW76" s="34">
        <v>1601.4</v>
      </c>
      <c r="AX76" s="34">
        <v>1998.9</v>
      </c>
      <c r="AY76" s="34">
        <v>1767.1</v>
      </c>
      <c r="AZ76" s="34">
        <v>2046.9</v>
      </c>
      <c r="BA76" s="34">
        <v>2086.1999999999998</v>
      </c>
      <c r="BB76" s="34">
        <v>2277.6999999999998</v>
      </c>
      <c r="BC76" s="34">
        <v>2311.3000000000002</v>
      </c>
      <c r="BD76" s="34">
        <v>2396.4</v>
      </c>
      <c r="BE76" s="34">
        <v>1845.3</v>
      </c>
      <c r="BF76" s="34">
        <v>1663.1</v>
      </c>
      <c r="BG76" s="34">
        <v>1690.9</v>
      </c>
      <c r="BH76" s="34">
        <v>1852.3</v>
      </c>
      <c r="BI76" s="34">
        <v>1923.2</v>
      </c>
      <c r="BJ76" s="34">
        <v>1725.7</v>
      </c>
      <c r="BK76" s="1">
        <v>1792.9</v>
      </c>
      <c r="BL76" s="1">
        <v>1913.4</v>
      </c>
      <c r="BM76" s="1">
        <v>1828.7</v>
      </c>
    </row>
    <row r="77" spans="1:65">
      <c r="A77" s="1" t="s">
        <v>1195</v>
      </c>
      <c r="B77" s="34">
        <v>1191.7</v>
      </c>
      <c r="C77" s="34">
        <v>1341.4</v>
      </c>
      <c r="D77" s="34">
        <v>1426.5</v>
      </c>
      <c r="E77" s="34">
        <v>1538.3</v>
      </c>
      <c r="F77" s="34">
        <v>1725.5</v>
      </c>
      <c r="G77" s="34">
        <v>1901.9</v>
      </c>
      <c r="H77" s="34">
        <v>2031.3</v>
      </c>
      <c r="I77" s="34">
        <v>2055.6</v>
      </c>
      <c r="J77" s="34">
        <v>1927.1</v>
      </c>
      <c r="K77" s="34">
        <v>2200.9</v>
      </c>
      <c r="L77" s="34">
        <v>2465.6</v>
      </c>
      <c r="M77" s="34">
        <v>2716.2</v>
      </c>
      <c r="N77" s="34">
        <v>3177.6</v>
      </c>
      <c r="O77" s="34">
        <v>4173.2</v>
      </c>
      <c r="P77" s="34">
        <v>5297.6</v>
      </c>
      <c r="Q77" s="34">
        <v>6255.5</v>
      </c>
      <c r="R77" s="34">
        <v>6739.7</v>
      </c>
      <c r="S77" s="34">
        <v>7069.1</v>
      </c>
      <c r="T77" s="34">
        <v>7628.8</v>
      </c>
      <c r="U77" s="34">
        <v>9332.2000000000007</v>
      </c>
      <c r="V77" s="34">
        <v>11223.9</v>
      </c>
      <c r="W77" s="34">
        <v>10926.8</v>
      </c>
      <c r="X77" s="34">
        <v>10938.1</v>
      </c>
      <c r="Y77" s="34">
        <v>10497.5</v>
      </c>
      <c r="Z77" s="34">
        <v>10833.9</v>
      </c>
      <c r="AA77" s="34">
        <v>11398.1</v>
      </c>
      <c r="AB77" s="34">
        <v>14951</v>
      </c>
      <c r="AC77" s="34">
        <v>18571.099999999999</v>
      </c>
      <c r="AD77" s="34">
        <v>22047.8</v>
      </c>
      <c r="AE77" s="34">
        <v>23973.200000000001</v>
      </c>
      <c r="AF77" s="34">
        <v>28364.6</v>
      </c>
      <c r="AG77" s="34">
        <v>25484.7</v>
      </c>
      <c r="AH77" s="34">
        <v>22319.1</v>
      </c>
      <c r="AI77" s="34">
        <v>17608.8</v>
      </c>
      <c r="AJ77" s="34">
        <v>20301.3</v>
      </c>
      <c r="AK77" s="34">
        <v>26271.599999999999</v>
      </c>
      <c r="AL77" s="34">
        <v>25783.5</v>
      </c>
      <c r="AM77" s="34">
        <v>24691.9</v>
      </c>
      <c r="AN77" s="34">
        <v>26009.3</v>
      </c>
      <c r="AO77" s="34">
        <v>26186.2</v>
      </c>
      <c r="AP77" s="34">
        <v>24345.9</v>
      </c>
      <c r="AQ77" s="34">
        <v>24967.8</v>
      </c>
      <c r="AR77" s="34">
        <v>26997.8</v>
      </c>
      <c r="AS77" s="34">
        <v>32927.699999999997</v>
      </c>
      <c r="AT77" s="34">
        <v>37772.199999999997</v>
      </c>
      <c r="AU77" s="34">
        <v>39054.9</v>
      </c>
      <c r="AV77" s="34">
        <v>41222.6</v>
      </c>
      <c r="AW77" s="34">
        <v>48476.4</v>
      </c>
      <c r="AX77" s="34">
        <v>53772.800000000003</v>
      </c>
      <c r="AY77" s="34">
        <v>47481.5</v>
      </c>
      <c r="AZ77" s="34">
        <v>46505.3</v>
      </c>
      <c r="BA77" s="34">
        <v>51148.9</v>
      </c>
      <c r="BB77" s="34">
        <v>47708.1</v>
      </c>
      <c r="BC77" s="34">
        <v>49892.2</v>
      </c>
      <c r="BD77" s="34">
        <v>50327.199999999997</v>
      </c>
      <c r="BE77" s="34">
        <v>42801.9</v>
      </c>
      <c r="BF77" s="34">
        <v>43814</v>
      </c>
      <c r="BG77" s="34">
        <v>46412.1</v>
      </c>
      <c r="BH77" s="34">
        <v>49987.6</v>
      </c>
      <c r="BI77" s="34">
        <v>48629.9</v>
      </c>
      <c r="BJ77" s="34">
        <v>49169.7</v>
      </c>
      <c r="BK77" s="1">
        <v>53504.7</v>
      </c>
      <c r="BL77" s="1">
        <v>50734.7</v>
      </c>
      <c r="BM77" s="1">
        <v>53755.9</v>
      </c>
    </row>
    <row r="78" spans="1:65">
      <c r="A78" s="1" t="s">
        <v>1196</v>
      </c>
      <c r="B78" s="34">
        <v>279.5</v>
      </c>
      <c r="C78" s="34">
        <v>282.2</v>
      </c>
      <c r="D78" s="34">
        <v>287.39999999999998</v>
      </c>
      <c r="E78" s="34">
        <v>293.3</v>
      </c>
      <c r="F78" s="34">
        <v>307.60000000000002</v>
      </c>
      <c r="G78" s="34">
        <v>313.60000000000002</v>
      </c>
      <c r="H78" s="34">
        <v>312.2</v>
      </c>
      <c r="I78" s="34">
        <v>328.8</v>
      </c>
      <c r="J78" s="34">
        <v>330</v>
      </c>
      <c r="K78" s="34">
        <v>352.4</v>
      </c>
      <c r="L78" s="34">
        <v>416.7</v>
      </c>
      <c r="M78" s="34">
        <v>460.5</v>
      </c>
      <c r="N78" s="34">
        <v>577.9</v>
      </c>
      <c r="O78" s="34">
        <v>764.4</v>
      </c>
      <c r="P78" s="34">
        <v>986.4</v>
      </c>
      <c r="Q78" s="34">
        <v>1188.4000000000001</v>
      </c>
      <c r="R78" s="34">
        <v>1184</v>
      </c>
      <c r="S78" s="34">
        <v>1200.5999999999999</v>
      </c>
      <c r="T78" s="34">
        <v>1351.5</v>
      </c>
      <c r="U78" s="34">
        <v>1621.5</v>
      </c>
      <c r="V78" s="34">
        <v>1865.7</v>
      </c>
      <c r="W78" s="34">
        <v>1870.4</v>
      </c>
      <c r="X78" s="34">
        <v>1763.8</v>
      </c>
      <c r="Y78" s="34">
        <v>1619.2</v>
      </c>
      <c r="Z78" s="34">
        <v>1657.8</v>
      </c>
      <c r="AA78" s="34">
        <v>1568.7</v>
      </c>
      <c r="AB78" s="34">
        <v>1737.4</v>
      </c>
      <c r="AC78" s="34">
        <v>1560.7</v>
      </c>
      <c r="AD78" s="34">
        <v>1452.2</v>
      </c>
      <c r="AE78" s="34">
        <v>1530.5</v>
      </c>
      <c r="AF78" s="34">
        <v>1713.2</v>
      </c>
      <c r="AG78" s="34">
        <v>1763.3</v>
      </c>
      <c r="AH78" s="34">
        <v>1947.5</v>
      </c>
      <c r="AI78" s="34">
        <v>2073.1</v>
      </c>
      <c r="AJ78" s="34">
        <v>2308.6999999999998</v>
      </c>
      <c r="AK78" s="34">
        <v>2487</v>
      </c>
      <c r="AL78" s="34">
        <v>2672.4</v>
      </c>
      <c r="AM78" s="34">
        <v>2597.9</v>
      </c>
      <c r="AN78" s="34">
        <v>2031</v>
      </c>
      <c r="AO78" s="34">
        <v>2351.6999999999998</v>
      </c>
      <c r="AP78" s="34">
        <v>2015.9</v>
      </c>
      <c r="AQ78" s="34">
        <v>1964.1</v>
      </c>
      <c r="AR78" s="34">
        <v>2157.1</v>
      </c>
      <c r="AS78" s="34">
        <v>2680.3</v>
      </c>
      <c r="AT78" s="34">
        <v>3124.6</v>
      </c>
      <c r="AU78" s="34">
        <v>3406.5</v>
      </c>
      <c r="AV78" s="34">
        <v>3483.6</v>
      </c>
      <c r="AW78" s="34">
        <v>3793.1</v>
      </c>
      <c r="AX78" s="34">
        <v>3928.9</v>
      </c>
      <c r="AY78" s="34">
        <v>3184.7</v>
      </c>
      <c r="AZ78" s="34">
        <v>3469.1</v>
      </c>
      <c r="BA78" s="34">
        <v>4160.7</v>
      </c>
      <c r="BB78" s="34">
        <v>4359.8</v>
      </c>
      <c r="BC78" s="34">
        <v>4587</v>
      </c>
      <c r="BD78" s="34">
        <v>5305.1</v>
      </c>
      <c r="BE78" s="34">
        <v>5105.2</v>
      </c>
      <c r="BF78" s="34">
        <v>5368.4</v>
      </c>
      <c r="BG78" s="34">
        <v>5825.2</v>
      </c>
      <c r="BH78" s="34">
        <v>6073.4</v>
      </c>
      <c r="BI78" s="34">
        <v>5927.7</v>
      </c>
      <c r="BJ78" s="34">
        <v>4815.7</v>
      </c>
      <c r="BK78" s="1">
        <v>4656.1000000000004</v>
      </c>
      <c r="BL78" s="1">
        <v>5356.2</v>
      </c>
      <c r="BM78" s="1">
        <v>5868.2</v>
      </c>
    </row>
    <row r="79" spans="1:65">
      <c r="A79" s="1" t="s">
        <v>1197</v>
      </c>
      <c r="B79" s="34">
        <v>1333.9</v>
      </c>
      <c r="C79" s="34">
        <v>1430.4</v>
      </c>
      <c r="D79" s="34">
        <v>1585.7</v>
      </c>
      <c r="E79" s="34">
        <v>1758.9</v>
      </c>
      <c r="F79" s="34">
        <v>1929</v>
      </c>
      <c r="G79" s="34">
        <v>2060.3000000000002</v>
      </c>
      <c r="H79" s="34">
        <v>2209</v>
      </c>
      <c r="I79" s="34">
        <v>2363.6999999999998</v>
      </c>
      <c r="J79" s="34">
        <v>2554</v>
      </c>
      <c r="K79" s="34">
        <v>2767.6</v>
      </c>
      <c r="L79" s="34">
        <v>2870.2</v>
      </c>
      <c r="M79" s="34">
        <v>3180.3</v>
      </c>
      <c r="N79" s="34">
        <v>3865.9</v>
      </c>
      <c r="O79" s="34">
        <v>4984.2</v>
      </c>
      <c r="P79" s="34">
        <v>5345.9</v>
      </c>
      <c r="Q79" s="34">
        <v>6717.4</v>
      </c>
      <c r="R79" s="34">
        <v>6899.1</v>
      </c>
      <c r="S79" s="34">
        <v>7566.7</v>
      </c>
      <c r="T79" s="34">
        <v>9299.7999999999993</v>
      </c>
      <c r="U79" s="34">
        <v>11213</v>
      </c>
      <c r="V79" s="34">
        <v>12738.5</v>
      </c>
      <c r="W79" s="34">
        <v>11116.9</v>
      </c>
      <c r="X79" s="34">
        <v>10501.6</v>
      </c>
      <c r="Y79" s="34">
        <v>9999</v>
      </c>
      <c r="Z79" s="34">
        <v>9430.1</v>
      </c>
      <c r="AA79" s="34">
        <v>9778.1</v>
      </c>
      <c r="AB79" s="34">
        <v>13566.7</v>
      </c>
      <c r="AC79" s="34">
        <v>16340.7</v>
      </c>
      <c r="AD79" s="34">
        <v>17727.5</v>
      </c>
      <c r="AE79" s="34">
        <v>17747.599999999999</v>
      </c>
      <c r="AF79" s="34">
        <v>21865.599999999999</v>
      </c>
      <c r="AG79" s="34">
        <v>21675.7</v>
      </c>
      <c r="AH79" s="34">
        <v>23814.2</v>
      </c>
      <c r="AI79" s="34">
        <v>22380.3</v>
      </c>
      <c r="AJ79" s="34">
        <v>23496.400000000001</v>
      </c>
      <c r="AK79" s="34">
        <v>26889.4</v>
      </c>
      <c r="AL79" s="34">
        <v>26870.3</v>
      </c>
      <c r="AM79" s="34">
        <v>24226.9</v>
      </c>
      <c r="AN79" s="34">
        <v>24971.599999999999</v>
      </c>
      <c r="AO79" s="34">
        <v>24678.400000000001</v>
      </c>
      <c r="AP79" s="34">
        <v>22416.400000000001</v>
      </c>
      <c r="AQ79" s="34">
        <v>22449.3</v>
      </c>
      <c r="AR79" s="34">
        <v>24288.3</v>
      </c>
      <c r="AS79" s="34">
        <v>29627.9</v>
      </c>
      <c r="AT79" s="34">
        <v>33797.199999999997</v>
      </c>
      <c r="AU79" s="34">
        <v>34768.199999999997</v>
      </c>
      <c r="AV79" s="34">
        <v>36470.199999999997</v>
      </c>
      <c r="AW79" s="34">
        <v>41557.599999999999</v>
      </c>
      <c r="AX79" s="34">
        <v>45516</v>
      </c>
      <c r="AY79" s="34">
        <v>41737.800000000003</v>
      </c>
      <c r="AZ79" s="34">
        <v>40676.1</v>
      </c>
      <c r="BA79" s="34">
        <v>43846.5</v>
      </c>
      <c r="BB79" s="34">
        <v>40870.9</v>
      </c>
      <c r="BC79" s="34">
        <v>42602.7</v>
      </c>
      <c r="BD79" s="34">
        <v>43068.5</v>
      </c>
      <c r="BE79" s="34">
        <v>36652.9</v>
      </c>
      <c r="BF79" s="34">
        <v>37062.5</v>
      </c>
      <c r="BG79" s="34">
        <v>38781</v>
      </c>
      <c r="BH79" s="34">
        <v>41557.9</v>
      </c>
      <c r="BI79" s="34">
        <v>40494.9</v>
      </c>
      <c r="BJ79" s="34">
        <v>39179.699999999997</v>
      </c>
      <c r="BK79" s="1">
        <v>43671.3</v>
      </c>
      <c r="BL79" s="1">
        <v>40886.300000000003</v>
      </c>
      <c r="BM79" s="1">
        <v>44460.800000000003</v>
      </c>
    </row>
    <row r="80" spans="1:65">
      <c r="A80" s="1" t="s">
        <v>1198</v>
      </c>
      <c r="B80" s="34"/>
      <c r="C80" s="34"/>
      <c r="D80" s="34"/>
      <c r="E80" s="34"/>
      <c r="F80" s="34"/>
      <c r="G80" s="34">
        <v>1594.5</v>
      </c>
      <c r="H80" s="34">
        <v>1748.7</v>
      </c>
      <c r="I80" s="34">
        <v>1778.6</v>
      </c>
      <c r="J80" s="34">
        <v>1732.3</v>
      </c>
      <c r="K80" s="34">
        <v>1844.4</v>
      </c>
      <c r="L80" s="34">
        <v>2210.9</v>
      </c>
      <c r="M80" s="34">
        <v>2553.1999999999998</v>
      </c>
      <c r="N80" s="34">
        <v>3036.2</v>
      </c>
      <c r="O80" s="34">
        <v>4056.7</v>
      </c>
      <c r="P80" s="34">
        <v>4896.1000000000004</v>
      </c>
      <c r="Q80" s="34">
        <v>5597.5</v>
      </c>
      <c r="R80" s="34">
        <v>6588.2</v>
      </c>
      <c r="S80" s="34">
        <v>8384.5</v>
      </c>
      <c r="T80" s="34">
        <v>9480.1</v>
      </c>
      <c r="U80" s="34">
        <v>10553.1</v>
      </c>
      <c r="V80" s="34">
        <v>11451.1</v>
      </c>
      <c r="W80" s="34">
        <v>10461.200000000001</v>
      </c>
      <c r="X80" s="34">
        <v>10054.5</v>
      </c>
      <c r="Y80" s="34">
        <v>10893.6</v>
      </c>
      <c r="Z80" s="34">
        <v>9438.5</v>
      </c>
      <c r="AA80" s="34">
        <v>10078.1</v>
      </c>
      <c r="AB80" s="34">
        <v>14972.8</v>
      </c>
      <c r="AC80" s="34">
        <v>19074.099999999999</v>
      </c>
      <c r="AD80" s="34">
        <v>20626</v>
      </c>
      <c r="AE80" s="34">
        <v>18360.400000000001</v>
      </c>
      <c r="AF80" s="34">
        <v>20236.400000000001</v>
      </c>
      <c r="AG80" s="34">
        <v>19424.3</v>
      </c>
      <c r="AH80" s="34">
        <v>19838.5</v>
      </c>
      <c r="AI80" s="34">
        <v>16874.2</v>
      </c>
      <c r="AJ80" s="34">
        <v>17192.900000000001</v>
      </c>
      <c r="AK80" s="34">
        <v>20577.7</v>
      </c>
      <c r="AL80" s="34">
        <v>22419.200000000001</v>
      </c>
      <c r="AM80" s="34">
        <v>20985.8</v>
      </c>
      <c r="AN80" s="34">
        <v>24623.7</v>
      </c>
      <c r="AO80" s="34">
        <v>24947.1</v>
      </c>
      <c r="AP80" s="34">
        <v>23370.799999999999</v>
      </c>
      <c r="AQ80" s="34">
        <v>25089.599999999999</v>
      </c>
      <c r="AR80" s="34">
        <v>27238</v>
      </c>
      <c r="AS80" s="34">
        <v>31691.9</v>
      </c>
      <c r="AT80" s="34">
        <v>35941</v>
      </c>
      <c r="AU80" s="34">
        <v>36440.300000000003</v>
      </c>
      <c r="AV80" s="34">
        <v>41762.699999999997</v>
      </c>
      <c r="AW80" s="34">
        <v>48365.7</v>
      </c>
      <c r="AX80" s="34">
        <v>51432</v>
      </c>
      <c r="AY80" s="34">
        <v>47411</v>
      </c>
      <c r="AZ80" s="34">
        <v>48167.7</v>
      </c>
      <c r="BA80" s="34">
        <v>51786.5</v>
      </c>
      <c r="BB80" s="34">
        <v>50157.1</v>
      </c>
      <c r="BC80" s="34">
        <v>55560.1</v>
      </c>
      <c r="BD80" s="34">
        <v>60126.1</v>
      </c>
      <c r="BE80" s="34">
        <v>52726.7</v>
      </c>
      <c r="BF80" s="34">
        <v>56833.9</v>
      </c>
      <c r="BG80" s="34">
        <v>59328.2</v>
      </c>
      <c r="BH80" s="34">
        <v>62576.800000000003</v>
      </c>
      <c r="BI80" s="34">
        <v>63203.7</v>
      </c>
      <c r="BJ80" s="34">
        <v>62235</v>
      </c>
      <c r="BK80" s="1">
        <v>69108.2</v>
      </c>
      <c r="BL80" s="1">
        <v>66979.3</v>
      </c>
    </row>
    <row r="81" spans="1:65">
      <c r="A81" s="1" t="s">
        <v>1199</v>
      </c>
      <c r="B81" s="34"/>
      <c r="C81" s="34"/>
      <c r="D81" s="34"/>
      <c r="E81" s="34"/>
      <c r="F81" s="34"/>
      <c r="G81" s="34"/>
      <c r="H81" s="34"/>
      <c r="I81" s="34"/>
      <c r="J81" s="34"/>
      <c r="K81" s="34"/>
      <c r="L81" s="34">
        <v>337.1</v>
      </c>
      <c r="M81" s="34">
        <v>359</v>
      </c>
      <c r="N81" s="34">
        <v>403.1</v>
      </c>
      <c r="O81" s="34">
        <v>545</v>
      </c>
      <c r="P81" s="34">
        <v>703.2</v>
      </c>
      <c r="Q81" s="34">
        <v>687.1</v>
      </c>
      <c r="R81" s="34">
        <v>682.4</v>
      </c>
      <c r="S81" s="34">
        <v>674.4</v>
      </c>
      <c r="T81" s="34">
        <v>745.4</v>
      </c>
      <c r="U81" s="34">
        <v>813.2</v>
      </c>
      <c r="V81" s="34">
        <v>841.3</v>
      </c>
      <c r="W81" s="34">
        <v>973.8</v>
      </c>
      <c r="X81" s="34">
        <v>990.6</v>
      </c>
      <c r="Y81" s="34">
        <v>1011.5</v>
      </c>
      <c r="Z81" s="34">
        <v>989.9</v>
      </c>
      <c r="AA81" s="34">
        <v>1158.8</v>
      </c>
      <c r="AB81" s="34">
        <v>1241.3</v>
      </c>
      <c r="AC81" s="34">
        <v>1256.9000000000001</v>
      </c>
      <c r="AD81" s="34">
        <v>1312.8</v>
      </c>
      <c r="AE81" s="34">
        <v>1396.8</v>
      </c>
      <c r="AF81" s="34">
        <v>1492.9</v>
      </c>
      <c r="AG81" s="34">
        <v>1654.9</v>
      </c>
      <c r="AH81" s="34">
        <v>1730.9</v>
      </c>
      <c r="AI81" s="34">
        <v>1871.2</v>
      </c>
      <c r="AJ81" s="34">
        <v>1860.5</v>
      </c>
      <c r="AK81" s="34">
        <v>2008.3</v>
      </c>
      <c r="AL81" s="34">
        <v>1972.6</v>
      </c>
      <c r="AM81" s="34">
        <v>1859.3</v>
      </c>
      <c r="AN81" s="34">
        <v>1964.6</v>
      </c>
      <c r="AO81" s="34">
        <v>1973.7</v>
      </c>
      <c r="AP81" s="34">
        <v>2088.1999999999998</v>
      </c>
      <c r="AQ81" s="34">
        <v>2152.5</v>
      </c>
      <c r="AR81" s="34">
        <v>2165.5</v>
      </c>
      <c r="AS81" s="34">
        <v>2195.1999999999998</v>
      </c>
      <c r="AT81" s="34">
        <v>2155.8000000000002</v>
      </c>
      <c r="AU81" s="34">
        <v>2256</v>
      </c>
      <c r="AV81" s="34">
        <v>2298.6</v>
      </c>
      <c r="AW81" s="34">
        <v>2344.4</v>
      </c>
      <c r="AX81" s="34">
        <v>2420.6999999999998</v>
      </c>
      <c r="AY81" s="34">
        <v>2598.4</v>
      </c>
      <c r="AZ81" s="34">
        <v>2760</v>
      </c>
      <c r="BA81" s="34">
        <v>2885.4</v>
      </c>
      <c r="BB81" s="34">
        <v>3023.6</v>
      </c>
      <c r="BC81" s="34">
        <v>2920.7</v>
      </c>
      <c r="BD81" s="34">
        <v>2928.4</v>
      </c>
      <c r="BE81" s="34">
        <v>2891.3</v>
      </c>
      <c r="BF81" s="34">
        <v>2956.6</v>
      </c>
      <c r="BG81" s="34">
        <v>3250.9</v>
      </c>
      <c r="BH81" s="34">
        <v>3533.8</v>
      </c>
      <c r="BI81" s="34">
        <v>3537.5</v>
      </c>
      <c r="BJ81" s="34">
        <v>3318.3</v>
      </c>
      <c r="BK81" s="1">
        <v>3447.3</v>
      </c>
      <c r="BL81" s="1">
        <v>3766.5</v>
      </c>
      <c r="BM81" s="1">
        <v>3992.2</v>
      </c>
    </row>
    <row r="82" spans="1:65">
      <c r="A82" s="1" t="s">
        <v>1200</v>
      </c>
      <c r="B82" s="34">
        <v>275.60000000000002</v>
      </c>
      <c r="C82" s="34">
        <v>322.8</v>
      </c>
      <c r="D82" s="34">
        <v>347.7</v>
      </c>
      <c r="E82" s="34">
        <v>290.10000000000002</v>
      </c>
      <c r="F82" s="34">
        <v>399.5</v>
      </c>
      <c r="G82" s="34">
        <v>413.6</v>
      </c>
      <c r="H82" s="34">
        <v>442.4</v>
      </c>
      <c r="I82" s="34">
        <v>481.1</v>
      </c>
      <c r="J82" s="34">
        <v>513.4</v>
      </c>
      <c r="K82" s="34">
        <v>544.1</v>
      </c>
      <c r="L82" s="34">
        <v>542.20000000000005</v>
      </c>
      <c r="M82" s="34">
        <v>626</v>
      </c>
      <c r="N82" s="34">
        <v>691.8</v>
      </c>
      <c r="O82" s="34">
        <v>1137.7</v>
      </c>
      <c r="P82" s="34">
        <v>2379.6999999999998</v>
      </c>
      <c r="Q82" s="34">
        <v>3252.6</v>
      </c>
      <c r="R82" s="34">
        <v>4434.3</v>
      </c>
      <c r="S82" s="34">
        <v>4042.6</v>
      </c>
      <c r="T82" s="34">
        <v>3355.4</v>
      </c>
      <c r="U82" s="34">
        <v>4150</v>
      </c>
      <c r="V82" s="34">
        <v>5713.2</v>
      </c>
      <c r="W82" s="34">
        <v>5023.1000000000004</v>
      </c>
      <c r="X82" s="34">
        <v>4582.2</v>
      </c>
      <c r="Y82" s="34">
        <v>4181.1000000000004</v>
      </c>
      <c r="Z82" s="34">
        <v>4273.3</v>
      </c>
      <c r="AA82" s="34">
        <v>3899.6</v>
      </c>
      <c r="AB82" s="34">
        <v>3866.3</v>
      </c>
      <c r="AC82" s="34">
        <v>3626.2</v>
      </c>
      <c r="AD82" s="34">
        <v>4121.1000000000004</v>
      </c>
      <c r="AE82" s="34">
        <v>4376.8</v>
      </c>
      <c r="AF82" s="34">
        <v>6055.1</v>
      </c>
      <c r="AG82" s="34">
        <v>5349.5</v>
      </c>
      <c r="AH82" s="34">
        <v>5390.5</v>
      </c>
      <c r="AI82" s="34">
        <v>4109.8999999999996</v>
      </c>
      <c r="AJ82" s="34">
        <v>3832.1</v>
      </c>
      <c r="AK82" s="34">
        <v>4419.8</v>
      </c>
      <c r="AL82" s="34">
        <v>4948.8</v>
      </c>
      <c r="AM82" s="34">
        <v>4515</v>
      </c>
      <c r="AN82" s="34">
        <v>3705.8</v>
      </c>
      <c r="AO82" s="34">
        <v>3758.2</v>
      </c>
      <c r="AP82" s="34">
        <v>3991.2</v>
      </c>
      <c r="AQ82" s="34">
        <v>3844.6</v>
      </c>
      <c r="AR82" s="34">
        <v>3976.6</v>
      </c>
      <c r="AS82" s="34">
        <v>4724.3</v>
      </c>
      <c r="AT82" s="34">
        <v>5483.1</v>
      </c>
      <c r="AU82" s="34">
        <v>6571</v>
      </c>
      <c r="AV82" s="34">
        <v>6873.5</v>
      </c>
      <c r="AW82" s="34">
        <v>8036.9</v>
      </c>
      <c r="AX82" s="34">
        <v>9732.2000000000007</v>
      </c>
      <c r="AY82" s="34">
        <v>7325.9</v>
      </c>
      <c r="AZ82" s="34">
        <v>8399.6</v>
      </c>
      <c r="BA82" s="34">
        <v>10273.799999999999</v>
      </c>
      <c r="BB82" s="34">
        <v>9348.5</v>
      </c>
      <c r="BC82" s="34">
        <v>9250.1</v>
      </c>
      <c r="BD82" s="34">
        <v>9255.4</v>
      </c>
      <c r="BE82" s="34">
        <v>7090.5</v>
      </c>
      <c r="BF82" s="34">
        <v>6722.2</v>
      </c>
      <c r="BG82" s="34">
        <v>6975.7</v>
      </c>
      <c r="BH82" s="34">
        <v>7694.9</v>
      </c>
      <c r="BI82" s="34">
        <v>7523.9</v>
      </c>
      <c r="BJ82" s="34">
        <v>6680.1</v>
      </c>
      <c r="BK82" s="1">
        <v>8635.7999999999993</v>
      </c>
      <c r="BL82" s="1">
        <v>8820.2999999999993</v>
      </c>
      <c r="BM82" s="1">
        <v>8420.1</v>
      </c>
    </row>
    <row r="83" spans="1:65">
      <c r="A83" s="1" t="s">
        <v>1201</v>
      </c>
      <c r="B83" s="34">
        <v>1397.6</v>
      </c>
      <c r="C83" s="34">
        <v>1472.4</v>
      </c>
      <c r="D83" s="34">
        <v>1525.8</v>
      </c>
      <c r="E83" s="34">
        <v>1613.5</v>
      </c>
      <c r="F83" s="34">
        <v>1748.3</v>
      </c>
      <c r="G83" s="34">
        <v>1873.6</v>
      </c>
      <c r="H83" s="34">
        <v>1986.7</v>
      </c>
      <c r="I83" s="34">
        <v>2058.8000000000002</v>
      </c>
      <c r="J83" s="34">
        <v>1951.8</v>
      </c>
      <c r="K83" s="34">
        <v>2100.6999999999998</v>
      </c>
      <c r="L83" s="34">
        <v>2347.5</v>
      </c>
      <c r="M83" s="34">
        <v>2649.8</v>
      </c>
      <c r="N83" s="34">
        <v>3030.4</v>
      </c>
      <c r="O83" s="34">
        <v>3426.3</v>
      </c>
      <c r="P83" s="34">
        <v>3665.9</v>
      </c>
      <c r="Q83" s="34">
        <v>4299.7</v>
      </c>
      <c r="R83" s="34">
        <v>4138.2</v>
      </c>
      <c r="S83" s="34">
        <v>4681.3999999999996</v>
      </c>
      <c r="T83" s="34">
        <v>5976.9</v>
      </c>
      <c r="U83" s="34">
        <v>7804.8</v>
      </c>
      <c r="V83" s="34">
        <v>10032.1</v>
      </c>
      <c r="W83" s="34">
        <v>9599.2999999999993</v>
      </c>
      <c r="X83" s="34">
        <v>9146.1</v>
      </c>
      <c r="Y83" s="34">
        <v>8691.5</v>
      </c>
      <c r="Z83" s="34">
        <v>8179.2</v>
      </c>
      <c r="AA83" s="34">
        <v>8652.2000000000007</v>
      </c>
      <c r="AB83" s="34">
        <v>10611.1</v>
      </c>
      <c r="AC83" s="34">
        <v>13118.6</v>
      </c>
      <c r="AD83" s="34">
        <v>15987.2</v>
      </c>
      <c r="AE83" s="34">
        <v>16239.3</v>
      </c>
      <c r="AF83" s="34">
        <v>19095.5</v>
      </c>
      <c r="AG83" s="34">
        <v>19900.7</v>
      </c>
      <c r="AH83" s="34">
        <v>20487.2</v>
      </c>
      <c r="AI83" s="34">
        <v>18389</v>
      </c>
      <c r="AJ83" s="34">
        <v>19709.2</v>
      </c>
      <c r="AK83" s="34">
        <v>23169</v>
      </c>
      <c r="AL83" s="34">
        <v>24406.400000000001</v>
      </c>
      <c r="AM83" s="34">
        <v>26766</v>
      </c>
      <c r="AN83" s="34">
        <v>28274.5</v>
      </c>
      <c r="AO83" s="34">
        <v>28762.1</v>
      </c>
      <c r="AP83" s="34">
        <v>28280.9</v>
      </c>
      <c r="AQ83" s="34">
        <v>27906.6</v>
      </c>
      <c r="AR83" s="34">
        <v>30077.7</v>
      </c>
      <c r="AS83" s="34">
        <v>34442.699999999997</v>
      </c>
      <c r="AT83" s="34">
        <v>40366.9</v>
      </c>
      <c r="AU83" s="34">
        <v>42104.800000000003</v>
      </c>
      <c r="AV83" s="34">
        <v>44512.5</v>
      </c>
      <c r="AW83" s="34">
        <v>50397.7</v>
      </c>
      <c r="AX83" s="34">
        <v>47396.1</v>
      </c>
      <c r="AY83" s="34">
        <v>38744.1</v>
      </c>
      <c r="AZ83" s="34">
        <v>39599</v>
      </c>
      <c r="BA83" s="34">
        <v>42109.599999999999</v>
      </c>
      <c r="BB83" s="34">
        <v>42497.3</v>
      </c>
      <c r="BC83" s="34">
        <v>43426.3</v>
      </c>
      <c r="BD83" s="34">
        <v>47439.6</v>
      </c>
      <c r="BE83" s="34">
        <v>44964.4</v>
      </c>
      <c r="BF83" s="34">
        <v>40985.199999999997</v>
      </c>
      <c r="BG83" s="34">
        <v>40572.1</v>
      </c>
      <c r="BH83" s="34">
        <v>43203.8</v>
      </c>
      <c r="BI83" s="34">
        <v>42662.5</v>
      </c>
      <c r="BJ83" s="34">
        <v>40217</v>
      </c>
      <c r="BK83" s="1">
        <v>46869.8</v>
      </c>
      <c r="BL83" s="1">
        <v>45564.2</v>
      </c>
      <c r="BM83" s="1">
        <v>48866.6</v>
      </c>
    </row>
    <row r="84" spans="1:65">
      <c r="A84" s="1" t="s">
        <v>270</v>
      </c>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v>0</v>
      </c>
      <c r="AD84" s="34">
        <v>0</v>
      </c>
      <c r="AE84" s="34">
        <v>0</v>
      </c>
      <c r="AF84" s="34">
        <v>1561.8</v>
      </c>
      <c r="AG84" s="34">
        <v>1323.4</v>
      </c>
      <c r="AH84" s="34">
        <v>765.4</v>
      </c>
      <c r="AI84" s="34">
        <v>550</v>
      </c>
      <c r="AJ84" s="34">
        <v>519.9</v>
      </c>
      <c r="AK84" s="34">
        <v>578.29999999999995</v>
      </c>
      <c r="AL84" s="34">
        <v>689.1</v>
      </c>
      <c r="AM84" s="34">
        <v>807</v>
      </c>
      <c r="AN84" s="34">
        <v>851.5</v>
      </c>
      <c r="AO84" s="34">
        <v>673.5</v>
      </c>
      <c r="AP84" s="34">
        <v>749.9</v>
      </c>
      <c r="AQ84" s="34">
        <v>802</v>
      </c>
      <c r="AR84" s="34">
        <v>853.5</v>
      </c>
      <c r="AS84" s="34">
        <v>1010</v>
      </c>
      <c r="AT84" s="34">
        <v>1305</v>
      </c>
      <c r="AU84" s="34">
        <v>1642.8</v>
      </c>
      <c r="AV84" s="34">
        <v>1996</v>
      </c>
      <c r="AW84" s="34">
        <v>2635.4</v>
      </c>
      <c r="AX84" s="34">
        <v>3324.8</v>
      </c>
      <c r="AY84" s="34">
        <v>2822.7</v>
      </c>
      <c r="AZ84" s="34">
        <v>3281.7</v>
      </c>
      <c r="BA84" s="34">
        <v>4119.7</v>
      </c>
      <c r="BB84" s="34">
        <v>4530.7</v>
      </c>
      <c r="BC84" s="34">
        <v>4712</v>
      </c>
      <c r="BD84" s="34">
        <v>4830.3</v>
      </c>
      <c r="BE84" s="34">
        <v>4086.6</v>
      </c>
      <c r="BF84" s="34">
        <v>4143.3999999999996</v>
      </c>
      <c r="BG84" s="34">
        <v>4418.8</v>
      </c>
      <c r="BH84" s="34">
        <v>4804.1000000000004</v>
      </c>
      <c r="BI84" s="34">
        <v>4741.3</v>
      </c>
      <c r="BJ84" s="34">
        <v>4300.8999999999996</v>
      </c>
      <c r="BK84" s="1">
        <v>5083.6000000000004</v>
      </c>
      <c r="BL84" s="1">
        <v>6729.8</v>
      </c>
      <c r="BM84" s="1">
        <v>8120.4</v>
      </c>
    </row>
    <row r="85" spans="1:65">
      <c r="A85" s="1" t="s">
        <v>1202</v>
      </c>
      <c r="B85" s="34">
        <v>177.1</v>
      </c>
      <c r="C85" s="34">
        <v>184.3</v>
      </c>
      <c r="D85" s="34">
        <v>190.9</v>
      </c>
      <c r="E85" s="34">
        <v>207.7</v>
      </c>
      <c r="F85" s="34">
        <v>227.9</v>
      </c>
      <c r="G85" s="34">
        <v>263.8</v>
      </c>
      <c r="H85" s="34">
        <v>266.60000000000002</v>
      </c>
      <c r="I85" s="34">
        <v>212.9</v>
      </c>
      <c r="J85" s="34">
        <v>198</v>
      </c>
      <c r="K85" s="34">
        <v>227.3</v>
      </c>
      <c r="L85" s="34">
        <v>249.9</v>
      </c>
      <c r="M85" s="34">
        <v>266.5</v>
      </c>
      <c r="N85" s="34">
        <v>226</v>
      </c>
      <c r="O85" s="34">
        <v>313.2</v>
      </c>
      <c r="P85" s="34">
        <v>291.8</v>
      </c>
      <c r="Q85" s="34">
        <v>275.2</v>
      </c>
      <c r="R85" s="34">
        <v>263.10000000000002</v>
      </c>
      <c r="S85" s="34">
        <v>294.60000000000002</v>
      </c>
      <c r="T85" s="34">
        <v>328.1</v>
      </c>
      <c r="U85" s="34">
        <v>349.1</v>
      </c>
      <c r="V85" s="34">
        <v>374.6</v>
      </c>
      <c r="W85" s="34">
        <v>345.7</v>
      </c>
      <c r="X85" s="34">
        <v>320.7</v>
      </c>
      <c r="Y85" s="34">
        <v>312.5</v>
      </c>
      <c r="Z85" s="34">
        <v>330.7</v>
      </c>
      <c r="AA85" s="34">
        <v>330</v>
      </c>
      <c r="AB85" s="34">
        <v>410.5</v>
      </c>
      <c r="AC85" s="34">
        <v>354.6</v>
      </c>
      <c r="AD85" s="34">
        <v>354.3</v>
      </c>
      <c r="AE85" s="34">
        <v>348.9</v>
      </c>
      <c r="AF85" s="34">
        <v>381.2</v>
      </c>
      <c r="AG85" s="34">
        <v>416.8</v>
      </c>
      <c r="AH85" s="34">
        <v>395</v>
      </c>
      <c r="AI85" s="34">
        <v>358.6</v>
      </c>
      <c r="AJ85" s="34">
        <v>319.60000000000002</v>
      </c>
      <c r="AK85" s="34">
        <v>370.7</v>
      </c>
      <c r="AL85" s="34">
        <v>388.5</v>
      </c>
      <c r="AM85" s="34">
        <v>377.2</v>
      </c>
      <c r="AN85" s="34">
        <v>399.8</v>
      </c>
      <c r="AO85" s="34">
        <v>402.5</v>
      </c>
      <c r="AP85" s="34">
        <v>253.4</v>
      </c>
      <c r="AQ85" s="34">
        <v>263.2</v>
      </c>
      <c r="AR85" s="34">
        <v>297</v>
      </c>
      <c r="AS85" s="34">
        <v>357.8</v>
      </c>
      <c r="AT85" s="34">
        <v>405.4</v>
      </c>
      <c r="AU85" s="34">
        <v>477.6</v>
      </c>
      <c r="AV85" s="34">
        <v>904.2</v>
      </c>
      <c r="AW85" s="34">
        <v>1047.2</v>
      </c>
      <c r="AX85" s="34">
        <v>1179</v>
      </c>
      <c r="AY85" s="34">
        <v>1044</v>
      </c>
      <c r="AZ85" s="34">
        <v>1259</v>
      </c>
      <c r="BA85" s="34">
        <v>1501.1</v>
      </c>
      <c r="BB85" s="34">
        <v>1536.6</v>
      </c>
      <c r="BC85" s="34">
        <v>2282.4</v>
      </c>
      <c r="BD85" s="34">
        <v>1942.9</v>
      </c>
      <c r="BE85" s="34">
        <v>1711.3</v>
      </c>
      <c r="BF85" s="34">
        <v>1900.4</v>
      </c>
      <c r="BG85" s="34">
        <v>1998.7</v>
      </c>
      <c r="BH85" s="34">
        <v>2180</v>
      </c>
      <c r="BI85" s="34">
        <v>2167.9</v>
      </c>
      <c r="BJ85" s="34">
        <v>2176.6</v>
      </c>
      <c r="BK85" s="1">
        <v>2422.1</v>
      </c>
      <c r="BL85" s="1">
        <v>2218.4</v>
      </c>
      <c r="BM85" s="1">
        <v>2238.1999999999998</v>
      </c>
    </row>
    <row r="86" spans="1:65">
      <c r="A86" s="1" t="s">
        <v>1203</v>
      </c>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row>
    <row r="87" spans="1:65">
      <c r="A87" s="1" t="s">
        <v>1204</v>
      </c>
      <c r="B87" s="34"/>
      <c r="C87" s="34"/>
      <c r="D87" s="34"/>
      <c r="E87" s="34"/>
      <c r="F87" s="34"/>
      <c r="G87" s="34"/>
      <c r="H87" s="34"/>
      <c r="I87" s="34"/>
      <c r="J87" s="34"/>
      <c r="K87" s="34"/>
      <c r="L87" s="34">
        <v>762.7</v>
      </c>
      <c r="M87" s="34">
        <v>836.3</v>
      </c>
      <c r="N87" s="34">
        <v>961.3</v>
      </c>
      <c r="O87" s="34">
        <v>1159</v>
      </c>
      <c r="P87" s="34">
        <v>1260</v>
      </c>
      <c r="Q87" s="34">
        <v>1330.2</v>
      </c>
      <c r="R87" s="34">
        <v>1451.6</v>
      </c>
      <c r="S87" s="34">
        <v>1461.7</v>
      </c>
      <c r="T87" s="34">
        <v>1683.1</v>
      </c>
      <c r="U87" s="34">
        <v>1817.1</v>
      </c>
      <c r="V87" s="34">
        <v>1960</v>
      </c>
      <c r="W87" s="34">
        <v>1903.6</v>
      </c>
      <c r="X87" s="34">
        <v>2306.4</v>
      </c>
      <c r="Y87" s="34">
        <v>2864.3</v>
      </c>
      <c r="Z87" s="34">
        <v>3410.1</v>
      </c>
      <c r="AA87" s="34">
        <v>4119.5</v>
      </c>
      <c r="AB87" s="34">
        <v>512.9</v>
      </c>
      <c r="AC87" s="34">
        <v>511.4</v>
      </c>
      <c r="AD87" s="34">
        <v>581.6</v>
      </c>
      <c r="AE87" s="34">
        <v>577.9</v>
      </c>
      <c r="AF87" s="34">
        <v>611.9</v>
      </c>
      <c r="AG87" s="34">
        <v>664.5</v>
      </c>
      <c r="AH87" s="34">
        <v>701</v>
      </c>
      <c r="AI87" s="34">
        <v>678.6</v>
      </c>
      <c r="AJ87" s="34">
        <v>679.3</v>
      </c>
      <c r="AK87" s="34">
        <v>721.1</v>
      </c>
      <c r="AL87" s="34">
        <v>734.2</v>
      </c>
      <c r="AM87" s="34">
        <v>703.4</v>
      </c>
      <c r="AN87" s="34">
        <v>654.6</v>
      </c>
      <c r="AO87" s="34">
        <v>617.4</v>
      </c>
      <c r="AP87" s="34">
        <v>523.9</v>
      </c>
      <c r="AQ87" s="34">
        <v>488.5</v>
      </c>
      <c r="AR87" s="34">
        <v>501.5</v>
      </c>
      <c r="AS87" s="34">
        <v>572.79999999999995</v>
      </c>
      <c r="AT87" s="34">
        <v>591.5</v>
      </c>
      <c r="AU87" s="34">
        <v>468.5</v>
      </c>
      <c r="AV87" s="34">
        <v>452.3</v>
      </c>
      <c r="AW87" s="34">
        <v>658</v>
      </c>
      <c r="AX87" s="34">
        <v>712.1</v>
      </c>
      <c r="AY87" s="34">
        <v>670.3</v>
      </c>
      <c r="AZ87" s="34">
        <v>667.3</v>
      </c>
      <c r="BA87" s="34">
        <v>644.5</v>
      </c>
      <c r="BB87" s="34">
        <v>708</v>
      </c>
      <c r="BC87" s="34">
        <v>757.7</v>
      </c>
      <c r="BD87" s="34">
        <v>774.6</v>
      </c>
      <c r="BE87" s="34">
        <v>756.4</v>
      </c>
      <c r="BF87" s="34">
        <v>720.5</v>
      </c>
      <c r="BG87" s="34">
        <v>843.5</v>
      </c>
      <c r="BH87" s="34">
        <v>944.4</v>
      </c>
      <c r="BI87" s="34">
        <v>1043.9000000000001</v>
      </c>
      <c r="BJ87" s="34">
        <v>1073.7</v>
      </c>
      <c r="BK87" s="1">
        <v>1189.2</v>
      </c>
      <c r="BL87" s="1">
        <v>1515.2</v>
      </c>
      <c r="BM87" s="1">
        <v>1663.9</v>
      </c>
    </row>
    <row r="88" spans="1:65">
      <c r="A88" s="1" t="s">
        <v>217</v>
      </c>
      <c r="B88" s="34"/>
      <c r="C88" s="34"/>
      <c r="D88" s="34"/>
      <c r="E88" s="34"/>
      <c r="F88" s="34"/>
      <c r="G88" s="34"/>
      <c r="H88" s="34">
        <v>93.7</v>
      </c>
      <c r="I88" s="34">
        <v>96.3</v>
      </c>
      <c r="J88" s="34">
        <v>82.5</v>
      </c>
      <c r="K88" s="34">
        <v>87.9</v>
      </c>
      <c r="L88" s="34">
        <v>98.9</v>
      </c>
      <c r="M88" s="34">
        <v>102.4</v>
      </c>
      <c r="N88" s="34">
        <v>105.5</v>
      </c>
      <c r="O88" s="34">
        <v>130.19999999999999</v>
      </c>
      <c r="P88" s="34">
        <v>161</v>
      </c>
      <c r="Q88" s="34">
        <v>187.9</v>
      </c>
      <c r="R88" s="34">
        <v>177.5</v>
      </c>
      <c r="S88" s="34">
        <v>211.8</v>
      </c>
      <c r="T88" s="34">
        <v>255.3</v>
      </c>
      <c r="U88" s="34">
        <v>297.89999999999998</v>
      </c>
      <c r="V88" s="34">
        <v>335.5</v>
      </c>
      <c r="W88" s="34">
        <v>294.5</v>
      </c>
      <c r="X88" s="34">
        <v>281.2</v>
      </c>
      <c r="Y88" s="34">
        <v>268.3</v>
      </c>
      <c r="Z88" s="34">
        <v>215</v>
      </c>
      <c r="AA88" s="34">
        <v>263.7</v>
      </c>
      <c r="AB88" s="34">
        <v>208.8</v>
      </c>
      <c r="AC88" s="34">
        <v>238.8</v>
      </c>
      <c r="AD88" s="34">
        <v>277.5</v>
      </c>
      <c r="AE88" s="34">
        <v>284.2</v>
      </c>
      <c r="AF88" s="34">
        <v>304.7</v>
      </c>
      <c r="AG88" s="34">
        <v>637.1</v>
      </c>
      <c r="AH88" s="34">
        <v>633.70000000000005</v>
      </c>
      <c r="AI88" s="34">
        <v>646.29999999999995</v>
      </c>
      <c r="AJ88" s="34">
        <v>619</v>
      </c>
      <c r="AK88" s="34">
        <v>632.79999999999995</v>
      </c>
      <c r="AL88" s="34">
        <v>663.2</v>
      </c>
      <c r="AM88" s="34">
        <v>610.20000000000005</v>
      </c>
      <c r="AN88" s="34">
        <v>619.6</v>
      </c>
      <c r="AO88" s="34">
        <v>583.4</v>
      </c>
      <c r="AP88" s="34">
        <v>544.6</v>
      </c>
      <c r="AQ88" s="34">
        <v>464.6</v>
      </c>
      <c r="AR88" s="34">
        <v>379.9</v>
      </c>
      <c r="AS88" s="34">
        <v>311</v>
      </c>
      <c r="AT88" s="34">
        <v>596.6</v>
      </c>
      <c r="AU88" s="34">
        <v>619</v>
      </c>
      <c r="AV88" s="34">
        <v>616</v>
      </c>
      <c r="AW88" s="34">
        <v>725.1</v>
      </c>
      <c r="AX88" s="34">
        <v>857.9</v>
      </c>
      <c r="AY88" s="34">
        <v>772.1</v>
      </c>
      <c r="AZ88" s="34">
        <v>796.6</v>
      </c>
      <c r="BA88" s="34">
        <v>705.5</v>
      </c>
      <c r="BB88" s="34">
        <v>686.6</v>
      </c>
      <c r="BC88" s="34">
        <v>647.4</v>
      </c>
      <c r="BD88" s="34">
        <v>561.6</v>
      </c>
      <c r="BE88" s="34">
        <v>611.70000000000005</v>
      </c>
      <c r="BF88" s="34">
        <v>640.70000000000005</v>
      </c>
      <c r="BG88" s="34">
        <v>632</v>
      </c>
      <c r="BH88" s="34">
        <v>683.3</v>
      </c>
      <c r="BI88" s="34">
        <v>722.9</v>
      </c>
      <c r="BJ88" s="34">
        <v>704</v>
      </c>
      <c r="BK88" s="1">
        <v>763</v>
      </c>
      <c r="BL88" s="1">
        <v>803.8</v>
      </c>
      <c r="BM88" s="1">
        <v>843.8</v>
      </c>
    </row>
    <row r="89" spans="1:65">
      <c r="A89" s="1" t="s">
        <v>1205</v>
      </c>
      <c r="B89" s="34"/>
      <c r="C89" s="34"/>
      <c r="D89" s="34"/>
      <c r="E89" s="34"/>
      <c r="F89" s="34"/>
      <c r="G89" s="34"/>
      <c r="H89" s="34"/>
      <c r="I89" s="34"/>
      <c r="J89" s="34"/>
      <c r="K89" s="34"/>
      <c r="L89" s="34">
        <v>345.9</v>
      </c>
      <c r="M89" s="34">
        <v>343.4</v>
      </c>
      <c r="N89" s="34">
        <v>382.6</v>
      </c>
      <c r="O89" s="34">
        <v>385.2</v>
      </c>
      <c r="P89" s="34">
        <v>411.8</v>
      </c>
      <c r="Q89" s="34">
        <v>429.5</v>
      </c>
      <c r="R89" s="34">
        <v>416.8</v>
      </c>
      <c r="S89" s="34">
        <v>400.3</v>
      </c>
      <c r="T89" s="34">
        <v>401.4</v>
      </c>
      <c r="U89" s="34">
        <v>375.1</v>
      </c>
      <c r="V89" s="34">
        <v>346</v>
      </c>
      <c r="W89" s="34">
        <v>476</v>
      </c>
      <c r="X89" s="34">
        <v>501.1</v>
      </c>
      <c r="Y89" s="34">
        <v>487.4</v>
      </c>
      <c r="Z89" s="34">
        <v>406.2</v>
      </c>
      <c r="AA89" s="34">
        <v>415.5</v>
      </c>
      <c r="AB89" s="34">
        <v>370.3</v>
      </c>
      <c r="AC89" s="34">
        <v>486.7</v>
      </c>
      <c r="AD89" s="34">
        <v>453.3</v>
      </c>
      <c r="AE89" s="34">
        <v>578.20000000000005</v>
      </c>
      <c r="AF89" s="34">
        <v>651.4</v>
      </c>
      <c r="AG89" s="34">
        <v>672.6</v>
      </c>
      <c r="AH89" s="34">
        <v>575.1</v>
      </c>
      <c r="AI89" s="34">
        <v>582.70000000000005</v>
      </c>
      <c r="AJ89" s="34">
        <v>562.1</v>
      </c>
      <c r="AK89" s="34">
        <v>590.9</v>
      </c>
      <c r="AL89" s="34">
        <v>616.29999999999995</v>
      </c>
      <c r="AM89" s="34">
        <v>600.6</v>
      </c>
      <c r="AN89" s="34">
        <v>499.2</v>
      </c>
      <c r="AO89" s="34">
        <v>480.2</v>
      </c>
      <c r="AP89" s="34">
        <v>317.89999999999998</v>
      </c>
      <c r="AQ89" s="34">
        <v>328.2</v>
      </c>
      <c r="AR89" s="34">
        <v>363.1</v>
      </c>
      <c r="AS89" s="34">
        <v>420.8</v>
      </c>
      <c r="AT89" s="34">
        <v>432.2</v>
      </c>
      <c r="AU89" s="34">
        <v>463.7</v>
      </c>
      <c r="AV89" s="34">
        <v>448.9</v>
      </c>
      <c r="AW89" s="34">
        <v>519.20000000000005</v>
      </c>
      <c r="AX89" s="34">
        <v>640</v>
      </c>
      <c r="AY89" s="34">
        <v>582.9</v>
      </c>
      <c r="AZ89" s="34">
        <v>599.9</v>
      </c>
      <c r="BA89" s="34">
        <v>719.1</v>
      </c>
      <c r="BB89" s="34">
        <v>635</v>
      </c>
      <c r="BC89" s="34">
        <v>653.6</v>
      </c>
      <c r="BD89" s="34">
        <v>651.20000000000005</v>
      </c>
      <c r="BE89" s="34">
        <v>644.20000000000005</v>
      </c>
      <c r="BF89" s="34">
        <v>678.7</v>
      </c>
      <c r="BG89" s="34">
        <v>782</v>
      </c>
      <c r="BH89" s="34">
        <v>807.4</v>
      </c>
      <c r="BI89" s="34">
        <v>754.4</v>
      </c>
      <c r="BJ89" s="34">
        <v>754.3</v>
      </c>
      <c r="BK89" s="1">
        <v>836.9</v>
      </c>
      <c r="BL89" s="1">
        <v>814.1</v>
      </c>
      <c r="BM89" s="1">
        <v>914.3</v>
      </c>
    </row>
    <row r="90" spans="1:65">
      <c r="A90" s="1" t="s">
        <v>1206</v>
      </c>
      <c r="B90" s="34"/>
      <c r="C90" s="34"/>
      <c r="D90" s="34">
        <v>32.9</v>
      </c>
      <c r="E90" s="34">
        <v>38.299999999999997</v>
      </c>
      <c r="F90" s="34">
        <v>44</v>
      </c>
      <c r="G90" s="34">
        <v>219.5</v>
      </c>
      <c r="H90" s="34">
        <v>229.2</v>
      </c>
      <c r="I90" s="34">
        <v>234.5</v>
      </c>
      <c r="J90" s="34">
        <v>214.1</v>
      </c>
      <c r="K90" s="34">
        <v>210.8</v>
      </c>
      <c r="L90" s="34">
        <v>209.3</v>
      </c>
      <c r="M90" s="34">
        <v>208.2</v>
      </c>
      <c r="N90" s="34">
        <v>214.3</v>
      </c>
      <c r="O90" s="34">
        <v>272.39999999999998</v>
      </c>
      <c r="P90" s="34">
        <v>324.10000000000002</v>
      </c>
      <c r="Q90" s="34">
        <v>368.2</v>
      </c>
      <c r="R90" s="34">
        <v>375.6</v>
      </c>
      <c r="S90" s="34">
        <v>383.2</v>
      </c>
      <c r="T90" s="34"/>
      <c r="U90" s="34"/>
      <c r="V90" s="34">
        <v>179.3</v>
      </c>
      <c r="W90" s="34">
        <v>123.7</v>
      </c>
      <c r="X90" s="34">
        <v>140.30000000000001</v>
      </c>
      <c r="Y90" s="34">
        <v>132</v>
      </c>
      <c r="Z90" s="34">
        <v>140.6</v>
      </c>
      <c r="AA90" s="34">
        <v>164.2</v>
      </c>
      <c r="AB90" s="34">
        <v>192.3</v>
      </c>
      <c r="AC90" s="34">
        <v>225.1</v>
      </c>
      <c r="AD90" s="34">
        <v>232.9</v>
      </c>
      <c r="AE90" s="34">
        <v>196.8</v>
      </c>
      <c r="AF90" s="34">
        <v>240.8</v>
      </c>
      <c r="AG90" s="34">
        <v>229.6</v>
      </c>
      <c r="AH90" s="34">
        <v>268.7</v>
      </c>
      <c r="AI90" s="34">
        <v>261.5</v>
      </c>
      <c r="AJ90" s="34">
        <v>186.7</v>
      </c>
      <c r="AK90" s="34">
        <v>253</v>
      </c>
      <c r="AL90" s="34">
        <v>399</v>
      </c>
      <c r="AM90" s="34">
        <v>730.4</v>
      </c>
      <c r="AN90" s="34">
        <v>588.6</v>
      </c>
      <c r="AO90" s="34">
        <v>948.2</v>
      </c>
      <c r="AP90" s="34">
        <v>1527.1</v>
      </c>
      <c r="AQ90" s="34">
        <v>2031.4</v>
      </c>
      <c r="AR90" s="34">
        <v>2395.8000000000002</v>
      </c>
      <c r="AS90" s="34">
        <v>3146.5</v>
      </c>
      <c r="AT90" s="34">
        <v>5337.6</v>
      </c>
      <c r="AU90" s="34">
        <v>9502.9</v>
      </c>
      <c r="AV90" s="34">
        <v>11140.2</v>
      </c>
      <c r="AW90" s="34">
        <v>13776.9</v>
      </c>
      <c r="AX90" s="34">
        <v>19849.7</v>
      </c>
      <c r="AY90" s="34">
        <v>14398.8</v>
      </c>
      <c r="AZ90" s="34">
        <v>14905.5</v>
      </c>
      <c r="BA90" s="34">
        <v>18659.400000000001</v>
      </c>
      <c r="BB90" s="34">
        <v>18756.400000000001</v>
      </c>
      <c r="BC90" s="34">
        <v>17644.599999999999</v>
      </c>
      <c r="BD90" s="34">
        <v>16804.900000000001</v>
      </c>
      <c r="BE90" s="34">
        <v>9789</v>
      </c>
      <c r="BF90" s="34">
        <v>8035.3</v>
      </c>
      <c r="BG90" s="34">
        <v>8410.4</v>
      </c>
      <c r="BH90" s="34">
        <v>8719.2000000000007</v>
      </c>
      <c r="BI90" s="34">
        <v>7317.4</v>
      </c>
      <c r="BJ90" s="34">
        <v>6198.9</v>
      </c>
      <c r="BK90" s="1">
        <v>7473.9</v>
      </c>
      <c r="BL90" s="1">
        <v>8052.3</v>
      </c>
      <c r="BM90" s="1">
        <v>7066.6</v>
      </c>
    </row>
    <row r="91" spans="1:65">
      <c r="A91" s="1" t="s">
        <v>1207</v>
      </c>
      <c r="B91" s="34">
        <v>520.29999999999995</v>
      </c>
      <c r="C91" s="34">
        <v>590.79999999999995</v>
      </c>
      <c r="D91" s="34">
        <v>617.1</v>
      </c>
      <c r="E91" s="34">
        <v>695.2</v>
      </c>
      <c r="F91" s="34">
        <v>783.7</v>
      </c>
      <c r="G91" s="34">
        <v>899.3</v>
      </c>
      <c r="H91" s="34">
        <v>997.4</v>
      </c>
      <c r="I91" s="34">
        <v>1068.0999999999999</v>
      </c>
      <c r="J91" s="34">
        <v>1154.4000000000001</v>
      </c>
      <c r="K91" s="34">
        <v>1324.1</v>
      </c>
      <c r="L91" s="34">
        <v>1494.4</v>
      </c>
      <c r="M91" s="34">
        <v>1652.3</v>
      </c>
      <c r="N91" s="34">
        <v>1899.7</v>
      </c>
      <c r="O91" s="34">
        <v>2502.8000000000002</v>
      </c>
      <c r="P91" s="34">
        <v>2828.7</v>
      </c>
      <c r="Q91" s="34">
        <v>3153.2</v>
      </c>
      <c r="R91" s="34">
        <v>3390.5</v>
      </c>
      <c r="S91" s="34">
        <v>3886.4</v>
      </c>
      <c r="T91" s="34">
        <v>4694.6000000000004</v>
      </c>
      <c r="U91" s="34">
        <v>5705.9</v>
      </c>
      <c r="V91" s="34">
        <v>5893.7</v>
      </c>
      <c r="W91" s="34">
        <v>5380.3</v>
      </c>
      <c r="X91" s="34">
        <v>5579.2</v>
      </c>
      <c r="Y91" s="34">
        <v>5019.8999999999996</v>
      </c>
      <c r="Z91" s="34">
        <v>4852.6000000000004</v>
      </c>
      <c r="AA91" s="34">
        <v>4813.7</v>
      </c>
      <c r="AB91" s="34">
        <v>5656.5</v>
      </c>
      <c r="AC91" s="34">
        <v>6564.9</v>
      </c>
      <c r="AD91" s="34">
        <v>7598</v>
      </c>
      <c r="AE91" s="34">
        <v>7846.7</v>
      </c>
      <c r="AF91" s="34">
        <v>9600.2000000000007</v>
      </c>
      <c r="AG91" s="34">
        <v>10188.4</v>
      </c>
      <c r="AH91" s="34">
        <v>11176.5</v>
      </c>
      <c r="AI91" s="34">
        <v>10402</v>
      </c>
      <c r="AJ91" s="34">
        <v>11091.3</v>
      </c>
      <c r="AK91" s="34">
        <v>12959.3</v>
      </c>
      <c r="AL91" s="34">
        <v>13749.1</v>
      </c>
      <c r="AM91" s="34">
        <v>13427.8</v>
      </c>
      <c r="AN91" s="34">
        <v>13472.1</v>
      </c>
      <c r="AO91" s="34">
        <v>13249.7</v>
      </c>
      <c r="AP91" s="34">
        <v>12072.9</v>
      </c>
      <c r="AQ91" s="34">
        <v>12549</v>
      </c>
      <c r="AR91" s="34">
        <v>14177.6</v>
      </c>
      <c r="AS91" s="34">
        <v>18518.400000000001</v>
      </c>
      <c r="AT91" s="34">
        <v>21995.5</v>
      </c>
      <c r="AU91" s="34">
        <v>22560.1</v>
      </c>
      <c r="AV91" s="34">
        <v>24821.9</v>
      </c>
      <c r="AW91" s="34">
        <v>28864</v>
      </c>
      <c r="AX91" s="34">
        <v>32128</v>
      </c>
      <c r="AY91" s="34">
        <v>29828.799999999999</v>
      </c>
      <c r="AZ91" s="34">
        <v>26716.6</v>
      </c>
      <c r="BA91" s="34">
        <v>25483.9</v>
      </c>
      <c r="BB91" s="34">
        <v>21913</v>
      </c>
      <c r="BC91" s="34">
        <v>21787.8</v>
      </c>
      <c r="BD91" s="34">
        <v>21616.7</v>
      </c>
      <c r="BE91" s="34">
        <v>18083.900000000001</v>
      </c>
      <c r="BF91" s="34">
        <v>17924</v>
      </c>
      <c r="BG91" s="34">
        <v>18582.099999999999</v>
      </c>
      <c r="BH91" s="34">
        <v>19757</v>
      </c>
      <c r="BI91" s="34">
        <v>19143.900000000001</v>
      </c>
      <c r="BJ91" s="34">
        <v>17617.3</v>
      </c>
      <c r="BK91" s="1">
        <v>20310.7</v>
      </c>
      <c r="BL91" s="1">
        <v>20867.3</v>
      </c>
      <c r="BM91" s="1">
        <v>22990</v>
      </c>
    </row>
    <row r="92" spans="1:65">
      <c r="A92" s="1" t="s">
        <v>1208</v>
      </c>
      <c r="B92" s="34"/>
      <c r="C92" s="34"/>
      <c r="D92" s="34"/>
      <c r="E92" s="34"/>
      <c r="F92" s="34"/>
      <c r="G92" s="34"/>
      <c r="H92" s="34"/>
      <c r="I92" s="34"/>
      <c r="J92" s="34"/>
      <c r="K92" s="34"/>
      <c r="L92" s="34"/>
      <c r="M92" s="34"/>
      <c r="N92" s="34"/>
      <c r="O92" s="34"/>
      <c r="P92" s="34"/>
      <c r="Q92" s="34"/>
      <c r="R92" s="34"/>
      <c r="S92" s="34">
        <v>742.2</v>
      </c>
      <c r="T92" s="34">
        <v>921.8</v>
      </c>
      <c r="U92" s="34">
        <v>1073.5</v>
      </c>
      <c r="V92" s="34">
        <v>1169.4000000000001</v>
      </c>
      <c r="W92" s="34">
        <v>1214.5999999999999</v>
      </c>
      <c r="X92" s="34">
        <v>1299.4000000000001</v>
      </c>
      <c r="Y92" s="34">
        <v>1342.5</v>
      </c>
      <c r="Z92" s="34">
        <v>1460.9</v>
      </c>
      <c r="AA92" s="34">
        <v>1667.7</v>
      </c>
      <c r="AB92" s="34">
        <v>1859.3</v>
      </c>
      <c r="AC92" s="34">
        <v>2137.3000000000002</v>
      </c>
      <c r="AD92" s="34">
        <v>2366.5</v>
      </c>
      <c r="AE92" s="34">
        <v>2694.2</v>
      </c>
      <c r="AF92" s="34">
        <v>2807.7</v>
      </c>
      <c r="AG92" s="34">
        <v>3014.9</v>
      </c>
      <c r="AH92" s="34">
        <v>3069.7</v>
      </c>
      <c r="AI92" s="34">
        <v>3032.2</v>
      </c>
      <c r="AJ92" s="34">
        <v>3151.1</v>
      </c>
      <c r="AK92" s="34">
        <v>3288.2</v>
      </c>
      <c r="AL92" s="34">
        <v>3499.5</v>
      </c>
      <c r="AM92" s="34">
        <v>3715.7</v>
      </c>
      <c r="AN92" s="34">
        <v>4198.7</v>
      </c>
      <c r="AO92" s="34">
        <v>4512.2</v>
      </c>
      <c r="AP92" s="34">
        <v>4840.7</v>
      </c>
      <c r="AQ92" s="34">
        <v>4821.8</v>
      </c>
      <c r="AR92" s="34">
        <v>4992.3999999999996</v>
      </c>
      <c r="AS92" s="34">
        <v>5435.2</v>
      </c>
      <c r="AT92" s="34">
        <v>5470.6</v>
      </c>
      <c r="AU92" s="34">
        <v>6308.7</v>
      </c>
      <c r="AV92" s="34">
        <v>6295.3</v>
      </c>
      <c r="AW92" s="34">
        <v>6790.6</v>
      </c>
      <c r="AX92" s="34">
        <v>7343.4</v>
      </c>
      <c r="AY92" s="34">
        <v>6810.4</v>
      </c>
      <c r="AZ92" s="34">
        <v>6761</v>
      </c>
      <c r="BA92" s="34">
        <v>6775.7</v>
      </c>
      <c r="BB92" s="34">
        <v>6900.8</v>
      </c>
      <c r="BC92" s="34">
        <v>7205.3</v>
      </c>
      <c r="BD92" s="34">
        <v>7726.4</v>
      </c>
      <c r="BE92" s="34">
        <v>8379.6</v>
      </c>
      <c r="BF92" s="34">
        <v>8849.5</v>
      </c>
      <c r="BG92" s="34">
        <v>9309.2999999999993</v>
      </c>
      <c r="BH92" s="34">
        <v>9574.2999999999993</v>
      </c>
      <c r="BI92" s="34">
        <v>9887.9</v>
      </c>
      <c r="BJ92" s="34">
        <v>8437.5</v>
      </c>
      <c r="BK92" s="1">
        <v>9010.5</v>
      </c>
      <c r="BL92" s="1">
        <v>9762.4</v>
      </c>
      <c r="BM92" s="1">
        <v>10463.6</v>
      </c>
    </row>
    <row r="93" spans="1:65">
      <c r="A93" s="1" t="s">
        <v>1209</v>
      </c>
      <c r="B93" s="34"/>
      <c r="C93" s="34"/>
      <c r="D93" s="34"/>
      <c r="E93" s="34"/>
      <c r="F93" s="34"/>
      <c r="G93" s="34"/>
      <c r="H93" s="34"/>
      <c r="I93" s="34"/>
      <c r="J93" s="34"/>
      <c r="K93" s="34"/>
      <c r="L93" s="34">
        <v>1498.3</v>
      </c>
      <c r="M93" s="34">
        <v>1874.3</v>
      </c>
      <c r="N93" s="34">
        <v>2196.6999999999998</v>
      </c>
      <c r="O93" s="34">
        <v>2860.3</v>
      </c>
      <c r="P93" s="34">
        <v>3432.7</v>
      </c>
      <c r="Q93" s="34">
        <v>4257.8999999999996</v>
      </c>
      <c r="R93" s="34">
        <v>4844.7</v>
      </c>
      <c r="S93" s="34">
        <v>5714</v>
      </c>
      <c r="T93" s="34">
        <v>7235.5</v>
      </c>
      <c r="U93" s="34">
        <v>8480.7999999999993</v>
      </c>
      <c r="V93" s="34">
        <v>9483.1</v>
      </c>
      <c r="W93" s="34">
        <v>8544.1</v>
      </c>
      <c r="X93" s="34">
        <v>7813.7</v>
      </c>
      <c r="Y93" s="34">
        <v>7988.2</v>
      </c>
      <c r="Z93" s="34">
        <v>7198.7</v>
      </c>
      <c r="AA93" s="34">
        <v>7760.8</v>
      </c>
      <c r="AB93" s="34">
        <v>11271.3</v>
      </c>
      <c r="AC93" s="34">
        <v>14554.4</v>
      </c>
      <c r="AD93" s="34">
        <v>16398</v>
      </c>
      <c r="AE93" s="34">
        <v>16813.7</v>
      </c>
      <c r="AF93" s="34">
        <v>18326.900000000001</v>
      </c>
      <c r="AG93" s="34">
        <v>18315.3</v>
      </c>
      <c r="AH93" s="34">
        <v>18768.8</v>
      </c>
      <c r="AI93" s="34">
        <v>16797.400000000001</v>
      </c>
      <c r="AJ93" s="34">
        <v>18124.099999999999</v>
      </c>
      <c r="AK93" s="34">
        <v>21665.8</v>
      </c>
      <c r="AL93" s="34">
        <v>21422.5</v>
      </c>
      <c r="AM93" s="34">
        <v>19145.599999999999</v>
      </c>
      <c r="AN93" s="34">
        <v>20496.599999999999</v>
      </c>
      <c r="AO93" s="34">
        <v>20170.3</v>
      </c>
      <c r="AP93" s="34">
        <v>19004</v>
      </c>
      <c r="AQ93" s="34">
        <v>19275.400000000001</v>
      </c>
      <c r="AR93" s="34">
        <v>20652.8</v>
      </c>
      <c r="AS93" s="34">
        <v>27459.9</v>
      </c>
      <c r="AT93" s="34">
        <v>32023.7</v>
      </c>
      <c r="AU93" s="34">
        <v>32489.7</v>
      </c>
      <c r="AV93" s="34">
        <v>35458.300000000003</v>
      </c>
      <c r="AW93" s="34">
        <v>39780.9</v>
      </c>
      <c r="AX93" s="34">
        <v>44366.8</v>
      </c>
      <c r="AY93" s="34">
        <v>44918.8</v>
      </c>
      <c r="AZ93" s="34">
        <v>43988.5</v>
      </c>
      <c r="BA93" s="34">
        <v>47186.9</v>
      </c>
      <c r="BB93" s="34">
        <v>45937</v>
      </c>
      <c r="BC93" s="34">
        <v>47535.5</v>
      </c>
      <c r="BD93" s="34">
        <v>50485.2</v>
      </c>
      <c r="BE93" s="34">
        <v>44536.4</v>
      </c>
      <c r="BF93" s="34">
        <v>48181.7</v>
      </c>
      <c r="BG93" s="34">
        <v>50765.7</v>
      </c>
      <c r="BH93" s="34">
        <v>54545.1</v>
      </c>
      <c r="BI93" s="34">
        <v>53309.2</v>
      </c>
      <c r="BJ93" s="34">
        <v>54693.1</v>
      </c>
      <c r="BK93" s="1">
        <v>57116.3</v>
      </c>
    </row>
    <row r="94" spans="1:65">
      <c r="A94" s="1" t="s">
        <v>1210</v>
      </c>
      <c r="B94" s="34">
        <v>252.8</v>
      </c>
      <c r="C94" s="34">
        <v>253.2</v>
      </c>
      <c r="D94" s="34">
        <v>261.2</v>
      </c>
      <c r="E94" s="34">
        <v>280.10000000000002</v>
      </c>
      <c r="F94" s="34">
        <v>279.89999999999998</v>
      </c>
      <c r="G94" s="34">
        <v>278.8</v>
      </c>
      <c r="H94" s="34">
        <v>283.2</v>
      </c>
      <c r="I94" s="34">
        <v>288</v>
      </c>
      <c r="J94" s="34">
        <v>310.7</v>
      </c>
      <c r="K94" s="34">
        <v>322.39999999999998</v>
      </c>
      <c r="L94" s="34">
        <v>349</v>
      </c>
      <c r="M94" s="34">
        <v>355.1</v>
      </c>
      <c r="N94" s="34">
        <v>367.1</v>
      </c>
      <c r="O94" s="34">
        <v>438.5</v>
      </c>
      <c r="P94" s="34">
        <v>527.4</v>
      </c>
      <c r="Q94" s="34">
        <v>594.70000000000005</v>
      </c>
      <c r="R94" s="34">
        <v>696.2</v>
      </c>
      <c r="S94" s="34">
        <v>854.6</v>
      </c>
      <c r="T94" s="34">
        <v>925.1</v>
      </c>
      <c r="U94" s="34">
        <v>1027.0999999999999</v>
      </c>
      <c r="V94" s="34">
        <v>1143.4000000000001</v>
      </c>
      <c r="W94" s="34">
        <v>1217.3</v>
      </c>
      <c r="X94" s="34">
        <v>1200.2</v>
      </c>
      <c r="Y94" s="34">
        <v>1212.7</v>
      </c>
      <c r="Z94" s="34">
        <v>1234.7</v>
      </c>
      <c r="AA94" s="34">
        <v>1233.0999999999999</v>
      </c>
      <c r="AB94" s="34">
        <v>892.3</v>
      </c>
      <c r="AC94" s="34">
        <v>850.2</v>
      </c>
      <c r="AD94" s="34">
        <v>915.4</v>
      </c>
      <c r="AE94" s="34">
        <v>955.1</v>
      </c>
      <c r="AF94" s="34">
        <v>845.3</v>
      </c>
      <c r="AG94" s="34">
        <v>1011.8</v>
      </c>
      <c r="AH94" s="34">
        <v>1094</v>
      </c>
      <c r="AI94" s="34">
        <v>1164.4000000000001</v>
      </c>
      <c r="AJ94" s="34">
        <v>1293.5</v>
      </c>
      <c r="AK94" s="34">
        <v>1424.7</v>
      </c>
      <c r="AL94" s="34">
        <v>1487.6</v>
      </c>
      <c r="AM94" s="34">
        <v>1649</v>
      </c>
      <c r="AN94" s="34">
        <v>1755.8</v>
      </c>
      <c r="AO94" s="34">
        <v>1619.5</v>
      </c>
      <c r="AP94" s="34">
        <v>1664.3</v>
      </c>
      <c r="AQ94" s="34">
        <v>1550.4</v>
      </c>
      <c r="AR94" s="34">
        <v>1683</v>
      </c>
      <c r="AS94" s="34">
        <v>1737.9</v>
      </c>
      <c r="AT94" s="34">
        <v>1859.1</v>
      </c>
      <c r="AU94" s="34">
        <v>2068.5</v>
      </c>
      <c r="AV94" s="34">
        <v>2251.1</v>
      </c>
      <c r="AW94" s="34">
        <v>2490.6999999999998</v>
      </c>
      <c r="AX94" s="34">
        <v>2802.5</v>
      </c>
      <c r="AY94" s="34">
        <v>2651.8</v>
      </c>
      <c r="AZ94" s="34">
        <v>2852.6</v>
      </c>
      <c r="BA94" s="34">
        <v>3228</v>
      </c>
      <c r="BB94" s="34">
        <v>3355</v>
      </c>
      <c r="BC94" s="34">
        <v>3522.8</v>
      </c>
      <c r="BD94" s="34">
        <v>3779.6</v>
      </c>
      <c r="BE94" s="34">
        <v>3994.6</v>
      </c>
      <c r="BF94" s="34">
        <v>4173.3</v>
      </c>
      <c r="BG94" s="34">
        <v>4454</v>
      </c>
      <c r="BH94" s="34">
        <v>4485.8</v>
      </c>
      <c r="BI94" s="34">
        <v>4647.8</v>
      </c>
      <c r="BJ94" s="34">
        <v>4609.8999999999996</v>
      </c>
      <c r="BK94" s="1">
        <v>5029.5</v>
      </c>
      <c r="BL94" s="1">
        <v>5473.2</v>
      </c>
      <c r="BM94" s="1">
        <v>5797.5</v>
      </c>
    </row>
    <row r="95" spans="1:65">
      <c r="A95" s="1" t="s">
        <v>1211</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v>20878.099999999999</v>
      </c>
      <c r="AS95" s="34">
        <v>21844.1</v>
      </c>
      <c r="AT95" s="34">
        <v>23590.9</v>
      </c>
      <c r="AU95" s="34">
        <v>25621.8</v>
      </c>
      <c r="AV95" s="34">
        <v>25735.5</v>
      </c>
      <c r="AW95" s="34">
        <v>26686.799999999999</v>
      </c>
      <c r="AX95" s="34">
        <v>28277.4</v>
      </c>
      <c r="AY95" s="34">
        <v>29335.3</v>
      </c>
      <c r="AZ95" s="34">
        <v>30011.200000000001</v>
      </c>
      <c r="BA95" s="34">
        <v>30087.7</v>
      </c>
      <c r="BB95" s="34">
        <v>31642.1</v>
      </c>
      <c r="BC95" s="34">
        <v>32318.9</v>
      </c>
      <c r="BD95" s="34">
        <v>33483.9</v>
      </c>
      <c r="BE95" s="34">
        <v>34522.400000000001</v>
      </c>
      <c r="BF95" s="34">
        <v>35052.800000000003</v>
      </c>
      <c r="BG95" s="34">
        <v>35663</v>
      </c>
      <c r="BH95" s="34">
        <v>35873.1</v>
      </c>
      <c r="BI95" s="34">
        <v>37687.4</v>
      </c>
      <c r="BJ95" s="34">
        <v>34958.1</v>
      </c>
      <c r="BK95" s="1">
        <v>36555.800000000003</v>
      </c>
      <c r="BL95" s="1">
        <v>40227.300000000003</v>
      </c>
    </row>
    <row r="96" spans="1:65">
      <c r="A96" s="1" t="s">
        <v>1212</v>
      </c>
      <c r="B96" s="34">
        <v>297.60000000000002</v>
      </c>
      <c r="C96" s="34">
        <v>315.8</v>
      </c>
      <c r="D96" s="34">
        <v>322.3</v>
      </c>
      <c r="E96" s="34">
        <v>283.2</v>
      </c>
      <c r="F96" s="34">
        <v>306.3</v>
      </c>
      <c r="G96" s="34">
        <v>327.9</v>
      </c>
      <c r="H96" s="34">
        <v>344.8</v>
      </c>
      <c r="I96" s="34">
        <v>370.6</v>
      </c>
      <c r="J96" s="34">
        <v>335</v>
      </c>
      <c r="K96" s="34">
        <v>358.2</v>
      </c>
      <c r="L96" s="34">
        <v>379.7</v>
      </c>
      <c r="M96" s="34">
        <v>395.1</v>
      </c>
      <c r="N96" s="34">
        <v>395.3</v>
      </c>
      <c r="O96" s="34">
        <v>420.7</v>
      </c>
      <c r="P96" s="34">
        <v>588.29999999999995</v>
      </c>
      <c r="Q96" s="34">
        <v>663.6</v>
      </c>
      <c r="R96" s="34">
        <v>603.1</v>
      </c>
      <c r="S96" s="34">
        <v>590.9</v>
      </c>
      <c r="T96" s="34">
        <v>659.7</v>
      </c>
      <c r="U96" s="34">
        <v>684.9</v>
      </c>
      <c r="V96" s="34">
        <v>775.1</v>
      </c>
      <c r="W96" s="34">
        <v>731.5</v>
      </c>
      <c r="X96" s="34">
        <v>618.20000000000005</v>
      </c>
      <c r="Y96" s="34">
        <v>628.70000000000005</v>
      </c>
      <c r="Z96" s="34">
        <v>564</v>
      </c>
      <c r="AA96" s="34">
        <v>586.9</v>
      </c>
      <c r="AB96" s="34">
        <v>656.7</v>
      </c>
      <c r="AC96" s="34">
        <v>464.3</v>
      </c>
      <c r="AD96" s="34">
        <v>545.6</v>
      </c>
      <c r="AE96" s="34">
        <v>504.4</v>
      </c>
      <c r="AF96" s="34">
        <v>530.79999999999995</v>
      </c>
      <c r="AG96" s="34">
        <v>468.4</v>
      </c>
      <c r="AH96" s="34">
        <v>501.4</v>
      </c>
      <c r="AI96" s="34">
        <v>607.70000000000005</v>
      </c>
      <c r="AJ96" s="34">
        <v>721.6</v>
      </c>
      <c r="AK96" s="34">
        <v>827</v>
      </c>
      <c r="AL96" s="34">
        <v>936.1</v>
      </c>
      <c r="AM96" s="34">
        <v>992</v>
      </c>
      <c r="AN96" s="34">
        <v>948.2</v>
      </c>
      <c r="AO96" s="34">
        <v>916.5</v>
      </c>
      <c r="AP96" s="34">
        <v>938.9</v>
      </c>
      <c r="AQ96" s="34">
        <v>937.3</v>
      </c>
      <c r="AR96" s="34">
        <v>955</v>
      </c>
      <c r="AS96" s="34">
        <v>977</v>
      </c>
      <c r="AT96" s="34">
        <v>1036</v>
      </c>
      <c r="AU96" s="34">
        <v>1085.8</v>
      </c>
      <c r="AV96" s="34">
        <v>3138.1</v>
      </c>
      <c r="AW96" s="34">
        <v>3609.9</v>
      </c>
      <c r="AX96" s="34">
        <v>4011.4</v>
      </c>
      <c r="AY96" s="34">
        <v>4213.8</v>
      </c>
      <c r="AZ96" s="34">
        <v>4589.8999999999996</v>
      </c>
      <c r="BA96" s="34">
        <v>4960</v>
      </c>
      <c r="BB96" s="34">
        <v>5461.4</v>
      </c>
      <c r="BC96" s="34">
        <v>5576.3</v>
      </c>
      <c r="BD96" s="34">
        <v>5495.4</v>
      </c>
      <c r="BE96" s="34">
        <v>5668.4</v>
      </c>
      <c r="BF96" s="34">
        <v>5905.4</v>
      </c>
      <c r="BG96" s="34">
        <v>6221</v>
      </c>
      <c r="BH96" s="34">
        <v>6094.9</v>
      </c>
      <c r="BI96" s="34">
        <v>6477.3</v>
      </c>
      <c r="BJ96" s="34">
        <v>6863.1</v>
      </c>
      <c r="BK96" s="1">
        <v>9994.6</v>
      </c>
      <c r="BL96" s="1">
        <v>18199.5</v>
      </c>
      <c r="BM96" s="1">
        <v>20626.2</v>
      </c>
    </row>
    <row r="97" spans="1:65">
      <c r="A97" s="1" t="s">
        <v>1213</v>
      </c>
      <c r="B97" s="34">
        <v>1203.5</v>
      </c>
      <c r="C97" s="34">
        <v>1268.2</v>
      </c>
      <c r="D97" s="34">
        <v>1354.6</v>
      </c>
      <c r="E97" s="34">
        <v>1439.6</v>
      </c>
      <c r="F97" s="34">
        <v>1554.7</v>
      </c>
      <c r="G97" s="34">
        <v>1670.6</v>
      </c>
      <c r="H97" s="34">
        <v>1809.5</v>
      </c>
      <c r="I97" s="34">
        <v>1914.5</v>
      </c>
      <c r="J97" s="34">
        <v>2056.9</v>
      </c>
      <c r="K97" s="34">
        <v>2245.6</v>
      </c>
      <c r="L97" s="34">
        <v>2441.6999999999998</v>
      </c>
      <c r="M97" s="34">
        <v>2683.1</v>
      </c>
      <c r="N97" s="34">
        <v>3087</v>
      </c>
      <c r="O97" s="34">
        <v>3710.5</v>
      </c>
      <c r="P97" s="34">
        <v>4157.8999999999996</v>
      </c>
      <c r="Q97" s="34">
        <v>4599.6000000000004</v>
      </c>
      <c r="R97" s="34">
        <v>4968</v>
      </c>
      <c r="S97" s="34">
        <v>5577.6</v>
      </c>
      <c r="T97" s="34">
        <v>6642.3</v>
      </c>
      <c r="U97" s="34">
        <v>7613</v>
      </c>
      <c r="V97" s="34">
        <v>8429.7000000000007</v>
      </c>
      <c r="W97" s="34">
        <v>8493.6</v>
      </c>
      <c r="X97" s="34">
        <v>8349</v>
      </c>
      <c r="Y97" s="34">
        <v>8566.5</v>
      </c>
      <c r="Z97" s="34">
        <v>8871.5</v>
      </c>
      <c r="AA97" s="34">
        <v>9248.2000000000007</v>
      </c>
      <c r="AB97" s="34">
        <v>11159.3</v>
      </c>
      <c r="AC97" s="34">
        <v>12850.8</v>
      </c>
      <c r="AD97" s="34">
        <v>14364.9</v>
      </c>
      <c r="AE97" s="34">
        <v>14855.7</v>
      </c>
      <c r="AF97" s="34">
        <v>16531.8</v>
      </c>
      <c r="AG97" s="34">
        <v>17318.7</v>
      </c>
      <c r="AH97" s="34">
        <v>18408.5</v>
      </c>
      <c r="AI97" s="34">
        <v>18413.2</v>
      </c>
      <c r="AJ97" s="34">
        <v>19571.400000000001</v>
      </c>
      <c r="AK97" s="34">
        <v>21591.4</v>
      </c>
      <c r="AL97" s="34">
        <v>21642.400000000001</v>
      </c>
      <c r="AM97" s="34">
        <v>21171.200000000001</v>
      </c>
      <c r="AN97" s="34">
        <v>21031</v>
      </c>
      <c r="AO97" s="34">
        <v>21907.7</v>
      </c>
      <c r="AP97" s="34">
        <v>22305.8</v>
      </c>
      <c r="AQ97" s="34">
        <v>22022</v>
      </c>
      <c r="AR97" s="34">
        <v>22873.4</v>
      </c>
      <c r="AS97" s="34">
        <v>25549.8</v>
      </c>
      <c r="AT97" s="34">
        <v>28397.3</v>
      </c>
      <c r="AU97" s="34">
        <v>29983.4</v>
      </c>
      <c r="AV97" s="34">
        <v>31620.6</v>
      </c>
      <c r="AW97" s="34">
        <v>34554.1</v>
      </c>
      <c r="AX97" s="34">
        <v>36768.5</v>
      </c>
      <c r="AY97" s="34">
        <v>33960.400000000001</v>
      </c>
      <c r="AZ97" s="34">
        <v>35574.9</v>
      </c>
      <c r="BA97" s="34">
        <v>38570.699999999997</v>
      </c>
      <c r="BB97" s="34">
        <v>38510.699999999997</v>
      </c>
      <c r="BC97" s="34">
        <v>38847.1</v>
      </c>
      <c r="BD97" s="34">
        <v>39280.6</v>
      </c>
      <c r="BE97" s="34">
        <v>36483</v>
      </c>
      <c r="BF97" s="34">
        <v>36993.5</v>
      </c>
      <c r="BG97" s="34">
        <v>38707.9</v>
      </c>
      <c r="BH97" s="34">
        <v>40958.400000000001</v>
      </c>
      <c r="BI97" s="34">
        <v>41188.800000000003</v>
      </c>
      <c r="BJ97" s="34">
        <v>40023.699999999997</v>
      </c>
      <c r="BK97" s="1">
        <v>44840.4</v>
      </c>
      <c r="BL97" s="1">
        <v>46165.599999999999</v>
      </c>
      <c r="BM97" s="1">
        <v>48220</v>
      </c>
    </row>
    <row r="98" spans="1:65">
      <c r="A98" s="1" t="s">
        <v>1214</v>
      </c>
      <c r="B98" s="34">
        <v>424.1</v>
      </c>
      <c r="C98" s="34">
        <v>436.8</v>
      </c>
      <c r="D98" s="34">
        <v>487.8</v>
      </c>
      <c r="E98" s="34">
        <v>565.70000000000005</v>
      </c>
      <c r="F98" s="34">
        <v>629.6</v>
      </c>
      <c r="G98" s="34">
        <v>676.8</v>
      </c>
      <c r="H98" s="34">
        <v>685.9</v>
      </c>
      <c r="I98" s="34">
        <v>723.2</v>
      </c>
      <c r="J98" s="34">
        <v>714.5</v>
      </c>
      <c r="K98" s="34">
        <v>825.5</v>
      </c>
      <c r="L98" s="34">
        <v>960</v>
      </c>
      <c r="M98" s="34">
        <v>1106.5</v>
      </c>
      <c r="N98" s="34">
        <v>1384.7</v>
      </c>
      <c r="O98" s="34">
        <v>1893.2</v>
      </c>
      <c r="P98" s="34">
        <v>2144.6</v>
      </c>
      <c r="Q98" s="34">
        <v>2252.1</v>
      </c>
      <c r="R98" s="34">
        <v>2850</v>
      </c>
      <c r="S98" s="34">
        <v>3429.4</v>
      </c>
      <c r="T98" s="34">
        <v>3924</v>
      </c>
      <c r="U98" s="34">
        <v>4569.5</v>
      </c>
      <c r="V98" s="34">
        <v>5700.4</v>
      </c>
      <c r="W98" s="34">
        <v>5991.3</v>
      </c>
      <c r="X98" s="34">
        <v>6133.8</v>
      </c>
      <c r="Y98" s="34">
        <v>5595.3</v>
      </c>
      <c r="Z98" s="34">
        <v>6208.2</v>
      </c>
      <c r="AA98" s="34">
        <v>6543</v>
      </c>
      <c r="AB98" s="34">
        <v>7435</v>
      </c>
      <c r="AC98" s="34">
        <v>9071.4</v>
      </c>
      <c r="AD98" s="34">
        <v>10609.7</v>
      </c>
      <c r="AE98" s="34">
        <v>12097.7</v>
      </c>
      <c r="AF98" s="34">
        <v>13485.6</v>
      </c>
      <c r="AG98" s="34">
        <v>15465.9</v>
      </c>
      <c r="AH98" s="34">
        <v>17976.5</v>
      </c>
      <c r="AI98" s="34">
        <v>20395.599999999999</v>
      </c>
      <c r="AJ98" s="34">
        <v>22502.5</v>
      </c>
      <c r="AK98" s="34">
        <v>23497.4</v>
      </c>
      <c r="AL98" s="34">
        <v>24818.3</v>
      </c>
      <c r="AM98" s="34">
        <v>27330.1</v>
      </c>
      <c r="AN98" s="34">
        <v>25808.9</v>
      </c>
      <c r="AO98" s="34">
        <v>25091.7</v>
      </c>
      <c r="AP98" s="34">
        <v>25756.799999999999</v>
      </c>
      <c r="AQ98" s="34">
        <v>25230.400000000001</v>
      </c>
      <c r="AR98" s="34">
        <v>24665.8</v>
      </c>
      <c r="AS98" s="34">
        <v>23977.200000000001</v>
      </c>
      <c r="AT98" s="34">
        <v>24928.1</v>
      </c>
      <c r="AU98" s="34">
        <v>26649.599999999999</v>
      </c>
      <c r="AV98" s="34">
        <v>28224.1</v>
      </c>
      <c r="AW98" s="34">
        <v>30594</v>
      </c>
      <c r="AX98" s="34">
        <v>31515.5</v>
      </c>
      <c r="AY98" s="34">
        <v>30697.5</v>
      </c>
      <c r="AZ98" s="34">
        <v>32550.1</v>
      </c>
      <c r="BA98" s="34">
        <v>35142.5</v>
      </c>
      <c r="BB98" s="34">
        <v>36730.800000000003</v>
      </c>
      <c r="BC98" s="34">
        <v>38403.800000000003</v>
      </c>
      <c r="BD98" s="34">
        <v>40315.4</v>
      </c>
      <c r="BE98" s="34">
        <v>42432.2</v>
      </c>
      <c r="BF98" s="34">
        <v>43734.2</v>
      </c>
      <c r="BG98" s="34">
        <v>46160.4</v>
      </c>
      <c r="BH98" s="34">
        <v>48537.599999999999</v>
      </c>
      <c r="BI98" s="34">
        <v>48359</v>
      </c>
      <c r="BJ98" s="34">
        <v>46109.2</v>
      </c>
      <c r="BK98" s="1">
        <v>49770.6</v>
      </c>
      <c r="BL98" s="1">
        <v>48828.1</v>
      </c>
      <c r="BM98" s="1">
        <v>50696.6</v>
      </c>
    </row>
    <row r="99" spans="1:65">
      <c r="A99" s="1" t="s">
        <v>287</v>
      </c>
      <c r="B99" s="34">
        <v>161.5</v>
      </c>
      <c r="C99" s="34">
        <v>166.5</v>
      </c>
      <c r="D99" s="34">
        <v>176</v>
      </c>
      <c r="E99" s="34">
        <v>180.9</v>
      </c>
      <c r="F99" s="34">
        <v>195.8</v>
      </c>
      <c r="G99" s="34">
        <v>211.6</v>
      </c>
      <c r="H99" s="34">
        <v>222.2</v>
      </c>
      <c r="I99" s="34">
        <v>234.8</v>
      </c>
      <c r="J99" s="34">
        <v>246.6</v>
      </c>
      <c r="K99" s="34">
        <v>247.3</v>
      </c>
      <c r="L99" s="34">
        <v>259.8</v>
      </c>
      <c r="M99" s="34">
        <v>254.9</v>
      </c>
      <c r="N99" s="34">
        <v>271.60000000000002</v>
      </c>
      <c r="O99" s="34">
        <v>299.5</v>
      </c>
      <c r="P99" s="34">
        <v>329.8</v>
      </c>
      <c r="Q99" s="34">
        <v>347.8</v>
      </c>
      <c r="R99" s="34">
        <v>404.2</v>
      </c>
      <c r="S99" s="34">
        <v>485.2</v>
      </c>
      <c r="T99" s="34">
        <v>872.4</v>
      </c>
      <c r="U99" s="34">
        <v>967.7</v>
      </c>
      <c r="V99" s="34">
        <v>1050.3</v>
      </c>
      <c r="W99" s="34">
        <v>1038</v>
      </c>
      <c r="X99" s="34">
        <v>1062.5</v>
      </c>
      <c r="Y99" s="34">
        <v>1081.9000000000001</v>
      </c>
      <c r="Z99" s="34">
        <v>1153.3</v>
      </c>
      <c r="AA99" s="34">
        <v>1202.9000000000001</v>
      </c>
      <c r="AB99" s="34">
        <v>1257.4000000000001</v>
      </c>
      <c r="AC99" s="34">
        <v>1332.5</v>
      </c>
      <c r="AD99" s="34">
        <v>1235.4000000000001</v>
      </c>
      <c r="AE99" s="34">
        <v>1105.5999999999999</v>
      </c>
      <c r="AF99" s="34">
        <v>974.2</v>
      </c>
      <c r="AG99" s="34">
        <v>894.5</v>
      </c>
      <c r="AH99" s="34">
        <v>925</v>
      </c>
      <c r="AI99" s="34">
        <v>896.3</v>
      </c>
      <c r="AJ99" s="34">
        <v>821.2</v>
      </c>
      <c r="AK99" s="34">
        <v>919.9</v>
      </c>
      <c r="AL99" s="34">
        <v>872.6</v>
      </c>
      <c r="AM99" s="34">
        <v>933.8</v>
      </c>
      <c r="AN99" s="34">
        <v>1009.2</v>
      </c>
      <c r="AO99" s="34">
        <v>990.3</v>
      </c>
      <c r="AP99" s="34">
        <v>1079.5999999999999</v>
      </c>
      <c r="AQ99" s="34">
        <v>1118.9000000000001</v>
      </c>
      <c r="AR99" s="34">
        <v>1119.4000000000001</v>
      </c>
      <c r="AS99" s="34">
        <v>1142.8</v>
      </c>
      <c r="AT99" s="34">
        <v>1201.2</v>
      </c>
      <c r="AU99" s="34">
        <v>1289.8</v>
      </c>
      <c r="AV99" s="34">
        <v>1409.6</v>
      </c>
      <c r="AW99" s="34">
        <v>1559.9</v>
      </c>
      <c r="AX99" s="34">
        <v>1713.4</v>
      </c>
      <c r="AY99" s="34">
        <v>1762.3</v>
      </c>
      <c r="AZ99" s="34">
        <v>1874.3</v>
      </c>
      <c r="BA99" s="34">
        <v>2054</v>
      </c>
      <c r="BB99" s="34">
        <v>2107.3000000000002</v>
      </c>
      <c r="BC99" s="34">
        <v>2064.6</v>
      </c>
      <c r="BD99" s="34">
        <v>2164.4</v>
      </c>
      <c r="BE99" s="34">
        <v>2257.1999999999998</v>
      </c>
      <c r="BF99" s="34">
        <v>2295.5</v>
      </c>
      <c r="BG99" s="34">
        <v>2403.3000000000002</v>
      </c>
      <c r="BH99" s="34">
        <v>2457.6999999999998</v>
      </c>
      <c r="BI99" s="34">
        <v>2498.5</v>
      </c>
      <c r="BJ99" s="34">
        <v>2307.1</v>
      </c>
      <c r="BK99" s="1">
        <v>2738.2</v>
      </c>
      <c r="BL99" s="1">
        <v>3012.2</v>
      </c>
      <c r="BM99" s="1">
        <v>3247.2</v>
      </c>
    </row>
    <row r="100" spans="1:65">
      <c r="A100" s="1" t="s">
        <v>1215</v>
      </c>
      <c r="B100" s="34">
        <v>118.4</v>
      </c>
      <c r="C100" s="34">
        <v>122.2</v>
      </c>
      <c r="D100" s="34">
        <v>126.5</v>
      </c>
      <c r="E100" s="34">
        <v>132</v>
      </c>
      <c r="F100" s="34">
        <v>140.5</v>
      </c>
      <c r="G100" s="34">
        <v>148.19999999999999</v>
      </c>
      <c r="H100" s="34">
        <v>155.69999999999999</v>
      </c>
      <c r="I100" s="34">
        <v>156.30000000000001</v>
      </c>
      <c r="J100" s="34">
        <v>162.30000000000001</v>
      </c>
      <c r="K100" s="34">
        <v>169.4</v>
      </c>
      <c r="L100" s="34">
        <v>158.69999999999999</v>
      </c>
      <c r="M100" s="34">
        <v>164.8</v>
      </c>
      <c r="N100" s="34">
        <v>178.9</v>
      </c>
      <c r="O100" s="34">
        <v>211.8</v>
      </c>
      <c r="P100" s="34">
        <v>240.1</v>
      </c>
      <c r="Q100" s="34">
        <v>266.5</v>
      </c>
      <c r="R100" s="34">
        <v>283.5</v>
      </c>
      <c r="S100" s="34">
        <v>314.3</v>
      </c>
      <c r="T100" s="34">
        <v>357.6</v>
      </c>
      <c r="U100" s="34">
        <v>393.2</v>
      </c>
      <c r="V100" s="34">
        <v>428</v>
      </c>
      <c r="W100" s="34">
        <v>427.5</v>
      </c>
      <c r="X100" s="34">
        <v>420.2</v>
      </c>
      <c r="Y100" s="34">
        <v>414.7</v>
      </c>
      <c r="Z100" s="34">
        <v>423.5</v>
      </c>
      <c r="AA100" s="34">
        <v>438.8</v>
      </c>
      <c r="AB100" s="34">
        <v>386.6</v>
      </c>
      <c r="AC100" s="34">
        <v>402.1</v>
      </c>
      <c r="AD100" s="34">
        <v>412.7</v>
      </c>
      <c r="AE100" s="34">
        <v>415.1</v>
      </c>
      <c r="AF100" s="34">
        <v>468.3</v>
      </c>
      <c r="AG100" s="34">
        <v>496.6</v>
      </c>
      <c r="AH100" s="34">
        <v>363.2</v>
      </c>
      <c r="AI100" s="34">
        <v>364.1</v>
      </c>
      <c r="AJ100" s="34">
        <v>302</v>
      </c>
      <c r="AK100" s="34">
        <v>341.6</v>
      </c>
      <c r="AL100" s="34">
        <v>362</v>
      </c>
      <c r="AM100" s="34">
        <v>368.7</v>
      </c>
      <c r="AN100" s="34">
        <v>370.9</v>
      </c>
      <c r="AO100" s="34">
        <v>362.8</v>
      </c>
      <c r="AP100" s="34">
        <v>381.8</v>
      </c>
      <c r="AQ100" s="34">
        <v>357.8</v>
      </c>
      <c r="AR100" s="34">
        <v>377</v>
      </c>
      <c r="AS100" s="34">
        <v>415.2</v>
      </c>
      <c r="AT100" s="34">
        <v>465.2</v>
      </c>
      <c r="AU100" s="34">
        <v>518</v>
      </c>
      <c r="AV100" s="34">
        <v>590.5</v>
      </c>
      <c r="AW100" s="34">
        <v>685.5</v>
      </c>
      <c r="AX100" s="34">
        <v>792.2</v>
      </c>
      <c r="AY100" s="34">
        <v>764.1</v>
      </c>
      <c r="AZ100" s="34">
        <v>806.8</v>
      </c>
      <c r="BA100" s="34">
        <v>869.2</v>
      </c>
      <c r="BB100" s="34">
        <v>874.7</v>
      </c>
      <c r="BC100" s="34">
        <v>955.2</v>
      </c>
      <c r="BD100" s="34">
        <v>982.6</v>
      </c>
      <c r="BE100" s="34">
        <v>917.7</v>
      </c>
      <c r="BF100" s="34">
        <v>901.3</v>
      </c>
      <c r="BG100" s="34">
        <v>940.8</v>
      </c>
      <c r="BH100" s="34">
        <v>977.3</v>
      </c>
      <c r="BI100" s="34">
        <v>985.6</v>
      </c>
      <c r="BJ100" s="34">
        <v>968.1</v>
      </c>
      <c r="BK100" s="1">
        <v>1047.7</v>
      </c>
      <c r="BL100" s="1">
        <v>1110.0999999999999</v>
      </c>
      <c r="BM100" s="1">
        <v>1245</v>
      </c>
    </row>
    <row r="101" spans="1:65">
      <c r="A101" s="1" t="s">
        <v>1216</v>
      </c>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v>5369.1</v>
      </c>
      <c r="AG101" s="34">
        <v>4000.9</v>
      </c>
      <c r="AH101" s="34">
        <v>2321.1999999999998</v>
      </c>
      <c r="AI101" s="34">
        <v>2447.5</v>
      </c>
      <c r="AJ101" s="34">
        <v>3237.9</v>
      </c>
      <c r="AK101" s="34">
        <v>4930.3</v>
      </c>
      <c r="AL101" s="34">
        <v>5298.9</v>
      </c>
      <c r="AM101" s="34">
        <v>5330.3</v>
      </c>
      <c r="AN101" s="34">
        <v>5711.5</v>
      </c>
      <c r="AO101" s="34">
        <v>5267.6</v>
      </c>
      <c r="AP101" s="34">
        <v>4952.3</v>
      </c>
      <c r="AQ101" s="34">
        <v>5363.8</v>
      </c>
      <c r="AR101" s="34">
        <v>6219.6</v>
      </c>
      <c r="AS101" s="34">
        <v>8192.6</v>
      </c>
      <c r="AT101" s="34">
        <v>9723.4</v>
      </c>
      <c r="AU101" s="34">
        <v>10446.4</v>
      </c>
      <c r="AV101" s="34">
        <v>11505.4</v>
      </c>
      <c r="AW101" s="34">
        <v>13762.7</v>
      </c>
      <c r="AX101" s="34">
        <v>15900.5</v>
      </c>
      <c r="AY101" s="34">
        <v>14422.9</v>
      </c>
      <c r="AZ101" s="34">
        <v>13697.5</v>
      </c>
      <c r="BA101" s="34">
        <v>14664.4</v>
      </c>
      <c r="BB101" s="34">
        <v>13453</v>
      </c>
      <c r="BC101" s="34">
        <v>14002.2</v>
      </c>
      <c r="BD101" s="34">
        <v>14035.9</v>
      </c>
      <c r="BE101" s="34">
        <v>12135.1</v>
      </c>
      <c r="BF101" s="34">
        <v>12634.3</v>
      </c>
      <c r="BG101" s="34">
        <v>13655.5</v>
      </c>
      <c r="BH101" s="34">
        <v>15133</v>
      </c>
      <c r="BI101" s="34">
        <v>15218.5</v>
      </c>
      <c r="BJ101" s="34">
        <v>14383.9</v>
      </c>
      <c r="BK101" s="1">
        <v>17943.400000000001</v>
      </c>
      <c r="BL101" s="1">
        <v>18673.2</v>
      </c>
      <c r="BM101" s="1">
        <v>21459.8</v>
      </c>
    </row>
    <row r="102" spans="1:65">
      <c r="A102" s="1" t="s">
        <v>1217</v>
      </c>
      <c r="B102" s="34">
        <v>70</v>
      </c>
      <c r="C102" s="34">
        <v>68.2</v>
      </c>
      <c r="D102" s="34">
        <v>69.599999999999994</v>
      </c>
      <c r="E102" s="34">
        <v>71.5</v>
      </c>
      <c r="F102" s="34">
        <v>77.5</v>
      </c>
      <c r="G102" s="34">
        <v>82.6</v>
      </c>
      <c r="H102" s="34">
        <v>84.8</v>
      </c>
      <c r="I102" s="34">
        <v>83.3</v>
      </c>
      <c r="J102" s="34">
        <v>81.5</v>
      </c>
      <c r="K102" s="34">
        <v>85.2</v>
      </c>
      <c r="L102" s="34">
        <v>70.8</v>
      </c>
      <c r="M102" s="34">
        <v>76.099999999999994</v>
      </c>
      <c r="N102" s="34">
        <v>76.7</v>
      </c>
      <c r="O102" s="34">
        <v>94.5</v>
      </c>
      <c r="P102" s="34">
        <v>112.4</v>
      </c>
      <c r="Q102" s="34">
        <v>133</v>
      </c>
      <c r="R102" s="34">
        <v>168.3</v>
      </c>
      <c r="S102" s="34">
        <v>177.9</v>
      </c>
      <c r="T102" s="34">
        <v>179.5</v>
      </c>
      <c r="U102" s="34">
        <v>195.2</v>
      </c>
      <c r="V102" s="34">
        <v>245.1</v>
      </c>
      <c r="W102" s="34">
        <v>256.8</v>
      </c>
      <c r="X102" s="34">
        <v>250.8</v>
      </c>
      <c r="Y102" s="34">
        <v>270.7</v>
      </c>
      <c r="Z102" s="34">
        <v>296.8</v>
      </c>
      <c r="AA102" s="34">
        <v>321.7</v>
      </c>
      <c r="AB102" s="34">
        <v>363.6</v>
      </c>
      <c r="AC102" s="34">
        <v>314.5</v>
      </c>
      <c r="AD102" s="34">
        <v>393.4</v>
      </c>
      <c r="AE102" s="34">
        <v>403.3</v>
      </c>
      <c r="AF102" s="34">
        <v>447.1</v>
      </c>
      <c r="AG102" s="34">
        <v>491.6</v>
      </c>
      <c r="AH102" s="34">
        <v>313.2</v>
      </c>
      <c r="AI102" s="34">
        <v>255.7</v>
      </c>
      <c r="AJ102" s="34">
        <v>289.5</v>
      </c>
      <c r="AK102" s="34">
        <v>368.8</v>
      </c>
      <c r="AL102" s="34">
        <v>374.2</v>
      </c>
      <c r="AM102" s="34">
        <v>421.8</v>
      </c>
      <c r="AN102" s="34">
        <v>462</v>
      </c>
      <c r="AO102" s="34">
        <v>506</v>
      </c>
      <c r="AP102" s="34">
        <v>815</v>
      </c>
      <c r="AQ102" s="34">
        <v>743.9</v>
      </c>
      <c r="AR102" s="34">
        <v>716.5</v>
      </c>
      <c r="AS102" s="34">
        <v>575.6</v>
      </c>
      <c r="AT102" s="34">
        <v>679.3</v>
      </c>
      <c r="AU102" s="34">
        <v>771.5</v>
      </c>
      <c r="AV102" s="34">
        <v>824.4</v>
      </c>
      <c r="AW102" s="34">
        <v>979.6</v>
      </c>
      <c r="AX102" s="34">
        <v>1089.5999999999999</v>
      </c>
      <c r="AY102" s="34">
        <v>1191.8</v>
      </c>
      <c r="AZ102" s="34">
        <v>1204.9000000000001</v>
      </c>
      <c r="BA102" s="34">
        <v>1306.8</v>
      </c>
      <c r="BB102" s="34">
        <v>1356.2</v>
      </c>
      <c r="BC102" s="34">
        <v>1452.3</v>
      </c>
      <c r="BD102" s="34">
        <v>1454.6</v>
      </c>
      <c r="BE102" s="34">
        <v>1405.7</v>
      </c>
      <c r="BF102" s="34">
        <v>1313.2</v>
      </c>
      <c r="BG102" s="34">
        <v>1389.4</v>
      </c>
      <c r="BH102" s="34">
        <v>1489.6</v>
      </c>
      <c r="BI102" s="34">
        <v>1345.5</v>
      </c>
      <c r="BJ102" s="34">
        <v>1283.0999999999999</v>
      </c>
      <c r="BK102" s="1">
        <v>1823.7</v>
      </c>
      <c r="BL102" s="1">
        <v>1748.3</v>
      </c>
      <c r="BM102" s="1">
        <v>1693.1</v>
      </c>
    </row>
    <row r="103" spans="1:65">
      <c r="A103" s="1" t="s">
        <v>1218</v>
      </c>
      <c r="B103" s="34"/>
      <c r="C103" s="34"/>
      <c r="D103" s="34"/>
      <c r="E103" s="34"/>
      <c r="F103" s="34"/>
      <c r="G103" s="34"/>
      <c r="H103" s="34"/>
      <c r="I103" s="34"/>
      <c r="J103" s="34">
        <v>474.9</v>
      </c>
      <c r="K103" s="34">
        <v>525.5</v>
      </c>
      <c r="L103" s="34">
        <v>557.4</v>
      </c>
      <c r="M103" s="34">
        <v>604.9</v>
      </c>
      <c r="N103" s="34">
        <v>707.3</v>
      </c>
      <c r="O103" s="34">
        <v>873.1</v>
      </c>
      <c r="P103" s="34">
        <v>952.8</v>
      </c>
      <c r="Q103" s="34">
        <v>1079.9000000000001</v>
      </c>
      <c r="R103" s="34">
        <v>1244.7</v>
      </c>
      <c r="S103" s="34">
        <v>1383.9</v>
      </c>
      <c r="T103" s="34">
        <v>1612.6</v>
      </c>
      <c r="U103" s="34">
        <v>1858.6</v>
      </c>
      <c r="V103" s="34">
        <v>2151.1999999999998</v>
      </c>
      <c r="W103" s="34">
        <v>2205.8000000000002</v>
      </c>
      <c r="X103" s="34">
        <v>2247.6999999999998</v>
      </c>
      <c r="Y103" s="34">
        <v>2043</v>
      </c>
      <c r="Z103" s="34">
        <v>1984.7</v>
      </c>
      <c r="AA103" s="34">
        <v>2013.4</v>
      </c>
      <c r="AB103" s="34">
        <v>2323.1999999999998</v>
      </c>
      <c r="AC103" s="34">
        <v>2557.6</v>
      </c>
      <c r="AD103" s="34">
        <v>2803.1</v>
      </c>
      <c r="AE103" s="34">
        <v>2893</v>
      </c>
      <c r="AF103" s="34">
        <v>3312.7</v>
      </c>
      <c r="AG103" s="34">
        <v>3350.3</v>
      </c>
      <c r="AH103" s="34">
        <v>3735.1</v>
      </c>
      <c r="AI103" s="34">
        <v>3874</v>
      </c>
      <c r="AJ103" s="34">
        <v>4173.3999999999996</v>
      </c>
      <c r="AK103" s="34">
        <v>4494.7</v>
      </c>
      <c r="AL103" s="34">
        <v>4525</v>
      </c>
      <c r="AM103" s="34">
        <v>4596.2</v>
      </c>
      <c r="AN103" s="34">
        <v>4744.2</v>
      </c>
      <c r="AO103" s="34">
        <v>4793.5</v>
      </c>
      <c r="AP103" s="34">
        <v>4624.3</v>
      </c>
      <c r="AQ103" s="34">
        <v>5276</v>
      </c>
      <c r="AR103" s="34">
        <v>6655.3</v>
      </c>
      <c r="AS103" s="34">
        <v>8419.4</v>
      </c>
      <c r="AT103" s="34">
        <v>10301.700000000001</v>
      </c>
      <c r="AU103" s="34">
        <v>11223.4</v>
      </c>
      <c r="AV103" s="34">
        <v>11489.6</v>
      </c>
      <c r="AW103" s="34">
        <v>13940.9</v>
      </c>
      <c r="AX103" s="34">
        <v>15772.3</v>
      </c>
      <c r="AY103" s="34">
        <v>13077.3</v>
      </c>
      <c r="AZ103" s="34">
        <v>13217.5</v>
      </c>
      <c r="BA103" s="34">
        <v>14234.5</v>
      </c>
      <c r="BB103" s="34">
        <v>12984.8</v>
      </c>
      <c r="BC103" s="34">
        <v>13715.1</v>
      </c>
      <c r="BD103" s="34">
        <v>14294.3</v>
      </c>
      <c r="BE103" s="34">
        <v>12717</v>
      </c>
      <c r="BF103" s="34">
        <v>13104.7</v>
      </c>
      <c r="BG103" s="34">
        <v>14621.2</v>
      </c>
      <c r="BH103" s="34">
        <v>16425.2</v>
      </c>
      <c r="BI103" s="34">
        <v>16786.2</v>
      </c>
      <c r="BJ103" s="34">
        <v>16132</v>
      </c>
      <c r="BK103" s="1">
        <v>18755.099999999999</v>
      </c>
      <c r="BL103" s="1">
        <v>18355.8</v>
      </c>
      <c r="BM103" s="1">
        <v>22147.200000000001</v>
      </c>
    </row>
    <row r="104" spans="1:65">
      <c r="A104" s="1" t="s">
        <v>1219</v>
      </c>
      <c r="B104" s="34">
        <v>171.5</v>
      </c>
      <c r="C104" s="34">
        <v>167.3</v>
      </c>
      <c r="D104" s="34">
        <v>166.8</v>
      </c>
      <c r="E104" s="34">
        <v>180</v>
      </c>
      <c r="F104" s="34">
        <v>199.6</v>
      </c>
      <c r="G104" s="34">
        <v>214.1</v>
      </c>
      <c r="H104" s="34">
        <v>211.7</v>
      </c>
      <c r="I104" s="34">
        <v>215.6</v>
      </c>
      <c r="J104" s="34">
        <v>222.6</v>
      </c>
      <c r="K104" s="34">
        <v>241.9</v>
      </c>
      <c r="L104" s="34">
        <v>257.5</v>
      </c>
      <c r="M104" s="34">
        <v>273</v>
      </c>
      <c r="N104" s="34">
        <v>300.7</v>
      </c>
      <c r="O104" s="34">
        <v>371.2</v>
      </c>
      <c r="P104" s="34">
        <v>453.2</v>
      </c>
      <c r="Q104" s="34">
        <v>489</v>
      </c>
      <c r="R104" s="34">
        <v>517.5</v>
      </c>
      <c r="S104" s="34">
        <v>577</v>
      </c>
      <c r="T104" s="34">
        <v>608.5</v>
      </c>
      <c r="U104" s="34">
        <v>727.3</v>
      </c>
      <c r="V104" s="34">
        <v>867.3</v>
      </c>
      <c r="W104" s="34">
        <v>914.5</v>
      </c>
      <c r="X104" s="34">
        <v>870.2</v>
      </c>
      <c r="Y104" s="34">
        <v>878.3</v>
      </c>
      <c r="Z104" s="34">
        <v>895.3</v>
      </c>
      <c r="AA104" s="34">
        <v>905.3</v>
      </c>
      <c r="AB104" s="34">
        <v>904.4</v>
      </c>
      <c r="AC104" s="34">
        <v>905</v>
      </c>
      <c r="AD104" s="34">
        <v>946.6</v>
      </c>
      <c r="AE104" s="34">
        <v>935.1</v>
      </c>
      <c r="AF104" s="34">
        <v>1030.9000000000001</v>
      </c>
      <c r="AG104" s="34">
        <v>982.1</v>
      </c>
      <c r="AH104" s="34">
        <v>1016.2</v>
      </c>
      <c r="AI104" s="34">
        <v>1086.5999999999999</v>
      </c>
      <c r="AJ104" s="34">
        <v>1181.0999999999999</v>
      </c>
      <c r="AK104" s="34">
        <v>1319.5</v>
      </c>
      <c r="AL104" s="34">
        <v>1420.8</v>
      </c>
      <c r="AM104" s="34">
        <v>1486.6</v>
      </c>
      <c r="AN104" s="34">
        <v>1427.5</v>
      </c>
      <c r="AO104" s="34">
        <v>1372.9</v>
      </c>
      <c r="AP104" s="34">
        <v>1475.9</v>
      </c>
      <c r="AQ104" s="34">
        <v>1479</v>
      </c>
      <c r="AR104" s="34">
        <v>1484.1</v>
      </c>
      <c r="AS104" s="34">
        <v>1648.6</v>
      </c>
      <c r="AT104" s="34">
        <v>1942.2</v>
      </c>
      <c r="AU104" s="34">
        <v>2295.1999999999998</v>
      </c>
      <c r="AV104" s="34">
        <v>2694</v>
      </c>
      <c r="AW104" s="34">
        <v>3312.3</v>
      </c>
      <c r="AX104" s="34">
        <v>3933.9</v>
      </c>
      <c r="AY104" s="34">
        <v>3776</v>
      </c>
      <c r="AZ104" s="34">
        <v>4545.6000000000004</v>
      </c>
      <c r="BA104" s="34">
        <v>5326.1</v>
      </c>
      <c r="BB104" s="34">
        <v>5601.1</v>
      </c>
      <c r="BC104" s="34">
        <v>5844.9</v>
      </c>
      <c r="BD104" s="34">
        <v>5978.1</v>
      </c>
      <c r="BE104" s="34">
        <v>5541.3</v>
      </c>
      <c r="BF104" s="34">
        <v>5528</v>
      </c>
      <c r="BG104" s="34">
        <v>6048.2</v>
      </c>
      <c r="BH104" s="34">
        <v>6378.5</v>
      </c>
      <c r="BI104" s="34">
        <v>6465.8</v>
      </c>
      <c r="BJ104" s="34">
        <v>6185.5</v>
      </c>
      <c r="BK104" s="1">
        <v>7301.9</v>
      </c>
      <c r="BL104" s="1">
        <v>7681.3</v>
      </c>
      <c r="BM104" s="1">
        <v>7845.4</v>
      </c>
    </row>
    <row r="105" spans="1:65">
      <c r="A105" s="1" t="s">
        <v>1220</v>
      </c>
      <c r="B105" s="34">
        <v>160.80000000000001</v>
      </c>
      <c r="C105" s="34">
        <v>158.5</v>
      </c>
      <c r="D105" s="34">
        <v>159.1</v>
      </c>
      <c r="E105" s="34">
        <v>170.1</v>
      </c>
      <c r="F105" s="34">
        <v>186.9</v>
      </c>
      <c r="G105" s="34">
        <v>200.3</v>
      </c>
      <c r="H105" s="34">
        <v>199.9</v>
      </c>
      <c r="I105" s="34">
        <v>203.3</v>
      </c>
      <c r="J105" s="34">
        <v>209.6</v>
      </c>
      <c r="K105" s="34">
        <v>227.7</v>
      </c>
      <c r="L105" s="34">
        <v>243.5</v>
      </c>
      <c r="M105" s="34">
        <v>254.7</v>
      </c>
      <c r="N105" s="34">
        <v>278.10000000000002</v>
      </c>
      <c r="O105" s="34">
        <v>338.4</v>
      </c>
      <c r="P105" s="34">
        <v>416.4</v>
      </c>
      <c r="Q105" s="34">
        <v>454</v>
      </c>
      <c r="R105" s="34">
        <v>477.9</v>
      </c>
      <c r="S105" s="34">
        <v>527.70000000000005</v>
      </c>
      <c r="T105" s="34">
        <v>560</v>
      </c>
      <c r="U105" s="34">
        <v>663.6</v>
      </c>
      <c r="V105" s="34">
        <v>789.1</v>
      </c>
      <c r="W105" s="34">
        <v>874.1</v>
      </c>
      <c r="X105" s="34">
        <v>827</v>
      </c>
      <c r="Y105" s="34">
        <v>808.5</v>
      </c>
      <c r="Z105" s="34">
        <v>811.9</v>
      </c>
      <c r="AA105" s="34">
        <v>820.4</v>
      </c>
      <c r="AB105" s="34">
        <v>804.8</v>
      </c>
      <c r="AC105" s="34">
        <v>805.4</v>
      </c>
      <c r="AD105" s="34">
        <v>840.5</v>
      </c>
      <c r="AE105" s="34">
        <v>829.7</v>
      </c>
      <c r="AF105" s="34">
        <v>911.6</v>
      </c>
      <c r="AG105" s="34">
        <v>876.2</v>
      </c>
      <c r="AH105" s="34">
        <v>890.5</v>
      </c>
      <c r="AI105" s="34">
        <v>947.1</v>
      </c>
      <c r="AJ105" s="34">
        <v>1021.4</v>
      </c>
      <c r="AK105" s="34">
        <v>1145.2</v>
      </c>
      <c r="AL105" s="34">
        <v>1236.3</v>
      </c>
      <c r="AM105" s="34">
        <v>1288.9000000000001</v>
      </c>
      <c r="AN105" s="34">
        <v>1242.5999999999999</v>
      </c>
      <c r="AO105" s="34">
        <v>1165.2</v>
      </c>
      <c r="AP105" s="34">
        <v>1254.4000000000001</v>
      </c>
      <c r="AQ105" s="34">
        <v>1250.9000000000001</v>
      </c>
      <c r="AR105" s="34">
        <v>1257.5</v>
      </c>
      <c r="AS105" s="34">
        <v>1393.2</v>
      </c>
      <c r="AT105" s="34">
        <v>1634.1</v>
      </c>
      <c r="AU105" s="34">
        <v>1920.8</v>
      </c>
      <c r="AV105" s="34">
        <v>2248.8000000000002</v>
      </c>
      <c r="AW105" s="34">
        <v>2743.9</v>
      </c>
      <c r="AX105" s="34">
        <v>3247.1</v>
      </c>
      <c r="AY105" s="34">
        <v>3108.7</v>
      </c>
      <c r="AZ105" s="34">
        <v>3715.3</v>
      </c>
      <c r="BA105" s="34">
        <v>4324.8999999999996</v>
      </c>
      <c r="BB105" s="34">
        <v>4532.3999999999996</v>
      </c>
      <c r="BC105" s="34">
        <v>4727.6000000000004</v>
      </c>
      <c r="BD105" s="34">
        <v>4837.2</v>
      </c>
      <c r="BE105" s="34">
        <v>4484.5</v>
      </c>
      <c r="BF105" s="34">
        <v>4456.8</v>
      </c>
      <c r="BG105" s="34">
        <v>4837.1000000000004</v>
      </c>
      <c r="BH105" s="34">
        <v>5088</v>
      </c>
      <c r="BI105" s="34">
        <v>5144.3999999999996</v>
      </c>
      <c r="BJ105" s="34">
        <v>4907.3</v>
      </c>
      <c r="BK105" s="1">
        <v>5731.3</v>
      </c>
      <c r="BL105" s="1">
        <v>6006.3</v>
      </c>
      <c r="BM105" s="1">
        <v>6094</v>
      </c>
    </row>
    <row r="106" spans="1:65">
      <c r="A106" s="1" t="s">
        <v>1221</v>
      </c>
      <c r="B106" s="34">
        <v>104.3</v>
      </c>
      <c r="C106" s="34">
        <v>109</v>
      </c>
      <c r="D106" s="34">
        <v>112.9</v>
      </c>
      <c r="E106" s="34">
        <v>115.6</v>
      </c>
      <c r="F106" s="34">
        <v>120.9</v>
      </c>
      <c r="G106" s="34">
        <v>129.1</v>
      </c>
      <c r="H106" s="34">
        <v>135.4</v>
      </c>
      <c r="I106" s="34">
        <v>136.69999999999999</v>
      </c>
      <c r="J106" s="34">
        <v>140.30000000000001</v>
      </c>
      <c r="K106" s="34">
        <v>151.80000000000001</v>
      </c>
      <c r="L106" s="34">
        <v>166.5</v>
      </c>
      <c r="M106" s="34">
        <v>162.69999999999999</v>
      </c>
      <c r="N106" s="34">
        <v>169.5</v>
      </c>
      <c r="O106" s="34">
        <v>190.2</v>
      </c>
      <c r="P106" s="34">
        <v>244.7</v>
      </c>
      <c r="Q106" s="34">
        <v>283.3</v>
      </c>
      <c r="R106" s="34">
        <v>290.3</v>
      </c>
      <c r="S106" s="34">
        <v>303.89999999999998</v>
      </c>
      <c r="T106" s="34">
        <v>334.3</v>
      </c>
      <c r="U106" s="34">
        <v>378.9</v>
      </c>
      <c r="V106" s="34">
        <v>443.9</v>
      </c>
      <c r="W106" s="34">
        <v>627.70000000000005</v>
      </c>
      <c r="X106" s="34">
        <v>579.29999999999995</v>
      </c>
      <c r="Y106" s="34">
        <v>487</v>
      </c>
      <c r="Z106" s="34">
        <v>449.2</v>
      </c>
      <c r="AA106" s="34">
        <v>453.3</v>
      </c>
      <c r="AB106" s="34">
        <v>396.8</v>
      </c>
      <c r="AC106" s="34">
        <v>399.1</v>
      </c>
      <c r="AD106" s="34">
        <v>412</v>
      </c>
      <c r="AE106" s="34">
        <v>407.3</v>
      </c>
      <c r="AF106" s="34">
        <v>437.3</v>
      </c>
      <c r="AG106" s="34">
        <v>460.3</v>
      </c>
      <c r="AH106" s="34">
        <v>399.9</v>
      </c>
      <c r="AI106" s="34">
        <v>408.8</v>
      </c>
      <c r="AJ106" s="34">
        <v>411.8</v>
      </c>
      <c r="AK106" s="34">
        <v>488.2</v>
      </c>
      <c r="AL106" s="34">
        <v>548.5</v>
      </c>
      <c r="AM106" s="34">
        <v>560.20000000000005</v>
      </c>
      <c r="AN106" s="34">
        <v>569.29999999999995</v>
      </c>
      <c r="AO106" s="34">
        <v>414.4</v>
      </c>
      <c r="AP106" s="34">
        <v>464.4</v>
      </c>
      <c r="AQ106" s="34">
        <v>447.4</v>
      </c>
      <c r="AR106" s="34">
        <v>470.4</v>
      </c>
      <c r="AS106" s="34">
        <v>517.70000000000005</v>
      </c>
      <c r="AT106" s="34">
        <v>591</v>
      </c>
      <c r="AU106" s="34">
        <v>669.5</v>
      </c>
      <c r="AV106" s="34">
        <v>780.5</v>
      </c>
      <c r="AW106" s="34">
        <v>894.2</v>
      </c>
      <c r="AX106" s="34">
        <v>1040.7</v>
      </c>
      <c r="AY106" s="34">
        <v>992.7</v>
      </c>
      <c r="AZ106" s="34">
        <v>1118.0999999999999</v>
      </c>
      <c r="BA106" s="34">
        <v>1234.4000000000001</v>
      </c>
      <c r="BB106" s="34">
        <v>1272.0999999999999</v>
      </c>
      <c r="BC106" s="34">
        <v>1355.1</v>
      </c>
      <c r="BD106" s="34">
        <v>1429</v>
      </c>
      <c r="BE106" s="34">
        <v>1361</v>
      </c>
      <c r="BF106" s="34">
        <v>1327.7</v>
      </c>
      <c r="BG106" s="34">
        <v>1344.2</v>
      </c>
      <c r="BH106" s="34">
        <v>1415.6</v>
      </c>
      <c r="BI106" s="34">
        <v>1437</v>
      </c>
      <c r="BJ106" s="34">
        <v>1375.9</v>
      </c>
      <c r="BK106" s="1">
        <v>1465.3</v>
      </c>
      <c r="BL106" s="1">
        <v>1539.3</v>
      </c>
      <c r="BM106" s="1">
        <v>1502.1</v>
      </c>
    </row>
    <row r="107" spans="1:65">
      <c r="A107" s="1" t="s">
        <v>1222</v>
      </c>
      <c r="B107" s="34">
        <v>101.8</v>
      </c>
      <c r="C107" s="34">
        <v>106.4</v>
      </c>
      <c r="D107" s="34">
        <v>111</v>
      </c>
      <c r="E107" s="34">
        <v>114.7</v>
      </c>
      <c r="F107" s="34">
        <v>122</v>
      </c>
      <c r="G107" s="34">
        <v>129.1</v>
      </c>
      <c r="H107" s="34">
        <v>136.80000000000001</v>
      </c>
      <c r="I107" s="34">
        <v>134</v>
      </c>
      <c r="J107" s="34">
        <v>137.69999999999999</v>
      </c>
      <c r="K107" s="34">
        <v>153.6</v>
      </c>
      <c r="L107" s="34">
        <v>205.2</v>
      </c>
      <c r="M107" s="34">
        <v>186</v>
      </c>
      <c r="N107" s="34">
        <v>203.4</v>
      </c>
      <c r="O107" s="34">
        <v>211.6</v>
      </c>
      <c r="P107" s="34">
        <v>296.3</v>
      </c>
      <c r="Q107" s="34">
        <v>331.1</v>
      </c>
      <c r="R107" s="34">
        <v>387.3</v>
      </c>
      <c r="S107" s="34">
        <v>396.5</v>
      </c>
      <c r="T107" s="34">
        <v>418.4</v>
      </c>
      <c r="U107" s="34">
        <v>497.8</v>
      </c>
      <c r="V107" s="34">
        <v>616.70000000000005</v>
      </c>
      <c r="W107" s="34">
        <v>1141.0999999999999</v>
      </c>
      <c r="X107" s="34">
        <v>1008.3</v>
      </c>
      <c r="Y107" s="34">
        <v>743.1</v>
      </c>
      <c r="Z107" s="34">
        <v>619.9</v>
      </c>
      <c r="AA107" s="34">
        <v>603.5</v>
      </c>
      <c r="AB107" s="34">
        <v>528.20000000000005</v>
      </c>
      <c r="AC107" s="34">
        <v>524.70000000000005</v>
      </c>
      <c r="AD107" s="34">
        <v>536.4</v>
      </c>
      <c r="AE107" s="34">
        <v>512</v>
      </c>
      <c r="AF107" s="34">
        <v>517.9</v>
      </c>
      <c r="AG107" s="34">
        <v>541.1</v>
      </c>
      <c r="AH107" s="34">
        <v>509.9</v>
      </c>
      <c r="AI107" s="34">
        <v>529.29999999999995</v>
      </c>
      <c r="AJ107" s="34">
        <v>573.20000000000005</v>
      </c>
      <c r="AK107" s="34">
        <v>783.7</v>
      </c>
      <c r="AL107" s="34">
        <v>923.9</v>
      </c>
      <c r="AM107" s="34">
        <v>944.9</v>
      </c>
      <c r="AN107" s="34">
        <v>963.4</v>
      </c>
      <c r="AO107" s="34">
        <v>507.3</v>
      </c>
      <c r="AP107" s="34">
        <v>609.4</v>
      </c>
      <c r="AQ107" s="34">
        <v>591.79999999999995</v>
      </c>
      <c r="AR107" s="34">
        <v>633.79999999999995</v>
      </c>
      <c r="AS107" s="34">
        <v>698.8</v>
      </c>
      <c r="AT107" s="34">
        <v>827.7</v>
      </c>
      <c r="AU107" s="34">
        <v>956.9</v>
      </c>
      <c r="AV107" s="34">
        <v>1158.3</v>
      </c>
      <c r="AW107" s="34">
        <v>1311.2</v>
      </c>
      <c r="AX107" s="34">
        <v>1499.3</v>
      </c>
      <c r="AY107" s="34">
        <v>1364.3</v>
      </c>
      <c r="AZ107" s="34">
        <v>1561.9</v>
      </c>
      <c r="BA107" s="34">
        <v>1742.6</v>
      </c>
      <c r="BB107" s="34">
        <v>1893.6</v>
      </c>
      <c r="BC107" s="34">
        <v>2015.5</v>
      </c>
      <c r="BD107" s="34">
        <v>2142.4</v>
      </c>
      <c r="BE107" s="34">
        <v>1993.8</v>
      </c>
      <c r="BF107" s="34">
        <v>1826.2</v>
      </c>
      <c r="BG107" s="34">
        <v>1760.5</v>
      </c>
      <c r="BH107" s="34">
        <v>1885</v>
      </c>
      <c r="BI107" s="34">
        <v>1883.5</v>
      </c>
      <c r="BJ107" s="34">
        <v>1727.9</v>
      </c>
      <c r="BK107" s="1">
        <v>1851.5</v>
      </c>
      <c r="BL107" s="1">
        <v>1942.5</v>
      </c>
      <c r="BM107" s="1">
        <v>1677</v>
      </c>
    </row>
    <row r="108" spans="1:65">
      <c r="A108" s="1" t="s">
        <v>301</v>
      </c>
      <c r="B108" s="34"/>
      <c r="C108" s="34"/>
      <c r="D108" s="34"/>
      <c r="E108" s="34"/>
      <c r="F108" s="34"/>
      <c r="G108" s="34"/>
      <c r="H108" s="34"/>
      <c r="I108" s="34">
        <v>53.3</v>
      </c>
      <c r="J108" s="34">
        <v>64.8</v>
      </c>
      <c r="K108" s="34">
        <v>74.3</v>
      </c>
      <c r="L108" s="34">
        <v>79.400000000000006</v>
      </c>
      <c r="M108" s="34">
        <v>78.900000000000006</v>
      </c>
      <c r="N108" s="34">
        <v>90.5</v>
      </c>
      <c r="O108" s="34">
        <v>130.5</v>
      </c>
      <c r="P108" s="34">
        <v>201.7</v>
      </c>
      <c r="Q108" s="34">
        <v>232.2</v>
      </c>
      <c r="R108" s="34">
        <v>277.10000000000002</v>
      </c>
      <c r="S108" s="34">
        <v>332.3</v>
      </c>
      <c r="T108" s="34">
        <v>364.3</v>
      </c>
      <c r="U108" s="34">
        <v>355.2</v>
      </c>
      <c r="V108" s="34">
        <v>489.2</v>
      </c>
      <c r="W108" s="34">
        <v>563.79999999999995</v>
      </c>
      <c r="X108" s="34">
        <v>580.79999999999995</v>
      </c>
      <c r="Y108" s="34">
        <v>510.4</v>
      </c>
      <c r="Z108" s="34">
        <v>522.70000000000005</v>
      </c>
      <c r="AA108" s="34">
        <v>514.4</v>
      </c>
      <c r="AB108" s="34">
        <v>472.7</v>
      </c>
      <c r="AC108" s="34">
        <v>440.4</v>
      </c>
      <c r="AD108" s="34">
        <v>479.8</v>
      </c>
      <c r="AE108" s="34">
        <v>527.79999999999995</v>
      </c>
      <c r="AF108" s="34">
        <v>582.70000000000005</v>
      </c>
      <c r="AG108" s="34">
        <v>629.20000000000005</v>
      </c>
      <c r="AH108" s="34">
        <v>679</v>
      </c>
      <c r="AI108" s="34">
        <v>824.1</v>
      </c>
      <c r="AJ108" s="34">
        <v>907.5</v>
      </c>
      <c r="AK108" s="34">
        <v>1020.1</v>
      </c>
      <c r="AL108" s="34">
        <v>1129.0999999999999</v>
      </c>
      <c r="AM108" s="34">
        <v>1054.3</v>
      </c>
      <c r="AN108" s="34">
        <v>459.2</v>
      </c>
      <c r="AO108" s="34">
        <v>663.5</v>
      </c>
      <c r="AP108" s="34">
        <v>770.9</v>
      </c>
      <c r="AQ108" s="34">
        <v>739</v>
      </c>
      <c r="AR108" s="34">
        <v>888.9</v>
      </c>
      <c r="AS108" s="34">
        <v>1052.4000000000001</v>
      </c>
      <c r="AT108" s="34">
        <v>1136.8</v>
      </c>
      <c r="AU108" s="34">
        <v>1249.4000000000001</v>
      </c>
      <c r="AV108" s="34">
        <v>1572.8</v>
      </c>
      <c r="AW108" s="34">
        <v>1840.3</v>
      </c>
      <c r="AX108" s="34">
        <v>2144.4</v>
      </c>
      <c r="AY108" s="34">
        <v>2239.1</v>
      </c>
      <c r="AZ108" s="34">
        <v>3094.4</v>
      </c>
      <c r="BA108" s="34">
        <v>3613.8</v>
      </c>
      <c r="BB108" s="34">
        <v>3668.2</v>
      </c>
      <c r="BC108" s="34">
        <v>3602.9</v>
      </c>
      <c r="BD108" s="34">
        <v>3476.6</v>
      </c>
      <c r="BE108" s="34">
        <v>3322.6</v>
      </c>
      <c r="BF108" s="34">
        <v>3558.8</v>
      </c>
      <c r="BG108" s="34">
        <v>3839.8</v>
      </c>
      <c r="BH108" s="34">
        <v>3902.7</v>
      </c>
      <c r="BI108" s="34">
        <v>4151.2</v>
      </c>
      <c r="BJ108" s="34">
        <v>3895.6</v>
      </c>
      <c r="BK108" s="1">
        <v>4334.2</v>
      </c>
      <c r="BL108" s="1">
        <v>4787.8999999999996</v>
      </c>
      <c r="BM108" s="1">
        <v>4940.5</v>
      </c>
    </row>
    <row r="109" spans="1:65">
      <c r="A109" s="1" t="s">
        <v>1223</v>
      </c>
      <c r="B109" s="34">
        <v>108.6</v>
      </c>
      <c r="C109" s="34">
        <v>113.4</v>
      </c>
      <c r="D109" s="34">
        <v>117.1</v>
      </c>
      <c r="E109" s="34">
        <v>119.4</v>
      </c>
      <c r="F109" s="34">
        <v>123.7</v>
      </c>
      <c r="G109" s="34">
        <v>132.69999999999999</v>
      </c>
      <c r="H109" s="34">
        <v>138.4</v>
      </c>
      <c r="I109" s="34">
        <v>142.1</v>
      </c>
      <c r="J109" s="34">
        <v>145.6</v>
      </c>
      <c r="K109" s="34">
        <v>155.19999999999999</v>
      </c>
      <c r="L109" s="34">
        <v>150</v>
      </c>
      <c r="M109" s="34">
        <v>153.9</v>
      </c>
      <c r="N109" s="34">
        <v>155.30000000000001</v>
      </c>
      <c r="O109" s="34">
        <v>182.7</v>
      </c>
      <c r="P109" s="34">
        <v>222.9</v>
      </c>
      <c r="Q109" s="34">
        <v>264</v>
      </c>
      <c r="R109" s="34">
        <v>246</v>
      </c>
      <c r="S109" s="34">
        <v>261.7</v>
      </c>
      <c r="T109" s="34">
        <v>296.7</v>
      </c>
      <c r="U109" s="34">
        <v>323.89999999999998</v>
      </c>
      <c r="V109" s="34">
        <v>361.2</v>
      </c>
      <c r="W109" s="34">
        <v>369.3</v>
      </c>
      <c r="X109" s="34">
        <v>362</v>
      </c>
      <c r="Y109" s="34">
        <v>358.4</v>
      </c>
      <c r="Z109" s="34">
        <v>364.7</v>
      </c>
      <c r="AA109" s="34">
        <v>379.2</v>
      </c>
      <c r="AB109" s="34">
        <v>331.4</v>
      </c>
      <c r="AC109" s="34">
        <v>336.4</v>
      </c>
      <c r="AD109" s="34">
        <v>349.7</v>
      </c>
      <c r="AE109" s="34">
        <v>356.1</v>
      </c>
      <c r="AF109" s="34">
        <v>400.8</v>
      </c>
      <c r="AG109" s="34">
        <v>423.7</v>
      </c>
      <c r="AH109" s="34">
        <v>346.7</v>
      </c>
      <c r="AI109" s="34">
        <v>350.3</v>
      </c>
      <c r="AJ109" s="34">
        <v>332.4</v>
      </c>
      <c r="AK109" s="34">
        <v>340.2</v>
      </c>
      <c r="AL109" s="34">
        <v>359.4</v>
      </c>
      <c r="AM109" s="34">
        <v>366</v>
      </c>
      <c r="AN109" s="34">
        <v>369.7</v>
      </c>
      <c r="AO109" s="34">
        <v>369.6</v>
      </c>
      <c r="AP109" s="34">
        <v>392.5</v>
      </c>
      <c r="AQ109" s="34">
        <v>375.5</v>
      </c>
      <c r="AR109" s="34">
        <v>388.8</v>
      </c>
      <c r="AS109" s="34">
        <v>427.4</v>
      </c>
      <c r="AT109" s="34">
        <v>472.5</v>
      </c>
      <c r="AU109" s="34">
        <v>525.29999999999995</v>
      </c>
      <c r="AV109" s="34">
        <v>590.5</v>
      </c>
      <c r="AW109" s="34">
        <v>684.6</v>
      </c>
      <c r="AX109" s="34">
        <v>810.1</v>
      </c>
      <c r="AY109" s="34">
        <v>805.5</v>
      </c>
      <c r="AZ109" s="34">
        <v>894</v>
      </c>
      <c r="BA109" s="34">
        <v>977.3</v>
      </c>
      <c r="BB109" s="34">
        <v>957.8</v>
      </c>
      <c r="BC109" s="34">
        <v>1021.3</v>
      </c>
      <c r="BD109" s="34">
        <v>1068.9000000000001</v>
      </c>
      <c r="BE109" s="34">
        <v>1042.2</v>
      </c>
      <c r="BF109" s="34">
        <v>1077.5</v>
      </c>
      <c r="BG109" s="34">
        <v>1135.9000000000001</v>
      </c>
      <c r="BH109" s="34">
        <v>1181.4000000000001</v>
      </c>
      <c r="BI109" s="34">
        <v>1214.9000000000001</v>
      </c>
      <c r="BJ109" s="34">
        <v>1201.2</v>
      </c>
      <c r="BK109" s="1">
        <v>1274.0999999999999</v>
      </c>
      <c r="BL109" s="1">
        <v>1339.9</v>
      </c>
      <c r="BM109" s="1">
        <v>1417.3</v>
      </c>
    </row>
    <row r="110" spans="1:65">
      <c r="A110" s="1" t="s">
        <v>1224</v>
      </c>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v>12802.1</v>
      </c>
      <c r="AL110" s="34">
        <v>14212.2</v>
      </c>
      <c r="AM110" s="34">
        <v>16223.7</v>
      </c>
      <c r="AN110" s="34">
        <v>18753</v>
      </c>
      <c r="AO110" s="34">
        <v>20991.599999999999</v>
      </c>
      <c r="AP110" s="34">
        <v>20693.8</v>
      </c>
      <c r="AQ110" s="34">
        <v>21716.9</v>
      </c>
      <c r="AR110" s="34">
        <v>25230.1</v>
      </c>
      <c r="AS110" s="34">
        <v>29878</v>
      </c>
      <c r="AT110" s="34">
        <v>35872.699999999997</v>
      </c>
      <c r="AU110" s="34">
        <v>38184.400000000001</v>
      </c>
      <c r="AV110" s="34">
        <v>42662.6</v>
      </c>
      <c r="AW110" s="34">
        <v>55072.1</v>
      </c>
      <c r="AX110" s="34">
        <v>72305</v>
      </c>
      <c r="AY110" s="34">
        <v>66175.3</v>
      </c>
      <c r="AZ110" s="34">
        <v>70625.2</v>
      </c>
      <c r="BA110" s="34">
        <v>77838.399999999994</v>
      </c>
      <c r="BB110" s="34">
        <v>79326.399999999994</v>
      </c>
      <c r="BC110" s="34">
        <v>83204.7</v>
      </c>
      <c r="BD110" s="34">
        <v>91881.1</v>
      </c>
      <c r="BE110" s="34">
        <v>84753.5</v>
      </c>
      <c r="BF110" s="34">
        <v>82041.7</v>
      </c>
      <c r="BG110" s="34">
        <v>83510.3</v>
      </c>
      <c r="BH110" s="34">
        <v>89425.8</v>
      </c>
      <c r="BI110" s="34">
        <v>87152.5</v>
      </c>
      <c r="BJ110" s="34">
        <v>79530.600000000006</v>
      </c>
      <c r="BK110" s="1">
        <v>94124.3</v>
      </c>
    </row>
    <row r="111" spans="1:65">
      <c r="A111" s="1" t="s">
        <v>189</v>
      </c>
      <c r="B111" s="34">
        <v>83</v>
      </c>
      <c r="C111" s="34">
        <v>86</v>
      </c>
      <c r="D111" s="34">
        <v>90.3</v>
      </c>
      <c r="E111" s="34">
        <v>101.3</v>
      </c>
      <c r="F111" s="34">
        <v>115.5</v>
      </c>
      <c r="G111" s="34">
        <v>119.1</v>
      </c>
      <c r="H111" s="34">
        <v>89.2</v>
      </c>
      <c r="I111" s="34">
        <v>96</v>
      </c>
      <c r="J111" s="34">
        <v>99.5</v>
      </c>
      <c r="K111" s="34">
        <v>107.2</v>
      </c>
      <c r="L111" s="34">
        <v>112</v>
      </c>
      <c r="M111" s="34">
        <v>118.2</v>
      </c>
      <c r="N111" s="34">
        <v>122.6</v>
      </c>
      <c r="O111" s="34">
        <v>143.5</v>
      </c>
      <c r="P111" s="34">
        <v>163.19999999999999</v>
      </c>
      <c r="Q111" s="34">
        <v>157.9</v>
      </c>
      <c r="R111" s="34">
        <v>161.1</v>
      </c>
      <c r="S111" s="34">
        <v>186.4</v>
      </c>
      <c r="T111" s="34">
        <v>206.1</v>
      </c>
      <c r="U111" s="34">
        <v>224.6</v>
      </c>
      <c r="V111" s="34">
        <v>267.39999999999998</v>
      </c>
      <c r="W111" s="34">
        <v>271.39999999999998</v>
      </c>
      <c r="X111" s="34">
        <v>275.3</v>
      </c>
      <c r="Y111" s="34">
        <v>292.60000000000002</v>
      </c>
      <c r="Z111" s="34">
        <v>278.10000000000002</v>
      </c>
      <c r="AA111" s="34">
        <v>298</v>
      </c>
      <c r="AB111" s="34">
        <v>312.10000000000002</v>
      </c>
      <c r="AC111" s="34">
        <v>342.1</v>
      </c>
      <c r="AD111" s="34">
        <v>355.7</v>
      </c>
      <c r="AE111" s="34">
        <v>347.5</v>
      </c>
      <c r="AF111" s="34">
        <v>368.7</v>
      </c>
      <c r="AG111" s="34">
        <v>303.89999999999998</v>
      </c>
      <c r="AH111" s="34">
        <v>317.60000000000002</v>
      </c>
      <c r="AI111" s="34">
        <v>301.5</v>
      </c>
      <c r="AJ111" s="34">
        <v>346.2</v>
      </c>
      <c r="AK111" s="34">
        <v>373.6</v>
      </c>
      <c r="AL111" s="34">
        <v>399.6</v>
      </c>
      <c r="AM111" s="34">
        <v>414.9</v>
      </c>
      <c r="AN111" s="34">
        <v>412.5</v>
      </c>
      <c r="AO111" s="34">
        <v>441</v>
      </c>
      <c r="AP111" s="34">
        <v>442</v>
      </c>
      <c r="AQ111" s="34">
        <v>449.9</v>
      </c>
      <c r="AR111" s="34">
        <v>468.8</v>
      </c>
      <c r="AS111" s="34">
        <v>543.79999999999995</v>
      </c>
      <c r="AT111" s="34">
        <v>624.1</v>
      </c>
      <c r="AU111" s="34">
        <v>710.5</v>
      </c>
      <c r="AV111" s="34">
        <v>802</v>
      </c>
      <c r="AW111" s="34">
        <v>1022.7</v>
      </c>
      <c r="AX111" s="34">
        <v>993.5</v>
      </c>
      <c r="AY111" s="34">
        <v>1096.5999999999999</v>
      </c>
      <c r="AZ111" s="34">
        <v>1350.6</v>
      </c>
      <c r="BA111" s="34">
        <v>1449.6</v>
      </c>
      <c r="BB111" s="34">
        <v>1434</v>
      </c>
      <c r="BC111" s="34">
        <v>1438.1</v>
      </c>
      <c r="BD111" s="34">
        <v>1559.9</v>
      </c>
      <c r="BE111" s="34">
        <v>1590.2</v>
      </c>
      <c r="BF111" s="34">
        <v>1714.3</v>
      </c>
      <c r="BG111" s="34">
        <v>1958</v>
      </c>
      <c r="BH111" s="34">
        <v>1974.4</v>
      </c>
      <c r="BI111" s="34">
        <v>2050.1999999999998</v>
      </c>
      <c r="BJ111" s="34">
        <v>1915.6</v>
      </c>
      <c r="BK111" s="1">
        <v>2250.1999999999998</v>
      </c>
      <c r="BL111" s="1">
        <v>2366.3000000000002</v>
      </c>
      <c r="BM111" s="1">
        <v>2484.8000000000002</v>
      </c>
    </row>
    <row r="112" spans="1:65">
      <c r="A112" s="1" t="s">
        <v>1225</v>
      </c>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5">
      <c r="A113" s="1" t="s">
        <v>1226</v>
      </c>
      <c r="B113" s="34">
        <v>706.6</v>
      </c>
      <c r="C113" s="34">
        <v>761.9</v>
      </c>
      <c r="D113" s="34">
        <v>821.3</v>
      </c>
      <c r="E113" s="34">
        <v>878.2</v>
      </c>
      <c r="F113" s="34">
        <v>994.6</v>
      </c>
      <c r="G113" s="34">
        <v>1055</v>
      </c>
      <c r="H113" s="34">
        <v>1107.3</v>
      </c>
      <c r="I113" s="34">
        <v>1187.2</v>
      </c>
      <c r="J113" s="34">
        <v>1158.9000000000001</v>
      </c>
      <c r="K113" s="34">
        <v>1330.8</v>
      </c>
      <c r="L113" s="34">
        <v>1486.5</v>
      </c>
      <c r="M113" s="34">
        <v>1703.9</v>
      </c>
      <c r="N113" s="34">
        <v>2080.5</v>
      </c>
      <c r="O113" s="34">
        <v>2424.3000000000002</v>
      </c>
      <c r="P113" s="34">
        <v>2516.9</v>
      </c>
      <c r="Q113" s="34">
        <v>2973.4</v>
      </c>
      <c r="R113" s="34">
        <v>2919.6</v>
      </c>
      <c r="S113" s="34">
        <v>3427.1</v>
      </c>
      <c r="T113" s="34">
        <v>4400</v>
      </c>
      <c r="U113" s="34">
        <v>5430</v>
      </c>
      <c r="V113" s="34">
        <v>6372.4</v>
      </c>
      <c r="W113" s="34">
        <v>5986.2</v>
      </c>
      <c r="X113" s="34">
        <v>6160.6</v>
      </c>
      <c r="Y113" s="34">
        <v>5915.2</v>
      </c>
      <c r="Z113" s="34">
        <v>5692</v>
      </c>
      <c r="AA113" s="34">
        <v>6011.7</v>
      </c>
      <c r="AB113" s="34">
        <v>8112.2</v>
      </c>
      <c r="AC113" s="34">
        <v>9581.9</v>
      </c>
      <c r="AD113" s="34">
        <v>10715.9</v>
      </c>
      <c r="AE113" s="34">
        <v>11175.8</v>
      </c>
      <c r="AF113" s="34">
        <v>14031.3</v>
      </c>
      <c r="AG113" s="34">
        <v>14087.2</v>
      </c>
      <c r="AH113" s="34">
        <v>15714.4</v>
      </c>
      <c r="AI113" s="34">
        <v>14657.1</v>
      </c>
      <c r="AJ113" s="34">
        <v>15902.9</v>
      </c>
      <c r="AK113" s="34">
        <v>19158.5</v>
      </c>
      <c r="AL113" s="34">
        <v>20835.900000000001</v>
      </c>
      <c r="AM113" s="34">
        <v>22551.1</v>
      </c>
      <c r="AN113" s="34">
        <v>24294.9</v>
      </c>
      <c r="AO113" s="34">
        <v>26338.1</v>
      </c>
      <c r="AP113" s="34">
        <v>26334.6</v>
      </c>
      <c r="AQ113" s="34">
        <v>28282.400000000001</v>
      </c>
      <c r="AR113" s="34">
        <v>32705.4</v>
      </c>
      <c r="AS113" s="34">
        <v>41203.5</v>
      </c>
      <c r="AT113" s="34">
        <v>47754.2</v>
      </c>
      <c r="AU113" s="34">
        <v>50933</v>
      </c>
      <c r="AV113" s="34">
        <v>54329.2</v>
      </c>
      <c r="AW113" s="34">
        <v>61396.4</v>
      </c>
      <c r="AX113" s="34">
        <v>61353.1</v>
      </c>
      <c r="AY113" s="34">
        <v>52133.1</v>
      </c>
      <c r="AZ113" s="34">
        <v>48663.6</v>
      </c>
      <c r="BA113" s="34">
        <v>52219.7</v>
      </c>
      <c r="BB113" s="34">
        <v>48943.8</v>
      </c>
      <c r="BC113" s="34">
        <v>51497</v>
      </c>
      <c r="BD113" s="34">
        <v>55752.800000000003</v>
      </c>
      <c r="BE113" s="34">
        <v>62179.3</v>
      </c>
      <c r="BF113" s="34">
        <v>62784.1</v>
      </c>
      <c r="BG113" s="34">
        <v>70150.7</v>
      </c>
      <c r="BH113" s="34">
        <v>79446.899999999994</v>
      </c>
      <c r="BI113" s="34">
        <v>80848.3</v>
      </c>
      <c r="BJ113" s="34">
        <v>85973.1</v>
      </c>
      <c r="BK113" s="1">
        <v>102001.8</v>
      </c>
      <c r="BL113" s="1">
        <v>103983.3</v>
      </c>
      <c r="BM113" s="1">
        <v>103684.9</v>
      </c>
    </row>
    <row r="114" spans="1:65">
      <c r="A114" s="1" t="s">
        <v>252</v>
      </c>
      <c r="B114" s="34">
        <v>196.3</v>
      </c>
      <c r="C114" s="34">
        <v>201.4</v>
      </c>
      <c r="D114" s="34">
        <v>207.6</v>
      </c>
      <c r="E114" s="34">
        <v>211.9</v>
      </c>
      <c r="F114" s="34">
        <v>224.6</v>
      </c>
      <c r="G114" s="34">
        <v>251.2</v>
      </c>
      <c r="H114" s="34">
        <v>267.3</v>
      </c>
      <c r="I114" s="34">
        <v>289.10000000000002</v>
      </c>
      <c r="J114" s="34">
        <v>320.89999999999998</v>
      </c>
      <c r="K114" s="34">
        <v>352.5</v>
      </c>
      <c r="L114" s="34">
        <v>385.8</v>
      </c>
      <c r="M114" s="34">
        <v>469.1</v>
      </c>
      <c r="N114" s="34">
        <v>569.70000000000005</v>
      </c>
      <c r="O114" s="34">
        <v>874.1</v>
      </c>
      <c r="P114" s="34">
        <v>1448.8</v>
      </c>
      <c r="Q114" s="34">
        <v>1575.8</v>
      </c>
      <c r="R114" s="34">
        <v>2011</v>
      </c>
      <c r="S114" s="34">
        <v>2311</v>
      </c>
      <c r="T114" s="34">
        <v>2166.9</v>
      </c>
      <c r="U114" s="34">
        <v>2429.6</v>
      </c>
      <c r="V114" s="34">
        <v>2449.6999999999998</v>
      </c>
      <c r="W114" s="34">
        <v>2482.9</v>
      </c>
      <c r="X114" s="34">
        <v>2963.5</v>
      </c>
      <c r="Y114" s="34">
        <v>3551.5</v>
      </c>
      <c r="Z114" s="34">
        <v>3556.5</v>
      </c>
      <c r="AA114" s="34">
        <v>3812.1</v>
      </c>
      <c r="AB114" s="34">
        <v>4274.8</v>
      </c>
      <c r="AC114" s="34">
        <v>2651.5</v>
      </c>
      <c r="AD114" s="34">
        <v>2361.4</v>
      </c>
      <c r="AE114" s="34">
        <v>2246.1999999999998</v>
      </c>
      <c r="AF114" s="34">
        <v>2237.1</v>
      </c>
      <c r="AG114" s="34"/>
      <c r="AH114" s="34"/>
      <c r="AI114" s="34">
        <v>1066.7</v>
      </c>
      <c r="AJ114" s="34">
        <v>1197.5999999999999</v>
      </c>
      <c r="AK114" s="34">
        <v>1586</v>
      </c>
      <c r="AL114" s="34">
        <v>1954.7</v>
      </c>
      <c r="AM114" s="34">
        <v>1823.3</v>
      </c>
      <c r="AN114" s="34">
        <v>1737.7</v>
      </c>
      <c r="AO114" s="34">
        <v>1765.8</v>
      </c>
      <c r="AP114" s="34">
        <v>1672</v>
      </c>
      <c r="AQ114" s="34">
        <v>1902.9</v>
      </c>
      <c r="AR114" s="34">
        <v>1910.5</v>
      </c>
      <c r="AS114" s="34">
        <v>2259.5</v>
      </c>
      <c r="AT114" s="34">
        <v>2751.8</v>
      </c>
      <c r="AU114" s="34">
        <v>3226.6</v>
      </c>
      <c r="AV114" s="34">
        <v>3736.2</v>
      </c>
      <c r="AW114" s="34">
        <v>4838</v>
      </c>
      <c r="AX114" s="34">
        <v>5623.9</v>
      </c>
      <c r="AY114" s="34">
        <v>5602.6</v>
      </c>
      <c r="AZ114" s="34">
        <v>6458.6</v>
      </c>
      <c r="BA114" s="34">
        <v>8201.6</v>
      </c>
      <c r="BB114" s="34">
        <v>8329</v>
      </c>
      <c r="BC114" s="34">
        <v>6280.7</v>
      </c>
      <c r="BD114" s="34">
        <v>5757.5</v>
      </c>
      <c r="BE114" s="34">
        <v>4990.8999999999996</v>
      </c>
      <c r="BF114" s="34">
        <v>5497.2</v>
      </c>
      <c r="BG114" s="34">
        <v>5758.6</v>
      </c>
      <c r="BH114" s="34">
        <v>3850.8</v>
      </c>
      <c r="BI114" s="34">
        <v>3276.8</v>
      </c>
      <c r="BJ114" s="34">
        <v>2746.4</v>
      </c>
      <c r="BK114" s="1">
        <v>4084.2</v>
      </c>
      <c r="BL114" s="1">
        <v>4668.5</v>
      </c>
      <c r="BM114" s="1">
        <v>4502.5</v>
      </c>
    </row>
    <row r="115" spans="1:65">
      <c r="A115" s="1" t="s">
        <v>1227</v>
      </c>
      <c r="B115" s="34">
        <v>217</v>
      </c>
      <c r="C115" s="34">
        <v>230.3</v>
      </c>
      <c r="D115" s="34">
        <v>238.5</v>
      </c>
      <c r="E115" s="34">
        <v>233.4</v>
      </c>
      <c r="F115" s="34">
        <v>267.10000000000002</v>
      </c>
      <c r="G115" s="34">
        <v>282.39999999999998</v>
      </c>
      <c r="H115" s="34">
        <v>295.8</v>
      </c>
      <c r="I115" s="34">
        <v>288.39999999999998</v>
      </c>
      <c r="J115" s="34">
        <v>316.39999999999998</v>
      </c>
      <c r="K115" s="34">
        <v>317.39999999999998</v>
      </c>
      <c r="L115" s="34">
        <v>334.4</v>
      </c>
      <c r="M115" s="34">
        <v>380.6</v>
      </c>
      <c r="N115" s="34">
        <v>391.5</v>
      </c>
      <c r="O115" s="34">
        <v>472.3</v>
      </c>
      <c r="P115" s="34">
        <v>1024.3</v>
      </c>
      <c r="Q115" s="34">
        <v>1158.5</v>
      </c>
      <c r="R115" s="34">
        <v>1479.6</v>
      </c>
      <c r="S115" s="34">
        <v>1599.8</v>
      </c>
      <c r="T115" s="34">
        <v>1853.6</v>
      </c>
      <c r="U115" s="34">
        <v>2857.6</v>
      </c>
      <c r="V115" s="34">
        <v>3850.3</v>
      </c>
      <c r="W115" s="34">
        <v>2688.7</v>
      </c>
      <c r="X115" s="34">
        <v>2929.4</v>
      </c>
      <c r="Y115" s="34">
        <v>2731.7</v>
      </c>
      <c r="Z115" s="34">
        <v>3052.5</v>
      </c>
      <c r="AA115" s="34">
        <v>3073.9</v>
      </c>
      <c r="AB115" s="34">
        <v>2926.9</v>
      </c>
      <c r="AC115" s="34">
        <v>3420.5</v>
      </c>
      <c r="AD115" s="34">
        <v>3690.1</v>
      </c>
      <c r="AE115" s="34">
        <v>3774.2</v>
      </c>
      <c r="AF115" s="34">
        <v>10216.6</v>
      </c>
      <c r="AG115" s="34">
        <v>22.9</v>
      </c>
      <c r="AH115" s="34">
        <v>30.1</v>
      </c>
      <c r="AI115" s="34">
        <v>53.5</v>
      </c>
      <c r="AJ115" s="34">
        <v>197.1</v>
      </c>
      <c r="AK115" s="34">
        <v>615.5</v>
      </c>
      <c r="AL115" s="34">
        <v>482.2</v>
      </c>
      <c r="AM115" s="34">
        <v>929.9</v>
      </c>
      <c r="AN115" s="34">
        <v>894.3</v>
      </c>
      <c r="AO115" s="34">
        <v>1548.3</v>
      </c>
      <c r="AP115" s="34">
        <v>1963.7</v>
      </c>
      <c r="AQ115" s="34">
        <v>1422.8</v>
      </c>
      <c r="AR115" s="34">
        <v>1254.2</v>
      </c>
      <c r="AS115" s="34">
        <v>809.8</v>
      </c>
      <c r="AT115" s="34">
        <v>1315</v>
      </c>
      <c r="AU115" s="34">
        <v>1744.5</v>
      </c>
      <c r="AV115" s="34">
        <v>2253.8000000000002</v>
      </c>
      <c r="AW115" s="34">
        <v>3099.6</v>
      </c>
      <c r="AX115" s="34">
        <v>4504.5</v>
      </c>
      <c r="AY115" s="34">
        <v>3686.4</v>
      </c>
      <c r="AZ115" s="34">
        <v>4430.3999999999996</v>
      </c>
      <c r="BA115" s="34">
        <v>5736.9</v>
      </c>
      <c r="BB115" s="34">
        <v>6437.5</v>
      </c>
      <c r="BC115" s="34">
        <v>6612.9</v>
      </c>
      <c r="BD115" s="34">
        <v>6216</v>
      </c>
      <c r="BE115" s="34">
        <v>4416.8999999999996</v>
      </c>
      <c r="BF115" s="34">
        <v>4308.8</v>
      </c>
      <c r="BG115" s="34">
        <v>4725.2</v>
      </c>
      <c r="BH115" s="34">
        <v>5601.5</v>
      </c>
      <c r="BI115" s="34">
        <v>5621.2</v>
      </c>
      <c r="BJ115" s="34">
        <v>4250.7</v>
      </c>
      <c r="BK115" s="1">
        <v>4816.8</v>
      </c>
      <c r="BL115" s="1">
        <v>6441.9</v>
      </c>
      <c r="BM115" s="1">
        <v>5512.5</v>
      </c>
    </row>
    <row r="116" spans="1:65">
      <c r="A116" s="1" t="s">
        <v>1228</v>
      </c>
      <c r="B116" s="34">
        <v>1436.3</v>
      </c>
      <c r="C116" s="34">
        <v>1439.4</v>
      </c>
      <c r="D116" s="34">
        <v>1585.7</v>
      </c>
      <c r="E116" s="34">
        <v>1859.2</v>
      </c>
      <c r="F116" s="34">
        <v>2332.5</v>
      </c>
      <c r="G116" s="34">
        <v>2764.5</v>
      </c>
      <c r="H116" s="34">
        <v>3264</v>
      </c>
      <c r="I116" s="34">
        <v>3172.6</v>
      </c>
      <c r="J116" s="34">
        <v>2389.9</v>
      </c>
      <c r="K116" s="34">
        <v>2069.9</v>
      </c>
      <c r="L116" s="34">
        <v>2576.4</v>
      </c>
      <c r="M116" s="34">
        <v>3252.1</v>
      </c>
      <c r="N116" s="34">
        <v>4014.8</v>
      </c>
      <c r="O116" s="34">
        <v>5437.3</v>
      </c>
      <c r="P116" s="34">
        <v>7040.6</v>
      </c>
      <c r="Q116" s="34">
        <v>6454.2</v>
      </c>
      <c r="R116" s="34">
        <v>7583.3</v>
      </c>
      <c r="S116" s="34">
        <v>9957.2999999999993</v>
      </c>
      <c r="T116" s="34">
        <v>11236.7</v>
      </c>
      <c r="U116" s="34">
        <v>12640.6</v>
      </c>
      <c r="V116" s="34">
        <v>14821.8</v>
      </c>
      <c r="W116" s="34">
        <v>15137.3</v>
      </c>
      <c r="X116" s="34">
        <v>13711.7</v>
      </c>
      <c r="Y116" s="34">
        <v>11671.8</v>
      </c>
      <c r="Z116" s="34">
        <v>11959.5</v>
      </c>
      <c r="AA116" s="34">
        <v>12361.2</v>
      </c>
      <c r="AB116" s="34">
        <v>16406</v>
      </c>
      <c r="AC116" s="34">
        <v>22453.200000000001</v>
      </c>
      <c r="AD116" s="34">
        <v>24452</v>
      </c>
      <c r="AE116" s="34">
        <v>22434.3</v>
      </c>
      <c r="AF116" s="34">
        <v>25384.9</v>
      </c>
      <c r="AG116" s="34">
        <v>26803</v>
      </c>
      <c r="AH116" s="34">
        <v>27124.3</v>
      </c>
      <c r="AI116" s="34">
        <v>23579.8</v>
      </c>
      <c r="AJ116" s="34">
        <v>24018.6</v>
      </c>
      <c r="AK116" s="34">
        <v>26633.599999999999</v>
      </c>
      <c r="AL116" s="34">
        <v>27614.9</v>
      </c>
      <c r="AM116" s="34">
        <v>27919.200000000001</v>
      </c>
      <c r="AN116" s="34">
        <v>31030.1</v>
      </c>
      <c r="AO116" s="34">
        <v>32381.599999999999</v>
      </c>
      <c r="AP116" s="34">
        <v>32096.400000000001</v>
      </c>
      <c r="AQ116" s="34">
        <v>28897.4</v>
      </c>
      <c r="AR116" s="34">
        <v>32409.200000000001</v>
      </c>
      <c r="AS116" s="34">
        <v>39476.699999999997</v>
      </c>
      <c r="AT116" s="34">
        <v>47334.9</v>
      </c>
      <c r="AU116" s="34">
        <v>56794.9</v>
      </c>
      <c r="AV116" s="34">
        <v>57492.9</v>
      </c>
      <c r="AW116" s="34">
        <v>69495.7</v>
      </c>
      <c r="AX116" s="34">
        <v>56943.4</v>
      </c>
      <c r="AY116" s="34">
        <v>41301.300000000003</v>
      </c>
      <c r="AZ116" s="34">
        <v>43237.1</v>
      </c>
      <c r="BA116" s="34">
        <v>47714.6</v>
      </c>
      <c r="BB116" s="34">
        <v>45995.5</v>
      </c>
      <c r="BC116" s="34">
        <v>49805</v>
      </c>
      <c r="BD116" s="34">
        <v>54576.7</v>
      </c>
      <c r="BE116" s="34">
        <v>52951.7</v>
      </c>
      <c r="BF116" s="34">
        <v>61987.9</v>
      </c>
      <c r="BG116" s="34">
        <v>72010.100000000006</v>
      </c>
      <c r="BH116" s="34">
        <v>74452.2</v>
      </c>
      <c r="BI116" s="34">
        <v>68452.2</v>
      </c>
      <c r="BJ116" s="34">
        <v>59023.6</v>
      </c>
      <c r="BK116" s="1">
        <v>69252.3</v>
      </c>
      <c r="BL116" s="1">
        <v>75135.100000000006</v>
      </c>
      <c r="BM116" s="1">
        <v>78811.100000000006</v>
      </c>
    </row>
    <row r="117" spans="1:65">
      <c r="A117" s="1" t="s">
        <v>1229</v>
      </c>
      <c r="B117" s="34">
        <v>1444.2</v>
      </c>
      <c r="C117" s="34">
        <v>1687.6</v>
      </c>
      <c r="D117" s="34">
        <v>1286.2</v>
      </c>
      <c r="E117" s="34">
        <v>1477.8</v>
      </c>
      <c r="F117" s="34">
        <v>1616.7</v>
      </c>
      <c r="G117" s="34">
        <v>1679.4</v>
      </c>
      <c r="H117" s="34">
        <v>1778.8</v>
      </c>
      <c r="I117" s="34">
        <v>1725</v>
      </c>
      <c r="J117" s="34">
        <v>1936.2</v>
      </c>
      <c r="K117" s="34">
        <v>2176.5</v>
      </c>
      <c r="L117" s="34">
        <v>2476.1999999999998</v>
      </c>
      <c r="M117" s="34">
        <v>2284.9</v>
      </c>
      <c r="N117" s="34">
        <v>2912.6</v>
      </c>
      <c r="O117" s="34">
        <v>3610.7</v>
      </c>
      <c r="P117" s="34">
        <v>5056.3</v>
      </c>
      <c r="Q117" s="34">
        <v>4645.3999999999996</v>
      </c>
      <c r="R117" s="34">
        <v>4490.5</v>
      </c>
      <c r="S117" s="34">
        <v>5024.5</v>
      </c>
      <c r="T117" s="34">
        <v>4769.5</v>
      </c>
      <c r="U117" s="34">
        <v>5937.7</v>
      </c>
      <c r="V117" s="34">
        <v>6511</v>
      </c>
      <c r="W117" s="34">
        <v>6756.3</v>
      </c>
      <c r="X117" s="34">
        <v>7216</v>
      </c>
      <c r="Y117" s="34">
        <v>7914.4</v>
      </c>
      <c r="Z117" s="34">
        <v>7326.3</v>
      </c>
      <c r="AA117" s="34">
        <v>6789.5</v>
      </c>
      <c r="AB117" s="34">
        <v>8287.7000000000007</v>
      </c>
      <c r="AC117" s="34">
        <v>9797</v>
      </c>
      <c r="AD117" s="34">
        <v>11785.1</v>
      </c>
      <c r="AE117" s="34">
        <v>11541.2</v>
      </c>
      <c r="AF117" s="34">
        <v>13232.1</v>
      </c>
      <c r="AG117" s="34">
        <v>14263.9</v>
      </c>
      <c r="AH117" s="34">
        <v>15421.1</v>
      </c>
      <c r="AI117" s="34">
        <v>15091.9</v>
      </c>
      <c r="AJ117" s="34">
        <v>16710.5</v>
      </c>
      <c r="AK117" s="34">
        <v>18916.7</v>
      </c>
      <c r="AL117" s="34">
        <v>20117</v>
      </c>
      <c r="AM117" s="34">
        <v>20366.599999999999</v>
      </c>
      <c r="AN117" s="34">
        <v>20106.599999999999</v>
      </c>
      <c r="AO117" s="34">
        <v>19742.5</v>
      </c>
      <c r="AP117" s="34">
        <v>21630.7</v>
      </c>
      <c r="AQ117" s="34">
        <v>20909.400000000001</v>
      </c>
      <c r="AR117" s="34">
        <v>19035.099999999999</v>
      </c>
      <c r="AS117" s="34">
        <v>19627.2</v>
      </c>
      <c r="AT117" s="34">
        <v>20557.099999999999</v>
      </c>
      <c r="AU117" s="34">
        <v>21223.9</v>
      </c>
      <c r="AV117" s="34">
        <v>22494.6</v>
      </c>
      <c r="AW117" s="34">
        <v>25633.599999999999</v>
      </c>
      <c r="AX117" s="34">
        <v>30173.4</v>
      </c>
      <c r="AY117" s="34">
        <v>28317</v>
      </c>
      <c r="AZ117" s="34">
        <v>31266.6</v>
      </c>
      <c r="BA117" s="34">
        <v>34354.699999999997</v>
      </c>
      <c r="BB117" s="34">
        <v>33156.199999999997</v>
      </c>
      <c r="BC117" s="34">
        <v>36941.800000000003</v>
      </c>
      <c r="BD117" s="34">
        <v>38259.699999999997</v>
      </c>
      <c r="BE117" s="34">
        <v>36206.5</v>
      </c>
      <c r="BF117" s="34">
        <v>37690.5</v>
      </c>
      <c r="BG117" s="34">
        <v>41114.800000000003</v>
      </c>
      <c r="BH117" s="34">
        <v>42406.8</v>
      </c>
      <c r="BI117" s="34">
        <v>44452.2</v>
      </c>
      <c r="BJ117" s="34">
        <v>44846.8</v>
      </c>
      <c r="BK117" s="1">
        <v>52129.5</v>
      </c>
      <c r="BL117" s="1">
        <v>54930.9</v>
      </c>
      <c r="BM117" s="1">
        <v>52261.7</v>
      </c>
    </row>
    <row r="118" spans="1:65">
      <c r="A118" s="1" t="s">
        <v>1230</v>
      </c>
      <c r="B118" s="34">
        <v>835</v>
      </c>
      <c r="C118" s="34">
        <v>921</v>
      </c>
      <c r="D118" s="34">
        <v>1027.8</v>
      </c>
      <c r="E118" s="34">
        <v>1168.7</v>
      </c>
      <c r="F118" s="34">
        <v>1268.9000000000001</v>
      </c>
      <c r="G118" s="34">
        <v>1353.9</v>
      </c>
      <c r="H118" s="34">
        <v>1455.6</v>
      </c>
      <c r="I118" s="34">
        <v>1591.8</v>
      </c>
      <c r="J118" s="34">
        <v>1714.5</v>
      </c>
      <c r="K118" s="34">
        <v>1882.1</v>
      </c>
      <c r="L118" s="34">
        <v>2106.9</v>
      </c>
      <c r="M118" s="34">
        <v>2305.6</v>
      </c>
      <c r="N118" s="34">
        <v>2671.1</v>
      </c>
      <c r="O118" s="34">
        <v>3205.3</v>
      </c>
      <c r="P118" s="34">
        <v>3621.1</v>
      </c>
      <c r="Q118" s="34">
        <v>4107</v>
      </c>
      <c r="R118" s="34">
        <v>4033.1</v>
      </c>
      <c r="S118" s="34">
        <v>4603.6000000000004</v>
      </c>
      <c r="T118" s="34">
        <v>5610.5</v>
      </c>
      <c r="U118" s="34">
        <v>6990.3</v>
      </c>
      <c r="V118" s="34">
        <v>8456.9</v>
      </c>
      <c r="W118" s="34">
        <v>7622.8</v>
      </c>
      <c r="X118" s="34">
        <v>7556.5</v>
      </c>
      <c r="Y118" s="34">
        <v>7832.6</v>
      </c>
      <c r="Z118" s="34">
        <v>7739.7</v>
      </c>
      <c r="AA118" s="34">
        <v>7990.7</v>
      </c>
      <c r="AB118" s="34">
        <v>11315</v>
      </c>
      <c r="AC118" s="34">
        <v>14234.7</v>
      </c>
      <c r="AD118" s="34">
        <v>15744.7</v>
      </c>
      <c r="AE118" s="34">
        <v>16386.7</v>
      </c>
      <c r="AF118" s="34">
        <v>20825.8</v>
      </c>
      <c r="AG118" s="34">
        <v>21956.5</v>
      </c>
      <c r="AH118" s="34">
        <v>23243.5</v>
      </c>
      <c r="AI118" s="34">
        <v>18738.8</v>
      </c>
      <c r="AJ118" s="34">
        <v>19337.599999999999</v>
      </c>
      <c r="AK118" s="34">
        <v>20664.599999999999</v>
      </c>
      <c r="AL118" s="34">
        <v>23081.599999999999</v>
      </c>
      <c r="AM118" s="34">
        <v>21829.3</v>
      </c>
      <c r="AN118" s="34">
        <v>22318.1</v>
      </c>
      <c r="AO118" s="34">
        <v>22005.1</v>
      </c>
      <c r="AP118" s="34">
        <v>20137.599999999999</v>
      </c>
      <c r="AQ118" s="34">
        <v>20501</v>
      </c>
      <c r="AR118" s="34">
        <v>22376.3</v>
      </c>
      <c r="AS118" s="34">
        <v>27526.3</v>
      </c>
      <c r="AT118" s="34">
        <v>31317.200000000001</v>
      </c>
      <c r="AU118" s="34">
        <v>32055.1</v>
      </c>
      <c r="AV118" s="34">
        <v>33529.699999999997</v>
      </c>
      <c r="AW118" s="34">
        <v>37870.699999999997</v>
      </c>
      <c r="AX118" s="34">
        <v>40944.9</v>
      </c>
      <c r="AY118" s="34">
        <v>37226.800000000003</v>
      </c>
      <c r="AZ118" s="34">
        <v>36035.599999999999</v>
      </c>
      <c r="BA118" s="34">
        <v>38649.599999999999</v>
      </c>
      <c r="BB118" s="34">
        <v>35051.5</v>
      </c>
      <c r="BC118" s="34">
        <v>35560.1</v>
      </c>
      <c r="BD118" s="34">
        <v>35565.699999999997</v>
      </c>
      <c r="BE118" s="34">
        <v>30242.400000000001</v>
      </c>
      <c r="BF118" s="34">
        <v>30960.7</v>
      </c>
      <c r="BG118" s="34">
        <v>32406.7</v>
      </c>
      <c r="BH118" s="34">
        <v>34622.199999999997</v>
      </c>
      <c r="BI118" s="34">
        <v>33673.800000000003</v>
      </c>
      <c r="BJ118" s="34">
        <v>31922.9</v>
      </c>
      <c r="BK118" s="1">
        <v>36441.1</v>
      </c>
      <c r="BL118" s="1">
        <v>35068.800000000003</v>
      </c>
      <c r="BM118" s="1">
        <v>38373.199999999997</v>
      </c>
    </row>
    <row r="119" spans="1:65">
      <c r="A119" s="1" t="s">
        <v>1231</v>
      </c>
      <c r="B119" s="34">
        <v>425.7</v>
      </c>
      <c r="C119" s="34">
        <v>449.6</v>
      </c>
      <c r="D119" s="34">
        <v>461.9</v>
      </c>
      <c r="E119" s="34">
        <v>485.2</v>
      </c>
      <c r="F119" s="34">
        <v>520.5</v>
      </c>
      <c r="G119" s="34">
        <v>556.5</v>
      </c>
      <c r="H119" s="34">
        <v>620.1</v>
      </c>
      <c r="I119" s="34">
        <v>641.1</v>
      </c>
      <c r="J119" s="34">
        <v>598.1</v>
      </c>
      <c r="K119" s="34">
        <v>649.29999999999995</v>
      </c>
      <c r="L119" s="34">
        <v>755.6</v>
      </c>
      <c r="M119" s="34">
        <v>816.4</v>
      </c>
      <c r="N119" s="34">
        <v>979</v>
      </c>
      <c r="O119" s="34">
        <v>979.7</v>
      </c>
      <c r="P119" s="34">
        <v>1202.7</v>
      </c>
      <c r="Q119" s="34">
        <v>1428</v>
      </c>
      <c r="R119" s="34">
        <v>1461.5</v>
      </c>
      <c r="S119" s="34">
        <v>1581.4</v>
      </c>
      <c r="T119" s="34">
        <v>1271.0999999999999</v>
      </c>
      <c r="U119" s="34">
        <v>1151</v>
      </c>
      <c r="V119" s="34">
        <v>1254.7</v>
      </c>
      <c r="W119" s="34">
        <v>1374.9</v>
      </c>
      <c r="X119" s="34">
        <v>1497.3</v>
      </c>
      <c r="Y119" s="34">
        <v>1621</v>
      </c>
      <c r="Z119" s="34">
        <v>1048.4000000000001</v>
      </c>
      <c r="AA119" s="34">
        <v>916.3</v>
      </c>
      <c r="AB119" s="34">
        <v>1189.4000000000001</v>
      </c>
      <c r="AC119" s="34">
        <v>1407</v>
      </c>
      <c r="AD119" s="34">
        <v>1625.8</v>
      </c>
      <c r="AE119" s="34">
        <v>1856</v>
      </c>
      <c r="AF119" s="34">
        <v>1919.8</v>
      </c>
      <c r="AG119" s="34">
        <v>1702.5</v>
      </c>
      <c r="AH119" s="34">
        <v>1452.2</v>
      </c>
      <c r="AI119" s="34">
        <v>2212.3000000000002</v>
      </c>
      <c r="AJ119" s="34">
        <v>2194.9</v>
      </c>
      <c r="AK119" s="34">
        <v>2621.1999999999998</v>
      </c>
      <c r="AL119" s="34">
        <v>2919.1</v>
      </c>
      <c r="AM119" s="34">
        <v>3287.7</v>
      </c>
      <c r="AN119" s="34">
        <v>3410.4</v>
      </c>
      <c r="AO119" s="34">
        <v>3423</v>
      </c>
      <c r="AP119" s="34">
        <v>3447.3</v>
      </c>
      <c r="AQ119" s="34">
        <v>3502.2</v>
      </c>
      <c r="AR119" s="34">
        <v>3683.9</v>
      </c>
      <c r="AS119" s="34">
        <v>3557.2</v>
      </c>
      <c r="AT119" s="34">
        <v>3819.3</v>
      </c>
      <c r="AU119" s="34">
        <v>4200.3999999999996</v>
      </c>
      <c r="AV119" s="34">
        <v>4435.6000000000004</v>
      </c>
      <c r="AW119" s="34">
        <v>4738.3999999999996</v>
      </c>
      <c r="AX119" s="34">
        <v>5056.3</v>
      </c>
      <c r="AY119" s="34">
        <v>4452.1000000000004</v>
      </c>
      <c r="AZ119" s="34">
        <v>4835.8</v>
      </c>
      <c r="BA119" s="34">
        <v>5259.9</v>
      </c>
      <c r="BB119" s="34">
        <v>5365.2</v>
      </c>
      <c r="BC119" s="34">
        <v>5143.7</v>
      </c>
      <c r="BD119" s="34">
        <v>4991.6000000000004</v>
      </c>
      <c r="BE119" s="34">
        <v>5077.6000000000004</v>
      </c>
      <c r="BF119" s="34">
        <v>5022.7</v>
      </c>
      <c r="BG119" s="34">
        <v>5273.1</v>
      </c>
      <c r="BH119" s="34">
        <v>5594.5</v>
      </c>
      <c r="BI119" s="34">
        <v>5626.2</v>
      </c>
      <c r="BJ119" s="34">
        <v>4897.3</v>
      </c>
      <c r="BK119" s="1">
        <v>5183.6000000000004</v>
      </c>
      <c r="BL119" s="1">
        <v>6047.2</v>
      </c>
      <c r="BM119" s="1">
        <v>6874.2</v>
      </c>
    </row>
    <row r="120" spans="1:65">
      <c r="A120" s="1" t="s">
        <v>1232</v>
      </c>
      <c r="B120" s="34"/>
      <c r="C120" s="34"/>
      <c r="D120" s="34"/>
      <c r="E120" s="34"/>
      <c r="F120" s="34"/>
      <c r="G120" s="34">
        <v>548.5</v>
      </c>
      <c r="H120" s="34">
        <v>561.1</v>
      </c>
      <c r="I120" s="34">
        <v>499.1</v>
      </c>
      <c r="J120" s="34">
        <v>410.6</v>
      </c>
      <c r="K120" s="34">
        <v>476.6</v>
      </c>
      <c r="L120" s="34">
        <v>410.6</v>
      </c>
      <c r="M120" s="34">
        <v>414.4</v>
      </c>
      <c r="N120" s="34">
        <v>462.5</v>
      </c>
      <c r="O120" s="34">
        <v>534</v>
      </c>
      <c r="P120" s="34">
        <v>655.20000000000005</v>
      </c>
      <c r="Q120" s="34">
        <v>722.5</v>
      </c>
      <c r="R120" s="34">
        <v>878.4</v>
      </c>
      <c r="S120" s="34">
        <v>1045.5999999999999</v>
      </c>
      <c r="T120" s="34">
        <v>1257.5999999999999</v>
      </c>
      <c r="U120" s="34">
        <v>1530.1</v>
      </c>
      <c r="V120" s="34">
        <v>1763.7</v>
      </c>
      <c r="W120" s="34">
        <v>1900.6</v>
      </c>
      <c r="X120" s="34">
        <v>1945.4</v>
      </c>
      <c r="Y120" s="34">
        <v>1956.7</v>
      </c>
      <c r="Z120" s="34">
        <v>1888.7</v>
      </c>
      <c r="AA120" s="34">
        <v>1814.9</v>
      </c>
      <c r="AB120" s="34">
        <v>2223.1</v>
      </c>
      <c r="AC120" s="34">
        <v>2241.1</v>
      </c>
      <c r="AD120" s="34">
        <v>1988.3</v>
      </c>
      <c r="AE120" s="34">
        <v>1275</v>
      </c>
      <c r="AF120" s="34">
        <v>1195.2</v>
      </c>
      <c r="AG120" s="34">
        <v>1184.9000000000001</v>
      </c>
      <c r="AH120" s="34">
        <v>1373.4</v>
      </c>
      <c r="AI120" s="34">
        <v>1375.5</v>
      </c>
      <c r="AJ120" s="34">
        <v>1457.7</v>
      </c>
      <c r="AK120" s="34">
        <v>1509</v>
      </c>
      <c r="AL120" s="34">
        <v>1503.1</v>
      </c>
      <c r="AM120" s="34">
        <v>1530.7</v>
      </c>
      <c r="AN120" s="34">
        <v>1633.3</v>
      </c>
      <c r="AO120" s="34">
        <v>1646.2</v>
      </c>
      <c r="AP120" s="34">
        <v>1673.4</v>
      </c>
      <c r="AQ120" s="34">
        <v>1738.4</v>
      </c>
      <c r="AR120" s="34">
        <v>1816.4</v>
      </c>
      <c r="AS120" s="34">
        <v>1889.4</v>
      </c>
      <c r="AT120" s="34">
        <v>2062.6999999999998</v>
      </c>
      <c r="AU120" s="34">
        <v>2216.9</v>
      </c>
      <c r="AV120" s="34">
        <v>2478.3000000000002</v>
      </c>
      <c r="AW120" s="34">
        <v>2643.2</v>
      </c>
      <c r="AX120" s="34">
        <v>3416.1</v>
      </c>
      <c r="AY120" s="34">
        <v>3618.9</v>
      </c>
      <c r="AZ120" s="34">
        <v>3914.7</v>
      </c>
      <c r="BA120" s="34">
        <v>4152.5</v>
      </c>
      <c r="BB120" s="34">
        <v>4386.5</v>
      </c>
      <c r="BC120" s="34">
        <v>4477.6000000000004</v>
      </c>
      <c r="BD120" s="34">
        <v>4255.8999999999996</v>
      </c>
      <c r="BE120" s="34">
        <v>4064.3</v>
      </c>
      <c r="BF120" s="34">
        <v>4003.4</v>
      </c>
      <c r="BG120" s="34">
        <v>4073.1</v>
      </c>
      <c r="BH120" s="34">
        <v>4146.3999999999996</v>
      </c>
      <c r="BI120" s="34">
        <v>4159.7</v>
      </c>
      <c r="BJ120" s="34">
        <v>3998.7</v>
      </c>
      <c r="BK120" s="1">
        <v>4152.8</v>
      </c>
      <c r="BL120" s="1">
        <v>4311</v>
      </c>
      <c r="BM120" s="1">
        <v>4482.1000000000004</v>
      </c>
    </row>
    <row r="121" spans="1:65">
      <c r="A121" s="1" t="s">
        <v>1233</v>
      </c>
      <c r="B121" s="34">
        <v>508.7</v>
      </c>
      <c r="C121" s="34">
        <v>608.9</v>
      </c>
      <c r="D121" s="34">
        <v>684.6</v>
      </c>
      <c r="E121" s="34">
        <v>775.6</v>
      </c>
      <c r="F121" s="34">
        <v>902.9</v>
      </c>
      <c r="G121" s="34">
        <v>993.7</v>
      </c>
      <c r="H121" s="34">
        <v>1143.5999999999999</v>
      </c>
      <c r="I121" s="34">
        <v>1326.4</v>
      </c>
      <c r="J121" s="34">
        <v>1553.3</v>
      </c>
      <c r="K121" s="34">
        <v>1803</v>
      </c>
      <c r="L121" s="34">
        <v>2100.6999999999998</v>
      </c>
      <c r="M121" s="34">
        <v>2321.4</v>
      </c>
      <c r="N121" s="34">
        <v>3031.4</v>
      </c>
      <c r="O121" s="34">
        <v>4061</v>
      </c>
      <c r="P121" s="34">
        <v>4448.3</v>
      </c>
      <c r="Q121" s="34">
        <v>4775.8999999999996</v>
      </c>
      <c r="R121" s="34">
        <v>5310.4</v>
      </c>
      <c r="S121" s="34">
        <v>6472.8</v>
      </c>
      <c r="T121" s="34">
        <v>9012.1</v>
      </c>
      <c r="U121" s="34">
        <v>9301.1</v>
      </c>
      <c r="V121" s="34">
        <v>9668.7000000000007</v>
      </c>
      <c r="W121" s="34">
        <v>10583.1</v>
      </c>
      <c r="X121" s="34">
        <v>9780</v>
      </c>
      <c r="Y121" s="34">
        <v>10652</v>
      </c>
      <c r="Z121" s="34">
        <v>11207.5</v>
      </c>
      <c r="AA121" s="34">
        <v>11809.5</v>
      </c>
      <c r="AB121" s="34">
        <v>17451.8</v>
      </c>
      <c r="AC121" s="34">
        <v>21141.7</v>
      </c>
      <c r="AD121" s="34">
        <v>25499.9</v>
      </c>
      <c r="AE121" s="34">
        <v>25265.9</v>
      </c>
      <c r="AF121" s="34">
        <v>25801.4</v>
      </c>
      <c r="AG121" s="34">
        <v>29428.400000000001</v>
      </c>
      <c r="AH121" s="34">
        <v>31992.799999999999</v>
      </c>
      <c r="AI121" s="34">
        <v>36345.199999999997</v>
      </c>
      <c r="AJ121" s="34">
        <v>39933.5</v>
      </c>
      <c r="AK121" s="34">
        <v>44197.599999999999</v>
      </c>
      <c r="AL121" s="34">
        <v>39150</v>
      </c>
      <c r="AM121" s="34">
        <v>35638.199999999997</v>
      </c>
      <c r="AN121" s="34">
        <v>32423.8</v>
      </c>
      <c r="AO121" s="34">
        <v>36610.199999999997</v>
      </c>
      <c r="AP121" s="34">
        <v>39169.4</v>
      </c>
      <c r="AQ121" s="34">
        <v>34406.199999999997</v>
      </c>
      <c r="AR121" s="34">
        <v>32820.800000000003</v>
      </c>
      <c r="AS121" s="34">
        <v>35387</v>
      </c>
      <c r="AT121" s="34">
        <v>38299</v>
      </c>
      <c r="AU121" s="34">
        <v>37812.9</v>
      </c>
      <c r="AV121" s="34">
        <v>35991.5</v>
      </c>
      <c r="AW121" s="34">
        <v>35779</v>
      </c>
      <c r="AX121" s="34">
        <v>39876.300000000003</v>
      </c>
      <c r="AY121" s="34">
        <v>41309</v>
      </c>
      <c r="AZ121" s="34">
        <v>44968.2</v>
      </c>
      <c r="BA121" s="34">
        <v>48760.1</v>
      </c>
      <c r="BB121" s="34">
        <v>49145.3</v>
      </c>
      <c r="BC121" s="34">
        <v>40898.6</v>
      </c>
      <c r="BD121" s="34">
        <v>38475.4</v>
      </c>
      <c r="BE121" s="34">
        <v>34960.6</v>
      </c>
      <c r="BF121" s="34">
        <v>39375.5</v>
      </c>
      <c r="BG121" s="34">
        <v>38834.1</v>
      </c>
      <c r="BH121" s="34">
        <v>39751.1</v>
      </c>
      <c r="BI121" s="34">
        <v>40416</v>
      </c>
      <c r="BJ121" s="34">
        <v>40040.800000000003</v>
      </c>
      <c r="BK121" s="1">
        <v>40058.5</v>
      </c>
      <c r="BL121" s="1">
        <v>34017.300000000003</v>
      </c>
      <c r="BM121" s="1">
        <v>33834.400000000001</v>
      </c>
    </row>
    <row r="122" spans="1:65">
      <c r="A122" s="1" t="s">
        <v>1234</v>
      </c>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v>1647.4</v>
      </c>
      <c r="AG122" s="34">
        <v>1514.9</v>
      </c>
      <c r="AH122" s="34">
        <v>1515.7</v>
      </c>
      <c r="AI122" s="34">
        <v>1429.1</v>
      </c>
      <c r="AJ122" s="34">
        <v>1316.2</v>
      </c>
      <c r="AK122" s="34">
        <v>1288.2</v>
      </c>
      <c r="AL122" s="34">
        <v>1350.3</v>
      </c>
      <c r="AM122" s="34">
        <v>1445.5</v>
      </c>
      <c r="AN122" s="34">
        <v>1468.7</v>
      </c>
      <c r="AO122" s="34">
        <v>1130.0999999999999</v>
      </c>
      <c r="AP122" s="34">
        <v>1229</v>
      </c>
      <c r="AQ122" s="34">
        <v>1490.9</v>
      </c>
      <c r="AR122" s="34">
        <v>1658</v>
      </c>
      <c r="AS122" s="34">
        <v>2068.1</v>
      </c>
      <c r="AT122" s="34">
        <v>2874.3</v>
      </c>
      <c r="AU122" s="34">
        <v>3771.3</v>
      </c>
      <c r="AV122" s="34">
        <v>5291.6</v>
      </c>
      <c r="AW122" s="34">
        <v>6771.4</v>
      </c>
      <c r="AX122" s="34">
        <v>8458</v>
      </c>
      <c r="AY122" s="34">
        <v>7165.2</v>
      </c>
      <c r="AZ122" s="34">
        <v>9070.5</v>
      </c>
      <c r="BA122" s="34">
        <v>11634</v>
      </c>
      <c r="BB122" s="34">
        <v>12386.7</v>
      </c>
      <c r="BC122" s="34">
        <v>13890.6</v>
      </c>
      <c r="BD122" s="34">
        <v>12807.3</v>
      </c>
      <c r="BE122" s="34">
        <v>10510.8</v>
      </c>
      <c r="BF122" s="34">
        <v>7714.8</v>
      </c>
      <c r="BG122" s="34">
        <v>9247.6</v>
      </c>
      <c r="BH122" s="34">
        <v>9812.6</v>
      </c>
      <c r="BI122" s="34">
        <v>9812.6</v>
      </c>
      <c r="BJ122" s="34">
        <v>9121.6</v>
      </c>
      <c r="BK122" s="1">
        <v>10270.9</v>
      </c>
      <c r="BL122" s="1">
        <v>11484.4</v>
      </c>
      <c r="BM122" s="1">
        <v>13136.6</v>
      </c>
    </row>
    <row r="123" spans="1:65">
      <c r="A123" s="1" t="s">
        <v>226</v>
      </c>
      <c r="B123" s="34">
        <v>102.1</v>
      </c>
      <c r="C123" s="34">
        <v>98.5</v>
      </c>
      <c r="D123" s="34">
        <v>103.8</v>
      </c>
      <c r="E123" s="34">
        <v>106.5</v>
      </c>
      <c r="F123" s="34">
        <v>110.4</v>
      </c>
      <c r="G123" s="34">
        <v>106</v>
      </c>
      <c r="H123" s="34">
        <v>118.8</v>
      </c>
      <c r="I123" s="34">
        <v>120.8</v>
      </c>
      <c r="J123" s="34">
        <v>127.5</v>
      </c>
      <c r="K123" s="34">
        <v>132.1</v>
      </c>
      <c r="L123" s="34">
        <v>139.80000000000001</v>
      </c>
      <c r="M123" s="34">
        <v>149.5</v>
      </c>
      <c r="N123" s="34">
        <v>171</v>
      </c>
      <c r="O123" s="34">
        <v>196.6</v>
      </c>
      <c r="P123" s="34">
        <v>224.9</v>
      </c>
      <c r="Q123" s="34">
        <v>238.7</v>
      </c>
      <c r="R123" s="34">
        <v>246.4</v>
      </c>
      <c r="S123" s="34">
        <v>308.3</v>
      </c>
      <c r="T123" s="34">
        <v>351.5</v>
      </c>
      <c r="U123" s="34">
        <v>399.1</v>
      </c>
      <c r="V123" s="34">
        <v>448.8</v>
      </c>
      <c r="W123" s="34">
        <v>408.3</v>
      </c>
      <c r="X123" s="34">
        <v>369.4</v>
      </c>
      <c r="Y123" s="34">
        <v>330.9</v>
      </c>
      <c r="Z123" s="34">
        <v>330.2</v>
      </c>
      <c r="AA123" s="34">
        <v>315.39999999999998</v>
      </c>
      <c r="AB123" s="34">
        <v>359.1</v>
      </c>
      <c r="AC123" s="34">
        <v>381.7</v>
      </c>
      <c r="AD123" s="34">
        <v>386.4</v>
      </c>
      <c r="AE123" s="34">
        <v>370</v>
      </c>
      <c r="AF123" s="34">
        <v>370.1</v>
      </c>
      <c r="AG123" s="34">
        <v>340.8</v>
      </c>
      <c r="AH123" s="34">
        <v>332.9</v>
      </c>
      <c r="AI123" s="34">
        <v>226.5</v>
      </c>
      <c r="AJ123" s="34">
        <v>273.5</v>
      </c>
      <c r="AK123" s="34">
        <v>336.6</v>
      </c>
      <c r="AL123" s="34">
        <v>436.2</v>
      </c>
      <c r="AM123" s="34">
        <v>462.4</v>
      </c>
      <c r="AN123" s="34">
        <v>483.7</v>
      </c>
      <c r="AO123" s="34">
        <v>430.4</v>
      </c>
      <c r="AP123" s="34">
        <v>411.8</v>
      </c>
      <c r="AQ123" s="34">
        <v>408.4</v>
      </c>
      <c r="AR123" s="34">
        <v>401.1</v>
      </c>
      <c r="AS123" s="34">
        <v>441.4</v>
      </c>
      <c r="AT123" s="34">
        <v>462.6</v>
      </c>
      <c r="AU123" s="34">
        <v>522.79999999999995</v>
      </c>
      <c r="AV123" s="34">
        <v>699.4</v>
      </c>
      <c r="AW123" s="34">
        <v>840.2</v>
      </c>
      <c r="AX123" s="34">
        <v>916</v>
      </c>
      <c r="AY123" s="34">
        <v>1049.0999999999999</v>
      </c>
      <c r="AZ123" s="34">
        <v>1093.5999999999999</v>
      </c>
      <c r="BA123" s="34">
        <v>1099.3</v>
      </c>
      <c r="BB123" s="34">
        <v>1289.8</v>
      </c>
      <c r="BC123" s="34">
        <v>1376.8</v>
      </c>
      <c r="BD123" s="34">
        <v>1489.9</v>
      </c>
      <c r="BE123" s="34">
        <v>1496.7</v>
      </c>
      <c r="BF123" s="34">
        <v>1562.1</v>
      </c>
      <c r="BG123" s="34">
        <v>1676</v>
      </c>
      <c r="BH123" s="34">
        <v>1845.8</v>
      </c>
      <c r="BI123" s="34">
        <v>1970.1</v>
      </c>
      <c r="BJ123" s="34">
        <v>1936.3</v>
      </c>
      <c r="BK123" s="1">
        <v>2069.6999999999998</v>
      </c>
      <c r="BL123" s="1">
        <v>2099.3000000000002</v>
      </c>
      <c r="BM123" s="1">
        <v>1949.9</v>
      </c>
    </row>
    <row r="124" spans="1:65">
      <c r="A124" s="1" t="s">
        <v>1235</v>
      </c>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v>609.20000000000005</v>
      </c>
      <c r="AG124" s="34">
        <v>575.6</v>
      </c>
      <c r="AH124" s="34">
        <v>513</v>
      </c>
      <c r="AI124" s="34">
        <v>449.1</v>
      </c>
      <c r="AJ124" s="34">
        <v>372.3</v>
      </c>
      <c r="AK124" s="34">
        <v>364.2</v>
      </c>
      <c r="AL124" s="34">
        <v>394.9</v>
      </c>
      <c r="AM124" s="34">
        <v>376.4</v>
      </c>
      <c r="AN124" s="34">
        <v>345.1</v>
      </c>
      <c r="AO124" s="34">
        <v>258</v>
      </c>
      <c r="AP124" s="34">
        <v>279.60000000000002</v>
      </c>
      <c r="AQ124" s="34">
        <v>308.39999999999998</v>
      </c>
      <c r="AR124" s="34">
        <v>321.7</v>
      </c>
      <c r="AS124" s="34">
        <v>380.5</v>
      </c>
      <c r="AT124" s="34">
        <v>433.2</v>
      </c>
      <c r="AU124" s="34">
        <v>476.6</v>
      </c>
      <c r="AV124" s="34">
        <v>543.1</v>
      </c>
      <c r="AW124" s="34">
        <v>721.8</v>
      </c>
      <c r="AX124" s="34">
        <v>966.4</v>
      </c>
      <c r="AY124" s="34">
        <v>871.2</v>
      </c>
      <c r="AZ124" s="34">
        <v>880</v>
      </c>
      <c r="BA124" s="34">
        <v>1123.9000000000001</v>
      </c>
      <c r="BB124" s="34">
        <v>1178</v>
      </c>
      <c r="BC124" s="34">
        <v>1282.4000000000001</v>
      </c>
      <c r="BD124" s="34">
        <v>1279.8</v>
      </c>
      <c r="BE124" s="34">
        <v>1121.0999999999999</v>
      </c>
      <c r="BF124" s="34">
        <v>1120.7</v>
      </c>
      <c r="BG124" s="34">
        <v>1242.8</v>
      </c>
      <c r="BH124" s="34">
        <v>1308.0999999999999</v>
      </c>
      <c r="BI124" s="34">
        <v>1451.5</v>
      </c>
      <c r="BJ124" s="34">
        <v>1256.9000000000001</v>
      </c>
      <c r="BK124" s="1">
        <v>1365.5</v>
      </c>
      <c r="BL124" s="1">
        <v>1739.8</v>
      </c>
      <c r="BM124" s="1">
        <v>1969.9</v>
      </c>
    </row>
    <row r="125" spans="1:65">
      <c r="A125" s="1" t="s">
        <v>1236</v>
      </c>
      <c r="B125" s="34"/>
      <c r="C125" s="34"/>
      <c r="D125" s="34"/>
      <c r="E125" s="34"/>
      <c r="F125" s="34"/>
      <c r="G125" s="34"/>
      <c r="H125" s="34"/>
      <c r="I125" s="34"/>
      <c r="J125" s="34"/>
      <c r="K125" s="34"/>
      <c r="L125" s="34"/>
      <c r="M125" s="34"/>
      <c r="N125" s="34"/>
      <c r="O125" s="34"/>
      <c r="P125" s="34"/>
      <c r="Q125" s="34">
        <v>111.3</v>
      </c>
      <c r="R125" s="34">
        <v>125.3</v>
      </c>
      <c r="S125" s="34">
        <v>118.6</v>
      </c>
      <c r="T125" s="34">
        <v>128.6</v>
      </c>
      <c r="U125" s="34">
        <v>119.6</v>
      </c>
      <c r="V125" s="34">
        <v>120.1</v>
      </c>
      <c r="W125" s="34">
        <v>128.1</v>
      </c>
      <c r="X125" s="34">
        <v>130.69999999999999</v>
      </c>
      <c r="Y125" s="34">
        <v>136.5</v>
      </c>
      <c r="Z125" s="34">
        <v>143.1</v>
      </c>
      <c r="AA125" s="34">
        <v>149.5</v>
      </c>
      <c r="AB125" s="34">
        <v>152.4</v>
      </c>
      <c r="AC125" s="34">
        <v>130</v>
      </c>
      <c r="AD125" s="34">
        <v>201.1</v>
      </c>
      <c r="AE125" s="34">
        <v>157.9</v>
      </c>
      <c r="AF125" s="34">
        <v>157.4</v>
      </c>
      <c r="AG125" s="34">
        <v>221.9</v>
      </c>
      <c r="AH125" s="34">
        <v>256.39999999999998</v>
      </c>
      <c r="AI125" s="34">
        <v>247.3</v>
      </c>
      <c r="AJ125" s="34">
        <v>262.39999999999998</v>
      </c>
      <c r="AK125" s="34">
        <v>315.10000000000002</v>
      </c>
      <c r="AL125" s="34">
        <v>313.60000000000002</v>
      </c>
      <c r="AM125" s="34">
        <v>301.2</v>
      </c>
      <c r="AN125" s="34">
        <v>267.39999999999998</v>
      </c>
      <c r="AO125" s="34">
        <v>295.60000000000002</v>
      </c>
      <c r="AP125" s="34">
        <v>301.5</v>
      </c>
      <c r="AQ125" s="34">
        <v>322.89999999999998</v>
      </c>
      <c r="AR125" s="34">
        <v>341</v>
      </c>
      <c r="AS125" s="34">
        <v>364.3</v>
      </c>
      <c r="AT125" s="34">
        <v>410.1</v>
      </c>
      <c r="AU125" s="34">
        <v>475.1</v>
      </c>
      <c r="AV125" s="34">
        <v>539.70000000000005</v>
      </c>
      <c r="AW125" s="34">
        <v>629.9</v>
      </c>
      <c r="AX125" s="34">
        <v>742.4</v>
      </c>
      <c r="AY125" s="34">
        <v>734.8</v>
      </c>
      <c r="AZ125" s="34">
        <v>782.7</v>
      </c>
      <c r="BA125" s="34">
        <v>880.3</v>
      </c>
      <c r="BB125" s="34">
        <v>950.5</v>
      </c>
      <c r="BC125" s="34">
        <v>1015.2</v>
      </c>
      <c r="BD125" s="34">
        <v>1098.0999999999999</v>
      </c>
      <c r="BE125" s="34">
        <v>1170.7</v>
      </c>
      <c r="BF125" s="34">
        <v>1281.0999999999999</v>
      </c>
      <c r="BG125" s="34">
        <v>1400.9</v>
      </c>
      <c r="BH125" s="34">
        <v>1533.3</v>
      </c>
      <c r="BI125" s="34">
        <v>1671.4</v>
      </c>
      <c r="BJ125" s="34">
        <v>1577.9</v>
      </c>
      <c r="BK125" s="1">
        <v>1625.2</v>
      </c>
      <c r="BL125" s="1">
        <v>1759.6</v>
      </c>
      <c r="BM125" s="1">
        <v>1875.1</v>
      </c>
    </row>
    <row r="126" spans="1:65">
      <c r="A126" s="1" t="s">
        <v>1237</v>
      </c>
      <c r="B126" s="34"/>
      <c r="C126" s="34"/>
      <c r="D126" s="34"/>
      <c r="E126" s="34"/>
      <c r="F126" s="34"/>
      <c r="G126" s="34"/>
      <c r="H126" s="34"/>
      <c r="I126" s="34"/>
      <c r="J126" s="34"/>
      <c r="K126" s="34"/>
      <c r="L126" s="34">
        <v>248.9</v>
      </c>
      <c r="M126" s="34">
        <v>261</v>
      </c>
      <c r="N126" s="34">
        <v>317.7</v>
      </c>
      <c r="O126" s="34">
        <v>523.29999999999995</v>
      </c>
      <c r="P126" s="34">
        <v>1405</v>
      </c>
      <c r="Q126" s="34">
        <v>907.9</v>
      </c>
      <c r="R126" s="34">
        <v>681.7</v>
      </c>
      <c r="S126" s="34">
        <v>646.9</v>
      </c>
      <c r="T126" s="34">
        <v>760.3</v>
      </c>
      <c r="U126" s="34">
        <v>713</v>
      </c>
      <c r="V126" s="34">
        <v>543</v>
      </c>
      <c r="W126" s="34">
        <v>575.70000000000005</v>
      </c>
      <c r="X126" s="34">
        <v>515.4</v>
      </c>
      <c r="Y126" s="34">
        <v>477.7</v>
      </c>
      <c r="Z126" s="34">
        <v>523.79999999999995</v>
      </c>
      <c r="AA126" s="34">
        <v>387.4</v>
      </c>
      <c r="AB126" s="34">
        <v>381.9</v>
      </c>
      <c r="AC126" s="34">
        <v>420.4</v>
      </c>
      <c r="AD126" s="34">
        <v>534.1</v>
      </c>
      <c r="AE126" s="34">
        <v>516.9</v>
      </c>
      <c r="AF126" s="34">
        <v>488.4</v>
      </c>
      <c r="AG126" s="34">
        <v>538.9</v>
      </c>
      <c r="AH126" s="34">
        <v>791.9</v>
      </c>
      <c r="AI126" s="34">
        <v>748</v>
      </c>
      <c r="AJ126" s="34">
        <v>838</v>
      </c>
      <c r="AK126" s="34">
        <v>846.1</v>
      </c>
      <c r="AL126" s="34">
        <v>982.5</v>
      </c>
      <c r="AM126" s="34">
        <v>950.7</v>
      </c>
      <c r="AN126" s="34">
        <v>871.2</v>
      </c>
      <c r="AO126" s="34">
        <v>887</v>
      </c>
      <c r="AP126" s="34">
        <v>842</v>
      </c>
      <c r="AQ126" s="34">
        <v>719.9</v>
      </c>
      <c r="AR126" s="34">
        <v>811.4</v>
      </c>
      <c r="AS126" s="34">
        <v>1017.8</v>
      </c>
      <c r="AT126" s="34">
        <v>1085.3</v>
      </c>
      <c r="AU126" s="34">
        <v>1159.0999999999999</v>
      </c>
      <c r="AV126" s="34">
        <v>1121.0999999999999</v>
      </c>
      <c r="AW126" s="34">
        <v>1353.6</v>
      </c>
      <c r="AX126" s="34">
        <v>1411.9</v>
      </c>
      <c r="AY126" s="34">
        <v>1324.4</v>
      </c>
      <c r="AZ126" s="34">
        <v>1528.9</v>
      </c>
      <c r="BA126" s="34">
        <v>1783.8</v>
      </c>
      <c r="BB126" s="34">
        <v>1855.3</v>
      </c>
      <c r="BC126" s="34">
        <v>1780.7</v>
      </c>
      <c r="BD126" s="34">
        <v>1740.4</v>
      </c>
      <c r="BE126" s="34">
        <v>1641.5</v>
      </c>
      <c r="BF126" s="34">
        <v>1743.8</v>
      </c>
      <c r="BG126" s="34">
        <v>1853</v>
      </c>
      <c r="BH126" s="34">
        <v>1912.8</v>
      </c>
      <c r="BI126" s="34">
        <v>1745.7</v>
      </c>
      <c r="BJ126" s="34">
        <v>1763.2</v>
      </c>
      <c r="BK126" s="1">
        <v>2244.1</v>
      </c>
      <c r="BL126" s="1">
        <v>2061.4</v>
      </c>
      <c r="BM126" s="1">
        <v>2089.9</v>
      </c>
    </row>
    <row r="127" spans="1:65">
      <c r="A127" s="1" t="s">
        <v>1238</v>
      </c>
      <c r="B127" s="34">
        <v>218.3</v>
      </c>
      <c r="C127" s="34">
        <v>221.9</v>
      </c>
      <c r="D127" s="34">
        <v>226.4</v>
      </c>
      <c r="E127" s="34">
        <v>235.9</v>
      </c>
      <c r="F127" s="34">
        <v>251.9</v>
      </c>
      <c r="G127" s="34">
        <v>261.3</v>
      </c>
      <c r="H127" s="34">
        <v>285.5</v>
      </c>
      <c r="I127" s="34">
        <v>339.8</v>
      </c>
      <c r="J127" s="34">
        <v>305.60000000000002</v>
      </c>
      <c r="K127" s="34">
        <v>343.6</v>
      </c>
      <c r="L127" s="34">
        <v>362.5</v>
      </c>
      <c r="M127" s="34">
        <v>440.2</v>
      </c>
      <c r="N127" s="34">
        <v>516.6</v>
      </c>
      <c r="O127" s="34">
        <v>546.9</v>
      </c>
      <c r="P127" s="34">
        <v>715.3</v>
      </c>
      <c r="Q127" s="34">
        <v>760.2</v>
      </c>
      <c r="R127" s="34">
        <v>688.1</v>
      </c>
      <c r="S127" s="34">
        <v>1020.5</v>
      </c>
      <c r="T127" s="34">
        <v>1137.3</v>
      </c>
      <c r="U127" s="34">
        <v>1359.6</v>
      </c>
      <c r="V127" s="34">
        <v>1588.5</v>
      </c>
      <c r="W127" s="34">
        <v>1883.2</v>
      </c>
      <c r="X127" s="34">
        <v>2010.1</v>
      </c>
      <c r="Y127" s="34">
        <v>2039.3</v>
      </c>
      <c r="Z127" s="34">
        <v>2326.6999999999998</v>
      </c>
      <c r="AA127" s="34">
        <v>2634</v>
      </c>
      <c r="AB127" s="34">
        <v>3119.8</v>
      </c>
      <c r="AC127" s="34">
        <v>3550.2</v>
      </c>
      <c r="AD127" s="34">
        <v>4179.3</v>
      </c>
      <c r="AE127" s="34">
        <v>4696.5</v>
      </c>
      <c r="AF127" s="34">
        <v>5346.5</v>
      </c>
      <c r="AG127" s="34">
        <v>5439.8</v>
      </c>
      <c r="AH127" s="34">
        <v>5920.2</v>
      </c>
      <c r="AI127" s="34">
        <v>6363.7</v>
      </c>
      <c r="AJ127" s="34">
        <v>7027.4</v>
      </c>
      <c r="AK127" s="34">
        <v>7367.5</v>
      </c>
      <c r="AL127" s="34">
        <v>7748.7</v>
      </c>
      <c r="AM127" s="34">
        <v>8581.7000000000007</v>
      </c>
      <c r="AN127" s="34">
        <v>8665.1</v>
      </c>
      <c r="AO127" s="34">
        <v>9070.7000000000007</v>
      </c>
      <c r="AP127" s="34">
        <v>9276</v>
      </c>
      <c r="AQ127" s="34">
        <v>9973.6</v>
      </c>
      <c r="AR127" s="34">
        <v>10398.5</v>
      </c>
      <c r="AS127" s="34">
        <v>10119.700000000001</v>
      </c>
      <c r="AT127" s="34">
        <v>10882.4</v>
      </c>
      <c r="AU127" s="34">
        <v>11711.2</v>
      </c>
      <c r="AV127" s="34">
        <v>13747.8</v>
      </c>
      <c r="AW127" s="34">
        <v>14661</v>
      </c>
      <c r="AX127" s="34">
        <v>16491.900000000001</v>
      </c>
      <c r="AY127" s="34">
        <v>16374.3</v>
      </c>
      <c r="AZ127" s="34">
        <v>16427.599999999999</v>
      </c>
      <c r="BA127" s="34">
        <v>17572</v>
      </c>
      <c r="BB127" s="34">
        <v>17293.8</v>
      </c>
      <c r="BC127" s="34">
        <v>18315.900000000001</v>
      </c>
      <c r="BD127" s="34">
        <v>19923.2</v>
      </c>
      <c r="BE127" s="34">
        <v>20029.8</v>
      </c>
      <c r="BF127" s="34">
        <v>21068.400000000001</v>
      </c>
      <c r="BG127" s="34">
        <v>22119.4</v>
      </c>
      <c r="BH127" s="34">
        <v>22540.3</v>
      </c>
      <c r="BI127" s="34">
        <v>23219.599999999999</v>
      </c>
      <c r="BJ127" s="34">
        <v>18553.400000000001</v>
      </c>
      <c r="BK127" s="1">
        <v>18036</v>
      </c>
      <c r="BL127" s="1">
        <v>20593.599999999999</v>
      </c>
      <c r="BM127" s="1">
        <v>22553.3</v>
      </c>
    </row>
    <row r="128" spans="1:65">
      <c r="A128" s="1" t="s">
        <v>1239</v>
      </c>
      <c r="B128" s="34">
        <v>158.30000000000001</v>
      </c>
      <c r="C128" s="34">
        <v>93.8</v>
      </c>
      <c r="D128" s="34">
        <v>106.2</v>
      </c>
      <c r="E128" s="34">
        <v>146.30000000000001</v>
      </c>
      <c r="F128" s="34">
        <v>123.6</v>
      </c>
      <c r="G128" s="34">
        <v>108.7</v>
      </c>
      <c r="H128" s="34">
        <v>133.5</v>
      </c>
      <c r="I128" s="34">
        <v>161.19999999999999</v>
      </c>
      <c r="J128" s="34">
        <v>198.4</v>
      </c>
      <c r="K128" s="34">
        <v>243.4</v>
      </c>
      <c r="L128" s="34">
        <v>279.3</v>
      </c>
      <c r="M128" s="34">
        <v>301.2</v>
      </c>
      <c r="N128" s="34">
        <v>324.2</v>
      </c>
      <c r="O128" s="34">
        <v>406.9</v>
      </c>
      <c r="P128" s="34">
        <v>563.4</v>
      </c>
      <c r="Q128" s="34">
        <v>617.5</v>
      </c>
      <c r="R128" s="34">
        <v>834.1</v>
      </c>
      <c r="S128" s="34">
        <v>1055.9000000000001</v>
      </c>
      <c r="T128" s="34">
        <v>1405.8</v>
      </c>
      <c r="U128" s="34">
        <v>1783.6</v>
      </c>
      <c r="V128" s="34">
        <v>1715.4</v>
      </c>
      <c r="W128" s="34">
        <v>1883.5</v>
      </c>
      <c r="X128" s="34">
        <v>1992.5</v>
      </c>
      <c r="Y128" s="34">
        <v>2198.9</v>
      </c>
      <c r="Z128" s="34">
        <v>2413.3000000000002</v>
      </c>
      <c r="AA128" s="34">
        <v>2482.4</v>
      </c>
      <c r="AB128" s="34">
        <v>2834.9</v>
      </c>
      <c r="AC128" s="34">
        <v>3554.6</v>
      </c>
      <c r="AD128" s="34">
        <v>4748.6000000000004</v>
      </c>
      <c r="AE128" s="34">
        <v>5817.1</v>
      </c>
      <c r="AF128" s="34">
        <v>6610</v>
      </c>
      <c r="AG128" s="34">
        <v>7636.9</v>
      </c>
      <c r="AH128" s="34">
        <v>8126.7</v>
      </c>
      <c r="AI128" s="34">
        <v>8884.9</v>
      </c>
      <c r="AJ128" s="34">
        <v>10385.4</v>
      </c>
      <c r="AK128" s="34">
        <v>12564.7</v>
      </c>
      <c r="AL128" s="34">
        <v>13403</v>
      </c>
      <c r="AM128" s="34">
        <v>12398.5</v>
      </c>
      <c r="AN128" s="34">
        <v>8281.7000000000007</v>
      </c>
      <c r="AO128" s="34">
        <v>10672.4</v>
      </c>
      <c r="AP128" s="34">
        <v>12257</v>
      </c>
      <c r="AQ128" s="34">
        <v>11561.2</v>
      </c>
      <c r="AR128" s="34">
        <v>13165.1</v>
      </c>
      <c r="AS128" s="34">
        <v>14672.8</v>
      </c>
      <c r="AT128" s="34">
        <v>16496.099999999999</v>
      </c>
      <c r="AU128" s="34">
        <v>19402.5</v>
      </c>
      <c r="AV128" s="34">
        <v>21743.5</v>
      </c>
      <c r="AW128" s="34">
        <v>24086.400000000001</v>
      </c>
      <c r="AX128" s="34">
        <v>21350.400000000001</v>
      </c>
      <c r="AY128" s="34">
        <v>19143.900000000001</v>
      </c>
      <c r="AZ128" s="34">
        <v>23079.3</v>
      </c>
      <c r="BA128" s="34">
        <v>25097.599999999999</v>
      </c>
      <c r="BB128" s="34">
        <v>25459.200000000001</v>
      </c>
      <c r="BC128" s="34">
        <v>27179.5</v>
      </c>
      <c r="BD128" s="34">
        <v>29252.9</v>
      </c>
      <c r="BE128" s="34">
        <v>28737.4</v>
      </c>
      <c r="BF128" s="34">
        <v>29280.400000000001</v>
      </c>
      <c r="BG128" s="34">
        <v>31600.7</v>
      </c>
      <c r="BH128" s="34">
        <v>33447.199999999997</v>
      </c>
      <c r="BI128" s="34">
        <v>31902.400000000001</v>
      </c>
      <c r="BJ128" s="34">
        <v>31721.3</v>
      </c>
      <c r="BK128" s="1">
        <v>35125.5</v>
      </c>
      <c r="BL128" s="1">
        <v>32394.7</v>
      </c>
      <c r="BM128" s="1">
        <v>33121.4</v>
      </c>
    </row>
    <row r="129" spans="1:65">
      <c r="A129" s="1" t="s">
        <v>1240</v>
      </c>
      <c r="B129" s="34"/>
      <c r="C129" s="34"/>
      <c r="D129" s="34">
        <v>4833.8</v>
      </c>
      <c r="E129" s="34">
        <v>4520.6000000000004</v>
      </c>
      <c r="F129" s="34">
        <v>4448</v>
      </c>
      <c r="G129" s="34">
        <v>4081.4</v>
      </c>
      <c r="H129" s="34">
        <v>4228.7</v>
      </c>
      <c r="I129" s="34">
        <v>3930.2</v>
      </c>
      <c r="J129" s="34">
        <v>3909.5</v>
      </c>
      <c r="K129" s="34">
        <v>3726.8</v>
      </c>
      <c r="L129" s="34">
        <v>3579.6</v>
      </c>
      <c r="M129" s="34">
        <v>4518.7</v>
      </c>
      <c r="N129" s="34">
        <v>4870.3999999999996</v>
      </c>
      <c r="O129" s="34">
        <v>5573.1</v>
      </c>
      <c r="P129" s="34">
        <v>12622.9</v>
      </c>
      <c r="Q129" s="34">
        <v>10969.7</v>
      </c>
      <c r="R129" s="34">
        <v>11235.8</v>
      </c>
      <c r="S129" s="34">
        <v>11335.1</v>
      </c>
      <c r="T129" s="34">
        <v>11664.9</v>
      </c>
      <c r="U129" s="34">
        <v>17524.400000000001</v>
      </c>
      <c r="V129" s="34">
        <v>19170.900000000001</v>
      </c>
      <c r="W129" s="34">
        <v>15929.8</v>
      </c>
      <c r="X129" s="34">
        <v>13054</v>
      </c>
      <c r="Y129" s="34">
        <v>12022.3</v>
      </c>
      <c r="Z129" s="34">
        <v>11962.7</v>
      </c>
      <c r="AA129" s="34">
        <v>11353.2</v>
      </c>
      <c r="AB129" s="34">
        <v>9097.1</v>
      </c>
      <c r="AC129" s="34">
        <v>10919.7</v>
      </c>
      <c r="AD129" s="34">
        <v>9717.6</v>
      </c>
      <c r="AE129" s="34">
        <v>11001.7</v>
      </c>
      <c r="AF129" s="34">
        <v>11002.1</v>
      </c>
      <c r="AG129" s="34">
        <v>8219.5</v>
      </c>
      <c r="AH129" s="34">
        <v>12253.6</v>
      </c>
      <c r="AI129" s="34">
        <v>14478</v>
      </c>
      <c r="AJ129" s="34">
        <v>15141.3</v>
      </c>
      <c r="AK129" s="34">
        <v>16425</v>
      </c>
      <c r="AL129" s="34">
        <v>18488.8</v>
      </c>
      <c r="AM129" s="34">
        <v>17230.099999999999</v>
      </c>
      <c r="AN129" s="34">
        <v>14258.4</v>
      </c>
      <c r="AO129" s="34">
        <v>16044.5</v>
      </c>
      <c r="AP129" s="34">
        <v>19493.900000000001</v>
      </c>
      <c r="AQ129" s="34">
        <v>17517.7</v>
      </c>
      <c r="AR129" s="34">
        <v>18626.8</v>
      </c>
      <c r="AS129" s="34">
        <v>22781.1</v>
      </c>
      <c r="AT129" s="34">
        <v>27601.4</v>
      </c>
      <c r="AU129" s="34">
        <v>36145</v>
      </c>
      <c r="AV129" s="34">
        <v>42970.7</v>
      </c>
      <c r="AW129" s="34">
        <v>45729.8</v>
      </c>
      <c r="AX129" s="34">
        <v>55595.5</v>
      </c>
      <c r="AY129" s="34">
        <v>37906.199999999997</v>
      </c>
      <c r="AZ129" s="34">
        <v>39212.5</v>
      </c>
      <c r="BA129" s="34">
        <v>48997.4</v>
      </c>
      <c r="BB129" s="34">
        <v>51271</v>
      </c>
      <c r="BC129" s="34">
        <v>47762.9</v>
      </c>
      <c r="BD129" s="34">
        <v>43239.9</v>
      </c>
      <c r="BE129" s="34">
        <v>29315.200000000001</v>
      </c>
      <c r="BF129" s="34">
        <v>27026.799999999999</v>
      </c>
      <c r="BG129" s="34">
        <v>29258.3</v>
      </c>
      <c r="BH129" s="34">
        <v>32012.2</v>
      </c>
      <c r="BI129" s="34">
        <v>31230.2</v>
      </c>
      <c r="BJ129" s="34">
        <v>24656.400000000001</v>
      </c>
      <c r="BK129" s="1">
        <v>33358.5</v>
      </c>
      <c r="BL129" s="1">
        <v>42823.8</v>
      </c>
      <c r="BM129" s="1">
        <v>37533.199999999997</v>
      </c>
    </row>
    <row r="130" spans="1:65">
      <c r="A130" s="1" t="s">
        <v>1241</v>
      </c>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v>2253.3000000000002</v>
      </c>
      <c r="AF130" s="34">
        <v>2416.1999999999998</v>
      </c>
      <c r="AG130" s="34">
        <v>2553.5</v>
      </c>
      <c r="AH130" s="34">
        <v>2721.9</v>
      </c>
      <c r="AI130" s="34">
        <v>3222.5</v>
      </c>
      <c r="AJ130" s="34">
        <v>3741.5</v>
      </c>
      <c r="AK130" s="34">
        <v>3921</v>
      </c>
      <c r="AL130" s="34">
        <v>4209.8</v>
      </c>
      <c r="AM130" s="34">
        <v>4520.3</v>
      </c>
      <c r="AN130" s="34">
        <v>4487.5</v>
      </c>
      <c r="AO130" s="34">
        <v>3924.5</v>
      </c>
      <c r="AP130" s="34">
        <v>4275.6000000000004</v>
      </c>
      <c r="AQ130" s="34">
        <v>4109.8999999999996</v>
      </c>
      <c r="AR130" s="34">
        <v>3650.3</v>
      </c>
      <c r="AS130" s="34">
        <v>3678.5</v>
      </c>
      <c r="AT130" s="34">
        <v>4137.7</v>
      </c>
      <c r="AU130" s="34">
        <v>4940.2</v>
      </c>
      <c r="AV130" s="34">
        <v>5692.8</v>
      </c>
      <c r="AW130" s="34">
        <v>6643.9</v>
      </c>
      <c r="AX130" s="34">
        <v>7593.1</v>
      </c>
      <c r="AY130" s="34">
        <v>6959.7</v>
      </c>
      <c r="AZ130" s="34">
        <v>8613.7000000000007</v>
      </c>
      <c r="BA130" s="34">
        <v>9944.5</v>
      </c>
      <c r="BB130" s="34">
        <v>9791.7999999999993</v>
      </c>
      <c r="BC130" s="34">
        <v>9939.7999999999993</v>
      </c>
      <c r="BD130" s="34">
        <v>9872.4</v>
      </c>
      <c r="BE130" s="34">
        <v>8297.2999999999993</v>
      </c>
      <c r="BF130" s="34">
        <v>7968</v>
      </c>
      <c r="BG130" s="34">
        <v>8788.7000000000007</v>
      </c>
      <c r="BH130" s="34">
        <v>8446.5</v>
      </c>
      <c r="BI130" s="34">
        <v>8245.2999999999993</v>
      </c>
      <c r="BJ130" s="34">
        <v>6882.2</v>
      </c>
      <c r="BK130" s="1">
        <v>7916.8</v>
      </c>
      <c r="BL130" s="1">
        <v>9033.7999999999993</v>
      </c>
      <c r="BM130" s="1">
        <v>10070.4</v>
      </c>
    </row>
    <row r="131" spans="1:65">
      <c r="A131" s="1" t="s">
        <v>1242</v>
      </c>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v>482.7</v>
      </c>
      <c r="AA131" s="34">
        <v>632.5</v>
      </c>
      <c r="AB131" s="34">
        <v>461.7</v>
      </c>
      <c r="AC131" s="34">
        <v>274.60000000000002</v>
      </c>
      <c r="AD131" s="34">
        <v>147</v>
      </c>
      <c r="AE131" s="34">
        <v>170.3</v>
      </c>
      <c r="AF131" s="34">
        <v>200.6</v>
      </c>
      <c r="AG131" s="34">
        <v>231.7</v>
      </c>
      <c r="AH131" s="34">
        <v>247.3</v>
      </c>
      <c r="AI131" s="34">
        <v>283.39999999999998</v>
      </c>
      <c r="AJ131" s="34">
        <v>321.10000000000002</v>
      </c>
      <c r="AK131" s="34">
        <v>357.9</v>
      </c>
      <c r="AL131" s="34">
        <v>371.5</v>
      </c>
      <c r="AM131" s="34">
        <v>339.2</v>
      </c>
      <c r="AN131" s="34">
        <v>244</v>
      </c>
      <c r="AO131" s="34">
        <v>272.39999999999998</v>
      </c>
      <c r="AP131" s="34">
        <v>318.8</v>
      </c>
      <c r="AQ131" s="34">
        <v>320.39999999999998</v>
      </c>
      <c r="AR131" s="34">
        <v>313.60000000000002</v>
      </c>
      <c r="AS131" s="34">
        <v>355.7</v>
      </c>
      <c r="AT131" s="34">
        <v>410.3</v>
      </c>
      <c r="AU131" s="34">
        <v>467.4</v>
      </c>
      <c r="AV131" s="34">
        <v>581</v>
      </c>
      <c r="AW131" s="34">
        <v>699</v>
      </c>
      <c r="AX131" s="34">
        <v>887.6</v>
      </c>
      <c r="AY131" s="34">
        <v>936.8</v>
      </c>
      <c r="AZ131" s="34">
        <v>1127.8</v>
      </c>
      <c r="BA131" s="34">
        <v>1363.7</v>
      </c>
      <c r="BB131" s="34">
        <v>1566</v>
      </c>
      <c r="BC131" s="34">
        <v>1815.4</v>
      </c>
      <c r="BD131" s="34">
        <v>1984.5</v>
      </c>
      <c r="BE131" s="34">
        <v>2125.5</v>
      </c>
      <c r="BF131" s="34">
        <v>2309</v>
      </c>
      <c r="BG131" s="34">
        <v>2439.5</v>
      </c>
      <c r="BH131" s="34">
        <v>2553.4</v>
      </c>
      <c r="BI131" s="34">
        <v>2598.5</v>
      </c>
      <c r="BJ131" s="34">
        <v>2593.4</v>
      </c>
      <c r="BK131" s="1">
        <v>2535.6</v>
      </c>
      <c r="BL131" s="1">
        <v>2054.4</v>
      </c>
      <c r="BM131" s="1">
        <v>2075.4</v>
      </c>
    </row>
    <row r="132" spans="1:65">
      <c r="A132" s="1" t="s">
        <v>1243</v>
      </c>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v>958.5</v>
      </c>
      <c r="AE132" s="34">
        <v>771</v>
      </c>
      <c r="AF132" s="34">
        <v>789.9</v>
      </c>
      <c r="AG132" s="34">
        <v>1279.2</v>
      </c>
      <c r="AH132" s="34">
        <v>1560.2</v>
      </c>
      <c r="AI132" s="34">
        <v>2079.6</v>
      </c>
      <c r="AJ132" s="34">
        <v>2468.8000000000002</v>
      </c>
      <c r="AK132" s="34">
        <v>2959.6</v>
      </c>
      <c r="AL132" s="34">
        <v>3393.5</v>
      </c>
      <c r="AM132" s="34">
        <v>3834.9</v>
      </c>
      <c r="AN132" s="34">
        <v>4127.3</v>
      </c>
      <c r="AO132" s="34">
        <v>4092</v>
      </c>
      <c r="AP132" s="34">
        <v>3994.9</v>
      </c>
      <c r="AQ132" s="34">
        <v>4021.2</v>
      </c>
      <c r="AR132" s="34">
        <v>4307.1000000000004</v>
      </c>
      <c r="AS132" s="34">
        <v>4458.1000000000004</v>
      </c>
      <c r="AT132" s="34">
        <v>4625.3</v>
      </c>
      <c r="AU132" s="34">
        <v>4630</v>
      </c>
      <c r="AV132" s="34">
        <v>4666</v>
      </c>
      <c r="AW132" s="34">
        <v>5162</v>
      </c>
      <c r="AX132" s="34">
        <v>5957.7</v>
      </c>
      <c r="AY132" s="34">
        <v>7149.8</v>
      </c>
      <c r="AZ132" s="34">
        <v>7695.2</v>
      </c>
      <c r="BA132" s="34">
        <v>7914.1</v>
      </c>
      <c r="BB132" s="34">
        <v>8500.2000000000007</v>
      </c>
      <c r="BC132" s="34">
        <v>8255.2000000000007</v>
      </c>
      <c r="BD132" s="34">
        <v>7665.4</v>
      </c>
      <c r="BE132" s="34">
        <v>7802.8</v>
      </c>
      <c r="BF132" s="34">
        <v>8172.3</v>
      </c>
      <c r="BG132" s="34">
        <v>8679.9</v>
      </c>
      <c r="BH132" s="34">
        <v>9225.7999999999993</v>
      </c>
      <c r="BI132" s="34">
        <v>8925.4</v>
      </c>
      <c r="BJ132" s="34">
        <v>5600</v>
      </c>
      <c r="BK132" s="1">
        <v>4136.1000000000004</v>
      </c>
      <c r="BL132" s="1">
        <v>3823.9</v>
      </c>
      <c r="BM132" s="1">
        <v>3350.3</v>
      </c>
    </row>
    <row r="133" spans="1:65">
      <c r="A133" s="1" t="s">
        <v>1244</v>
      </c>
      <c r="B133" s="34">
        <v>167.5</v>
      </c>
      <c r="C133" s="34">
        <v>157.9</v>
      </c>
      <c r="D133" s="34">
        <v>160.69999999999999</v>
      </c>
      <c r="E133" s="34">
        <v>163.6</v>
      </c>
      <c r="F133" s="34">
        <v>174.4</v>
      </c>
      <c r="G133" s="34">
        <v>178.1</v>
      </c>
      <c r="H133" s="34">
        <v>185.2</v>
      </c>
      <c r="I133" s="34">
        <v>192.7</v>
      </c>
      <c r="J133" s="34">
        <v>199.2</v>
      </c>
      <c r="K133" s="34">
        <v>215.3</v>
      </c>
      <c r="L133" s="34">
        <v>220.8</v>
      </c>
      <c r="M133" s="34">
        <v>227.4</v>
      </c>
      <c r="N133" s="34">
        <v>238.9</v>
      </c>
      <c r="O133" s="34">
        <v>244.5</v>
      </c>
      <c r="P133" s="34">
        <v>299.39999999999998</v>
      </c>
      <c r="Q133" s="34">
        <v>345.5</v>
      </c>
      <c r="R133" s="34">
        <v>347.2</v>
      </c>
      <c r="S133" s="34">
        <v>380.6</v>
      </c>
      <c r="T133" s="34">
        <v>393.9</v>
      </c>
      <c r="U133" s="34">
        <v>434</v>
      </c>
      <c r="V133" s="34">
        <v>442.4</v>
      </c>
      <c r="W133" s="34">
        <v>425.5</v>
      </c>
      <c r="X133" s="34">
        <v>421.9</v>
      </c>
      <c r="Y133" s="34">
        <v>390.4</v>
      </c>
      <c r="Z133" s="34">
        <v>390.2</v>
      </c>
      <c r="AA133" s="34">
        <v>380.1</v>
      </c>
      <c r="AB133" s="34">
        <v>364.7</v>
      </c>
      <c r="AC133" s="34">
        <v>410</v>
      </c>
      <c r="AD133" s="34">
        <v>425.6</v>
      </c>
      <c r="AE133" s="34">
        <v>313.60000000000002</v>
      </c>
      <c r="AF133" s="34">
        <v>174</v>
      </c>
      <c r="AG133" s="34">
        <v>179.5</v>
      </c>
      <c r="AH133" s="34">
        <v>108.9</v>
      </c>
      <c r="AI133" s="34">
        <v>75.2</v>
      </c>
      <c r="AJ133" s="34">
        <v>62.2</v>
      </c>
      <c r="AK133" s="34">
        <v>62.9</v>
      </c>
      <c r="AL133" s="34">
        <v>72.3</v>
      </c>
      <c r="AM133" s="34">
        <v>124.2</v>
      </c>
      <c r="AN133" s="34">
        <v>136.30000000000001</v>
      </c>
      <c r="AO133" s="34">
        <v>158.4</v>
      </c>
      <c r="AP133" s="34">
        <v>301.89999999999998</v>
      </c>
      <c r="AQ133" s="34">
        <v>303.89999999999998</v>
      </c>
      <c r="AR133" s="34">
        <v>302.89999999999998</v>
      </c>
      <c r="AS133" s="34">
        <v>242.4</v>
      </c>
      <c r="AT133" s="34">
        <v>287.3</v>
      </c>
      <c r="AU133" s="34">
        <v>290.5</v>
      </c>
      <c r="AV133" s="34">
        <v>323.8</v>
      </c>
      <c r="AW133" s="34">
        <v>378</v>
      </c>
      <c r="AX133" s="34">
        <v>456.1</v>
      </c>
      <c r="AY133" s="34">
        <v>452.7</v>
      </c>
      <c r="AZ133" s="34">
        <v>497</v>
      </c>
      <c r="BA133" s="34">
        <v>573.5</v>
      </c>
      <c r="BB133" s="34">
        <v>644.5</v>
      </c>
      <c r="BC133" s="34">
        <v>717.6</v>
      </c>
      <c r="BD133" s="34">
        <v>713.7</v>
      </c>
      <c r="BE133" s="34">
        <v>699.7</v>
      </c>
      <c r="BF133" s="34">
        <v>722.1</v>
      </c>
      <c r="BG133" s="34">
        <v>706.9</v>
      </c>
      <c r="BH133" s="34">
        <v>700</v>
      </c>
      <c r="BI133" s="34">
        <v>665.9</v>
      </c>
      <c r="BJ133" s="34">
        <v>624.29999999999995</v>
      </c>
      <c r="BK133" s="1">
        <v>676.4</v>
      </c>
      <c r="BL133" s="1">
        <v>754.5</v>
      </c>
      <c r="BM133" s="1">
        <v>799.5</v>
      </c>
    </row>
    <row r="134" spans="1:65">
      <c r="A134" s="1" t="s">
        <v>1245</v>
      </c>
      <c r="B134" s="34">
        <v>281.5</v>
      </c>
      <c r="C134" s="34">
        <v>300.2</v>
      </c>
      <c r="D134" s="34">
        <v>403.7</v>
      </c>
      <c r="E134" s="34">
        <v>559.5</v>
      </c>
      <c r="F134" s="34">
        <v>811.9</v>
      </c>
      <c r="G134" s="34">
        <v>1061.7</v>
      </c>
      <c r="H134" s="34">
        <v>1329.1</v>
      </c>
      <c r="I134" s="34">
        <v>1533.2</v>
      </c>
      <c r="J134" s="34">
        <v>2116.4</v>
      </c>
      <c r="K134" s="34">
        <v>2351.8000000000002</v>
      </c>
      <c r="L134" s="34">
        <v>2410.3000000000002</v>
      </c>
      <c r="M134" s="34">
        <v>2686.1</v>
      </c>
      <c r="N134" s="34">
        <v>3129.7</v>
      </c>
      <c r="O134" s="34">
        <v>4138.6000000000004</v>
      </c>
      <c r="P134" s="34">
        <v>6934.1</v>
      </c>
      <c r="Q134" s="34">
        <v>6418.8</v>
      </c>
      <c r="R134" s="34">
        <v>7911.7</v>
      </c>
      <c r="S134" s="34">
        <v>8823.7999999999993</v>
      </c>
      <c r="T134" s="34">
        <v>8271.7999999999993</v>
      </c>
      <c r="U134" s="34">
        <v>10840.4</v>
      </c>
      <c r="V134" s="34">
        <v>13823.1</v>
      </c>
      <c r="W134" s="34">
        <v>11688.4</v>
      </c>
      <c r="X134" s="34">
        <v>10338.6</v>
      </c>
      <c r="Y134" s="34">
        <v>9697.6</v>
      </c>
      <c r="Z134" s="34">
        <v>8269.2000000000007</v>
      </c>
      <c r="AA134" s="34">
        <v>8558.1</v>
      </c>
      <c r="AB134" s="34">
        <v>6363.1</v>
      </c>
      <c r="AC134" s="34">
        <v>6824.7</v>
      </c>
      <c r="AD134" s="34">
        <v>6044.7</v>
      </c>
      <c r="AE134" s="34">
        <v>6091.2</v>
      </c>
      <c r="AF134" s="34">
        <v>6821.9</v>
      </c>
      <c r="AG134" s="34">
        <v>7368</v>
      </c>
      <c r="AH134" s="34">
        <v>7623.9</v>
      </c>
      <c r="AI134" s="34">
        <v>6745.9</v>
      </c>
      <c r="AJ134" s="34">
        <v>6164.3</v>
      </c>
      <c r="AK134" s="34">
        <v>5396.4</v>
      </c>
      <c r="AL134" s="34">
        <v>5785.1</v>
      </c>
      <c r="AM134" s="34">
        <v>6262.5</v>
      </c>
      <c r="AN134" s="34">
        <v>5471.1</v>
      </c>
      <c r="AO134" s="34">
        <v>7112.7</v>
      </c>
      <c r="AP134" s="34">
        <v>7424.3</v>
      </c>
      <c r="AQ134" s="34">
        <v>6465.6</v>
      </c>
      <c r="AR134" s="34">
        <v>3789.2</v>
      </c>
      <c r="AS134" s="34">
        <v>4738.8</v>
      </c>
      <c r="AT134" s="34">
        <v>5823.6</v>
      </c>
      <c r="AU134" s="34">
        <v>8108.1</v>
      </c>
      <c r="AV134" s="34">
        <v>10060.4</v>
      </c>
      <c r="AW134" s="34">
        <v>11158.1</v>
      </c>
      <c r="AX134" s="34">
        <v>13921.9</v>
      </c>
      <c r="AY134" s="34">
        <v>9560.7999999999993</v>
      </c>
      <c r="AZ134" s="34">
        <v>11611.4</v>
      </c>
      <c r="BA134" s="34">
        <v>7784.1</v>
      </c>
      <c r="BB134" s="34">
        <v>15765.4</v>
      </c>
      <c r="BC134" s="34">
        <v>12589.5</v>
      </c>
      <c r="BD134" s="34">
        <v>9408.7999999999993</v>
      </c>
      <c r="BE134" s="34">
        <v>7867.5</v>
      </c>
      <c r="BF134" s="34">
        <v>7945</v>
      </c>
      <c r="BG134" s="34">
        <v>10529.1</v>
      </c>
      <c r="BH134" s="34">
        <v>11838.3</v>
      </c>
      <c r="BI134" s="34">
        <v>10972.9</v>
      </c>
      <c r="BJ134" s="34">
        <v>9872.1</v>
      </c>
      <c r="BK134" s="1">
        <v>7095</v>
      </c>
      <c r="BL134" s="1">
        <v>8211.4</v>
      </c>
      <c r="BM134" s="1">
        <v>7330</v>
      </c>
    </row>
    <row r="135" spans="1:65">
      <c r="A135" s="1" t="s">
        <v>1246</v>
      </c>
      <c r="B135" s="34"/>
      <c r="C135" s="34"/>
      <c r="D135" s="34"/>
      <c r="E135" s="34"/>
      <c r="F135" s="34"/>
      <c r="G135" s="34"/>
      <c r="H135" s="34"/>
      <c r="I135" s="34"/>
      <c r="J135" s="34"/>
      <c r="K135" s="34"/>
      <c r="L135" s="34"/>
      <c r="M135" s="34"/>
      <c r="N135" s="34"/>
      <c r="O135" s="34"/>
      <c r="P135" s="34"/>
      <c r="Q135" s="34"/>
      <c r="R135" s="34"/>
      <c r="S135" s="34"/>
      <c r="T135" s="34"/>
      <c r="U135" s="34"/>
      <c r="V135" s="34">
        <v>1400.7</v>
      </c>
      <c r="W135" s="34">
        <v>1569.3</v>
      </c>
      <c r="X135" s="34">
        <v>1452.8</v>
      </c>
      <c r="Y135" s="34">
        <v>1534.1</v>
      </c>
      <c r="Z135" s="34">
        <v>1925.2</v>
      </c>
      <c r="AA135" s="34">
        <v>2142.6999999999998</v>
      </c>
      <c r="AB135" s="34">
        <v>2522.1</v>
      </c>
      <c r="AC135" s="34">
        <v>2745.7</v>
      </c>
      <c r="AD135" s="34">
        <v>3098.4</v>
      </c>
      <c r="AE135" s="34">
        <v>3464.9</v>
      </c>
      <c r="AF135" s="34">
        <v>4073.3</v>
      </c>
      <c r="AG135" s="34">
        <v>4253.8999999999996</v>
      </c>
      <c r="AH135" s="34">
        <v>4603.7</v>
      </c>
      <c r="AI135" s="34">
        <v>4608.6000000000004</v>
      </c>
      <c r="AJ135" s="34">
        <v>4740.3</v>
      </c>
      <c r="AK135" s="34">
        <v>5008</v>
      </c>
      <c r="AL135" s="34">
        <v>5123.7</v>
      </c>
      <c r="AM135" s="34">
        <v>5184.3</v>
      </c>
      <c r="AN135" s="34">
        <v>5593.7</v>
      </c>
      <c r="AO135" s="34">
        <v>5825.1</v>
      </c>
      <c r="AP135" s="34">
        <v>5847</v>
      </c>
      <c r="AQ135" s="34">
        <v>5558.1</v>
      </c>
      <c r="AR135" s="34">
        <v>5562.5</v>
      </c>
      <c r="AS135" s="34">
        <v>6056</v>
      </c>
      <c r="AT135" s="34">
        <v>6494.6</v>
      </c>
      <c r="AU135" s="34">
        <v>6866.1</v>
      </c>
      <c r="AV135" s="34">
        <v>7618.9</v>
      </c>
      <c r="AW135" s="34">
        <v>7975.8</v>
      </c>
      <c r="AX135" s="34">
        <v>8528.7000000000007</v>
      </c>
      <c r="AY135" s="34">
        <v>8259.2999999999993</v>
      </c>
      <c r="AZ135" s="34">
        <v>8672.2000000000007</v>
      </c>
      <c r="BA135" s="34">
        <v>9110.7999999999993</v>
      </c>
      <c r="BB135" s="34">
        <v>9231.6</v>
      </c>
      <c r="BC135" s="34">
        <v>9542.7000000000007</v>
      </c>
      <c r="BD135" s="34">
        <v>10006.6</v>
      </c>
      <c r="BE135" s="34">
        <v>10292.700000000001</v>
      </c>
      <c r="BF135" s="34">
        <v>10591.9</v>
      </c>
      <c r="BG135" s="34">
        <v>11280.6</v>
      </c>
      <c r="BH135" s="34">
        <v>11585.7</v>
      </c>
      <c r="BI135" s="34">
        <v>11714.9</v>
      </c>
      <c r="BJ135" s="34">
        <v>8356.7000000000007</v>
      </c>
      <c r="BK135" s="1">
        <v>10213.1</v>
      </c>
      <c r="BL135" s="1">
        <v>13030.9</v>
      </c>
      <c r="BM135" s="1">
        <v>13980.1</v>
      </c>
    </row>
    <row r="136" spans="1:65">
      <c r="A136" s="1" t="s">
        <v>1247</v>
      </c>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v>2324.6</v>
      </c>
      <c r="AF136" s="34">
        <v>2495.8000000000002</v>
      </c>
      <c r="AG136" s="34">
        <v>2645.3</v>
      </c>
      <c r="AH136" s="34">
        <v>2835.4</v>
      </c>
      <c r="AI136" s="34">
        <v>3296.6</v>
      </c>
      <c r="AJ136" s="34">
        <v>3784.8</v>
      </c>
      <c r="AK136" s="34">
        <v>4025.6</v>
      </c>
      <c r="AL136" s="34">
        <v>4285.1000000000004</v>
      </c>
      <c r="AM136" s="34">
        <v>4623.3</v>
      </c>
      <c r="AN136" s="34">
        <v>4607.8999999999996</v>
      </c>
      <c r="AO136" s="34">
        <v>4102</v>
      </c>
      <c r="AP136" s="34">
        <v>4462.3999999999996</v>
      </c>
      <c r="AQ136" s="34">
        <v>4315.7</v>
      </c>
      <c r="AR136" s="34">
        <v>3828.2</v>
      </c>
      <c r="AS136" s="34">
        <v>3850.3</v>
      </c>
      <c r="AT136" s="34">
        <v>4372</v>
      </c>
      <c r="AU136" s="34">
        <v>5212.2</v>
      </c>
      <c r="AV136" s="34">
        <v>6027</v>
      </c>
      <c r="AW136" s="34">
        <v>7013.4</v>
      </c>
      <c r="AX136" s="34">
        <v>8054.8</v>
      </c>
      <c r="AY136" s="34">
        <v>7474.8</v>
      </c>
      <c r="AZ136" s="34">
        <v>9162.4</v>
      </c>
      <c r="BA136" s="34">
        <v>10306</v>
      </c>
      <c r="BB136" s="34">
        <v>10311.6</v>
      </c>
      <c r="BC136" s="34">
        <v>10453.299999999999</v>
      </c>
      <c r="BD136" s="34">
        <v>10541</v>
      </c>
      <c r="BE136" s="34">
        <v>8719.6</v>
      </c>
      <c r="BF136" s="34">
        <v>8417.4</v>
      </c>
      <c r="BG136" s="34">
        <v>9256.1</v>
      </c>
      <c r="BH136" s="34">
        <v>8978.1</v>
      </c>
      <c r="BI136" s="34">
        <v>8771.1</v>
      </c>
      <c r="BJ136" s="34">
        <v>7386.1</v>
      </c>
      <c r="BK136" s="1">
        <v>8516.2999999999993</v>
      </c>
      <c r="BL136" s="1">
        <v>9618.7000000000007</v>
      </c>
      <c r="BM136" s="1">
        <v>10681.7</v>
      </c>
    </row>
    <row r="137" spans="1:65">
      <c r="A137" s="1" t="s">
        <v>1248</v>
      </c>
      <c r="B137" s="34">
        <v>104.2</v>
      </c>
      <c r="C137" s="34">
        <v>109</v>
      </c>
      <c r="D137" s="34">
        <v>112.5</v>
      </c>
      <c r="E137" s="34">
        <v>115.2</v>
      </c>
      <c r="F137" s="34">
        <v>117.7</v>
      </c>
      <c r="G137" s="34">
        <v>124.7</v>
      </c>
      <c r="H137" s="34">
        <v>131.80000000000001</v>
      </c>
      <c r="I137" s="34">
        <v>137.1</v>
      </c>
      <c r="J137" s="34">
        <v>141.1</v>
      </c>
      <c r="K137" s="34">
        <v>148.6</v>
      </c>
      <c r="L137" s="34">
        <v>140.30000000000001</v>
      </c>
      <c r="M137" s="34">
        <v>142.1</v>
      </c>
      <c r="N137" s="34">
        <v>142</v>
      </c>
      <c r="O137" s="34">
        <v>167.1</v>
      </c>
      <c r="P137" s="34">
        <v>203.7</v>
      </c>
      <c r="Q137" s="34">
        <v>244.3</v>
      </c>
      <c r="R137" s="34">
        <v>219</v>
      </c>
      <c r="S137" s="34">
        <v>229.1</v>
      </c>
      <c r="T137" s="34">
        <v>259.89999999999998</v>
      </c>
      <c r="U137" s="34">
        <v>283.5</v>
      </c>
      <c r="V137" s="34">
        <v>311.60000000000002</v>
      </c>
      <c r="W137" s="34">
        <v>321.2</v>
      </c>
      <c r="X137" s="34">
        <v>314.60000000000002</v>
      </c>
      <c r="Y137" s="34">
        <v>309.60000000000002</v>
      </c>
      <c r="Z137" s="34">
        <v>315.5</v>
      </c>
      <c r="AA137" s="34">
        <v>337.1</v>
      </c>
      <c r="AB137" s="34">
        <v>279.60000000000002</v>
      </c>
      <c r="AC137" s="34">
        <v>290.7</v>
      </c>
      <c r="AD137" s="34">
        <v>309.89999999999998</v>
      </c>
      <c r="AE137" s="34">
        <v>323.39999999999998</v>
      </c>
      <c r="AF137" s="34">
        <v>366.9</v>
      </c>
      <c r="AG137" s="34">
        <v>392.2</v>
      </c>
      <c r="AH137" s="34">
        <v>300.7</v>
      </c>
      <c r="AI137" s="34">
        <v>307.2</v>
      </c>
      <c r="AJ137" s="34">
        <v>293.5</v>
      </c>
      <c r="AK137" s="34">
        <v>293.39999999999998</v>
      </c>
      <c r="AL137" s="34">
        <v>299.8</v>
      </c>
      <c r="AM137" s="34">
        <v>307.2</v>
      </c>
      <c r="AN137" s="34">
        <v>303.89999999999998</v>
      </c>
      <c r="AO137" s="34">
        <v>305.7</v>
      </c>
      <c r="AP137" s="34">
        <v>339</v>
      </c>
      <c r="AQ137" s="34">
        <v>317.89999999999998</v>
      </c>
      <c r="AR137" s="34">
        <v>338.8</v>
      </c>
      <c r="AS137" s="34">
        <v>373.7</v>
      </c>
      <c r="AT137" s="34">
        <v>418.8</v>
      </c>
      <c r="AU137" s="34">
        <v>481.7</v>
      </c>
      <c r="AV137" s="34">
        <v>544</v>
      </c>
      <c r="AW137" s="34">
        <v>638</v>
      </c>
      <c r="AX137" s="34">
        <v>764.2</v>
      </c>
      <c r="AY137" s="34">
        <v>739.3</v>
      </c>
      <c r="AZ137" s="34">
        <v>815.6</v>
      </c>
      <c r="BA137" s="34">
        <v>907.9</v>
      </c>
      <c r="BB137" s="34">
        <v>926.1</v>
      </c>
      <c r="BC137" s="34">
        <v>984.6</v>
      </c>
      <c r="BD137" s="34">
        <v>1033.3</v>
      </c>
      <c r="BE137" s="34">
        <v>968.1</v>
      </c>
      <c r="BF137" s="34">
        <v>961.1</v>
      </c>
      <c r="BG137" s="34">
        <v>1026.5999999999999</v>
      </c>
      <c r="BH137" s="34">
        <v>1066.2</v>
      </c>
      <c r="BI137" s="34">
        <v>1098.4000000000001</v>
      </c>
      <c r="BJ137" s="34">
        <v>1083</v>
      </c>
      <c r="BK137" s="1">
        <v>1152.9000000000001</v>
      </c>
      <c r="BL137" s="1">
        <v>1267</v>
      </c>
      <c r="BM137" s="1">
        <v>1307.7</v>
      </c>
    </row>
    <row r="138" spans="1:65">
      <c r="A138" s="1" t="s">
        <v>1249</v>
      </c>
      <c r="B138" s="34"/>
      <c r="C138" s="34"/>
      <c r="D138" s="34"/>
      <c r="E138" s="34"/>
      <c r="F138" s="34"/>
      <c r="G138" s="34"/>
      <c r="H138" s="34"/>
      <c r="I138" s="34"/>
      <c r="J138" s="34"/>
      <c r="K138" s="34"/>
      <c r="L138" s="34"/>
      <c r="M138" s="34"/>
      <c r="N138" s="34"/>
      <c r="O138" s="34"/>
      <c r="P138" s="34"/>
      <c r="Q138" s="34"/>
      <c r="R138" s="34"/>
      <c r="S138" s="34"/>
      <c r="T138" s="34"/>
      <c r="U138" s="34"/>
      <c r="V138" s="34">
        <v>342.6</v>
      </c>
      <c r="W138" s="34">
        <v>359.3</v>
      </c>
      <c r="X138" s="34">
        <v>349.2</v>
      </c>
      <c r="Y138" s="34">
        <v>345.6</v>
      </c>
      <c r="Z138" s="34">
        <v>347.1</v>
      </c>
      <c r="AA138" s="34">
        <v>329.2</v>
      </c>
      <c r="AB138" s="34">
        <v>333.9</v>
      </c>
      <c r="AC138" s="34">
        <v>347.5</v>
      </c>
      <c r="AD138" s="34">
        <v>360.6</v>
      </c>
      <c r="AE138" s="34">
        <v>381.2</v>
      </c>
      <c r="AF138" s="34">
        <v>465.3</v>
      </c>
      <c r="AG138" s="34">
        <v>509.9</v>
      </c>
      <c r="AH138" s="34">
        <v>338.9</v>
      </c>
      <c r="AI138" s="34">
        <v>350.7</v>
      </c>
      <c r="AJ138" s="34">
        <v>318.7</v>
      </c>
      <c r="AK138" s="34">
        <v>287.39999999999998</v>
      </c>
      <c r="AL138" s="34">
        <v>269.7</v>
      </c>
      <c r="AM138" s="34">
        <v>280.10000000000002</v>
      </c>
      <c r="AN138" s="34">
        <v>275.39999999999998</v>
      </c>
      <c r="AO138" s="34">
        <v>270.39999999999998</v>
      </c>
      <c r="AP138" s="34">
        <v>323.89999999999998</v>
      </c>
      <c r="AQ138" s="34">
        <v>296.3</v>
      </c>
      <c r="AR138" s="34">
        <v>316.3</v>
      </c>
      <c r="AS138" s="34">
        <v>342.7</v>
      </c>
      <c r="AT138" s="34">
        <v>389.4</v>
      </c>
      <c r="AU138" s="34">
        <v>452</v>
      </c>
      <c r="AV138" s="34">
        <v>510</v>
      </c>
      <c r="AW138" s="34">
        <v>603.20000000000005</v>
      </c>
      <c r="AX138" s="34">
        <v>705.4</v>
      </c>
      <c r="AY138" s="34">
        <v>682.4</v>
      </c>
      <c r="AZ138" s="34">
        <v>730</v>
      </c>
      <c r="BA138" s="34">
        <v>769.8</v>
      </c>
      <c r="BB138" s="34">
        <v>706.9</v>
      </c>
      <c r="BC138" s="34">
        <v>711.8</v>
      </c>
      <c r="BD138" s="34">
        <v>743.5</v>
      </c>
      <c r="BE138" s="34">
        <v>714.8</v>
      </c>
      <c r="BF138" s="34">
        <v>642</v>
      </c>
      <c r="BG138" s="34">
        <v>654.70000000000005</v>
      </c>
      <c r="BH138" s="34">
        <v>662.9</v>
      </c>
      <c r="BI138" s="34">
        <v>686.4</v>
      </c>
      <c r="BJ138" s="34">
        <v>659.3</v>
      </c>
      <c r="BK138" s="1">
        <v>680.7</v>
      </c>
      <c r="BL138" s="1">
        <v>754</v>
      </c>
      <c r="BM138" s="1">
        <v>894.6</v>
      </c>
    </row>
    <row r="139" spans="1:65">
      <c r="A139" s="1" t="s">
        <v>1250</v>
      </c>
      <c r="B139" s="34"/>
      <c r="C139" s="34"/>
      <c r="D139" s="34"/>
      <c r="E139" s="34"/>
      <c r="F139" s="34"/>
      <c r="G139" s="34"/>
      <c r="H139" s="34"/>
      <c r="I139" s="34"/>
      <c r="J139" s="34"/>
      <c r="K139" s="34"/>
      <c r="L139" s="34">
        <v>4272.3</v>
      </c>
      <c r="M139" s="34">
        <v>4874.7</v>
      </c>
      <c r="N139" s="34">
        <v>5712.1</v>
      </c>
      <c r="O139" s="34">
        <v>7457.1</v>
      </c>
      <c r="P139" s="34">
        <v>8568.7999999999993</v>
      </c>
      <c r="Q139" s="34">
        <v>10698.6</v>
      </c>
      <c r="R139" s="34">
        <v>11636.9</v>
      </c>
      <c r="S139" s="34">
        <v>12750.2</v>
      </c>
      <c r="T139" s="34">
        <v>18050.5</v>
      </c>
      <c r="U139" s="34">
        <v>20440.900000000001</v>
      </c>
      <c r="V139" s="34">
        <v>21385.4</v>
      </c>
      <c r="W139" s="34">
        <v>20186.5</v>
      </c>
      <c r="X139" s="34">
        <v>20323.7</v>
      </c>
      <c r="Y139" s="34">
        <v>20112.2</v>
      </c>
      <c r="Z139" s="34">
        <v>19024.3</v>
      </c>
      <c r="AA139" s="34">
        <v>19752.599999999999</v>
      </c>
      <c r="AB139" s="34">
        <v>28696.1</v>
      </c>
      <c r="AC139" s="34">
        <v>38227</v>
      </c>
      <c r="AD139" s="34">
        <v>41574.5</v>
      </c>
      <c r="AE139" s="34">
        <v>39495.800000000003</v>
      </c>
      <c r="AF139" s="34">
        <v>49418</v>
      </c>
      <c r="AG139" s="34">
        <v>50883.199999999997</v>
      </c>
      <c r="AH139" s="34">
        <v>55142.7</v>
      </c>
      <c r="AI139" s="34">
        <v>55747.199999999997</v>
      </c>
      <c r="AJ139" s="34">
        <v>63984.3</v>
      </c>
      <c r="AK139" s="34">
        <v>78618.5</v>
      </c>
      <c r="AL139" s="34">
        <v>79906</v>
      </c>
      <c r="AM139" s="34">
        <v>72344.7</v>
      </c>
      <c r="AN139" s="34">
        <v>77033.2</v>
      </c>
      <c r="AO139" s="34">
        <v>81683.5</v>
      </c>
      <c r="AP139" s="34">
        <v>75210.100000000006</v>
      </c>
      <c r="AQ139" s="34">
        <v>74658.5</v>
      </c>
      <c r="AR139" s="34">
        <v>79797.5</v>
      </c>
      <c r="AS139" s="34">
        <v>90317.7</v>
      </c>
      <c r="AT139" s="34">
        <v>100710.6</v>
      </c>
      <c r="AU139" s="34">
        <v>105751.5</v>
      </c>
      <c r="AV139" s="34">
        <v>114652.2</v>
      </c>
      <c r="AW139" s="34">
        <v>130908.4</v>
      </c>
      <c r="AX139" s="34">
        <v>143540.6</v>
      </c>
      <c r="AY139" s="34">
        <v>126261.4</v>
      </c>
      <c r="AZ139" s="34">
        <v>141466.79999999999</v>
      </c>
      <c r="BA139" s="34">
        <v>158603.6</v>
      </c>
      <c r="BB139" s="34">
        <v>149461.79999999999</v>
      </c>
      <c r="BC139" s="34">
        <v>173659.4</v>
      </c>
      <c r="BD139" s="34">
        <v>179467.5</v>
      </c>
      <c r="BE139" s="34">
        <v>167809.3</v>
      </c>
      <c r="BF139" s="34">
        <v>165846</v>
      </c>
      <c r="BG139" s="34">
        <v>170875.7</v>
      </c>
      <c r="BH139" s="34">
        <v>175286.7</v>
      </c>
      <c r="BI139" s="34">
        <v>167259.20000000001</v>
      </c>
      <c r="BJ139" s="34">
        <v>165287.20000000001</v>
      </c>
      <c r="BK139" s="1">
        <v>197504.5</v>
      </c>
      <c r="BL139" s="1">
        <v>187267.1</v>
      </c>
    </row>
    <row r="140" spans="1:65">
      <c r="A140" s="1" t="s">
        <v>1251</v>
      </c>
      <c r="B140" s="34">
        <v>144.1</v>
      </c>
      <c r="C140" s="34">
        <v>144.1</v>
      </c>
      <c r="D140" s="34">
        <v>139.69999999999999</v>
      </c>
      <c r="E140" s="34">
        <v>118</v>
      </c>
      <c r="F140" s="34">
        <v>121.6</v>
      </c>
      <c r="G140" s="34">
        <v>153.9</v>
      </c>
      <c r="H140" s="34">
        <v>155</v>
      </c>
      <c r="I140" s="34">
        <v>160.69999999999999</v>
      </c>
      <c r="J140" s="34">
        <v>152.1</v>
      </c>
      <c r="K140" s="34">
        <v>162.19999999999999</v>
      </c>
      <c r="L140" s="34">
        <v>185.4</v>
      </c>
      <c r="M140" s="34">
        <v>187.2</v>
      </c>
      <c r="N140" s="34">
        <v>197.8</v>
      </c>
      <c r="O140" s="34">
        <v>218.4</v>
      </c>
      <c r="P140" s="34">
        <v>266.39999999999998</v>
      </c>
      <c r="Q140" s="34">
        <v>277.5</v>
      </c>
      <c r="R140" s="34">
        <v>258.2</v>
      </c>
      <c r="S140" s="34">
        <v>289.89999999999998</v>
      </c>
      <c r="T140" s="34">
        <v>189.6</v>
      </c>
      <c r="U140" s="34">
        <v>229.2</v>
      </c>
      <c r="V140" s="34">
        <v>269.3</v>
      </c>
      <c r="W140" s="34">
        <v>290.5</v>
      </c>
      <c r="X140" s="34">
        <v>308.89999999999998</v>
      </c>
      <c r="Y140" s="34">
        <v>330</v>
      </c>
      <c r="Z140" s="34">
        <v>380.7</v>
      </c>
      <c r="AA140" s="34">
        <v>371.5</v>
      </c>
      <c r="AB140" s="34">
        <v>392.5</v>
      </c>
      <c r="AC140" s="34">
        <v>403.8</v>
      </c>
      <c r="AD140" s="34">
        <v>416</v>
      </c>
      <c r="AE140" s="34">
        <v>411.2</v>
      </c>
      <c r="AF140" s="34">
        <v>466.9</v>
      </c>
      <c r="AG140" s="34">
        <v>516.79999999999995</v>
      </c>
      <c r="AH140" s="34">
        <v>550.5</v>
      </c>
      <c r="AI140" s="34">
        <v>580</v>
      </c>
      <c r="AJ140" s="34">
        <v>650.6</v>
      </c>
      <c r="AK140" s="34">
        <v>716.8</v>
      </c>
      <c r="AL140" s="34">
        <v>758.5</v>
      </c>
      <c r="AM140" s="34">
        <v>818</v>
      </c>
      <c r="AN140" s="34">
        <v>851</v>
      </c>
      <c r="AO140" s="34">
        <v>838.6</v>
      </c>
      <c r="AP140" s="34">
        <v>869.8</v>
      </c>
      <c r="AQ140" s="34">
        <v>832.4</v>
      </c>
      <c r="AR140" s="34">
        <v>865.3</v>
      </c>
      <c r="AS140" s="34">
        <v>978.2</v>
      </c>
      <c r="AT140" s="34">
        <v>1060.0999999999999</v>
      </c>
      <c r="AU140" s="34">
        <v>1240.5</v>
      </c>
      <c r="AV140" s="34">
        <v>1423.2</v>
      </c>
      <c r="AW140" s="34">
        <v>1611.2</v>
      </c>
      <c r="AX140" s="34">
        <v>2007</v>
      </c>
      <c r="AY140" s="34">
        <v>2053.8000000000002</v>
      </c>
      <c r="AZ140" s="34">
        <v>2837</v>
      </c>
      <c r="BA140" s="34">
        <v>3248</v>
      </c>
      <c r="BB140" s="34">
        <v>3351.9</v>
      </c>
      <c r="BC140" s="34">
        <v>3643.8</v>
      </c>
      <c r="BD140" s="34">
        <v>3885.6</v>
      </c>
      <c r="BE140" s="34">
        <v>3990.4</v>
      </c>
      <c r="BF140" s="34">
        <v>4107.8</v>
      </c>
      <c r="BG140" s="34">
        <v>4388.2</v>
      </c>
      <c r="BH140" s="34">
        <v>4360.6000000000004</v>
      </c>
      <c r="BI140" s="34">
        <v>4082.7</v>
      </c>
      <c r="BJ140" s="34">
        <v>3846.2</v>
      </c>
      <c r="BK140" s="1">
        <v>3999.3</v>
      </c>
      <c r="BL140" s="1">
        <v>3342.7</v>
      </c>
      <c r="BM140" s="1">
        <v>3828</v>
      </c>
    </row>
    <row r="141" spans="1:65">
      <c r="A141" s="1" t="s">
        <v>1252</v>
      </c>
      <c r="B141" s="34">
        <v>102</v>
      </c>
      <c r="C141" s="34">
        <v>106.1</v>
      </c>
      <c r="D141" s="34">
        <v>105.9</v>
      </c>
      <c r="E141" s="34">
        <v>114.7</v>
      </c>
      <c r="F141" s="34">
        <v>125.8</v>
      </c>
      <c r="G141" s="34">
        <v>131.4</v>
      </c>
      <c r="H141" s="34">
        <v>117.1</v>
      </c>
      <c r="I141" s="34">
        <v>122</v>
      </c>
      <c r="J141" s="34">
        <v>126.4</v>
      </c>
      <c r="K141" s="34">
        <v>136.69999999999999</v>
      </c>
      <c r="L141" s="34">
        <v>144.69999999999999</v>
      </c>
      <c r="M141" s="34">
        <v>147.30000000000001</v>
      </c>
      <c r="N141" s="34">
        <v>153.6</v>
      </c>
      <c r="O141" s="34">
        <v>176.4</v>
      </c>
      <c r="P141" s="34">
        <v>212.8</v>
      </c>
      <c r="Q141" s="34">
        <v>227.8</v>
      </c>
      <c r="R141" s="34">
        <v>235</v>
      </c>
      <c r="S141" s="34">
        <v>257.7</v>
      </c>
      <c r="T141" s="34">
        <v>284.89999999999998</v>
      </c>
      <c r="U141" s="34">
        <v>323.2</v>
      </c>
      <c r="V141" s="34">
        <v>383.8</v>
      </c>
      <c r="W141" s="34">
        <v>466.1</v>
      </c>
      <c r="X141" s="34">
        <v>451.5</v>
      </c>
      <c r="Y141" s="34">
        <v>416.5</v>
      </c>
      <c r="Z141" s="34">
        <v>389.5</v>
      </c>
      <c r="AA141" s="34">
        <v>405.7</v>
      </c>
      <c r="AB141" s="34">
        <v>397.9</v>
      </c>
      <c r="AC141" s="34">
        <v>422.5</v>
      </c>
      <c r="AD141" s="34">
        <v>427.2</v>
      </c>
      <c r="AE141" s="34">
        <v>409.4</v>
      </c>
      <c r="AF141" s="34">
        <v>428.8</v>
      </c>
      <c r="AG141" s="34">
        <v>401.1</v>
      </c>
      <c r="AH141" s="34">
        <v>410.9</v>
      </c>
      <c r="AI141" s="34">
        <v>408.4</v>
      </c>
      <c r="AJ141" s="34">
        <v>449</v>
      </c>
      <c r="AK141" s="34">
        <v>522.1</v>
      </c>
      <c r="AL141" s="34">
        <v>582</v>
      </c>
      <c r="AM141" s="34">
        <v>598.6</v>
      </c>
      <c r="AN141" s="34">
        <v>599.20000000000005</v>
      </c>
      <c r="AO141" s="34">
        <v>541.6</v>
      </c>
      <c r="AP141" s="34">
        <v>560.6</v>
      </c>
      <c r="AQ141" s="34">
        <v>555.29999999999995</v>
      </c>
      <c r="AR141" s="34">
        <v>574.79999999999995</v>
      </c>
      <c r="AS141" s="34">
        <v>640.1</v>
      </c>
      <c r="AT141" s="34">
        <v>722.9</v>
      </c>
      <c r="AU141" s="34">
        <v>818.2</v>
      </c>
      <c r="AV141" s="34">
        <v>941.8</v>
      </c>
      <c r="AW141" s="34">
        <v>1133.2</v>
      </c>
      <c r="AX141" s="34">
        <v>1232.9000000000001</v>
      </c>
      <c r="AY141" s="34">
        <v>1264.5999999999999</v>
      </c>
      <c r="AZ141" s="34">
        <v>1496.5</v>
      </c>
      <c r="BA141" s="34">
        <v>1642.1</v>
      </c>
      <c r="BB141" s="34">
        <v>1707</v>
      </c>
      <c r="BC141" s="34">
        <v>1776.3</v>
      </c>
      <c r="BD141" s="34">
        <v>1888.2</v>
      </c>
      <c r="BE141" s="34">
        <v>1856.9</v>
      </c>
      <c r="BF141" s="34">
        <v>1906.1</v>
      </c>
      <c r="BG141" s="34">
        <v>2018.1</v>
      </c>
      <c r="BH141" s="34">
        <v>2089.1</v>
      </c>
      <c r="BI141" s="34">
        <v>2162.5</v>
      </c>
      <c r="BJ141" s="34">
        <v>2065.9</v>
      </c>
      <c r="BK141" s="1">
        <v>2311.1</v>
      </c>
      <c r="BL141" s="1">
        <v>2430.5</v>
      </c>
      <c r="BM141" s="1">
        <v>2413.6999999999998</v>
      </c>
    </row>
    <row r="142" spans="1:65">
      <c r="A142" s="1" t="s">
        <v>1253</v>
      </c>
      <c r="B142" s="34">
        <v>133.1</v>
      </c>
      <c r="C142" s="34">
        <v>130</v>
      </c>
      <c r="D142" s="34">
        <v>129.5</v>
      </c>
      <c r="E142" s="34">
        <v>139</v>
      </c>
      <c r="F142" s="34">
        <v>154.30000000000001</v>
      </c>
      <c r="G142" s="34">
        <v>166</v>
      </c>
      <c r="H142" s="34">
        <v>164.8</v>
      </c>
      <c r="I142" s="34">
        <v>167.7</v>
      </c>
      <c r="J142" s="34">
        <v>172.8</v>
      </c>
      <c r="K142" s="34">
        <v>187.7</v>
      </c>
      <c r="L142" s="34">
        <v>200.3</v>
      </c>
      <c r="M142" s="34">
        <v>208.5</v>
      </c>
      <c r="N142" s="34">
        <v>228.4</v>
      </c>
      <c r="O142" s="34">
        <v>276.39999999999998</v>
      </c>
      <c r="P142" s="34">
        <v>339.5</v>
      </c>
      <c r="Q142" s="34">
        <v>375.9</v>
      </c>
      <c r="R142" s="34">
        <v>393.7</v>
      </c>
      <c r="S142" s="34">
        <v>432.4</v>
      </c>
      <c r="T142" s="34">
        <v>458.7</v>
      </c>
      <c r="U142" s="34">
        <v>540.4</v>
      </c>
      <c r="V142" s="34">
        <v>638.29999999999995</v>
      </c>
      <c r="W142" s="34">
        <v>706.4</v>
      </c>
      <c r="X142" s="34">
        <v>672</v>
      </c>
      <c r="Y142" s="34">
        <v>659.3</v>
      </c>
      <c r="Z142" s="34">
        <v>665.6</v>
      </c>
      <c r="AA142" s="34">
        <v>672.8</v>
      </c>
      <c r="AB142" s="34">
        <v>659.3</v>
      </c>
      <c r="AC142" s="34">
        <v>660.2</v>
      </c>
      <c r="AD142" s="34">
        <v>687.9</v>
      </c>
      <c r="AE142" s="34">
        <v>697.9</v>
      </c>
      <c r="AF142" s="34">
        <v>781.1</v>
      </c>
      <c r="AG142" s="34">
        <v>743.4</v>
      </c>
      <c r="AH142" s="34">
        <v>771.1</v>
      </c>
      <c r="AI142" s="34">
        <v>837.2</v>
      </c>
      <c r="AJ142" s="34">
        <v>921.1</v>
      </c>
      <c r="AK142" s="34">
        <v>1032.7</v>
      </c>
      <c r="AL142" s="34">
        <v>1127.3</v>
      </c>
      <c r="AM142" s="34">
        <v>1176.5999999999999</v>
      </c>
      <c r="AN142" s="34">
        <v>1151.8</v>
      </c>
      <c r="AO142" s="34">
        <v>1091.0999999999999</v>
      </c>
      <c r="AP142" s="34">
        <v>1168</v>
      </c>
      <c r="AQ142" s="34">
        <v>1151.7</v>
      </c>
      <c r="AR142" s="34">
        <v>1156</v>
      </c>
      <c r="AS142" s="34">
        <v>1274.8</v>
      </c>
      <c r="AT142" s="34">
        <v>1473.8</v>
      </c>
      <c r="AU142" s="34">
        <v>1715.4</v>
      </c>
      <c r="AV142" s="34">
        <v>1990.9</v>
      </c>
      <c r="AW142" s="34">
        <v>2410.9</v>
      </c>
      <c r="AX142" s="34">
        <v>2824.1</v>
      </c>
      <c r="AY142" s="34">
        <v>2791.2</v>
      </c>
      <c r="AZ142" s="34">
        <v>3347.2</v>
      </c>
      <c r="BA142" s="34">
        <v>3887.4</v>
      </c>
      <c r="BB142" s="34">
        <v>4075.5</v>
      </c>
      <c r="BC142" s="34">
        <v>4263.5</v>
      </c>
      <c r="BD142" s="34">
        <v>4401.7</v>
      </c>
      <c r="BE142" s="34">
        <v>4214.5</v>
      </c>
      <c r="BF142" s="34">
        <v>4202.3</v>
      </c>
      <c r="BG142" s="34">
        <v>4528.3</v>
      </c>
      <c r="BH142" s="34">
        <v>4754.6000000000004</v>
      </c>
      <c r="BI142" s="34">
        <v>4810.5</v>
      </c>
      <c r="BJ142" s="34">
        <v>4609</v>
      </c>
      <c r="BK142" s="1">
        <v>5370.4</v>
      </c>
      <c r="BL142" s="1">
        <v>5582.5</v>
      </c>
      <c r="BM142" s="1">
        <v>5676.4</v>
      </c>
    </row>
    <row r="143" spans="1:65">
      <c r="A143" s="1" t="s">
        <v>1254</v>
      </c>
      <c r="B143" s="34">
        <v>46.9</v>
      </c>
      <c r="C143" s="34">
        <v>46.9</v>
      </c>
      <c r="D143" s="34">
        <v>53.3</v>
      </c>
      <c r="E143" s="34">
        <v>58.1</v>
      </c>
      <c r="F143" s="34">
        <v>62.3</v>
      </c>
      <c r="G143" s="34">
        <v>63.8</v>
      </c>
      <c r="H143" s="34">
        <v>63.9</v>
      </c>
      <c r="I143" s="34">
        <v>64.5</v>
      </c>
      <c r="J143" s="34">
        <v>64.5</v>
      </c>
      <c r="K143" s="34">
        <v>66.8</v>
      </c>
      <c r="L143" s="34">
        <v>67.2</v>
      </c>
      <c r="M143" s="34">
        <v>72.2</v>
      </c>
      <c r="N143" s="34">
        <v>73.7</v>
      </c>
      <c r="O143" s="34">
        <v>106.7</v>
      </c>
      <c r="P143" s="34">
        <v>128.30000000000001</v>
      </c>
      <c r="Q143" s="34">
        <v>123</v>
      </c>
      <c r="R143" s="34">
        <v>117.5</v>
      </c>
      <c r="S143" s="34">
        <v>149.30000000000001</v>
      </c>
      <c r="T143" s="34">
        <v>200.2</v>
      </c>
      <c r="U143" s="34">
        <v>211.9</v>
      </c>
      <c r="V143" s="34">
        <v>306.60000000000002</v>
      </c>
      <c r="W143" s="34">
        <v>300</v>
      </c>
      <c r="X143" s="34">
        <v>234.3</v>
      </c>
      <c r="Y143" s="34">
        <v>252.7</v>
      </c>
      <c r="Z143" s="34">
        <v>211.8</v>
      </c>
      <c r="AA143" s="34">
        <v>166.2</v>
      </c>
      <c r="AB143" s="34">
        <v>192.1</v>
      </c>
      <c r="AC143" s="34">
        <v>237.1</v>
      </c>
      <c r="AD143" s="34">
        <v>271.3</v>
      </c>
      <c r="AE143" s="34">
        <v>280.39999999999998</v>
      </c>
      <c r="AF143" s="34">
        <v>331.5</v>
      </c>
      <c r="AG143" s="34">
        <v>385</v>
      </c>
      <c r="AH143" s="34">
        <v>447.1</v>
      </c>
      <c r="AI143" s="34">
        <v>443.2</v>
      </c>
      <c r="AJ143" s="34">
        <v>459.7</v>
      </c>
      <c r="AK143" s="34">
        <v>518</v>
      </c>
      <c r="AL143" s="34">
        <v>483.9</v>
      </c>
      <c r="AM143" s="34">
        <v>505.9</v>
      </c>
      <c r="AN143" s="34">
        <v>467.6</v>
      </c>
      <c r="AO143" s="34">
        <v>457.7</v>
      </c>
      <c r="AP143" s="34">
        <v>443.9</v>
      </c>
      <c r="AQ143" s="34">
        <v>413</v>
      </c>
      <c r="AR143" s="34">
        <v>388.4</v>
      </c>
      <c r="AS143" s="34">
        <v>580.9</v>
      </c>
      <c r="AT143" s="34">
        <v>761.2</v>
      </c>
      <c r="AU143" s="34">
        <v>850.8</v>
      </c>
      <c r="AV143" s="34">
        <v>910.6</v>
      </c>
      <c r="AW143" s="34">
        <v>848.1</v>
      </c>
      <c r="AX143" s="34">
        <v>885.7</v>
      </c>
      <c r="AY143" s="34">
        <v>866.5</v>
      </c>
      <c r="AZ143" s="34">
        <v>1104.8</v>
      </c>
      <c r="BA143" s="34">
        <v>1265.9000000000001</v>
      </c>
      <c r="BB143" s="34">
        <v>1205.9000000000001</v>
      </c>
      <c r="BC143" s="34">
        <v>1141.4000000000001</v>
      </c>
      <c r="BD143" s="34">
        <v>1165.0999999999999</v>
      </c>
      <c r="BE143" s="34">
        <v>1113.8</v>
      </c>
      <c r="BF143" s="34">
        <v>986.3</v>
      </c>
      <c r="BG143" s="34">
        <v>1062.7</v>
      </c>
      <c r="BH143" s="34">
        <v>1163</v>
      </c>
      <c r="BI143" s="34">
        <v>1074.0999999999999</v>
      </c>
      <c r="BJ143" s="34">
        <v>910.9</v>
      </c>
      <c r="BK143" s="1">
        <v>1054.9000000000001</v>
      </c>
      <c r="BL143" s="1">
        <v>992.9</v>
      </c>
      <c r="BM143" s="1">
        <v>878</v>
      </c>
    </row>
    <row r="144" spans="1:65">
      <c r="A144" s="1" t="s">
        <v>1255</v>
      </c>
      <c r="B144" s="34">
        <v>215.7</v>
      </c>
      <c r="C144" s="34">
        <v>196.6</v>
      </c>
      <c r="D144" s="34">
        <v>193.5</v>
      </c>
      <c r="E144" s="34">
        <v>200.8</v>
      </c>
      <c r="F144" s="34">
        <v>226.1</v>
      </c>
      <c r="G144" s="34">
        <v>250.4</v>
      </c>
      <c r="H144" s="34">
        <v>264.89999999999998</v>
      </c>
      <c r="I144" s="34">
        <v>254.4</v>
      </c>
      <c r="J144" s="34">
        <v>248.1</v>
      </c>
      <c r="K144" s="34">
        <v>271.60000000000002</v>
      </c>
      <c r="L144" s="34">
        <v>301.60000000000002</v>
      </c>
      <c r="M144" s="34">
        <v>324.2</v>
      </c>
      <c r="N144" s="34">
        <v>360.8</v>
      </c>
      <c r="O144" s="34">
        <v>444.4</v>
      </c>
      <c r="P144" s="34">
        <v>504.4</v>
      </c>
      <c r="Q144" s="34">
        <v>533.29999999999995</v>
      </c>
      <c r="R144" s="34">
        <v>540.70000000000005</v>
      </c>
      <c r="S144" s="34">
        <v>620.1</v>
      </c>
      <c r="T144" s="34">
        <v>606.70000000000005</v>
      </c>
      <c r="U144" s="34">
        <v>740.3</v>
      </c>
      <c r="V144" s="34">
        <v>861.3</v>
      </c>
      <c r="W144" s="34">
        <v>876</v>
      </c>
      <c r="X144" s="34">
        <v>853.4</v>
      </c>
      <c r="Y144" s="34">
        <v>877.3</v>
      </c>
      <c r="Z144" s="34">
        <v>918.7</v>
      </c>
      <c r="AA144" s="34">
        <v>968.6</v>
      </c>
      <c r="AB144" s="34">
        <v>967.9</v>
      </c>
      <c r="AC144" s="34">
        <v>987.7</v>
      </c>
      <c r="AD144" s="34">
        <v>1062.2</v>
      </c>
      <c r="AE144" s="34">
        <v>1049.5999999999999</v>
      </c>
      <c r="AF144" s="34">
        <v>1064</v>
      </c>
      <c r="AG144" s="34">
        <v>1059.5999999999999</v>
      </c>
      <c r="AH144" s="34">
        <v>1067.5</v>
      </c>
      <c r="AI144" s="34">
        <v>1099</v>
      </c>
      <c r="AJ144" s="34">
        <v>1261.5999999999999</v>
      </c>
      <c r="AK144" s="34">
        <v>1542.8</v>
      </c>
      <c r="AL144" s="34">
        <v>1685.1</v>
      </c>
      <c r="AM144" s="34">
        <v>1747.5</v>
      </c>
      <c r="AN144" s="34">
        <v>1669.2</v>
      </c>
      <c r="AO144" s="34">
        <v>1529.7</v>
      </c>
      <c r="AP144" s="34">
        <v>1666.8</v>
      </c>
      <c r="AQ144" s="34">
        <v>1710.6</v>
      </c>
      <c r="AR144" s="34">
        <v>1801.2</v>
      </c>
      <c r="AS144" s="34">
        <v>2039.2</v>
      </c>
      <c r="AT144" s="34">
        <v>2435.1999999999998</v>
      </c>
      <c r="AU144" s="34">
        <v>2918.8</v>
      </c>
      <c r="AV144" s="34">
        <v>3499.5</v>
      </c>
      <c r="AW144" s="34">
        <v>4380.1000000000004</v>
      </c>
      <c r="AX144" s="34">
        <v>5409.9</v>
      </c>
      <c r="AY144" s="34">
        <v>5193.8</v>
      </c>
      <c r="AZ144" s="34">
        <v>6214.6</v>
      </c>
      <c r="BA144" s="34">
        <v>7526</v>
      </c>
      <c r="BB144" s="34">
        <v>7991.5</v>
      </c>
      <c r="BC144" s="34">
        <v>8544.4</v>
      </c>
      <c r="BD144" s="34">
        <v>8811.7999999999993</v>
      </c>
      <c r="BE144" s="34">
        <v>8212.7000000000007</v>
      </c>
      <c r="BF144" s="34">
        <v>8180.7</v>
      </c>
      <c r="BG144" s="34">
        <v>9020</v>
      </c>
      <c r="BH144" s="34">
        <v>9837.6</v>
      </c>
      <c r="BI144" s="34">
        <v>9977</v>
      </c>
      <c r="BJ144" s="34">
        <v>9719.1</v>
      </c>
      <c r="BK144" s="1">
        <v>11567.2</v>
      </c>
      <c r="BL144" s="1">
        <v>12068.2</v>
      </c>
      <c r="BM144" s="1">
        <v>12180.2</v>
      </c>
    </row>
    <row r="145" spans="1:65">
      <c r="A145" s="1" t="s">
        <v>1256</v>
      </c>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v>2167.8000000000002</v>
      </c>
      <c r="AL145" s="34">
        <v>2327.4</v>
      </c>
      <c r="AM145" s="34">
        <v>2830.3</v>
      </c>
      <c r="AN145" s="34">
        <v>3166.7</v>
      </c>
      <c r="AO145" s="34">
        <v>3113.2</v>
      </c>
      <c r="AP145" s="34">
        <v>3293.2</v>
      </c>
      <c r="AQ145" s="34">
        <v>3525.8</v>
      </c>
      <c r="AR145" s="34">
        <v>4141.6000000000004</v>
      </c>
      <c r="AS145" s="34">
        <v>5499.4</v>
      </c>
      <c r="AT145" s="34">
        <v>6700.3</v>
      </c>
      <c r="AU145" s="34">
        <v>7854.8</v>
      </c>
      <c r="AV145" s="34">
        <v>9230.7000000000007</v>
      </c>
      <c r="AW145" s="34">
        <v>12285.4</v>
      </c>
      <c r="AX145" s="34">
        <v>14945</v>
      </c>
      <c r="AY145" s="34">
        <v>11820.8</v>
      </c>
      <c r="AZ145" s="34">
        <v>11987.5</v>
      </c>
      <c r="BA145" s="34">
        <v>14376.9</v>
      </c>
      <c r="BB145" s="34">
        <v>14367.7</v>
      </c>
      <c r="BC145" s="34">
        <v>15729.7</v>
      </c>
      <c r="BD145" s="34">
        <v>16551</v>
      </c>
      <c r="BE145" s="34">
        <v>14264</v>
      </c>
      <c r="BF145" s="34">
        <v>15008.3</v>
      </c>
      <c r="BG145" s="34">
        <v>16885.400000000001</v>
      </c>
      <c r="BH145" s="34">
        <v>19186.400000000001</v>
      </c>
      <c r="BI145" s="34">
        <v>19615.5</v>
      </c>
      <c r="BJ145" s="34">
        <v>20381.900000000001</v>
      </c>
      <c r="BK145" s="1">
        <v>23849.599999999999</v>
      </c>
      <c r="BL145" s="1">
        <v>25078.7</v>
      </c>
      <c r="BM145" s="1">
        <v>27102.799999999999</v>
      </c>
    </row>
    <row r="146" spans="1:65">
      <c r="A146" s="1" t="s">
        <v>1257</v>
      </c>
      <c r="B146" s="34">
        <v>2261.1999999999998</v>
      </c>
      <c r="C146" s="34">
        <v>2241.4</v>
      </c>
      <c r="D146" s="34">
        <v>2331.6</v>
      </c>
      <c r="E146" s="34">
        <v>2461.9</v>
      </c>
      <c r="F146" s="34">
        <v>2779.2</v>
      </c>
      <c r="G146" s="34">
        <v>2803.9</v>
      </c>
      <c r="H146" s="34">
        <v>2925.2</v>
      </c>
      <c r="I146" s="34">
        <v>2934.5</v>
      </c>
      <c r="J146" s="34">
        <v>3202.5</v>
      </c>
      <c r="K146" s="34">
        <v>3690.2</v>
      </c>
      <c r="L146" s="34">
        <v>4298</v>
      </c>
      <c r="M146" s="34">
        <v>4435.3999999999996</v>
      </c>
      <c r="N146" s="34">
        <v>5486.7</v>
      </c>
      <c r="O146" s="34">
        <v>7447.2</v>
      </c>
      <c r="P146" s="34">
        <v>8966.7000000000007</v>
      </c>
      <c r="Q146" s="34">
        <v>8701.2999999999993</v>
      </c>
      <c r="R146" s="34">
        <v>9490.7000000000007</v>
      </c>
      <c r="S146" s="34">
        <v>10486.3</v>
      </c>
      <c r="T146" s="34">
        <v>13034.4</v>
      </c>
      <c r="U146" s="34">
        <v>15204.3</v>
      </c>
      <c r="V146" s="34">
        <v>16531.099999999999</v>
      </c>
      <c r="W146" s="34">
        <v>13837.1</v>
      </c>
      <c r="X146" s="34">
        <v>12591</v>
      </c>
      <c r="Y146" s="34">
        <v>12374</v>
      </c>
      <c r="Z146" s="34">
        <v>12126.9</v>
      </c>
      <c r="AA146" s="34">
        <v>12482</v>
      </c>
      <c r="AB146" s="34">
        <v>18149.900000000001</v>
      </c>
      <c r="AC146" s="34">
        <v>22443.4</v>
      </c>
      <c r="AD146" s="34">
        <v>25219.4</v>
      </c>
      <c r="AE146" s="34">
        <v>26618.1</v>
      </c>
      <c r="AF146" s="34">
        <v>33465.5</v>
      </c>
      <c r="AG146" s="34">
        <v>35747.300000000003</v>
      </c>
      <c r="AH146" s="34">
        <v>39570.9</v>
      </c>
      <c r="AI146" s="34">
        <v>40066.699999999997</v>
      </c>
      <c r="AJ146" s="34">
        <v>43933.2</v>
      </c>
      <c r="AK146" s="34">
        <v>51032.3</v>
      </c>
      <c r="AL146" s="34">
        <v>50444.4</v>
      </c>
      <c r="AM146" s="34">
        <v>46641.599999999999</v>
      </c>
      <c r="AN146" s="34">
        <v>47445.4</v>
      </c>
      <c r="AO146" s="34">
        <v>50872.4</v>
      </c>
      <c r="AP146" s="34">
        <v>48659.6</v>
      </c>
      <c r="AQ146" s="34">
        <v>48440.1</v>
      </c>
      <c r="AR146" s="34">
        <v>53005.7</v>
      </c>
      <c r="AS146" s="34">
        <v>65689.3</v>
      </c>
      <c r="AT146" s="34">
        <v>76544.899999999994</v>
      </c>
      <c r="AU146" s="34">
        <v>80988.100000000006</v>
      </c>
      <c r="AV146" s="34">
        <v>90788.800000000003</v>
      </c>
      <c r="AW146" s="34">
        <v>107475.3</v>
      </c>
      <c r="AX146" s="34">
        <v>120422.1</v>
      </c>
      <c r="AY146" s="34">
        <v>109419.7</v>
      </c>
      <c r="AZ146" s="34">
        <v>110886</v>
      </c>
      <c r="BA146" s="34">
        <v>119025.1</v>
      </c>
      <c r="BB146" s="34">
        <v>112584.7</v>
      </c>
      <c r="BC146" s="34">
        <v>120000.1</v>
      </c>
      <c r="BD146" s="34">
        <v>123678.7</v>
      </c>
      <c r="BE146" s="34">
        <v>105462</v>
      </c>
      <c r="BF146" s="34">
        <v>106899.3</v>
      </c>
      <c r="BG146" s="34">
        <v>110193.2</v>
      </c>
      <c r="BH146" s="34">
        <v>116786.5</v>
      </c>
      <c r="BI146" s="34">
        <v>112726.39999999999</v>
      </c>
      <c r="BJ146" s="34">
        <v>116905.4</v>
      </c>
      <c r="BK146" s="1">
        <v>133711.79999999999</v>
      </c>
      <c r="BL146" s="1">
        <v>125006</v>
      </c>
      <c r="BM146" s="1">
        <v>128259.4</v>
      </c>
    </row>
    <row r="147" spans="1:65">
      <c r="A147" s="1" t="s">
        <v>1258</v>
      </c>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v>2329.6</v>
      </c>
      <c r="AL147" s="34">
        <v>2431.6999999999998</v>
      </c>
      <c r="AM147" s="34">
        <v>2683.2</v>
      </c>
      <c r="AN147" s="34">
        <v>2973.5</v>
      </c>
      <c r="AO147" s="34">
        <v>3151.6</v>
      </c>
      <c r="AP147" s="34">
        <v>3361.6</v>
      </c>
      <c r="AQ147" s="34">
        <v>3578</v>
      </c>
      <c r="AR147" s="34">
        <v>4136.8999999999996</v>
      </c>
      <c r="AS147" s="34">
        <v>5145.2</v>
      </c>
      <c r="AT147" s="34">
        <v>6378.7</v>
      </c>
      <c r="AU147" s="34">
        <v>7594.9</v>
      </c>
      <c r="AV147" s="34">
        <v>9723.4</v>
      </c>
      <c r="AW147" s="34">
        <v>14113.5</v>
      </c>
      <c r="AX147" s="34">
        <v>16467.099999999999</v>
      </c>
      <c r="AY147" s="34">
        <v>12331.9</v>
      </c>
      <c r="AZ147" s="34">
        <v>11421</v>
      </c>
      <c r="BA147" s="34">
        <v>13339</v>
      </c>
      <c r="BB147" s="34">
        <v>13847.3</v>
      </c>
      <c r="BC147" s="34">
        <v>15007.5</v>
      </c>
      <c r="BD147" s="34">
        <v>15742.4</v>
      </c>
      <c r="BE147" s="34">
        <v>13786.5</v>
      </c>
      <c r="BF147" s="34">
        <v>14331.8</v>
      </c>
      <c r="BG147" s="34">
        <v>15695.1</v>
      </c>
      <c r="BH147" s="34">
        <v>17865</v>
      </c>
      <c r="BI147" s="34">
        <v>17883.3</v>
      </c>
      <c r="BJ147" s="34">
        <v>18096.2</v>
      </c>
      <c r="BK147" s="1">
        <v>20930.400000000001</v>
      </c>
      <c r="BL147" s="1">
        <v>21508.400000000001</v>
      </c>
      <c r="BM147" s="1">
        <v>23184.3</v>
      </c>
    </row>
    <row r="148" spans="1:65">
      <c r="A148" s="1" t="s">
        <v>1259</v>
      </c>
      <c r="B148" s="34"/>
      <c r="C148" s="34"/>
      <c r="D148" s="34"/>
      <c r="E148" s="34"/>
      <c r="F148" s="34"/>
      <c r="G148" s="34"/>
      <c r="H148" s="34"/>
      <c r="I148" s="34"/>
      <c r="J148" s="34"/>
      <c r="K148" s="34"/>
      <c r="L148" s="34"/>
      <c r="M148" s="34"/>
      <c r="N148" s="34"/>
      <c r="O148" s="34"/>
      <c r="P148" s="34"/>
      <c r="Q148" s="34"/>
      <c r="R148" s="34"/>
      <c r="S148" s="34"/>
      <c r="T148" s="34"/>
      <c r="U148" s="34"/>
      <c r="V148" s="34"/>
      <c r="W148" s="34"/>
      <c r="X148" s="34">
        <v>4450.8999999999996</v>
      </c>
      <c r="Y148" s="34">
        <v>4255.3999999999996</v>
      </c>
      <c r="Z148" s="34">
        <v>4715.8</v>
      </c>
      <c r="AA148" s="34">
        <v>4734.3</v>
      </c>
      <c r="AB148" s="34">
        <v>5115.7</v>
      </c>
      <c r="AC148" s="34">
        <v>6278.6</v>
      </c>
      <c r="AD148" s="34">
        <v>7053.7</v>
      </c>
      <c r="AE148" s="34">
        <v>8020.7</v>
      </c>
      <c r="AF148" s="34">
        <v>9269.6</v>
      </c>
      <c r="AG148" s="34">
        <v>10390</v>
      </c>
      <c r="AH148" s="34">
        <v>13197.5</v>
      </c>
      <c r="AI148" s="34">
        <v>14881.6</v>
      </c>
      <c r="AJ148" s="34">
        <v>16233.4</v>
      </c>
      <c r="AK148" s="34">
        <v>17764.5</v>
      </c>
      <c r="AL148" s="34">
        <v>17751.5</v>
      </c>
      <c r="AM148" s="34">
        <v>17652.599999999999</v>
      </c>
      <c r="AN148" s="34">
        <v>16232.5</v>
      </c>
      <c r="AO148" s="34">
        <v>15387.5</v>
      </c>
      <c r="AP148" s="34">
        <v>15684.8</v>
      </c>
      <c r="AQ148" s="34">
        <v>15622.7</v>
      </c>
      <c r="AR148" s="34">
        <v>16393.7</v>
      </c>
      <c r="AS148" s="34">
        <v>17829</v>
      </c>
      <c r="AT148" s="34">
        <v>22381.9</v>
      </c>
      <c r="AU148" s="34">
        <v>24886.6</v>
      </c>
      <c r="AV148" s="34">
        <v>29637.8</v>
      </c>
      <c r="AW148" s="34">
        <v>35782.9</v>
      </c>
      <c r="AX148" s="34">
        <v>39745.800000000003</v>
      </c>
      <c r="AY148" s="34">
        <v>39755</v>
      </c>
      <c r="AZ148" s="34">
        <v>50676.4</v>
      </c>
      <c r="BA148" s="34">
        <v>64528.4</v>
      </c>
      <c r="BB148" s="34">
        <v>74111.600000000006</v>
      </c>
      <c r="BC148" s="34">
        <v>86853.5</v>
      </c>
      <c r="BD148" s="34">
        <v>90873.600000000006</v>
      </c>
      <c r="BE148" s="34">
        <v>73220.600000000006</v>
      </c>
      <c r="BF148" s="34">
        <v>71919.100000000006</v>
      </c>
      <c r="BG148" s="34">
        <v>78896.3</v>
      </c>
      <c r="BH148" s="34">
        <v>84779.5</v>
      </c>
      <c r="BI148" s="34">
        <v>82998.600000000006</v>
      </c>
      <c r="BJ148" s="34">
        <v>37474.699999999997</v>
      </c>
      <c r="BK148" s="1">
        <v>45104.9</v>
      </c>
      <c r="BL148" s="1">
        <v>35192.5</v>
      </c>
      <c r="BM148" s="1">
        <v>66835.100000000006</v>
      </c>
    </row>
    <row r="149" spans="1:65">
      <c r="A149" s="1" t="s">
        <v>1260</v>
      </c>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v>21344.6</v>
      </c>
      <c r="BB149" s="34"/>
      <c r="BC149" s="34"/>
      <c r="BD149" s="34">
        <v>21920</v>
      </c>
      <c r="BE149" s="34"/>
      <c r="BF149" s="34"/>
      <c r="BG149" s="34"/>
      <c r="BH149" s="34"/>
      <c r="BI149" s="34">
        <v>19691.599999999999</v>
      </c>
      <c r="BJ149" s="34"/>
      <c r="BK149" s="1">
        <v>20320.7</v>
      </c>
    </row>
    <row r="150" spans="1:65">
      <c r="A150" s="1" t="s">
        <v>1261</v>
      </c>
      <c r="B150" s="34">
        <v>172.6</v>
      </c>
      <c r="C150" s="34">
        <v>167.2</v>
      </c>
      <c r="D150" s="34">
        <v>191.2</v>
      </c>
      <c r="E150" s="34">
        <v>208.1</v>
      </c>
      <c r="F150" s="34">
        <v>213.8</v>
      </c>
      <c r="G150" s="34">
        <v>219.5</v>
      </c>
      <c r="H150" s="34">
        <v>208.5</v>
      </c>
      <c r="I150" s="34">
        <v>215</v>
      </c>
      <c r="J150" s="34">
        <v>224.7</v>
      </c>
      <c r="K150" s="34">
        <v>244.3</v>
      </c>
      <c r="L150" s="34">
        <v>257.7</v>
      </c>
      <c r="M150" s="34">
        <v>276.5</v>
      </c>
      <c r="N150" s="34">
        <v>314</v>
      </c>
      <c r="O150" s="34">
        <v>376.8</v>
      </c>
      <c r="P150" s="34">
        <v>452.1</v>
      </c>
      <c r="Q150" s="34">
        <v>516.6</v>
      </c>
      <c r="R150" s="34">
        <v>537.79999999999995</v>
      </c>
      <c r="S150" s="34">
        <v>604.29999999999995</v>
      </c>
      <c r="T150" s="34">
        <v>705.2</v>
      </c>
      <c r="U150" s="34">
        <v>825.6</v>
      </c>
      <c r="V150" s="34">
        <v>1097.7</v>
      </c>
      <c r="W150" s="34">
        <v>874.8</v>
      </c>
      <c r="X150" s="34">
        <v>847.3</v>
      </c>
      <c r="Y150" s="34">
        <v>758.5</v>
      </c>
      <c r="Z150" s="34">
        <v>675</v>
      </c>
      <c r="AA150" s="34">
        <v>666.7</v>
      </c>
      <c r="AB150" s="34">
        <v>846.9</v>
      </c>
      <c r="AC150" s="34">
        <v>928.5</v>
      </c>
      <c r="AD150" s="34">
        <v>1076.0999999999999</v>
      </c>
      <c r="AE150" s="34">
        <v>1082</v>
      </c>
      <c r="AF150" s="34">
        <v>1219.4000000000001</v>
      </c>
      <c r="AG150" s="34">
        <v>1282.5999999999999</v>
      </c>
      <c r="AH150" s="34">
        <v>1317.3</v>
      </c>
      <c r="AI150" s="34">
        <v>1217.4000000000001</v>
      </c>
      <c r="AJ150" s="34">
        <v>1348.5</v>
      </c>
      <c r="AK150" s="34">
        <v>1456</v>
      </c>
      <c r="AL150" s="34">
        <v>1585.7</v>
      </c>
      <c r="AM150" s="34">
        <v>1416.9</v>
      </c>
      <c r="AN150" s="34">
        <v>1658.5</v>
      </c>
      <c r="AO150" s="34">
        <v>1627.1</v>
      </c>
      <c r="AP150" s="34">
        <v>1492.4</v>
      </c>
      <c r="AQ150" s="34">
        <v>1500.4</v>
      </c>
      <c r="AR150" s="34">
        <v>1590.5</v>
      </c>
      <c r="AS150" s="34">
        <v>1936.1</v>
      </c>
      <c r="AT150" s="34">
        <v>2177.8000000000002</v>
      </c>
      <c r="AU150" s="34">
        <v>2237.6</v>
      </c>
      <c r="AV150" s="34">
        <v>2433.1999999999998</v>
      </c>
      <c r="AW150" s="34">
        <v>2751.4</v>
      </c>
      <c r="AX150" s="34">
        <v>3180.2</v>
      </c>
      <c r="AY150" s="34">
        <v>3118.1</v>
      </c>
      <c r="AZ150" s="34">
        <v>3067.9</v>
      </c>
      <c r="BA150" s="34">
        <v>3302.5</v>
      </c>
      <c r="BB150" s="34">
        <v>3164</v>
      </c>
      <c r="BC150" s="34">
        <v>3377.6</v>
      </c>
      <c r="BD150" s="34">
        <v>3430.5</v>
      </c>
      <c r="BE150" s="34">
        <v>3139.2</v>
      </c>
      <c r="BF150" s="34">
        <v>3133</v>
      </c>
      <c r="BG150" s="34">
        <v>3288.5</v>
      </c>
      <c r="BH150" s="34">
        <v>3492.7</v>
      </c>
      <c r="BI150" s="34">
        <v>3498.6</v>
      </c>
      <c r="BJ150" s="34">
        <v>3258.3</v>
      </c>
      <c r="BK150" s="1">
        <v>3767.5</v>
      </c>
      <c r="BL150" s="1">
        <v>3442</v>
      </c>
      <c r="BM150" s="1">
        <v>3672.1</v>
      </c>
    </row>
    <row r="151" spans="1:65">
      <c r="A151" s="1" t="s">
        <v>1262</v>
      </c>
      <c r="B151" s="34"/>
      <c r="C151" s="34"/>
      <c r="D151" s="34"/>
      <c r="E151" s="34"/>
      <c r="F151" s="34"/>
      <c r="G151" s="34"/>
      <c r="H151" s="34"/>
      <c r="I151" s="34"/>
      <c r="J151" s="34"/>
      <c r="K151" s="34"/>
      <c r="L151" s="34">
        <v>12077.8</v>
      </c>
      <c r="M151" s="34">
        <v>13316</v>
      </c>
      <c r="N151" s="34">
        <v>16169.9</v>
      </c>
      <c r="O151" s="34">
        <v>20857.099999999999</v>
      </c>
      <c r="P151" s="34">
        <v>22324</v>
      </c>
      <c r="Q151" s="34">
        <v>27894.5</v>
      </c>
      <c r="R151" s="34">
        <v>28393.1</v>
      </c>
      <c r="S151" s="34">
        <v>30912</v>
      </c>
      <c r="T151" s="34">
        <v>37681.4</v>
      </c>
      <c r="U151" s="34">
        <v>45087.199999999997</v>
      </c>
      <c r="V151" s="34">
        <v>50900.3</v>
      </c>
      <c r="W151" s="34">
        <v>44172</v>
      </c>
      <c r="X151" s="34">
        <v>41461.4</v>
      </c>
      <c r="Y151" s="34">
        <v>39040.9</v>
      </c>
      <c r="Z151" s="34">
        <v>36516.699999999997</v>
      </c>
      <c r="AA151" s="34">
        <v>37590.400000000001</v>
      </c>
      <c r="AB151" s="34">
        <v>51943.199999999997</v>
      </c>
      <c r="AC151" s="34">
        <v>62341.7</v>
      </c>
      <c r="AD151" s="34">
        <v>67133.2</v>
      </c>
      <c r="AE151" s="34">
        <v>66829</v>
      </c>
      <c r="AF151" s="34">
        <v>81813</v>
      </c>
      <c r="AG151" s="34">
        <v>81158.899999999994</v>
      </c>
      <c r="AH151" s="34">
        <v>88882.5</v>
      </c>
      <c r="AI151" s="34">
        <v>82984</v>
      </c>
      <c r="AJ151" s="34">
        <v>87042.3</v>
      </c>
      <c r="AK151" s="34">
        <v>99431.7</v>
      </c>
      <c r="AL151" s="34">
        <v>98927.7</v>
      </c>
      <c r="AM151" s="34">
        <v>88844.9</v>
      </c>
      <c r="AN151" s="34">
        <v>91111</v>
      </c>
      <c r="AO151" s="34">
        <v>89742.5</v>
      </c>
      <c r="AP151" s="34">
        <v>81763.8</v>
      </c>
      <c r="AQ151" s="34">
        <v>82410.399999999994</v>
      </c>
      <c r="AR151" s="34">
        <v>90151.5</v>
      </c>
      <c r="AS151" s="34">
        <v>111309.9</v>
      </c>
      <c r="AT151" s="34">
        <v>125435.9</v>
      </c>
      <c r="AU151" s="34">
        <v>130819</v>
      </c>
      <c r="AV151" s="34">
        <v>143289.1</v>
      </c>
      <c r="AW151" s="34">
        <v>184639.8</v>
      </c>
      <c r="AX151" s="34">
        <v>204097.1</v>
      </c>
      <c r="AY151" s="34">
        <v>168957.1</v>
      </c>
      <c r="AZ151" s="34">
        <v>161780.70000000001</v>
      </c>
      <c r="BA151" s="34">
        <v>179369.3</v>
      </c>
      <c r="BB151" s="34">
        <v>165497.1</v>
      </c>
      <c r="BC151" s="34">
        <v>185055.5</v>
      </c>
      <c r="BD151" s="34">
        <v>195772.7</v>
      </c>
      <c r="BE151" s="34">
        <v>170338.7</v>
      </c>
      <c r="BF151" s="34">
        <v>174412.5</v>
      </c>
      <c r="BG151" s="34">
        <v>173611.7</v>
      </c>
      <c r="BH151" s="34">
        <v>193968.1</v>
      </c>
      <c r="BI151" s="34">
        <v>199382.8</v>
      </c>
      <c r="BJ151" s="34">
        <v>182537.4</v>
      </c>
      <c r="BK151" s="1">
        <v>235132.79999999999</v>
      </c>
      <c r="BL151" s="1">
        <v>240862.2</v>
      </c>
    </row>
    <row r="152" spans="1:65">
      <c r="A152" s="1" t="s">
        <v>1263</v>
      </c>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v>1204.0999999999999</v>
      </c>
      <c r="AG152" s="34">
        <v>1037</v>
      </c>
      <c r="AH152" s="34">
        <v>779.8</v>
      </c>
      <c r="AI152" s="34">
        <v>797.3</v>
      </c>
      <c r="AJ152" s="34">
        <v>573.6</v>
      </c>
      <c r="AK152" s="34">
        <v>593.6</v>
      </c>
      <c r="AL152" s="34">
        <v>575.1</v>
      </c>
      <c r="AM152" s="34">
        <v>657.3</v>
      </c>
      <c r="AN152" s="34">
        <v>578.70000000000005</v>
      </c>
      <c r="AO152" s="34">
        <v>399.5</v>
      </c>
      <c r="AP152" s="34">
        <v>440.5</v>
      </c>
      <c r="AQ152" s="34">
        <v>507.4</v>
      </c>
      <c r="AR152" s="34">
        <v>570.79999999999995</v>
      </c>
      <c r="AS152" s="34">
        <v>682.3</v>
      </c>
      <c r="AT152" s="34">
        <v>897.2</v>
      </c>
      <c r="AU152" s="34">
        <v>1034.4000000000001</v>
      </c>
      <c r="AV152" s="34">
        <v>1183</v>
      </c>
      <c r="AW152" s="34">
        <v>1531.2</v>
      </c>
      <c r="AX152" s="34">
        <v>2110.6</v>
      </c>
      <c r="AY152" s="34">
        <v>1898.4</v>
      </c>
      <c r="AZ152" s="34">
        <v>2436.8000000000002</v>
      </c>
      <c r="BA152" s="34">
        <v>2941.4</v>
      </c>
      <c r="BB152" s="34">
        <v>3044.8</v>
      </c>
      <c r="BC152" s="34">
        <v>3321</v>
      </c>
      <c r="BD152" s="34">
        <v>3290</v>
      </c>
      <c r="BE152" s="34">
        <v>2749.6</v>
      </c>
      <c r="BF152" s="34">
        <v>2847.1</v>
      </c>
      <c r="BG152" s="34">
        <v>3453.3</v>
      </c>
      <c r="BH152" s="34">
        <v>4156.3999999999996</v>
      </c>
      <c r="BI152" s="34">
        <v>4405.3</v>
      </c>
      <c r="BJ152" s="34">
        <v>4375.8</v>
      </c>
      <c r="BK152" s="1">
        <v>5274.6</v>
      </c>
      <c r="BL152" s="1">
        <v>5715.3</v>
      </c>
      <c r="BM152" s="1">
        <v>6650.6</v>
      </c>
    </row>
    <row r="153" spans="1:65">
      <c r="A153" s="1" t="s">
        <v>1264</v>
      </c>
      <c r="B153" s="34">
        <v>132.69999999999999</v>
      </c>
      <c r="C153" s="34">
        <v>134.30000000000001</v>
      </c>
      <c r="D153" s="34">
        <v>138.4</v>
      </c>
      <c r="E153" s="34">
        <v>138.5</v>
      </c>
      <c r="F153" s="34">
        <v>142.5</v>
      </c>
      <c r="G153" s="34">
        <v>144.19999999999999</v>
      </c>
      <c r="H153" s="34">
        <v>151.69999999999999</v>
      </c>
      <c r="I153" s="34">
        <v>156.80000000000001</v>
      </c>
      <c r="J153" s="34">
        <v>164.5</v>
      </c>
      <c r="K153" s="34">
        <v>163.80000000000001</v>
      </c>
      <c r="L153" s="34">
        <v>167.5</v>
      </c>
      <c r="M153" s="34">
        <v>175.4</v>
      </c>
      <c r="N153" s="34">
        <v>190.3</v>
      </c>
      <c r="O153" s="34">
        <v>227.4</v>
      </c>
      <c r="P153" s="34">
        <v>255.9</v>
      </c>
      <c r="Q153" s="34">
        <v>295.7</v>
      </c>
      <c r="R153" s="34">
        <v>274.3</v>
      </c>
      <c r="S153" s="34">
        <v>287.8</v>
      </c>
      <c r="T153" s="34">
        <v>316.3</v>
      </c>
      <c r="U153" s="34">
        <v>398.5</v>
      </c>
      <c r="V153" s="34">
        <v>581.29999999999995</v>
      </c>
      <c r="W153" s="34">
        <v>516.9</v>
      </c>
      <c r="X153" s="34">
        <v>505.2</v>
      </c>
      <c r="Y153" s="34">
        <v>481.2</v>
      </c>
      <c r="Z153" s="34">
        <v>390</v>
      </c>
      <c r="AA153" s="34">
        <v>369.3</v>
      </c>
      <c r="AB153" s="34">
        <v>410.6</v>
      </c>
      <c r="AC153" s="34">
        <v>295</v>
      </c>
      <c r="AD153" s="34">
        <v>284.60000000000002</v>
      </c>
      <c r="AE153" s="34">
        <v>275.3</v>
      </c>
      <c r="AF153" s="34">
        <v>330.8</v>
      </c>
      <c r="AG153" s="34">
        <v>265.8</v>
      </c>
      <c r="AH153" s="34">
        <v>294.3</v>
      </c>
      <c r="AI153" s="34">
        <v>312.10000000000002</v>
      </c>
      <c r="AJ153" s="34">
        <v>262.10000000000002</v>
      </c>
      <c r="AK153" s="34">
        <v>276.7</v>
      </c>
      <c r="AL153" s="34">
        <v>344.5</v>
      </c>
      <c r="AM153" s="34">
        <v>288.39999999999998</v>
      </c>
      <c r="AN153" s="34">
        <v>288.60000000000002</v>
      </c>
      <c r="AO153" s="34">
        <v>271.89999999999998</v>
      </c>
      <c r="AP153" s="34">
        <v>285.5</v>
      </c>
      <c r="AQ153" s="34">
        <v>325.5</v>
      </c>
      <c r="AR153" s="34">
        <v>310.89999999999998</v>
      </c>
      <c r="AS153" s="34">
        <v>359.5</v>
      </c>
      <c r="AT153" s="34">
        <v>277.5</v>
      </c>
      <c r="AU153" s="34">
        <v>311.8</v>
      </c>
      <c r="AV153" s="34">
        <v>330.5</v>
      </c>
      <c r="AW153" s="34">
        <v>427.8</v>
      </c>
      <c r="AX153" s="34">
        <v>522.79999999999995</v>
      </c>
      <c r="AY153" s="34">
        <v>455.4</v>
      </c>
      <c r="AZ153" s="34">
        <v>459.4</v>
      </c>
      <c r="BA153" s="34">
        <v>516.9</v>
      </c>
      <c r="BB153" s="34">
        <v>504.2</v>
      </c>
      <c r="BC153" s="34">
        <v>526.70000000000005</v>
      </c>
      <c r="BD153" s="34">
        <v>517.1</v>
      </c>
      <c r="BE153" s="34">
        <v>455.6</v>
      </c>
      <c r="BF153" s="34">
        <v>464.6</v>
      </c>
      <c r="BG153" s="34">
        <v>503.5</v>
      </c>
      <c r="BH153" s="34">
        <v>512.5</v>
      </c>
      <c r="BI153" s="34">
        <v>512.29999999999995</v>
      </c>
      <c r="BJ153" s="34">
        <v>462.4</v>
      </c>
      <c r="BK153" s="1">
        <v>503.4</v>
      </c>
      <c r="BL153" s="1">
        <v>516.79999999999995</v>
      </c>
      <c r="BM153" s="1">
        <v>528.70000000000005</v>
      </c>
    </row>
    <row r="154" spans="1:65">
      <c r="A154" s="1" t="s">
        <v>1265</v>
      </c>
      <c r="B154" s="34"/>
      <c r="C154" s="34"/>
      <c r="D154" s="34"/>
      <c r="E154" s="34"/>
      <c r="F154" s="34"/>
      <c r="G154" s="34"/>
      <c r="H154" s="34"/>
      <c r="I154" s="34"/>
      <c r="J154" s="34"/>
      <c r="K154" s="34"/>
      <c r="L154" s="34">
        <v>156.80000000000001</v>
      </c>
      <c r="M154" s="34">
        <v>169.7</v>
      </c>
      <c r="N154" s="34">
        <v>192.2</v>
      </c>
      <c r="O154" s="34">
        <v>228.7</v>
      </c>
      <c r="P154" s="34">
        <v>281.60000000000002</v>
      </c>
      <c r="Q154" s="34">
        <v>171.5</v>
      </c>
      <c r="R154" s="34">
        <v>151.9</v>
      </c>
      <c r="S154" s="34">
        <v>137.4</v>
      </c>
      <c r="T154" s="34">
        <v>156.19999999999999</v>
      </c>
      <c r="U154" s="34">
        <v>240.3</v>
      </c>
      <c r="V154" s="34">
        <v>257.5</v>
      </c>
      <c r="W154" s="34">
        <v>263.89999999999998</v>
      </c>
      <c r="X154" s="34">
        <v>274.5</v>
      </c>
      <c r="Y154" s="34">
        <v>322.5</v>
      </c>
      <c r="Z154" s="34">
        <v>593.9</v>
      </c>
      <c r="AA154" s="34">
        <v>668.1</v>
      </c>
      <c r="AB154" s="34">
        <v>719.4</v>
      </c>
      <c r="AC154" s="34">
        <v>691.4</v>
      </c>
      <c r="AD154" s="34">
        <v>798</v>
      </c>
      <c r="AE154" s="34">
        <v>869.6</v>
      </c>
      <c r="AF154" s="34">
        <v>955.9</v>
      </c>
      <c r="AG154" s="34">
        <v>1052.8</v>
      </c>
      <c r="AH154" s="34">
        <v>1191.3</v>
      </c>
      <c r="AI154" s="34">
        <v>1311.5</v>
      </c>
      <c r="AJ154" s="34">
        <v>1411.6</v>
      </c>
      <c r="AK154" s="34">
        <v>1545.2</v>
      </c>
      <c r="AL154" s="34">
        <v>1707</v>
      </c>
      <c r="AM154" s="34">
        <v>1889</v>
      </c>
      <c r="AN154" s="34">
        <v>1972.6</v>
      </c>
      <c r="AO154" s="34">
        <v>2118.6999999999998</v>
      </c>
      <c r="AP154" s="34">
        <v>2210</v>
      </c>
      <c r="AQ154" s="34">
        <v>3028.1</v>
      </c>
      <c r="AR154" s="34">
        <v>3069</v>
      </c>
      <c r="AS154" s="34">
        <v>3539.8</v>
      </c>
      <c r="AT154" s="34">
        <v>4060.5</v>
      </c>
      <c r="AU154" s="34">
        <v>3789.2</v>
      </c>
      <c r="AV154" s="34">
        <v>5010.2</v>
      </c>
      <c r="AW154" s="34">
        <v>5746.6</v>
      </c>
      <c r="AX154" s="34">
        <v>6743.1</v>
      </c>
      <c r="AY154" s="34">
        <v>6719.3</v>
      </c>
      <c r="AZ154" s="34">
        <v>7158.1</v>
      </c>
      <c r="BA154" s="34">
        <v>7409.3</v>
      </c>
      <c r="BB154" s="34">
        <v>7447.4</v>
      </c>
      <c r="BC154" s="34">
        <v>8222.6</v>
      </c>
      <c r="BD154" s="34">
        <v>8872.1</v>
      </c>
      <c r="BE154" s="34">
        <v>9480.4</v>
      </c>
      <c r="BF154" s="34">
        <v>9708.1</v>
      </c>
      <c r="BG154" s="34">
        <v>10194.700000000001</v>
      </c>
      <c r="BH154" s="34">
        <v>11034.7</v>
      </c>
      <c r="BI154" s="34">
        <v>11349.9</v>
      </c>
      <c r="BJ154" s="34">
        <v>7216.8</v>
      </c>
      <c r="BK154" s="1">
        <v>10076.299999999999</v>
      </c>
      <c r="BL154" s="1">
        <v>11780.8</v>
      </c>
      <c r="BM154" s="1">
        <v>12667.4</v>
      </c>
    </row>
    <row r="155" spans="1:65">
      <c r="A155" s="1" t="s">
        <v>1266</v>
      </c>
      <c r="B155" s="34"/>
      <c r="C155" s="34"/>
      <c r="D155" s="34"/>
      <c r="E155" s="34"/>
      <c r="F155" s="34"/>
      <c r="G155" s="34">
        <v>278.39999999999998</v>
      </c>
      <c r="H155" s="34">
        <v>290</v>
      </c>
      <c r="I155" s="34">
        <v>303.7</v>
      </c>
      <c r="J155" s="34">
        <v>339.1</v>
      </c>
      <c r="K155" s="34">
        <v>367.8</v>
      </c>
      <c r="L155" s="34">
        <v>402.7</v>
      </c>
      <c r="M155" s="34">
        <v>451.6</v>
      </c>
      <c r="N155" s="34">
        <v>538.20000000000005</v>
      </c>
      <c r="O155" s="34">
        <v>719</v>
      </c>
      <c r="P155" s="34">
        <v>1286.2</v>
      </c>
      <c r="Q155" s="34">
        <v>1362.8</v>
      </c>
      <c r="R155" s="34">
        <v>1642.1</v>
      </c>
      <c r="S155" s="34">
        <v>1844.6</v>
      </c>
      <c r="T155" s="34">
        <v>1895.2</v>
      </c>
      <c r="U155" s="34">
        <v>2411.5</v>
      </c>
      <c r="V155" s="34">
        <v>3011.8</v>
      </c>
      <c r="W155" s="34">
        <v>2977.9</v>
      </c>
      <c r="X155" s="34">
        <v>2871.9</v>
      </c>
      <c r="Y155" s="34">
        <v>2825.6</v>
      </c>
      <c r="Z155" s="34">
        <v>2755.3</v>
      </c>
      <c r="AA155" s="34">
        <v>2719.9</v>
      </c>
      <c r="AB155" s="34">
        <v>2667.5</v>
      </c>
      <c r="AC155" s="34">
        <v>2401.1</v>
      </c>
      <c r="AD155" s="34">
        <v>2310.6</v>
      </c>
      <c r="AE155" s="34">
        <v>2313</v>
      </c>
      <c r="AF155" s="34">
        <v>2908.2</v>
      </c>
      <c r="AG155" s="34">
        <v>2085.4</v>
      </c>
      <c r="AH155" s="34">
        <v>2218.3000000000002</v>
      </c>
      <c r="AI155" s="34">
        <v>2205</v>
      </c>
      <c r="AJ155" s="34">
        <v>2285.6</v>
      </c>
      <c r="AK155" s="34">
        <v>2468.4</v>
      </c>
      <c r="AL155" s="34">
        <v>2688.8</v>
      </c>
      <c r="AM155" s="34">
        <v>2760.1</v>
      </c>
      <c r="AN155" s="34">
        <v>2644</v>
      </c>
      <c r="AO155" s="34">
        <v>2817.3</v>
      </c>
      <c r="AP155" s="34">
        <v>3091.7</v>
      </c>
      <c r="AQ155" s="34">
        <v>3013.5</v>
      </c>
      <c r="AR155" s="34">
        <v>2932.6</v>
      </c>
      <c r="AS155" s="34">
        <v>3205.3</v>
      </c>
      <c r="AT155" s="34">
        <v>3706.5</v>
      </c>
      <c r="AU155" s="34">
        <v>4350.5</v>
      </c>
      <c r="AV155" s="34">
        <v>4993.8999999999996</v>
      </c>
      <c r="AW155" s="34">
        <v>5763.9</v>
      </c>
      <c r="AX155" s="34">
        <v>7032.1</v>
      </c>
      <c r="AY155" s="34">
        <v>6163.5</v>
      </c>
      <c r="AZ155" s="34">
        <v>7086.2</v>
      </c>
      <c r="BA155" s="34">
        <v>8365.2999999999993</v>
      </c>
      <c r="BB155" s="34">
        <v>8838.4</v>
      </c>
      <c r="BC155" s="34">
        <v>8519</v>
      </c>
      <c r="BD155" s="34">
        <v>8403.7999999999993</v>
      </c>
      <c r="BE155" s="34">
        <v>7266.7</v>
      </c>
      <c r="BF155" s="34">
        <v>7204.6</v>
      </c>
      <c r="BG155" s="34">
        <v>7380.4</v>
      </c>
      <c r="BH155" s="34">
        <v>7607.5</v>
      </c>
      <c r="BI155" s="34">
        <v>7502</v>
      </c>
      <c r="BJ155" s="34">
        <v>6665.2</v>
      </c>
      <c r="BK155" s="1">
        <v>7775.6</v>
      </c>
      <c r="BL155" s="1">
        <v>9116.7999999999993</v>
      </c>
      <c r="BM155" s="1">
        <v>8561.9</v>
      </c>
    </row>
    <row r="156" spans="1:65">
      <c r="A156" s="1" t="s">
        <v>281</v>
      </c>
      <c r="B156" s="34">
        <v>359.5</v>
      </c>
      <c r="C156" s="34">
        <v>378.2</v>
      </c>
      <c r="D156" s="34">
        <v>392.9</v>
      </c>
      <c r="E156" s="34">
        <v>424.2</v>
      </c>
      <c r="F156" s="34">
        <v>485.8</v>
      </c>
      <c r="G156" s="34">
        <v>511</v>
      </c>
      <c r="H156" s="34">
        <v>550.5</v>
      </c>
      <c r="I156" s="34">
        <v>581.70000000000005</v>
      </c>
      <c r="J156" s="34">
        <v>622.4</v>
      </c>
      <c r="K156" s="34">
        <v>666.7</v>
      </c>
      <c r="L156" s="34">
        <v>706.3</v>
      </c>
      <c r="M156" s="34">
        <v>755.3</v>
      </c>
      <c r="N156" s="34">
        <v>844.2</v>
      </c>
      <c r="O156" s="34">
        <v>1000.9</v>
      </c>
      <c r="P156" s="34">
        <v>1264.4000000000001</v>
      </c>
      <c r="Q156" s="34">
        <v>1499.4</v>
      </c>
      <c r="R156" s="34">
        <v>1470.2</v>
      </c>
      <c r="S156" s="34">
        <v>1315.6</v>
      </c>
      <c r="T156" s="34">
        <v>1600.8</v>
      </c>
      <c r="U156" s="34">
        <v>2039.2</v>
      </c>
      <c r="V156" s="34">
        <v>3036.4</v>
      </c>
      <c r="W156" s="34">
        <v>3810.2</v>
      </c>
      <c r="X156" s="34">
        <v>2612.6999999999998</v>
      </c>
      <c r="Y156" s="34">
        <v>2166.6</v>
      </c>
      <c r="Z156" s="34">
        <v>2506.9</v>
      </c>
      <c r="AA156" s="34">
        <v>2607.6999999999998</v>
      </c>
      <c r="AB156" s="34">
        <v>1765.3</v>
      </c>
      <c r="AC156" s="34">
        <v>1902.5</v>
      </c>
      <c r="AD156" s="34">
        <v>2302</v>
      </c>
      <c r="AE156" s="34">
        <v>2759.5</v>
      </c>
      <c r="AF156" s="34">
        <v>3196.9</v>
      </c>
      <c r="AG156" s="34">
        <v>3756.9</v>
      </c>
      <c r="AH156" s="34">
        <v>4272.8</v>
      </c>
      <c r="AI156" s="34">
        <v>6118.5</v>
      </c>
      <c r="AJ156" s="34">
        <v>6268.7</v>
      </c>
      <c r="AK156" s="34">
        <v>4225.3999999999996</v>
      </c>
      <c r="AL156" s="34">
        <v>4718.6000000000004</v>
      </c>
      <c r="AM156" s="34">
        <v>5617.4</v>
      </c>
      <c r="AN156" s="34">
        <v>5882.4</v>
      </c>
      <c r="AO156" s="34">
        <v>6552.7</v>
      </c>
      <c r="AP156" s="34">
        <v>7581.8</v>
      </c>
      <c r="AQ156" s="34">
        <v>8009.2</v>
      </c>
      <c r="AR156" s="34">
        <v>8033</v>
      </c>
      <c r="AS156" s="34">
        <v>7473.9</v>
      </c>
      <c r="AT156" s="34">
        <v>7883.5</v>
      </c>
      <c r="AU156" s="34">
        <v>8702.1</v>
      </c>
      <c r="AV156" s="34">
        <v>9545.2999999999993</v>
      </c>
      <c r="AW156" s="34">
        <v>10178.4</v>
      </c>
      <c r="AX156" s="34">
        <v>10590</v>
      </c>
      <c r="AY156" s="34">
        <v>8495.7000000000007</v>
      </c>
      <c r="AZ156" s="34">
        <v>9823.2000000000007</v>
      </c>
      <c r="BA156" s="34">
        <v>10766.6</v>
      </c>
      <c r="BB156" s="34">
        <v>10842.7</v>
      </c>
      <c r="BC156" s="34">
        <v>11317.5</v>
      </c>
      <c r="BD156" s="34">
        <v>11490</v>
      </c>
      <c r="BE156" s="34">
        <v>10098.200000000001</v>
      </c>
      <c r="BF156" s="34">
        <v>9152.7000000000007</v>
      </c>
      <c r="BG156" s="34">
        <v>9693.2999999999993</v>
      </c>
      <c r="BH156" s="34">
        <v>10130.299999999999</v>
      </c>
      <c r="BI156" s="34">
        <v>10434.6</v>
      </c>
      <c r="BJ156" s="34">
        <v>8895.6</v>
      </c>
      <c r="BK156" s="1">
        <v>10363.200000000001</v>
      </c>
      <c r="BL156" s="1">
        <v>11476.7</v>
      </c>
      <c r="BM156" s="1">
        <v>13926.1</v>
      </c>
    </row>
    <row r="157" spans="1:65">
      <c r="A157" s="1" t="s">
        <v>1267</v>
      </c>
      <c r="B157" s="34"/>
      <c r="C157" s="34"/>
      <c r="D157" s="34"/>
      <c r="E157" s="34"/>
      <c r="F157" s="34"/>
      <c r="G157" s="34"/>
      <c r="H157" s="34"/>
      <c r="I157" s="34"/>
      <c r="J157" s="34"/>
      <c r="K157" s="34"/>
      <c r="L157" s="34">
        <v>350.8</v>
      </c>
      <c r="M157" s="34">
        <v>369.4</v>
      </c>
      <c r="N157" s="34">
        <v>397.6</v>
      </c>
      <c r="O157" s="34">
        <v>454.8</v>
      </c>
      <c r="P157" s="34">
        <v>581.4</v>
      </c>
      <c r="Q157" s="34">
        <v>617.1</v>
      </c>
      <c r="R157" s="34">
        <v>649.20000000000005</v>
      </c>
      <c r="S157" s="34">
        <v>699</v>
      </c>
      <c r="T157" s="34">
        <v>743</v>
      </c>
      <c r="U157" s="34">
        <v>826.7</v>
      </c>
      <c r="V157" s="34">
        <v>835</v>
      </c>
      <c r="W157" s="34">
        <v>933.8</v>
      </c>
      <c r="X157" s="34">
        <v>1010.1</v>
      </c>
      <c r="Y157" s="34">
        <v>1160.5</v>
      </c>
      <c r="Z157" s="34">
        <v>1205.9000000000001</v>
      </c>
      <c r="AA157" s="34">
        <v>1126.2</v>
      </c>
      <c r="AB157" s="34">
        <v>1381.5</v>
      </c>
      <c r="AC157" s="34">
        <v>1495.3</v>
      </c>
      <c r="AD157" s="34">
        <v>1618.1</v>
      </c>
      <c r="AE157" s="34">
        <v>1618.2</v>
      </c>
      <c r="AF157" s="34">
        <v>1704.3</v>
      </c>
      <c r="AG157" s="34">
        <v>1753.5</v>
      </c>
      <c r="AH157" s="34">
        <v>1896.6</v>
      </c>
      <c r="AI157" s="34">
        <v>2032.1</v>
      </c>
      <c r="AJ157" s="34">
        <v>2168.4</v>
      </c>
      <c r="AK157" s="34">
        <v>2371.3000000000002</v>
      </c>
      <c r="AL157" s="34">
        <v>2151</v>
      </c>
      <c r="AM157" s="34">
        <v>2098.6999999999998</v>
      </c>
      <c r="AN157" s="34">
        <v>2108</v>
      </c>
      <c r="AO157" s="34">
        <v>2105.6</v>
      </c>
      <c r="AP157" s="34">
        <v>2117.9</v>
      </c>
      <c r="AQ157" s="34">
        <v>2249.6</v>
      </c>
      <c r="AR157" s="34">
        <v>2421.5</v>
      </c>
      <c r="AS157" s="34">
        <v>2406.3000000000002</v>
      </c>
      <c r="AT157" s="34">
        <v>2439.5</v>
      </c>
      <c r="AU157" s="34">
        <v>2536.3000000000002</v>
      </c>
      <c r="AV157" s="34">
        <v>2636.6</v>
      </c>
      <c r="AW157" s="34">
        <v>2777.8</v>
      </c>
      <c r="AX157" s="34">
        <v>2716.8</v>
      </c>
      <c r="AY157" s="34">
        <v>2815.4</v>
      </c>
      <c r="AZ157" s="34">
        <v>3007.1</v>
      </c>
      <c r="BA157" s="34">
        <v>3247.9</v>
      </c>
      <c r="BB157" s="34">
        <v>3453.9</v>
      </c>
      <c r="BC157" s="34">
        <v>3618.5</v>
      </c>
      <c r="BD157" s="34">
        <v>3678.1</v>
      </c>
      <c r="BE157" s="34">
        <v>3708.2</v>
      </c>
      <c r="BF157" s="34">
        <v>4156.8999999999996</v>
      </c>
      <c r="BG157" s="34">
        <v>4512.6000000000004</v>
      </c>
      <c r="BH157" s="34">
        <v>4771.3999999999996</v>
      </c>
      <c r="BI157" s="34">
        <v>5186.8</v>
      </c>
      <c r="BJ157" s="34">
        <v>5545.6</v>
      </c>
      <c r="BK157" s="1">
        <v>6130.4</v>
      </c>
      <c r="BL157" s="1">
        <v>6225.2</v>
      </c>
      <c r="BM157" s="1">
        <v>6762.5</v>
      </c>
    </row>
    <row r="158" spans="1:65">
      <c r="A158" s="1" t="s">
        <v>1268</v>
      </c>
      <c r="B158" s="34">
        <v>136.69999999999999</v>
      </c>
      <c r="C158" s="34">
        <v>133.30000000000001</v>
      </c>
      <c r="D158" s="34">
        <v>132.5</v>
      </c>
      <c r="E158" s="34">
        <v>142.5</v>
      </c>
      <c r="F158" s="34">
        <v>158.6</v>
      </c>
      <c r="G158" s="34">
        <v>170.7</v>
      </c>
      <c r="H158" s="34">
        <v>169.4</v>
      </c>
      <c r="I158" s="34">
        <v>172.2</v>
      </c>
      <c r="J158" s="34">
        <v>177.5</v>
      </c>
      <c r="K158" s="34">
        <v>192.9</v>
      </c>
      <c r="L158" s="34">
        <v>206.1</v>
      </c>
      <c r="M158" s="34">
        <v>214.4</v>
      </c>
      <c r="N158" s="34">
        <v>234.9</v>
      </c>
      <c r="O158" s="34">
        <v>285</v>
      </c>
      <c r="P158" s="34">
        <v>350.4</v>
      </c>
      <c r="Q158" s="34">
        <v>387.3</v>
      </c>
      <c r="R158" s="34">
        <v>405.4</v>
      </c>
      <c r="S158" s="34">
        <v>445.4</v>
      </c>
      <c r="T158" s="34">
        <v>472.1</v>
      </c>
      <c r="U158" s="34">
        <v>558.5</v>
      </c>
      <c r="V158" s="34">
        <v>660.8</v>
      </c>
      <c r="W158" s="34">
        <v>732.5</v>
      </c>
      <c r="X158" s="34">
        <v>696.5</v>
      </c>
      <c r="Y158" s="34">
        <v>683.2</v>
      </c>
      <c r="Z158" s="34">
        <v>690.1</v>
      </c>
      <c r="AA158" s="34">
        <v>699.1</v>
      </c>
      <c r="AB158" s="34">
        <v>684.4</v>
      </c>
      <c r="AC158" s="34">
        <v>684.6</v>
      </c>
      <c r="AD158" s="34">
        <v>713.6</v>
      </c>
      <c r="AE158" s="34">
        <v>723.2</v>
      </c>
      <c r="AF158" s="34">
        <v>807.6</v>
      </c>
      <c r="AG158" s="34">
        <v>764.8</v>
      </c>
      <c r="AH158" s="34">
        <v>805.7</v>
      </c>
      <c r="AI158" s="34">
        <v>876.5</v>
      </c>
      <c r="AJ158" s="34">
        <v>969.6</v>
      </c>
      <c r="AK158" s="34">
        <v>1092.7</v>
      </c>
      <c r="AL158" s="34">
        <v>1196.9000000000001</v>
      </c>
      <c r="AM158" s="34">
        <v>1250.2</v>
      </c>
      <c r="AN158" s="34">
        <v>1224.5999999999999</v>
      </c>
      <c r="AO158" s="34">
        <v>1160.3</v>
      </c>
      <c r="AP158" s="34">
        <v>1240.5</v>
      </c>
      <c r="AQ158" s="34">
        <v>1225.8</v>
      </c>
      <c r="AR158" s="34">
        <v>1230.2</v>
      </c>
      <c r="AS158" s="34">
        <v>1358.5</v>
      </c>
      <c r="AT158" s="34">
        <v>1572.6</v>
      </c>
      <c r="AU158" s="34">
        <v>1832.4</v>
      </c>
      <c r="AV158" s="34">
        <v>2130.4</v>
      </c>
      <c r="AW158" s="34">
        <v>2584.1</v>
      </c>
      <c r="AX158" s="34">
        <v>3030.5</v>
      </c>
      <c r="AY158" s="34">
        <v>3000</v>
      </c>
      <c r="AZ158" s="34">
        <v>3610.2</v>
      </c>
      <c r="BA158" s="34">
        <v>4205.2</v>
      </c>
      <c r="BB158" s="34">
        <v>4423.5</v>
      </c>
      <c r="BC158" s="34">
        <v>4635.1000000000004</v>
      </c>
      <c r="BD158" s="34">
        <v>4789.2</v>
      </c>
      <c r="BE158" s="34">
        <v>4590.1000000000004</v>
      </c>
      <c r="BF158" s="34">
        <v>4589.8</v>
      </c>
      <c r="BG158" s="34">
        <v>4956.3</v>
      </c>
      <c r="BH158" s="34">
        <v>5213.8999999999996</v>
      </c>
      <c r="BI158" s="34">
        <v>5281.8</v>
      </c>
      <c r="BJ158" s="34">
        <v>5068.5</v>
      </c>
      <c r="BK158" s="1">
        <v>5925.8</v>
      </c>
      <c r="BL158" s="1">
        <v>6165.9</v>
      </c>
      <c r="BM158" s="1">
        <v>6266.8</v>
      </c>
    </row>
    <row r="159" spans="1:65">
      <c r="A159" s="1" t="s">
        <v>1269</v>
      </c>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v>2299</v>
      </c>
      <c r="AG159" s="34">
        <v>2424.9</v>
      </c>
      <c r="AH159" s="34">
        <v>1207.5</v>
      </c>
      <c r="AI159" s="34">
        <v>1343.3</v>
      </c>
      <c r="AJ159" s="34">
        <v>1795.6</v>
      </c>
      <c r="AK159" s="34">
        <v>2372.5</v>
      </c>
      <c r="AL159" s="34">
        <v>2327.6999999999998</v>
      </c>
      <c r="AM159" s="34">
        <v>1959.6</v>
      </c>
      <c r="AN159" s="34">
        <v>1875.8</v>
      </c>
      <c r="AO159" s="34">
        <v>1915.4</v>
      </c>
      <c r="AP159" s="34">
        <v>1861.9</v>
      </c>
      <c r="AQ159" s="34">
        <v>1823</v>
      </c>
      <c r="AR159" s="34">
        <v>1989.1</v>
      </c>
      <c r="AS159" s="34">
        <v>2445.4</v>
      </c>
      <c r="AT159" s="34">
        <v>2818.6</v>
      </c>
      <c r="AU159" s="34">
        <v>3121</v>
      </c>
      <c r="AV159" s="34">
        <v>3440.4</v>
      </c>
      <c r="AW159" s="34">
        <v>4204.1000000000004</v>
      </c>
      <c r="AX159" s="34">
        <v>5026.3999999999996</v>
      </c>
      <c r="AY159" s="34">
        <v>4799.8</v>
      </c>
      <c r="AZ159" s="34">
        <v>4833.3999999999996</v>
      </c>
      <c r="BA159" s="34">
        <v>5416.9</v>
      </c>
      <c r="BB159" s="34">
        <v>5049.8</v>
      </c>
      <c r="BC159" s="34">
        <v>5626.3</v>
      </c>
      <c r="BD159" s="34">
        <v>5925.4</v>
      </c>
      <c r="BE159" s="34">
        <v>5262.7</v>
      </c>
      <c r="BF159" s="34">
        <v>5598.5</v>
      </c>
      <c r="BG159" s="34">
        <v>5955.3</v>
      </c>
      <c r="BH159" s="34">
        <v>6714</v>
      </c>
      <c r="BI159" s="34">
        <v>6718.9</v>
      </c>
      <c r="BJ159" s="34">
        <v>6659.6</v>
      </c>
      <c r="BK159" s="1">
        <v>7620.8</v>
      </c>
      <c r="BL159" s="1">
        <v>7485.6</v>
      </c>
      <c r="BM159" s="1">
        <v>8146.5</v>
      </c>
    </row>
    <row r="160" spans="1:65">
      <c r="A160" s="1" t="s">
        <v>1270</v>
      </c>
      <c r="B160" s="34"/>
      <c r="C160" s="34"/>
      <c r="D160" s="34"/>
      <c r="E160" s="34"/>
      <c r="F160" s="34"/>
      <c r="G160" s="34"/>
      <c r="H160" s="34"/>
      <c r="I160" s="34">
        <v>46.8</v>
      </c>
      <c r="J160" s="34">
        <v>57.5</v>
      </c>
      <c r="K160" s="34">
        <v>56.1</v>
      </c>
      <c r="L160" s="34">
        <v>58.5</v>
      </c>
      <c r="M160" s="34">
        <v>63.3</v>
      </c>
      <c r="N160" s="34">
        <v>76.7</v>
      </c>
      <c r="O160" s="34">
        <v>87.3</v>
      </c>
      <c r="P160" s="34">
        <v>82</v>
      </c>
      <c r="Q160" s="34">
        <v>124.2</v>
      </c>
      <c r="R160" s="34">
        <v>138</v>
      </c>
      <c r="S160" s="34">
        <v>151.4</v>
      </c>
      <c r="T160" s="34">
        <v>172.9</v>
      </c>
      <c r="U160" s="34">
        <v>221</v>
      </c>
      <c r="V160" s="34">
        <v>238.7</v>
      </c>
      <c r="W160" s="34">
        <v>204.3</v>
      </c>
      <c r="X160" s="34">
        <v>173.3</v>
      </c>
      <c r="Y160" s="34">
        <v>165</v>
      </c>
      <c r="Z160" s="34">
        <v>153.5</v>
      </c>
      <c r="AA160" s="34">
        <v>170</v>
      </c>
      <c r="AB160" s="34">
        <v>222.2</v>
      </c>
      <c r="AC160" s="34">
        <v>246.7</v>
      </c>
      <c r="AD160" s="34">
        <v>251.7</v>
      </c>
      <c r="AE160" s="34">
        <v>248.7</v>
      </c>
      <c r="AF160" s="34">
        <v>299.8</v>
      </c>
      <c r="AG160" s="34">
        <v>298.60000000000002</v>
      </c>
      <c r="AH160" s="34">
        <v>304</v>
      </c>
      <c r="AI160" s="34">
        <v>296.5</v>
      </c>
      <c r="AJ160" s="34">
        <v>214.4</v>
      </c>
      <c r="AK160" s="34">
        <v>272.8</v>
      </c>
      <c r="AL160" s="34">
        <v>274.39999999999998</v>
      </c>
      <c r="AM160" s="34">
        <v>260.39999999999998</v>
      </c>
      <c r="AN160" s="34">
        <v>275</v>
      </c>
      <c r="AO160" s="34">
        <v>315.2</v>
      </c>
      <c r="AP160" s="34">
        <v>263.5</v>
      </c>
      <c r="AQ160" s="34">
        <v>299.39999999999998</v>
      </c>
      <c r="AR160" s="34">
        <v>327</v>
      </c>
      <c r="AS160" s="34">
        <v>381.9</v>
      </c>
      <c r="AT160" s="34">
        <v>427.7</v>
      </c>
      <c r="AU160" s="34">
        <v>474</v>
      </c>
      <c r="AV160" s="34">
        <v>506.9</v>
      </c>
      <c r="AW160" s="34">
        <v>579.29999999999995</v>
      </c>
      <c r="AX160" s="34">
        <v>676.1</v>
      </c>
      <c r="AY160" s="34">
        <v>680.6</v>
      </c>
      <c r="AZ160" s="34">
        <v>688.3</v>
      </c>
      <c r="BA160" s="34">
        <v>810.2</v>
      </c>
      <c r="BB160" s="34">
        <v>753.4</v>
      </c>
      <c r="BC160" s="34">
        <v>778.8</v>
      </c>
      <c r="BD160" s="34">
        <v>818.4</v>
      </c>
      <c r="BE160" s="34">
        <v>723.5</v>
      </c>
      <c r="BF160" s="34">
        <v>750.1</v>
      </c>
      <c r="BG160" s="34">
        <v>795.7</v>
      </c>
      <c r="BH160" s="34">
        <v>856.4</v>
      </c>
      <c r="BI160" s="34">
        <v>840.2</v>
      </c>
      <c r="BJ160" s="34">
        <v>822.9</v>
      </c>
      <c r="BK160" s="1">
        <v>881.5</v>
      </c>
      <c r="BL160" s="1">
        <v>831.2</v>
      </c>
      <c r="BM160" s="1">
        <v>897.4</v>
      </c>
    </row>
    <row r="161" spans="1:65">
      <c r="A161" s="1" t="s">
        <v>1271</v>
      </c>
      <c r="B161" s="34"/>
      <c r="C161" s="34"/>
      <c r="D161" s="34"/>
      <c r="E161" s="34"/>
      <c r="F161" s="34"/>
      <c r="G161" s="34"/>
      <c r="H161" s="34"/>
      <c r="I161" s="34"/>
      <c r="J161" s="34"/>
      <c r="K161" s="34"/>
      <c r="L161" s="34">
        <v>828.4</v>
      </c>
      <c r="M161" s="34">
        <v>874.1</v>
      </c>
      <c r="N161" s="34">
        <v>975.8</v>
      </c>
      <c r="O161" s="34">
        <v>1143.5999999999999</v>
      </c>
      <c r="P161" s="34">
        <v>1245.4000000000001</v>
      </c>
      <c r="Q161" s="34">
        <v>1560.1</v>
      </c>
      <c r="R161" s="34">
        <v>1726.6</v>
      </c>
      <c r="S161" s="34">
        <v>2037.9</v>
      </c>
      <c r="T161" s="34">
        <v>2558.6999999999998</v>
      </c>
      <c r="U161" s="34">
        <v>3195.6</v>
      </c>
      <c r="V161" s="34">
        <v>3948.4</v>
      </c>
      <c r="W161" s="34">
        <v>3898.2</v>
      </c>
      <c r="X161" s="34">
        <v>3788.1</v>
      </c>
      <c r="Y161" s="34">
        <v>3527</v>
      </c>
      <c r="Z161" s="34">
        <v>3332.9</v>
      </c>
      <c r="AA161" s="34">
        <v>3322.4</v>
      </c>
      <c r="AB161" s="34">
        <v>4194.7</v>
      </c>
      <c r="AC161" s="34">
        <v>5083.7</v>
      </c>
      <c r="AD161" s="34">
        <v>5814.4</v>
      </c>
      <c r="AE161" s="34">
        <v>6040.6</v>
      </c>
      <c r="AF161" s="34">
        <v>7191.9</v>
      </c>
      <c r="AG161" s="34">
        <v>7558.3</v>
      </c>
      <c r="AH161" s="34">
        <v>8220.2000000000007</v>
      </c>
      <c r="AI161" s="34">
        <v>7296.3</v>
      </c>
      <c r="AJ161" s="34">
        <v>8000.5</v>
      </c>
      <c r="AK161" s="34">
        <v>9857.5</v>
      </c>
      <c r="AL161" s="34">
        <v>10062.700000000001</v>
      </c>
      <c r="AM161" s="34">
        <v>9909.9</v>
      </c>
      <c r="AN161" s="34">
        <v>10409.299999999999</v>
      </c>
      <c r="AO161" s="34">
        <v>10633.6</v>
      </c>
      <c r="AP161" s="34">
        <v>10432.299999999999</v>
      </c>
      <c r="AQ161" s="34">
        <v>10402.200000000001</v>
      </c>
      <c r="AR161" s="34">
        <v>11289.9</v>
      </c>
      <c r="AS161" s="34">
        <v>13669.5</v>
      </c>
      <c r="AT161" s="34">
        <v>15197.1</v>
      </c>
      <c r="AU161" s="34">
        <v>15888.2</v>
      </c>
      <c r="AV161" s="34">
        <v>16723.900000000001</v>
      </c>
      <c r="AW161" s="34">
        <v>19485.900000000001</v>
      </c>
      <c r="AX161" s="34">
        <v>22205.4</v>
      </c>
      <c r="AY161" s="34">
        <v>21083.3</v>
      </c>
      <c r="AZ161" s="34">
        <v>21798.9</v>
      </c>
      <c r="BA161" s="34">
        <v>23155.1</v>
      </c>
      <c r="BB161" s="34">
        <v>22526.5</v>
      </c>
      <c r="BC161" s="34">
        <v>24769.599999999999</v>
      </c>
      <c r="BD161" s="34">
        <v>26753.3</v>
      </c>
      <c r="BE161" s="34">
        <v>24921.7</v>
      </c>
      <c r="BF161" s="34">
        <v>25623.9</v>
      </c>
      <c r="BG161" s="34">
        <v>28813.200000000001</v>
      </c>
      <c r="BH161" s="34">
        <v>31785.9</v>
      </c>
      <c r="BI161" s="34">
        <v>31751.200000000001</v>
      </c>
      <c r="BJ161" s="34">
        <v>29592.6</v>
      </c>
      <c r="BK161" s="1">
        <v>34951.699999999997</v>
      </c>
      <c r="BL161" s="1">
        <v>34563.4</v>
      </c>
      <c r="BM161" s="1">
        <v>37882.300000000003</v>
      </c>
    </row>
    <row r="162" spans="1:65">
      <c r="A162" s="1" t="s">
        <v>1272</v>
      </c>
      <c r="B162" s="34">
        <v>25.1</v>
      </c>
      <c r="C162" s="34">
        <v>27.3</v>
      </c>
      <c r="D162" s="34">
        <v>28</v>
      </c>
      <c r="E162" s="34">
        <v>25.8</v>
      </c>
      <c r="F162" s="34">
        <v>17.3</v>
      </c>
      <c r="G162" s="34">
        <v>15.1</v>
      </c>
      <c r="H162" s="34">
        <v>11.8</v>
      </c>
      <c r="I162" s="34">
        <v>16.5</v>
      </c>
      <c r="J162" s="34">
        <v>21.5</v>
      </c>
      <c r="K162" s="34">
        <v>21.5</v>
      </c>
      <c r="L162" s="34">
        <v>20.7</v>
      </c>
      <c r="M162" s="34">
        <v>21</v>
      </c>
      <c r="N162" s="34">
        <v>23.2</v>
      </c>
      <c r="O162" s="34">
        <v>24.7</v>
      </c>
      <c r="P162" s="34">
        <v>41.2</v>
      </c>
      <c r="Q162" s="34">
        <v>35</v>
      </c>
      <c r="R162" s="34">
        <v>38.9</v>
      </c>
      <c r="S162" s="34">
        <v>27.7</v>
      </c>
      <c r="T162" s="34">
        <v>29.1</v>
      </c>
      <c r="U162" s="34">
        <v>29</v>
      </c>
      <c r="V162" s="34">
        <v>31</v>
      </c>
      <c r="W162" s="34">
        <v>32.6</v>
      </c>
      <c r="X162" s="34">
        <v>42.6</v>
      </c>
      <c r="Y162" s="34">
        <v>39</v>
      </c>
      <c r="Z162" s="34">
        <v>36.1</v>
      </c>
      <c r="AA162" s="34">
        <v>40.1</v>
      </c>
      <c r="AB162" s="34">
        <v>42.1</v>
      </c>
      <c r="AC162" s="34">
        <v>40.9</v>
      </c>
      <c r="AD162" s="34">
        <v>39.6</v>
      </c>
      <c r="AE162" s="34">
        <v>51</v>
      </c>
      <c r="AF162" s="34">
        <v>52.7</v>
      </c>
      <c r="AG162" s="34">
        <v>50.9</v>
      </c>
      <c r="AH162" s="34">
        <v>58.5</v>
      </c>
      <c r="AI162" s="34">
        <v>75.7</v>
      </c>
      <c r="AJ162" s="34">
        <v>104.7</v>
      </c>
      <c r="AK162" s="34">
        <v>123.3</v>
      </c>
      <c r="AL162" s="34">
        <v>141</v>
      </c>
      <c r="AM162" s="34">
        <v>107.4</v>
      </c>
      <c r="AN162" s="34">
        <v>145.1</v>
      </c>
      <c r="AO162" s="34">
        <v>188.4</v>
      </c>
      <c r="AP162" s="34">
        <v>195.6</v>
      </c>
      <c r="AQ162" s="34">
        <v>140.80000000000001</v>
      </c>
      <c r="AR162" s="34">
        <v>145.80000000000001</v>
      </c>
      <c r="AS162" s="34">
        <v>223.1</v>
      </c>
      <c r="AT162" s="34">
        <v>223.2</v>
      </c>
      <c r="AU162" s="34">
        <v>251.2</v>
      </c>
      <c r="AV162" s="34">
        <v>301.60000000000002</v>
      </c>
      <c r="AW162" s="34">
        <v>416.6</v>
      </c>
      <c r="AX162" s="34">
        <v>653.9</v>
      </c>
      <c r="AY162" s="34">
        <v>752.9</v>
      </c>
      <c r="AZ162" s="34">
        <v>1003</v>
      </c>
      <c r="BA162" s="34">
        <v>1204.5</v>
      </c>
      <c r="BB162" s="34">
        <v>1193.5</v>
      </c>
      <c r="BC162" s="34">
        <v>1190</v>
      </c>
      <c r="BD162" s="34">
        <v>1283.0999999999999</v>
      </c>
      <c r="BE162" s="34">
        <v>1157.8</v>
      </c>
      <c r="BF162" s="34">
        <v>1219.8</v>
      </c>
      <c r="BG162" s="34">
        <v>1263.2</v>
      </c>
      <c r="BH162" s="34">
        <v>1288.5</v>
      </c>
      <c r="BI162" s="34">
        <v>1415.2</v>
      </c>
      <c r="BJ162" s="34">
        <v>1478.9</v>
      </c>
      <c r="BK162" s="1">
        <v>1233.2</v>
      </c>
      <c r="BL162" s="1">
        <v>1149</v>
      </c>
      <c r="BM162" s="1">
        <v>1187.5999999999999</v>
      </c>
    </row>
    <row r="163" spans="1:65">
      <c r="A163" s="1" t="s">
        <v>1273</v>
      </c>
      <c r="B163" s="34"/>
      <c r="C163" s="34">
        <v>169.2</v>
      </c>
      <c r="D163" s="34">
        <v>173.5</v>
      </c>
      <c r="E163" s="34">
        <v>191</v>
      </c>
      <c r="F163" s="34">
        <v>207.1</v>
      </c>
      <c r="G163" s="34">
        <v>225</v>
      </c>
      <c r="H163" s="34">
        <v>232</v>
      </c>
      <c r="I163" s="34">
        <v>245.7</v>
      </c>
      <c r="J163" s="34">
        <v>271.5</v>
      </c>
      <c r="K163" s="34">
        <v>296</v>
      </c>
      <c r="L163" s="34">
        <v>321.5</v>
      </c>
      <c r="M163" s="34">
        <v>359.5</v>
      </c>
      <c r="N163" s="34">
        <v>418.4</v>
      </c>
      <c r="O163" s="34">
        <v>541.5</v>
      </c>
      <c r="P163" s="34">
        <v>817.2</v>
      </c>
      <c r="Q163" s="34">
        <v>905.3</v>
      </c>
      <c r="R163" s="34">
        <v>1086.4000000000001</v>
      </c>
      <c r="S163" s="34">
        <v>1216.9000000000001</v>
      </c>
      <c r="T163" s="34">
        <v>1261.8</v>
      </c>
      <c r="U163" s="34">
        <v>1541.6</v>
      </c>
      <c r="V163" s="34">
        <v>1817.5</v>
      </c>
      <c r="W163" s="34">
        <v>1686.2</v>
      </c>
      <c r="X163" s="34">
        <v>1825.9</v>
      </c>
      <c r="Y163" s="34">
        <v>1965</v>
      </c>
      <c r="Z163" s="34">
        <v>1983</v>
      </c>
      <c r="AA163" s="34">
        <v>2078.6</v>
      </c>
      <c r="AB163" s="34">
        <v>2176.1</v>
      </c>
      <c r="AC163" s="34">
        <v>1823.7</v>
      </c>
      <c r="AD163" s="34">
        <v>1690.9</v>
      </c>
      <c r="AE163" s="34">
        <v>1645.3</v>
      </c>
      <c r="AF163" s="34">
        <v>2205.3000000000002</v>
      </c>
      <c r="AG163" s="34">
        <v>1091.4000000000001</v>
      </c>
      <c r="AH163" s="34">
        <v>1163.4000000000001</v>
      </c>
      <c r="AI163" s="34">
        <v>1178.3</v>
      </c>
      <c r="AJ163" s="34">
        <v>1222.0999999999999</v>
      </c>
      <c r="AK163" s="34">
        <v>1324.2</v>
      </c>
      <c r="AL163" s="34">
        <v>1452.3</v>
      </c>
      <c r="AM163" s="34">
        <v>1496.8</v>
      </c>
      <c r="AN163" s="34">
        <v>1504.8</v>
      </c>
      <c r="AO163" s="34">
        <v>1613.5</v>
      </c>
      <c r="AP163" s="34">
        <v>1671.5</v>
      </c>
      <c r="AQ163" s="34">
        <v>1659.3</v>
      </c>
      <c r="AR163" s="34">
        <v>1571</v>
      </c>
      <c r="AS163" s="34">
        <v>1697.6</v>
      </c>
      <c r="AT163" s="34">
        <v>1976.1</v>
      </c>
      <c r="AU163" s="34">
        <v>2266.8000000000002</v>
      </c>
      <c r="AV163" s="34">
        <v>2604.9</v>
      </c>
      <c r="AW163" s="34">
        <v>3135.8</v>
      </c>
      <c r="AX163" s="34">
        <v>3815.1</v>
      </c>
      <c r="AY163" s="34">
        <v>3627.4</v>
      </c>
      <c r="AZ163" s="34">
        <v>4116.3999999999996</v>
      </c>
      <c r="BA163" s="34">
        <v>4730.8999999999996</v>
      </c>
      <c r="BB163" s="34">
        <v>5004.8</v>
      </c>
      <c r="BC163" s="34">
        <v>4525</v>
      </c>
      <c r="BD163" s="34">
        <v>4385.6000000000004</v>
      </c>
      <c r="BE163" s="34">
        <v>3862.6</v>
      </c>
      <c r="BF163" s="34">
        <v>3887</v>
      </c>
      <c r="BG163" s="34">
        <v>3821.9</v>
      </c>
      <c r="BH163" s="34">
        <v>3568.2</v>
      </c>
      <c r="BI163" s="34">
        <v>3536.3</v>
      </c>
      <c r="BJ163" s="34">
        <v>3216</v>
      </c>
      <c r="BK163" s="1">
        <v>3672.6</v>
      </c>
      <c r="BL163" s="1">
        <v>4148</v>
      </c>
      <c r="BM163" s="1">
        <v>3821.6</v>
      </c>
    </row>
    <row r="164" spans="1:65">
      <c r="A164" s="1" t="s">
        <v>1274</v>
      </c>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v>1405.8</v>
      </c>
      <c r="AO164" s="34">
        <v>1367.9</v>
      </c>
      <c r="AP164" s="34">
        <v>1627.1</v>
      </c>
      <c r="AQ164" s="34">
        <v>1909.6</v>
      </c>
      <c r="AR164" s="34">
        <v>2106.6</v>
      </c>
      <c r="AS164" s="34">
        <v>2789.2</v>
      </c>
      <c r="AT164" s="34">
        <v>3380.2</v>
      </c>
      <c r="AU164" s="34">
        <v>3674.6</v>
      </c>
      <c r="AV164" s="34">
        <v>4425.7</v>
      </c>
      <c r="AW164" s="34">
        <v>5976.4</v>
      </c>
      <c r="AX164" s="34">
        <v>7367.8</v>
      </c>
      <c r="AY164" s="34">
        <v>6727.1</v>
      </c>
      <c r="AZ164" s="34">
        <v>6688.4</v>
      </c>
      <c r="BA164" s="34">
        <v>7328.8</v>
      </c>
      <c r="BB164" s="34">
        <v>6586.4</v>
      </c>
      <c r="BC164" s="34">
        <v>7188.9</v>
      </c>
      <c r="BD164" s="34">
        <v>7387.9</v>
      </c>
      <c r="BE164" s="34">
        <v>6517.2</v>
      </c>
      <c r="BF164" s="34">
        <v>7033.4</v>
      </c>
      <c r="BG164" s="34">
        <v>7803.4</v>
      </c>
      <c r="BH164" s="34">
        <v>8850.4</v>
      </c>
      <c r="BI164" s="34">
        <v>8909.7000000000007</v>
      </c>
      <c r="BJ164" s="34">
        <v>7677.4</v>
      </c>
      <c r="BK164" s="1">
        <v>9466</v>
      </c>
      <c r="BL164" s="1">
        <v>10093.4</v>
      </c>
      <c r="BM164" s="1">
        <v>12016.9</v>
      </c>
    </row>
    <row r="165" spans="1:65">
      <c r="A165" s="1" t="s">
        <v>206</v>
      </c>
      <c r="B165" s="34"/>
      <c r="C165" s="34"/>
      <c r="D165" s="34"/>
      <c r="E165" s="34"/>
      <c r="F165" s="34"/>
      <c r="G165" s="34"/>
      <c r="H165" s="34"/>
      <c r="I165" s="34"/>
      <c r="J165" s="34"/>
      <c r="K165" s="34"/>
      <c r="L165" s="34"/>
      <c r="M165" s="34"/>
      <c r="N165" s="34"/>
      <c r="O165" s="34"/>
      <c r="P165" s="34"/>
      <c r="Q165" s="34"/>
      <c r="R165" s="34"/>
      <c r="S165" s="34"/>
      <c r="T165" s="34"/>
      <c r="U165" s="34"/>
      <c r="V165" s="34"/>
      <c r="W165" s="34">
        <v>1328.2</v>
      </c>
      <c r="X165" s="34">
        <v>1432.5</v>
      </c>
      <c r="Y165" s="34">
        <v>1492.9</v>
      </c>
      <c r="Z165" s="34">
        <v>1121.3</v>
      </c>
      <c r="AA165" s="34">
        <v>1139</v>
      </c>
      <c r="AB165" s="34">
        <v>1470.2</v>
      </c>
      <c r="AC165" s="34">
        <v>1494.2</v>
      </c>
      <c r="AD165" s="34">
        <v>1545.2</v>
      </c>
      <c r="AE165" s="34">
        <v>1686.6</v>
      </c>
      <c r="AF165" s="34">
        <v>1184.8</v>
      </c>
      <c r="AG165" s="34">
        <v>1081.3</v>
      </c>
      <c r="AH165" s="34">
        <v>589.1</v>
      </c>
      <c r="AI165" s="34">
        <v>338.5</v>
      </c>
      <c r="AJ165" s="34">
        <v>402.3</v>
      </c>
      <c r="AK165" s="34">
        <v>623.20000000000005</v>
      </c>
      <c r="AL165" s="34">
        <v>570.9</v>
      </c>
      <c r="AM165" s="34">
        <v>495.8</v>
      </c>
      <c r="AN165" s="34">
        <v>467.5</v>
      </c>
      <c r="AO165" s="34">
        <v>435.4</v>
      </c>
      <c r="AP165" s="34">
        <v>463.9</v>
      </c>
      <c r="AQ165" s="34">
        <v>512.79999999999995</v>
      </c>
      <c r="AR165" s="34">
        <v>559.79999999999995</v>
      </c>
      <c r="AS165" s="34">
        <v>633.9</v>
      </c>
      <c r="AT165" s="34">
        <v>784.9</v>
      </c>
      <c r="AU165" s="34">
        <v>986</v>
      </c>
      <c r="AV165" s="34">
        <v>1322.6</v>
      </c>
      <c r="AW165" s="34">
        <v>1625.3</v>
      </c>
      <c r="AX165" s="34">
        <v>2134.9</v>
      </c>
      <c r="AY165" s="34">
        <v>1718.9</v>
      </c>
      <c r="AZ165" s="34">
        <v>2660.3</v>
      </c>
      <c r="BA165" s="34">
        <v>3793.7</v>
      </c>
      <c r="BB165" s="34">
        <v>4402.3</v>
      </c>
      <c r="BC165" s="34">
        <v>4422.3</v>
      </c>
      <c r="BD165" s="34">
        <v>4211.8999999999996</v>
      </c>
      <c r="BE165" s="34">
        <v>3919.4</v>
      </c>
      <c r="BF165" s="34">
        <v>3690.8</v>
      </c>
      <c r="BG165" s="34">
        <v>3708.2</v>
      </c>
      <c r="BH165" s="34">
        <v>4165</v>
      </c>
      <c r="BI165" s="34">
        <v>4394.8999999999996</v>
      </c>
      <c r="BJ165" s="34">
        <v>4041.2</v>
      </c>
      <c r="BK165" s="1">
        <v>4566.1000000000004</v>
      </c>
      <c r="BL165" s="1">
        <v>5045.5</v>
      </c>
      <c r="BM165" s="1">
        <v>5764.8</v>
      </c>
    </row>
    <row r="166" spans="1:65">
      <c r="A166" s="1" t="s">
        <v>1275</v>
      </c>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v>16640.3</v>
      </c>
      <c r="AS166" s="34">
        <v>16603.5</v>
      </c>
      <c r="AT166" s="34">
        <v>16829.400000000001</v>
      </c>
      <c r="AU166" s="34">
        <v>15371.2</v>
      </c>
      <c r="AV166" s="34">
        <v>14986.4</v>
      </c>
      <c r="AW166" s="34">
        <v>14877.1</v>
      </c>
      <c r="AX166" s="34">
        <v>15641.7</v>
      </c>
      <c r="AY166" s="34">
        <v>13933.7</v>
      </c>
      <c r="AZ166" s="34">
        <v>14772.5</v>
      </c>
      <c r="BA166" s="34">
        <v>13880.4</v>
      </c>
      <c r="BB166" s="34">
        <v>14247.8</v>
      </c>
      <c r="BC166" s="34">
        <v>14806</v>
      </c>
      <c r="BD166" s="34">
        <v>16044.4</v>
      </c>
      <c r="BE166" s="34">
        <v>17665.099999999999</v>
      </c>
      <c r="BF166" s="34">
        <v>24054.9</v>
      </c>
      <c r="BG166" s="34">
        <v>30751.599999999999</v>
      </c>
      <c r="BH166" s="34">
        <v>25862.799999999999</v>
      </c>
      <c r="BI166" s="34">
        <v>23687.3</v>
      </c>
      <c r="BJ166" s="34">
        <v>17302.900000000001</v>
      </c>
    </row>
    <row r="167" spans="1:65">
      <c r="A167" s="1" t="s">
        <v>1276</v>
      </c>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v>284.3</v>
      </c>
      <c r="AH167" s="34">
        <v>202.6</v>
      </c>
      <c r="AI167" s="34">
        <v>203</v>
      </c>
      <c r="AJ167" s="34">
        <v>198.4</v>
      </c>
      <c r="AK167" s="34">
        <v>196.3</v>
      </c>
      <c r="AL167" s="34">
        <v>250.6</v>
      </c>
      <c r="AM167" s="34">
        <v>295</v>
      </c>
      <c r="AN167" s="34">
        <v>328</v>
      </c>
      <c r="AO167" s="34">
        <v>362.5</v>
      </c>
      <c r="AP167" s="34">
        <v>333.8</v>
      </c>
      <c r="AQ167" s="34">
        <v>310.10000000000002</v>
      </c>
      <c r="AR167" s="34">
        <v>318.3</v>
      </c>
      <c r="AS167" s="34">
        <v>343.1</v>
      </c>
      <c r="AT167" s="34">
        <v>403</v>
      </c>
      <c r="AU167" s="34">
        <v>438.8</v>
      </c>
      <c r="AV167" s="34">
        <v>458.6</v>
      </c>
      <c r="AW167" s="34">
        <v>508</v>
      </c>
      <c r="AX167" s="34">
        <v>591.4</v>
      </c>
      <c r="AY167" s="34">
        <v>546.6</v>
      </c>
      <c r="AZ167" s="34">
        <v>494.6</v>
      </c>
      <c r="BA167" s="34">
        <v>615.29999999999995</v>
      </c>
      <c r="BB167" s="34">
        <v>681.5</v>
      </c>
      <c r="BC167" s="34">
        <v>681.1</v>
      </c>
      <c r="BD167" s="34">
        <v>690.4</v>
      </c>
      <c r="BE167" s="34">
        <v>603.79999999999995</v>
      </c>
      <c r="BF167" s="34">
        <v>435.8</v>
      </c>
      <c r="BG167" s="34">
        <v>464.3</v>
      </c>
      <c r="BH167" s="34">
        <v>510.4</v>
      </c>
      <c r="BI167" s="34">
        <v>512.20000000000005</v>
      </c>
      <c r="BJ167" s="34">
        <v>456.6</v>
      </c>
      <c r="BK167" s="1">
        <v>504</v>
      </c>
      <c r="BL167" s="1">
        <v>558.29999999999995</v>
      </c>
      <c r="BM167" s="1">
        <v>608.4</v>
      </c>
    </row>
    <row r="168" spans="1:65">
      <c r="A168" s="1" t="s">
        <v>1277</v>
      </c>
      <c r="B168" s="34"/>
      <c r="C168" s="34">
        <v>184.8</v>
      </c>
      <c r="D168" s="34">
        <v>185.4</v>
      </c>
      <c r="E168" s="34">
        <v>184.6</v>
      </c>
      <c r="F168" s="34">
        <v>239.4</v>
      </c>
      <c r="G168" s="34">
        <v>264.39999999999998</v>
      </c>
      <c r="H168" s="34">
        <v>268</v>
      </c>
      <c r="I168" s="34">
        <v>275.7</v>
      </c>
      <c r="J168" s="34">
        <v>294.8</v>
      </c>
      <c r="K168" s="34">
        <v>271</v>
      </c>
      <c r="L168" s="34">
        <v>275.7</v>
      </c>
      <c r="M168" s="34">
        <v>290.2</v>
      </c>
      <c r="N168" s="34">
        <v>328.8</v>
      </c>
      <c r="O168" s="34">
        <v>401.9</v>
      </c>
      <c r="P168" s="34">
        <v>484.8</v>
      </c>
      <c r="Q168" s="34">
        <v>540</v>
      </c>
      <c r="R168" s="34">
        <v>577.70000000000005</v>
      </c>
      <c r="S168" s="34">
        <v>578.5</v>
      </c>
      <c r="T168" s="34">
        <v>565.9</v>
      </c>
      <c r="U168" s="34">
        <v>650.4</v>
      </c>
      <c r="V168" s="34">
        <v>695.5</v>
      </c>
      <c r="W168" s="34">
        <v>712.4</v>
      </c>
      <c r="X168" s="34">
        <v>693.7</v>
      </c>
      <c r="Y168" s="34">
        <v>707.7</v>
      </c>
      <c r="Z168" s="34">
        <v>633.6</v>
      </c>
      <c r="AA168" s="34">
        <v>578.20000000000005</v>
      </c>
      <c r="AB168" s="34">
        <v>660</v>
      </c>
      <c r="AC168" s="34">
        <v>726.4</v>
      </c>
      <c r="AD168" s="34">
        <v>742.4</v>
      </c>
      <c r="AE168" s="34">
        <v>742</v>
      </c>
      <c r="AF168" s="34">
        <v>751.2</v>
      </c>
      <c r="AG168" s="34">
        <v>1032.5999999999999</v>
      </c>
      <c r="AH168" s="34">
        <v>1007.8</v>
      </c>
      <c r="AI168" s="34">
        <v>825.8</v>
      </c>
      <c r="AJ168" s="34">
        <v>840.1</v>
      </c>
      <c r="AK168" s="34">
        <v>878.8</v>
      </c>
      <c r="AL168" s="34">
        <v>877.8</v>
      </c>
      <c r="AM168" s="34">
        <v>834</v>
      </c>
      <c r="AN168" s="34">
        <v>796.8</v>
      </c>
      <c r="AO168" s="34">
        <v>757.8</v>
      </c>
      <c r="AP168" s="34">
        <v>660.3</v>
      </c>
      <c r="AQ168" s="34">
        <v>632.20000000000005</v>
      </c>
      <c r="AR168" s="34">
        <v>629.79999999999995</v>
      </c>
      <c r="AS168" s="34">
        <v>711.4</v>
      </c>
      <c r="AT168" s="34">
        <v>801.8</v>
      </c>
      <c r="AU168" s="34">
        <v>974.7</v>
      </c>
      <c r="AV168" s="34">
        <v>1272.0999999999999</v>
      </c>
      <c r="AW168" s="34">
        <v>1378.2</v>
      </c>
      <c r="AX168" s="34">
        <v>1610.2</v>
      </c>
      <c r="AY168" s="34">
        <v>1418.9</v>
      </c>
      <c r="AZ168" s="34">
        <v>1646.1</v>
      </c>
      <c r="BA168" s="34">
        <v>1919.5</v>
      </c>
      <c r="BB168" s="34">
        <v>1850.4</v>
      </c>
      <c r="BC168" s="34">
        <v>1929.8</v>
      </c>
      <c r="BD168" s="34">
        <v>1715.4</v>
      </c>
      <c r="BE168" s="34">
        <v>1562.7</v>
      </c>
      <c r="BF168" s="34">
        <v>1579.2</v>
      </c>
      <c r="BG168" s="34">
        <v>1634.6</v>
      </c>
      <c r="BH168" s="34">
        <v>1750</v>
      </c>
      <c r="BI168" s="34">
        <v>1800.9</v>
      </c>
      <c r="BJ168" s="34">
        <v>1836.3</v>
      </c>
      <c r="BK168" s="1">
        <v>1998.4</v>
      </c>
      <c r="BL168" s="1">
        <v>2057.4</v>
      </c>
      <c r="BM168" s="1">
        <v>2149.4</v>
      </c>
    </row>
    <row r="169" spans="1:65">
      <c r="A169" s="1" t="s">
        <v>1278</v>
      </c>
      <c r="B169" s="34">
        <v>239.5</v>
      </c>
      <c r="C169" s="34">
        <v>281.7</v>
      </c>
      <c r="D169" s="34">
        <v>282.3</v>
      </c>
      <c r="E169" s="34">
        <v>353.1</v>
      </c>
      <c r="F169" s="34">
        <v>297.3</v>
      </c>
      <c r="G169" s="34">
        <v>305.5</v>
      </c>
      <c r="H169" s="34">
        <v>296</v>
      </c>
      <c r="I169" s="34">
        <v>304.2</v>
      </c>
      <c r="J169" s="34">
        <v>258.7</v>
      </c>
      <c r="K169" s="34">
        <v>272.7</v>
      </c>
      <c r="L169" s="34">
        <v>271.3</v>
      </c>
      <c r="M169" s="34">
        <v>299.60000000000002</v>
      </c>
      <c r="N169" s="34">
        <v>374</v>
      </c>
      <c r="O169" s="34">
        <v>467.5</v>
      </c>
      <c r="P169" s="34">
        <v>762.9</v>
      </c>
      <c r="Q169" s="34">
        <v>754.8</v>
      </c>
      <c r="R169" s="34">
        <v>787.1</v>
      </c>
      <c r="S169" s="34">
        <v>905.9</v>
      </c>
      <c r="T169" s="34">
        <v>1102.3</v>
      </c>
      <c r="U169" s="34">
        <v>1292.2</v>
      </c>
      <c r="V169" s="34">
        <v>1187.4000000000001</v>
      </c>
      <c r="W169" s="34">
        <v>1180.8</v>
      </c>
      <c r="X169" s="34">
        <v>1101.2</v>
      </c>
      <c r="Y169" s="34">
        <v>1103.0999999999999</v>
      </c>
      <c r="Z169" s="34">
        <v>1041.8</v>
      </c>
      <c r="AA169" s="34">
        <v>1068.7</v>
      </c>
      <c r="AB169" s="34">
        <v>1441.7</v>
      </c>
      <c r="AC169" s="34">
        <v>1839.8</v>
      </c>
      <c r="AD169" s="34">
        <v>2073.6</v>
      </c>
      <c r="AE169" s="34">
        <v>2103.5</v>
      </c>
      <c r="AF169" s="34">
        <v>2539.9</v>
      </c>
      <c r="AG169" s="34">
        <v>2705.3</v>
      </c>
      <c r="AH169" s="34">
        <v>3013.2</v>
      </c>
      <c r="AI169" s="34">
        <v>3013.8</v>
      </c>
      <c r="AJ169" s="34">
        <v>3240.4</v>
      </c>
      <c r="AK169" s="34">
        <v>3648</v>
      </c>
      <c r="AL169" s="34">
        <v>3951.9</v>
      </c>
      <c r="AM169" s="34">
        <v>3695.7</v>
      </c>
      <c r="AN169" s="34">
        <v>3641.6</v>
      </c>
      <c r="AO169" s="34">
        <v>3745.7</v>
      </c>
      <c r="AP169" s="34">
        <v>3982</v>
      </c>
      <c r="AQ169" s="34">
        <v>3908.6</v>
      </c>
      <c r="AR169" s="34">
        <v>4073.1</v>
      </c>
      <c r="AS169" s="34">
        <v>4858.3</v>
      </c>
      <c r="AT169" s="34">
        <v>5460.6</v>
      </c>
      <c r="AU169" s="34">
        <v>5354</v>
      </c>
      <c r="AV169" s="34">
        <v>5696</v>
      </c>
      <c r="AW169" s="34">
        <v>6574.7</v>
      </c>
      <c r="AX169" s="34">
        <v>8030.1</v>
      </c>
      <c r="AY169" s="34">
        <v>7318.1</v>
      </c>
      <c r="AZ169" s="34">
        <v>8000.4</v>
      </c>
      <c r="BA169" s="34">
        <v>9197</v>
      </c>
      <c r="BB169" s="34">
        <v>9291.2000000000007</v>
      </c>
      <c r="BC169" s="34">
        <v>9764.6</v>
      </c>
      <c r="BD169" s="34">
        <v>10366.4</v>
      </c>
      <c r="BE169" s="34">
        <v>9507.9</v>
      </c>
      <c r="BF169" s="34">
        <v>9965.7000000000007</v>
      </c>
      <c r="BG169" s="34">
        <v>10841.7</v>
      </c>
      <c r="BH169" s="34">
        <v>11643.5</v>
      </c>
      <c r="BI169" s="34">
        <v>11403.3</v>
      </c>
      <c r="BJ169" s="34">
        <v>9011</v>
      </c>
      <c r="BK169" s="1">
        <v>9069</v>
      </c>
      <c r="BL169" s="1">
        <v>10239.799999999999</v>
      </c>
      <c r="BM169" s="1">
        <v>11416.9</v>
      </c>
    </row>
    <row r="170" spans="1:65">
      <c r="A170" s="1" t="s">
        <v>1279</v>
      </c>
      <c r="B170" s="34"/>
      <c r="C170" s="34"/>
      <c r="D170" s="34"/>
      <c r="E170" s="34"/>
      <c r="F170" s="34"/>
      <c r="G170" s="34"/>
      <c r="H170" s="34"/>
      <c r="I170" s="34"/>
      <c r="J170" s="34"/>
      <c r="K170" s="34"/>
      <c r="L170" s="34"/>
      <c r="M170" s="34"/>
      <c r="N170" s="34"/>
      <c r="O170" s="34"/>
      <c r="P170" s="34"/>
      <c r="Q170" s="34"/>
      <c r="R170" s="34"/>
      <c r="S170" s="34"/>
      <c r="T170" s="34"/>
      <c r="U170" s="34"/>
      <c r="V170" s="34">
        <v>287.39999999999998</v>
      </c>
      <c r="W170" s="34">
        <v>276.3</v>
      </c>
      <c r="X170" s="34">
        <v>253.1</v>
      </c>
      <c r="Y170" s="34">
        <v>252.2</v>
      </c>
      <c r="Z170" s="34">
        <v>239.5</v>
      </c>
      <c r="AA170" s="34">
        <v>215.9</v>
      </c>
      <c r="AB170" s="34">
        <v>217.8</v>
      </c>
      <c r="AC170" s="34">
        <v>207.5</v>
      </c>
      <c r="AD170" s="34">
        <v>229.4</v>
      </c>
      <c r="AE170" s="34">
        <v>252.2</v>
      </c>
      <c r="AF170" s="34">
        <v>286.89999999999998</v>
      </c>
      <c r="AG170" s="34">
        <v>326.2</v>
      </c>
      <c r="AH170" s="34">
        <v>258.89999999999998</v>
      </c>
      <c r="AI170" s="34">
        <v>293.8</v>
      </c>
      <c r="AJ170" s="34">
        <v>169.7</v>
      </c>
      <c r="AK170" s="34">
        <v>201.1</v>
      </c>
      <c r="AL170" s="34">
        <v>322</v>
      </c>
      <c r="AM170" s="34">
        <v>368.7</v>
      </c>
      <c r="AN170" s="34">
        <v>237.4</v>
      </c>
      <c r="AO170" s="34">
        <v>235.5</v>
      </c>
      <c r="AP170" s="34">
        <v>226</v>
      </c>
      <c r="AQ170" s="34">
        <v>217.2</v>
      </c>
      <c r="AR170" s="34">
        <v>431.7</v>
      </c>
      <c r="AS170" s="34">
        <v>386.3</v>
      </c>
      <c r="AT170" s="34">
        <v>407.6</v>
      </c>
      <c r="AU170" s="34">
        <v>417.1</v>
      </c>
      <c r="AV170" s="34">
        <v>443.5</v>
      </c>
      <c r="AW170" s="34">
        <v>478</v>
      </c>
      <c r="AX170" s="34">
        <v>557.5</v>
      </c>
      <c r="AY170" s="34">
        <v>630.1</v>
      </c>
      <c r="AZ170" s="34">
        <v>688.1</v>
      </c>
      <c r="BA170" s="34">
        <v>769.1</v>
      </c>
      <c r="BB170" s="34">
        <v>563.1</v>
      </c>
      <c r="BC170" s="34">
        <v>501.2</v>
      </c>
      <c r="BD170" s="34">
        <v>534.1</v>
      </c>
      <c r="BE170" s="34">
        <v>544.29999999999995</v>
      </c>
      <c r="BF170" s="34">
        <v>454.4</v>
      </c>
      <c r="BG170" s="34">
        <v>500.2</v>
      </c>
      <c r="BH170" s="34">
        <v>537.9</v>
      </c>
      <c r="BI170" s="34">
        <v>587.1</v>
      </c>
      <c r="BJ170" s="34">
        <v>621.4</v>
      </c>
      <c r="BK170" s="1">
        <v>632.5</v>
      </c>
      <c r="BL170" s="1">
        <v>643.4</v>
      </c>
      <c r="BM170" s="1">
        <v>672.9</v>
      </c>
    </row>
    <row r="171" spans="1:65">
      <c r="A171" s="1" t="s">
        <v>180</v>
      </c>
      <c r="B171" s="34">
        <v>244.6</v>
      </c>
      <c r="C171" s="34">
        <v>235.5</v>
      </c>
      <c r="D171" s="34">
        <v>240.4</v>
      </c>
      <c r="E171" s="34">
        <v>292.60000000000002</v>
      </c>
      <c r="F171" s="34">
        <v>302.7</v>
      </c>
      <c r="G171" s="34">
        <v>325.2</v>
      </c>
      <c r="H171" s="34">
        <v>336.6</v>
      </c>
      <c r="I171" s="34">
        <v>332.8</v>
      </c>
      <c r="J171" s="34">
        <v>339.1</v>
      </c>
      <c r="K171" s="34">
        <v>364.2</v>
      </c>
      <c r="L171" s="34">
        <v>374.9</v>
      </c>
      <c r="M171" s="34">
        <v>402.2</v>
      </c>
      <c r="N171" s="34">
        <v>466.9</v>
      </c>
      <c r="O171" s="34">
        <v>692.7</v>
      </c>
      <c r="P171" s="34">
        <v>837.8</v>
      </c>
      <c r="Q171" s="34">
        <v>800.4</v>
      </c>
      <c r="R171" s="34">
        <v>927.8</v>
      </c>
      <c r="S171" s="34">
        <v>1075.3</v>
      </c>
      <c r="T171" s="34">
        <v>1304.0999999999999</v>
      </c>
      <c r="U171" s="34">
        <v>1647.6</v>
      </c>
      <c r="V171" s="34">
        <v>1853</v>
      </c>
      <c r="W171" s="34">
        <v>1843.3</v>
      </c>
      <c r="X171" s="34">
        <v>1925.5</v>
      </c>
      <c r="Y171" s="34">
        <v>2123.3000000000002</v>
      </c>
      <c r="Z171" s="34">
        <v>2311.1999999999998</v>
      </c>
      <c r="AA171" s="34">
        <v>2065.1</v>
      </c>
      <c r="AB171" s="34">
        <v>1782.5</v>
      </c>
      <c r="AC171" s="34">
        <v>2007.2</v>
      </c>
      <c r="AD171" s="34">
        <v>2134.5</v>
      </c>
      <c r="AE171" s="34">
        <v>2282.5</v>
      </c>
      <c r="AF171" s="34">
        <v>2513.1999999999998</v>
      </c>
      <c r="AG171" s="34">
        <v>2727.5</v>
      </c>
      <c r="AH171" s="34">
        <v>3193.6</v>
      </c>
      <c r="AI171" s="34">
        <v>3511.5</v>
      </c>
      <c r="AJ171" s="34">
        <v>3802.1</v>
      </c>
      <c r="AK171" s="34">
        <v>4405.1000000000004</v>
      </c>
      <c r="AL171" s="34">
        <v>4874.8</v>
      </c>
      <c r="AM171" s="34">
        <v>4706.3</v>
      </c>
      <c r="AN171" s="34">
        <v>3308.8</v>
      </c>
      <c r="AO171" s="34">
        <v>3538.4</v>
      </c>
      <c r="AP171" s="34">
        <v>4087.6</v>
      </c>
      <c r="AQ171" s="34">
        <v>3941.1</v>
      </c>
      <c r="AR171" s="34">
        <v>4177.1000000000004</v>
      </c>
      <c r="AS171" s="34">
        <v>4454.5</v>
      </c>
      <c r="AT171" s="34">
        <v>4924.3</v>
      </c>
      <c r="AU171" s="34">
        <v>5536.8</v>
      </c>
      <c r="AV171" s="34">
        <v>6137.2</v>
      </c>
      <c r="AW171" s="34">
        <v>7144</v>
      </c>
      <c r="AX171" s="34">
        <v>8343.2999999999993</v>
      </c>
      <c r="AY171" s="34">
        <v>7167.9</v>
      </c>
      <c r="AZ171" s="34">
        <v>8880.1</v>
      </c>
      <c r="BA171" s="34">
        <v>10209.4</v>
      </c>
      <c r="BB171" s="34">
        <v>10601.5</v>
      </c>
      <c r="BC171" s="34">
        <v>10727.7</v>
      </c>
      <c r="BD171" s="34">
        <v>11045.6</v>
      </c>
      <c r="BE171" s="34">
        <v>9699.6</v>
      </c>
      <c r="BF171" s="34">
        <v>9555.7000000000007</v>
      </c>
      <c r="BG171" s="34">
        <v>9979.7000000000007</v>
      </c>
      <c r="BH171" s="34">
        <v>11074</v>
      </c>
      <c r="BI171" s="34">
        <v>11132.1</v>
      </c>
      <c r="BJ171" s="34">
        <v>10164.299999999999</v>
      </c>
      <c r="BK171" s="1">
        <v>11134.6</v>
      </c>
      <c r="BL171" s="1">
        <v>11993.2</v>
      </c>
      <c r="BM171" s="1">
        <v>11648.7</v>
      </c>
    </row>
    <row r="172" spans="1:65">
      <c r="A172" s="1" t="s">
        <v>1280</v>
      </c>
      <c r="B172" s="34">
        <v>2933.4</v>
      </c>
      <c r="C172" s="34">
        <v>2985.4</v>
      </c>
      <c r="D172" s="34">
        <v>3148.5</v>
      </c>
      <c r="E172" s="34">
        <v>3276.3</v>
      </c>
      <c r="F172" s="34">
        <v>3473.2</v>
      </c>
      <c r="G172" s="34">
        <v>3722.2</v>
      </c>
      <c r="H172" s="34">
        <v>4035.9</v>
      </c>
      <c r="I172" s="34">
        <v>4223.2</v>
      </c>
      <c r="J172" s="34">
        <v>4570.7</v>
      </c>
      <c r="K172" s="34">
        <v>4902.6000000000004</v>
      </c>
      <c r="L172" s="34">
        <v>5130.3999999999996</v>
      </c>
      <c r="M172" s="34">
        <v>5506.3</v>
      </c>
      <c r="N172" s="34">
        <v>5999.1</v>
      </c>
      <c r="O172" s="34">
        <v>6642.7</v>
      </c>
      <c r="P172" s="34">
        <v>7209.1</v>
      </c>
      <c r="Q172" s="34">
        <v>7775.5</v>
      </c>
      <c r="R172" s="34">
        <v>8615.9</v>
      </c>
      <c r="S172" s="34">
        <v>9403.4</v>
      </c>
      <c r="T172" s="34">
        <v>10427.5</v>
      </c>
      <c r="U172" s="34">
        <v>11518.7</v>
      </c>
      <c r="V172" s="34">
        <v>12441.4</v>
      </c>
      <c r="W172" s="34">
        <v>13820.1</v>
      </c>
      <c r="X172" s="34">
        <v>14247.3</v>
      </c>
      <c r="Y172" s="34">
        <v>15341.7</v>
      </c>
      <c r="Z172" s="34">
        <v>16808.8</v>
      </c>
      <c r="AA172" s="34">
        <v>17838.5</v>
      </c>
      <c r="AB172" s="34">
        <v>18625.599999999999</v>
      </c>
      <c r="AC172" s="34">
        <v>19679.2</v>
      </c>
      <c r="AD172" s="34">
        <v>21180.2</v>
      </c>
      <c r="AE172" s="34">
        <v>22652.5</v>
      </c>
      <c r="AF172" s="34">
        <v>23653.4</v>
      </c>
      <c r="AG172" s="34">
        <v>24094</v>
      </c>
      <c r="AH172" s="34">
        <v>24974.7</v>
      </c>
      <c r="AI172" s="34">
        <v>25772.1</v>
      </c>
      <c r="AJ172" s="34">
        <v>26931.599999999999</v>
      </c>
      <c r="AK172" s="34">
        <v>27897.9</v>
      </c>
      <c r="AL172" s="34">
        <v>29112.2</v>
      </c>
      <c r="AM172" s="34">
        <v>30518</v>
      </c>
      <c r="AN172" s="34">
        <v>31691.9</v>
      </c>
      <c r="AO172" s="34">
        <v>33320.9</v>
      </c>
      <c r="AP172" s="34">
        <v>35151.300000000003</v>
      </c>
      <c r="AQ172" s="34">
        <v>35831.4</v>
      </c>
      <c r="AR172" s="34">
        <v>36651.9</v>
      </c>
      <c r="AS172" s="34">
        <v>38395.4</v>
      </c>
      <c r="AT172" s="34">
        <v>40788.300000000003</v>
      </c>
      <c r="AU172" s="34">
        <v>43368.4</v>
      </c>
      <c r="AV172" s="34">
        <v>45741</v>
      </c>
      <c r="AW172" s="34">
        <v>47727.5</v>
      </c>
      <c r="AX172" s="34">
        <v>48398.1</v>
      </c>
      <c r="AY172" s="34">
        <v>46581.1</v>
      </c>
      <c r="AZ172" s="34">
        <v>48552.800000000003</v>
      </c>
      <c r="BA172" s="34">
        <v>50289.1</v>
      </c>
      <c r="BB172" s="34">
        <v>51881.3</v>
      </c>
      <c r="BC172" s="34">
        <v>53341.2</v>
      </c>
      <c r="BD172" s="34">
        <v>54877.4</v>
      </c>
      <c r="BE172" s="34">
        <v>55701.8</v>
      </c>
      <c r="BF172" s="34">
        <v>56617.9</v>
      </c>
      <c r="BG172" s="34">
        <v>58796.5</v>
      </c>
      <c r="BH172" s="34">
        <v>61512.7</v>
      </c>
      <c r="BI172" s="34">
        <v>63584</v>
      </c>
      <c r="BJ172" s="34">
        <v>62187</v>
      </c>
      <c r="BK172" s="1">
        <v>69147</v>
      </c>
      <c r="BL172" s="1">
        <v>74980.800000000003</v>
      </c>
      <c r="BM172" s="1">
        <v>78675.5</v>
      </c>
    </row>
    <row r="173" spans="1:65">
      <c r="A173" s="1" t="s">
        <v>1281</v>
      </c>
      <c r="B173" s="34"/>
      <c r="C173" s="34"/>
      <c r="D173" s="34"/>
      <c r="E173" s="34"/>
      <c r="F173" s="34"/>
      <c r="G173" s="34"/>
      <c r="H173" s="34"/>
      <c r="I173" s="34"/>
      <c r="J173" s="34"/>
      <c r="K173" s="34"/>
      <c r="L173" s="34"/>
      <c r="M173" s="34"/>
      <c r="N173" s="34"/>
      <c r="O173" s="34"/>
      <c r="P173" s="34"/>
      <c r="Q173" s="34"/>
      <c r="R173" s="34"/>
      <c r="S173" s="34"/>
      <c r="T173" s="34"/>
      <c r="U173" s="34"/>
      <c r="V173" s="34">
        <v>2481.6</v>
      </c>
      <c r="W173" s="34">
        <v>2278.6</v>
      </c>
      <c r="X173" s="34">
        <v>2107.1</v>
      </c>
      <c r="Y173" s="34">
        <v>2223.8000000000002</v>
      </c>
      <c r="Z173" s="34">
        <v>1837.4</v>
      </c>
      <c r="AA173" s="34">
        <v>1471</v>
      </c>
      <c r="AB173" s="34">
        <v>1603.8</v>
      </c>
      <c r="AC173" s="34">
        <v>1973.6</v>
      </c>
      <c r="AD173" s="34">
        <v>2065.6</v>
      </c>
      <c r="AE173" s="34">
        <v>1968.2</v>
      </c>
      <c r="AF173" s="34">
        <v>2037.9</v>
      </c>
      <c r="AG173" s="34">
        <v>2117</v>
      </c>
      <c r="AH173" s="34">
        <v>2346.3000000000002</v>
      </c>
      <c r="AI173" s="34">
        <v>2153.3000000000002</v>
      </c>
      <c r="AJ173" s="34">
        <v>2352.6999999999998</v>
      </c>
      <c r="AK173" s="34">
        <v>2478.3000000000002</v>
      </c>
      <c r="AL173" s="34">
        <v>2417.6</v>
      </c>
      <c r="AM173" s="34">
        <v>2453.9</v>
      </c>
      <c r="AN173" s="34">
        <v>2231.1</v>
      </c>
      <c r="AO173" s="34">
        <v>2175.4</v>
      </c>
      <c r="AP173" s="34">
        <v>2156.1</v>
      </c>
      <c r="AQ173" s="34">
        <v>1916.3</v>
      </c>
      <c r="AR173" s="34">
        <v>1773.4</v>
      </c>
      <c r="AS173" s="34">
        <v>2572</v>
      </c>
      <c r="AT173" s="34">
        <v>3407.9</v>
      </c>
      <c r="AU173" s="34">
        <v>3692.8</v>
      </c>
      <c r="AV173" s="34">
        <v>4028</v>
      </c>
      <c r="AW173" s="34">
        <v>4394.5</v>
      </c>
      <c r="AX173" s="34">
        <v>4222.3</v>
      </c>
      <c r="AY173" s="34">
        <v>4322.6000000000004</v>
      </c>
      <c r="AZ173" s="34">
        <v>5445.4</v>
      </c>
      <c r="BA173" s="34">
        <v>5873.1</v>
      </c>
      <c r="BB173" s="34">
        <v>6017.2</v>
      </c>
      <c r="BC173" s="34">
        <v>5463</v>
      </c>
      <c r="BD173" s="34">
        <v>5544.1</v>
      </c>
      <c r="BE173" s="34">
        <v>4965.7</v>
      </c>
      <c r="BF173" s="34">
        <v>4614.8999999999996</v>
      </c>
      <c r="BG173" s="34">
        <v>5453.6</v>
      </c>
      <c r="BH173" s="34">
        <v>5687.4</v>
      </c>
      <c r="BI173" s="34">
        <v>5126.2</v>
      </c>
      <c r="BJ173" s="34">
        <v>4252</v>
      </c>
      <c r="BK173" s="1">
        <v>4901.8999999999996</v>
      </c>
      <c r="BL173" s="1">
        <v>4895.7</v>
      </c>
      <c r="BM173" s="1">
        <v>4742.8</v>
      </c>
    </row>
    <row r="174" spans="1:65">
      <c r="A174" s="1" t="s">
        <v>1282</v>
      </c>
      <c r="B174" s="34"/>
      <c r="C174" s="34"/>
      <c r="D174" s="34"/>
      <c r="E174" s="34"/>
      <c r="F174" s="34"/>
      <c r="G174" s="34">
        <v>1763.5</v>
      </c>
      <c r="H174" s="34">
        <v>1756.2</v>
      </c>
      <c r="I174" s="34">
        <v>1865.7</v>
      </c>
      <c r="J174" s="34">
        <v>2165.9</v>
      </c>
      <c r="K174" s="34">
        <v>2529.9</v>
      </c>
      <c r="L174" s="34">
        <v>3203.7</v>
      </c>
      <c r="M174" s="34">
        <v>3449.9</v>
      </c>
      <c r="N174" s="34">
        <v>4038.3</v>
      </c>
      <c r="O174" s="34">
        <v>4220.2</v>
      </c>
      <c r="P174" s="34">
        <v>4865.7</v>
      </c>
      <c r="Q174" s="34">
        <v>6163.4</v>
      </c>
      <c r="R174" s="34">
        <v>5957.6</v>
      </c>
      <c r="S174" s="34">
        <v>6159</v>
      </c>
      <c r="T174" s="34">
        <v>6152.8</v>
      </c>
      <c r="U174" s="34">
        <v>7561.2</v>
      </c>
      <c r="V174" s="34">
        <v>8443.2000000000007</v>
      </c>
      <c r="W174" s="34">
        <v>6817.8</v>
      </c>
      <c r="X174" s="34">
        <v>6208.6</v>
      </c>
      <c r="Y174" s="34">
        <v>5540.4</v>
      </c>
      <c r="Z174" s="34">
        <v>5249.4</v>
      </c>
      <c r="AA174" s="34">
        <v>5534.6</v>
      </c>
      <c r="AB174" s="34">
        <v>7634.7</v>
      </c>
      <c r="AC174" s="34">
        <v>9271.6</v>
      </c>
      <c r="AD174" s="34">
        <v>12665.9</v>
      </c>
      <c r="AE174" s="34">
        <v>13092.3</v>
      </c>
      <c r="AF174" s="34">
        <v>14800.8</v>
      </c>
      <c r="AG174" s="34">
        <v>15133.2</v>
      </c>
      <c r="AH174" s="34">
        <v>16262</v>
      </c>
      <c r="AI174" s="34">
        <v>15297</v>
      </c>
      <c r="AJ174" s="34">
        <v>16037</v>
      </c>
      <c r="AK174" s="34">
        <v>18721.099999999999</v>
      </c>
      <c r="AL174" s="34">
        <v>18257.2</v>
      </c>
      <c r="AM174" s="34">
        <v>16339.8</v>
      </c>
      <c r="AN174" s="34">
        <v>17324.3</v>
      </c>
      <c r="AO174" s="34">
        <v>17435.7</v>
      </c>
      <c r="AP174" s="34">
        <v>16039.2</v>
      </c>
      <c r="AQ174" s="34">
        <v>15174.3</v>
      </c>
      <c r="AR174" s="34">
        <v>16885.900000000001</v>
      </c>
      <c r="AS174" s="34">
        <v>21817.3</v>
      </c>
      <c r="AT174" s="34">
        <v>25770.5</v>
      </c>
      <c r="AU174" s="34">
        <v>26861.7</v>
      </c>
      <c r="AV174" s="34">
        <v>29604.1</v>
      </c>
      <c r="AW174" s="34">
        <v>36864.9</v>
      </c>
      <c r="AX174" s="34">
        <v>37353.699999999997</v>
      </c>
      <c r="AY174" s="34">
        <v>35391.1</v>
      </c>
      <c r="AZ174" s="34">
        <v>37494.9</v>
      </c>
      <c r="BA174" s="34">
        <v>40697.699999999997</v>
      </c>
      <c r="BB174" s="34">
        <v>37294</v>
      </c>
      <c r="BC174" s="34">
        <v>38503.300000000003</v>
      </c>
      <c r="BD174" s="34">
        <v>39675.599999999999</v>
      </c>
      <c r="BE174" s="34">
        <v>32428.6</v>
      </c>
      <c r="BF174" s="34">
        <v>32286.9</v>
      </c>
      <c r="BG174" s="34">
        <v>33876.300000000003</v>
      </c>
      <c r="BH174" s="34">
        <v>36495.199999999997</v>
      </c>
      <c r="BI174" s="34">
        <v>34934.6</v>
      </c>
      <c r="BJ174" s="34">
        <v>34877.599999999999</v>
      </c>
      <c r="BK174" s="1">
        <v>37247.5</v>
      </c>
      <c r="BL174" s="1">
        <v>35745.800000000003</v>
      </c>
    </row>
    <row r="175" spans="1:65">
      <c r="A175" s="1" t="s">
        <v>1283</v>
      </c>
      <c r="B175" s="34">
        <v>128.5</v>
      </c>
      <c r="C175" s="34">
        <v>134.80000000000001</v>
      </c>
      <c r="D175" s="34">
        <v>143.30000000000001</v>
      </c>
      <c r="E175" s="34">
        <v>153.4</v>
      </c>
      <c r="F175" s="34">
        <v>148</v>
      </c>
      <c r="G175" s="34">
        <v>166.1</v>
      </c>
      <c r="H175" s="34">
        <v>168.3</v>
      </c>
      <c r="I175" s="34">
        <v>155</v>
      </c>
      <c r="J175" s="34">
        <v>145.1</v>
      </c>
      <c r="K175" s="34">
        <v>137.80000000000001</v>
      </c>
      <c r="L175" s="34">
        <v>139.19999999999999</v>
      </c>
      <c r="M175" s="34">
        <v>144.6</v>
      </c>
      <c r="N175" s="34">
        <v>150.80000000000001</v>
      </c>
      <c r="O175" s="34">
        <v>187.1</v>
      </c>
      <c r="P175" s="34">
        <v>197.5</v>
      </c>
      <c r="Q175" s="34">
        <v>196.4</v>
      </c>
      <c r="R175" s="34">
        <v>193.9</v>
      </c>
      <c r="S175" s="34">
        <v>228.8</v>
      </c>
      <c r="T175" s="34">
        <v>305.39999999999998</v>
      </c>
      <c r="U175" s="34">
        <v>352.3</v>
      </c>
      <c r="V175" s="34">
        <v>406.4</v>
      </c>
      <c r="W175" s="34">
        <v>341</v>
      </c>
      <c r="X175" s="34">
        <v>307.39999999999998</v>
      </c>
      <c r="Y175" s="34">
        <v>266.5</v>
      </c>
      <c r="Z175" s="34">
        <v>209.5</v>
      </c>
      <c r="AA175" s="34">
        <v>200.4</v>
      </c>
      <c r="AB175" s="34">
        <v>257</v>
      </c>
      <c r="AC175" s="34">
        <v>292.39999999999998</v>
      </c>
      <c r="AD175" s="34">
        <v>289.7</v>
      </c>
      <c r="AE175" s="34">
        <v>268.5</v>
      </c>
      <c r="AF175" s="34">
        <v>419.6</v>
      </c>
      <c r="AG175" s="34">
        <v>380.5</v>
      </c>
      <c r="AH175" s="34">
        <v>380.1</v>
      </c>
      <c r="AI175" s="34">
        <v>332.1</v>
      </c>
      <c r="AJ175" s="34">
        <v>204.1</v>
      </c>
      <c r="AK175" s="34">
        <v>234.6</v>
      </c>
      <c r="AL175" s="34">
        <v>237</v>
      </c>
      <c r="AM175" s="34">
        <v>218.2</v>
      </c>
      <c r="AN175" s="34">
        <v>243.5</v>
      </c>
      <c r="AO175" s="34">
        <v>226</v>
      </c>
      <c r="AP175" s="34">
        <v>192.9</v>
      </c>
      <c r="AQ175" s="34">
        <v>203.5</v>
      </c>
      <c r="AR175" s="34">
        <v>223.4</v>
      </c>
      <c r="AS175" s="34">
        <v>263.10000000000002</v>
      </c>
      <c r="AT175" s="34">
        <v>281.3</v>
      </c>
      <c r="AU175" s="34">
        <v>316.39999999999998</v>
      </c>
      <c r="AV175" s="34">
        <v>331.1</v>
      </c>
      <c r="AW175" s="34">
        <v>384.7</v>
      </c>
      <c r="AX175" s="34">
        <v>472.2</v>
      </c>
      <c r="AY175" s="34">
        <v>458.4</v>
      </c>
      <c r="AZ175" s="34">
        <v>471.6</v>
      </c>
      <c r="BA175" s="34">
        <v>507.6</v>
      </c>
      <c r="BB175" s="34">
        <v>525</v>
      </c>
      <c r="BC175" s="34">
        <v>548.20000000000005</v>
      </c>
      <c r="BD175" s="34">
        <v>560.79999999999995</v>
      </c>
      <c r="BE175" s="34">
        <v>481.1</v>
      </c>
      <c r="BF175" s="34">
        <v>497</v>
      </c>
      <c r="BG175" s="34">
        <v>514.5</v>
      </c>
      <c r="BH175" s="34">
        <v>568.6</v>
      </c>
      <c r="BI175" s="34">
        <v>549.79999999999995</v>
      </c>
      <c r="BJ175" s="34">
        <v>564.79999999999995</v>
      </c>
      <c r="BK175" s="1">
        <v>590.6</v>
      </c>
      <c r="BL175" s="1">
        <v>588.9</v>
      </c>
      <c r="BM175" s="1">
        <v>618.29999999999995</v>
      </c>
    </row>
    <row r="176" spans="1:65">
      <c r="A176" s="1" t="s">
        <v>1284</v>
      </c>
      <c r="B176" s="34">
        <v>93.4</v>
      </c>
      <c r="C176" s="34">
        <v>97.4</v>
      </c>
      <c r="D176" s="34">
        <v>104.9</v>
      </c>
      <c r="E176" s="34">
        <v>108</v>
      </c>
      <c r="F176" s="34">
        <v>113.7</v>
      </c>
      <c r="G176" s="34">
        <v>117.7</v>
      </c>
      <c r="H176" s="34">
        <v>124.8</v>
      </c>
      <c r="I176" s="34">
        <v>99.9</v>
      </c>
      <c r="J176" s="34">
        <v>97.7</v>
      </c>
      <c r="K176" s="34">
        <v>122</v>
      </c>
      <c r="L176" s="34">
        <v>225.8</v>
      </c>
      <c r="M176" s="34">
        <v>161.5</v>
      </c>
      <c r="N176" s="34">
        <v>211</v>
      </c>
      <c r="O176" s="34">
        <v>254.4</v>
      </c>
      <c r="P176" s="34">
        <v>406.3</v>
      </c>
      <c r="Q176" s="34">
        <v>442</v>
      </c>
      <c r="R176" s="34">
        <v>561.6</v>
      </c>
      <c r="S176" s="34">
        <v>541.20000000000005</v>
      </c>
      <c r="T176" s="34">
        <v>532.20000000000005</v>
      </c>
      <c r="U176" s="34">
        <v>668</v>
      </c>
      <c r="V176" s="34">
        <v>880.1</v>
      </c>
      <c r="W176" s="34">
        <v>2187.9</v>
      </c>
      <c r="X176" s="34">
        <v>1844.8</v>
      </c>
      <c r="Y176" s="34">
        <v>1223.5999999999999</v>
      </c>
      <c r="Z176" s="34">
        <v>903.4</v>
      </c>
      <c r="AA176" s="34">
        <v>882.3</v>
      </c>
      <c r="AB176" s="34">
        <v>638.70000000000005</v>
      </c>
      <c r="AC176" s="34">
        <v>598.29999999999995</v>
      </c>
      <c r="AD176" s="34">
        <v>549.5</v>
      </c>
      <c r="AE176" s="34">
        <v>474.5</v>
      </c>
      <c r="AF176" s="34">
        <v>567.5</v>
      </c>
      <c r="AG176" s="34">
        <v>609.4</v>
      </c>
      <c r="AH176" s="34">
        <v>519.6</v>
      </c>
      <c r="AI176" s="34">
        <v>551.9</v>
      </c>
      <c r="AJ176" s="34">
        <v>762.4</v>
      </c>
      <c r="AK176" s="34">
        <v>1302.5999999999999</v>
      </c>
      <c r="AL176" s="34">
        <v>1673.9</v>
      </c>
      <c r="AM176" s="34">
        <v>1765.1</v>
      </c>
      <c r="AN176" s="34">
        <v>1871.8</v>
      </c>
      <c r="AO176" s="34">
        <v>494.1</v>
      </c>
      <c r="AP176" s="34">
        <v>563</v>
      </c>
      <c r="AQ176" s="34">
        <v>583.1</v>
      </c>
      <c r="AR176" s="34">
        <v>733.5</v>
      </c>
      <c r="AS176" s="34">
        <v>786.8</v>
      </c>
      <c r="AT176" s="34">
        <v>992.7</v>
      </c>
      <c r="AU176" s="34">
        <v>1250.4000000000001</v>
      </c>
      <c r="AV176" s="34">
        <v>1652.2</v>
      </c>
      <c r="AW176" s="34">
        <v>1876.4</v>
      </c>
      <c r="AX176" s="34">
        <v>2227.8000000000002</v>
      </c>
      <c r="AY176" s="34">
        <v>1883.9</v>
      </c>
      <c r="AZ176" s="34">
        <v>2280.1</v>
      </c>
      <c r="BA176" s="34">
        <v>2504.9</v>
      </c>
      <c r="BB176" s="34">
        <v>2728</v>
      </c>
      <c r="BC176" s="34">
        <v>2976.8</v>
      </c>
      <c r="BD176" s="34">
        <v>3201</v>
      </c>
      <c r="BE176" s="34">
        <v>2679.6</v>
      </c>
      <c r="BF176" s="34">
        <v>2144.8000000000002</v>
      </c>
      <c r="BG176" s="34">
        <v>1941.9</v>
      </c>
      <c r="BH176" s="34">
        <v>2125.8000000000002</v>
      </c>
      <c r="BI176" s="34">
        <v>2334</v>
      </c>
      <c r="BJ176" s="34">
        <v>2074.6</v>
      </c>
      <c r="BK176" s="1">
        <v>2065.8000000000002</v>
      </c>
      <c r="BL176" s="1">
        <v>2162.6</v>
      </c>
      <c r="BM176" s="1">
        <v>1621.1</v>
      </c>
    </row>
    <row r="177" spans="1:65">
      <c r="A177" s="1" t="s">
        <v>1285</v>
      </c>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v>160.5</v>
      </c>
      <c r="AE177" s="34">
        <v>239</v>
      </c>
      <c r="AF177" s="34">
        <v>262.7</v>
      </c>
      <c r="AG177" s="34">
        <v>390.7</v>
      </c>
      <c r="AH177" s="34">
        <v>405</v>
      </c>
      <c r="AI177" s="34">
        <v>422.5</v>
      </c>
      <c r="AJ177" s="34">
        <v>834.9</v>
      </c>
      <c r="AK177" s="34">
        <v>875</v>
      </c>
      <c r="AL177" s="34">
        <v>895.2</v>
      </c>
      <c r="AM177" s="34">
        <v>896.7</v>
      </c>
      <c r="AN177" s="34">
        <v>931.8</v>
      </c>
      <c r="AO177" s="34">
        <v>961.6</v>
      </c>
      <c r="AP177" s="34">
        <v>997.3</v>
      </c>
      <c r="AQ177" s="34">
        <v>1030.5999999999999</v>
      </c>
      <c r="AR177" s="34">
        <v>993.3</v>
      </c>
      <c r="AS177" s="34">
        <v>999.8</v>
      </c>
      <c r="AT177" s="34">
        <v>1075.5</v>
      </c>
      <c r="AU177" s="34">
        <v>1158.9000000000001</v>
      </c>
      <c r="AV177" s="34">
        <v>1223.0999999999999</v>
      </c>
      <c r="AW177" s="34">
        <v>1323.8</v>
      </c>
      <c r="AX177" s="34">
        <v>1493.9</v>
      </c>
      <c r="AY177" s="34">
        <v>1438.1</v>
      </c>
      <c r="AZ177" s="34">
        <v>1495.7</v>
      </c>
      <c r="BA177" s="34">
        <v>1644.8</v>
      </c>
      <c r="BB177" s="34">
        <v>1746.4</v>
      </c>
      <c r="BC177" s="34">
        <v>1794.8</v>
      </c>
      <c r="BD177" s="34">
        <v>1913.5</v>
      </c>
      <c r="BE177" s="34">
        <v>2025.3</v>
      </c>
      <c r="BF177" s="34">
        <v>2079.5</v>
      </c>
      <c r="BG177" s="34">
        <v>2127.3000000000002</v>
      </c>
      <c r="BH177" s="34">
        <v>1981.9</v>
      </c>
      <c r="BI177" s="34">
        <v>1905.6</v>
      </c>
      <c r="BJ177" s="34">
        <v>1877.1</v>
      </c>
      <c r="BK177" s="1">
        <v>2064.6999999999998</v>
      </c>
      <c r="BL177" s="1">
        <v>2252.3000000000002</v>
      </c>
      <c r="BM177" s="1">
        <v>2530.3000000000002</v>
      </c>
    </row>
    <row r="178" spans="1:65">
      <c r="A178" s="1" t="s">
        <v>1286</v>
      </c>
      <c r="B178" s="34">
        <v>1154.7</v>
      </c>
      <c r="C178" s="34">
        <v>1252.5999999999999</v>
      </c>
      <c r="D178" s="34">
        <v>1340.4</v>
      </c>
      <c r="E178" s="34">
        <v>1434.8</v>
      </c>
      <c r="F178" s="34">
        <v>1665.9</v>
      </c>
      <c r="G178" s="34">
        <v>1845.4</v>
      </c>
      <c r="H178" s="34">
        <v>1983.4</v>
      </c>
      <c r="I178" s="34">
        <v>2151.4</v>
      </c>
      <c r="J178" s="34">
        <v>2360.9</v>
      </c>
      <c r="K178" s="34">
        <v>2643</v>
      </c>
      <c r="L178" s="34">
        <v>2927.1</v>
      </c>
      <c r="M178" s="34">
        <v>3378.6</v>
      </c>
      <c r="N178" s="34">
        <v>4104.5</v>
      </c>
      <c r="O178" s="34">
        <v>5345.6</v>
      </c>
      <c r="P178" s="34">
        <v>6441</v>
      </c>
      <c r="Q178" s="34">
        <v>7335.5</v>
      </c>
      <c r="R178" s="34">
        <v>7925.7</v>
      </c>
      <c r="S178" s="34">
        <v>9166.7999999999993</v>
      </c>
      <c r="T178" s="34">
        <v>11179.4</v>
      </c>
      <c r="U178" s="34">
        <v>12798.5</v>
      </c>
      <c r="V178" s="34">
        <v>13791.9</v>
      </c>
      <c r="W178" s="34">
        <v>11520.4</v>
      </c>
      <c r="X178" s="34">
        <v>11072.7</v>
      </c>
      <c r="Y178" s="34">
        <v>10680.4</v>
      </c>
      <c r="Z178" s="34">
        <v>9977.2000000000007</v>
      </c>
      <c r="AA178" s="34">
        <v>9926.1</v>
      </c>
      <c r="AB178" s="34">
        <v>13783.9</v>
      </c>
      <c r="AC178" s="34">
        <v>16709.599999999999</v>
      </c>
      <c r="AD178" s="34">
        <v>17744.5</v>
      </c>
      <c r="AE178" s="34">
        <v>17397.7</v>
      </c>
      <c r="AF178" s="34">
        <v>21290.9</v>
      </c>
      <c r="AG178" s="34">
        <v>21732.2</v>
      </c>
      <c r="AH178" s="34">
        <v>23904</v>
      </c>
      <c r="AI178" s="34">
        <v>23122.400000000001</v>
      </c>
      <c r="AJ178" s="34">
        <v>24646.3</v>
      </c>
      <c r="AK178" s="34">
        <v>29258.1</v>
      </c>
      <c r="AL178" s="34">
        <v>29006.799999999999</v>
      </c>
      <c r="AM178" s="34">
        <v>26700.5</v>
      </c>
      <c r="AN178" s="34">
        <v>27885.8</v>
      </c>
      <c r="AO178" s="34">
        <v>28272.6</v>
      </c>
      <c r="AP178" s="34">
        <v>26214.5</v>
      </c>
      <c r="AQ178" s="34">
        <v>26896.5</v>
      </c>
      <c r="AR178" s="34">
        <v>29343.200000000001</v>
      </c>
      <c r="AS178" s="34">
        <v>35751</v>
      </c>
      <c r="AT178" s="34">
        <v>40436.6</v>
      </c>
      <c r="AU178" s="34">
        <v>41994.7</v>
      </c>
      <c r="AV178" s="34">
        <v>44900.9</v>
      </c>
      <c r="AW178" s="34">
        <v>51799.199999999997</v>
      </c>
      <c r="AX178" s="34">
        <v>57879.9</v>
      </c>
      <c r="AY178" s="34">
        <v>52722.2</v>
      </c>
      <c r="AZ178" s="34">
        <v>50999.7</v>
      </c>
      <c r="BA178" s="34">
        <v>54230.3</v>
      </c>
      <c r="BB178" s="34">
        <v>50070.1</v>
      </c>
      <c r="BC178" s="34">
        <v>52198.9</v>
      </c>
      <c r="BD178" s="34">
        <v>52900.5</v>
      </c>
      <c r="BE178" s="34">
        <v>45193.4</v>
      </c>
      <c r="BF178" s="34">
        <v>46039.1</v>
      </c>
      <c r="BG178" s="34">
        <v>48675.199999999997</v>
      </c>
      <c r="BH178" s="34">
        <v>53044.5</v>
      </c>
      <c r="BI178" s="34">
        <v>52476.3</v>
      </c>
      <c r="BJ178" s="34">
        <v>52162.6</v>
      </c>
      <c r="BK178" s="1">
        <v>58727.9</v>
      </c>
      <c r="BL178" s="1">
        <v>57025</v>
      </c>
      <c r="BM178" s="1">
        <v>62536.7</v>
      </c>
    </row>
    <row r="179" spans="1:65">
      <c r="A179" s="1" t="s">
        <v>1287</v>
      </c>
      <c r="B179" s="34">
        <v>1451.3</v>
      </c>
      <c r="C179" s="34">
        <v>1570.6</v>
      </c>
      <c r="D179" s="34">
        <v>1678.3</v>
      </c>
      <c r="E179" s="34">
        <v>1787.3</v>
      </c>
      <c r="F179" s="34">
        <v>1950.7</v>
      </c>
      <c r="G179" s="34">
        <v>2178.8000000000002</v>
      </c>
      <c r="H179" s="34">
        <v>2332.5</v>
      </c>
      <c r="I179" s="34">
        <v>2530.6999999999998</v>
      </c>
      <c r="J179" s="34">
        <v>2679.7</v>
      </c>
      <c r="K179" s="34">
        <v>2894.2</v>
      </c>
      <c r="L179" s="34">
        <v>3306.2</v>
      </c>
      <c r="M179" s="34">
        <v>3736.3</v>
      </c>
      <c r="N179" s="34">
        <v>4413.6000000000004</v>
      </c>
      <c r="O179" s="34">
        <v>5689.6</v>
      </c>
      <c r="P179" s="34">
        <v>6811.5</v>
      </c>
      <c r="Q179" s="34">
        <v>8204.5</v>
      </c>
      <c r="R179" s="34">
        <v>8927.2000000000007</v>
      </c>
      <c r="S179" s="34">
        <v>10266.1</v>
      </c>
      <c r="T179" s="34">
        <v>11462.6</v>
      </c>
      <c r="U179" s="34">
        <v>13046.5</v>
      </c>
      <c r="V179" s="34">
        <v>15772.2</v>
      </c>
      <c r="W179" s="34">
        <v>15512.5</v>
      </c>
      <c r="X179" s="34">
        <v>15224.9</v>
      </c>
      <c r="Y179" s="34">
        <v>14927.5</v>
      </c>
      <c r="Z179" s="34">
        <v>14989.5</v>
      </c>
      <c r="AA179" s="34">
        <v>15753.6</v>
      </c>
      <c r="AB179" s="34">
        <v>18883.2</v>
      </c>
      <c r="AC179" s="34">
        <v>22505.9</v>
      </c>
      <c r="AD179" s="34">
        <v>24207.3</v>
      </c>
      <c r="AE179" s="34">
        <v>24281.1</v>
      </c>
      <c r="AF179" s="34">
        <v>28243</v>
      </c>
      <c r="AG179" s="34">
        <v>28596.9</v>
      </c>
      <c r="AH179" s="34">
        <v>30524</v>
      </c>
      <c r="AI179" s="34">
        <v>27963.7</v>
      </c>
      <c r="AJ179" s="34">
        <v>29315.8</v>
      </c>
      <c r="AK179" s="34">
        <v>34875.699999999997</v>
      </c>
      <c r="AL179" s="34">
        <v>37322</v>
      </c>
      <c r="AM179" s="34">
        <v>36629</v>
      </c>
      <c r="AN179" s="34">
        <v>34803.5</v>
      </c>
      <c r="AO179" s="34">
        <v>36393.300000000003</v>
      </c>
      <c r="AP179" s="34">
        <v>38178.199999999997</v>
      </c>
      <c r="AQ179" s="34">
        <v>38601.9</v>
      </c>
      <c r="AR179" s="34">
        <v>43170.6</v>
      </c>
      <c r="AS179" s="34">
        <v>50250.3</v>
      </c>
      <c r="AT179" s="34">
        <v>57768.7</v>
      </c>
      <c r="AU179" s="34">
        <v>67047.199999999997</v>
      </c>
      <c r="AV179" s="34">
        <v>74434.5</v>
      </c>
      <c r="AW179" s="34">
        <v>85502.3</v>
      </c>
      <c r="AX179" s="34">
        <v>97503.5</v>
      </c>
      <c r="AY179" s="34">
        <v>80347.600000000006</v>
      </c>
      <c r="AZ179" s="34">
        <v>88163.199999999997</v>
      </c>
      <c r="BA179" s="34">
        <v>101221.8</v>
      </c>
      <c r="BB179" s="34">
        <v>102175.9</v>
      </c>
      <c r="BC179" s="34">
        <v>103553.8</v>
      </c>
      <c r="BD179" s="34">
        <v>97666.7</v>
      </c>
      <c r="BE179" s="34">
        <v>74810</v>
      </c>
      <c r="BF179" s="34">
        <v>70867.399999999994</v>
      </c>
      <c r="BG179" s="34">
        <v>76131.8</v>
      </c>
      <c r="BH179" s="34">
        <v>82792.800000000003</v>
      </c>
      <c r="BI179" s="34">
        <v>76430.600000000006</v>
      </c>
      <c r="BJ179" s="34">
        <v>68340</v>
      </c>
      <c r="BK179" s="1">
        <v>93072.9</v>
      </c>
      <c r="BL179" s="1">
        <v>108798.5</v>
      </c>
      <c r="BM179" s="1">
        <v>87961.8</v>
      </c>
    </row>
    <row r="180" spans="1:65">
      <c r="A180" s="1" t="s">
        <v>1288</v>
      </c>
      <c r="B180" s="34">
        <v>50</v>
      </c>
      <c r="C180" s="34">
        <v>51.3</v>
      </c>
      <c r="D180" s="34">
        <v>54.3</v>
      </c>
      <c r="E180" s="34">
        <v>46.1</v>
      </c>
      <c r="F180" s="34">
        <v>45.1</v>
      </c>
      <c r="G180" s="34">
        <v>65.5</v>
      </c>
      <c r="H180" s="34">
        <v>79.099999999999994</v>
      </c>
      <c r="I180" s="34">
        <v>71.900000000000006</v>
      </c>
      <c r="J180" s="34">
        <v>64.5</v>
      </c>
      <c r="K180" s="34">
        <v>64.5</v>
      </c>
      <c r="L180" s="34">
        <v>69.3</v>
      </c>
      <c r="M180" s="34">
        <v>69.099999999999994</v>
      </c>
      <c r="N180" s="34">
        <v>78.5</v>
      </c>
      <c r="O180" s="34">
        <v>72.900000000000006</v>
      </c>
      <c r="P180" s="34">
        <v>89.4</v>
      </c>
      <c r="Q180" s="34">
        <v>113.2</v>
      </c>
      <c r="R180" s="34">
        <v>102.1</v>
      </c>
      <c r="S180" s="34">
        <v>95</v>
      </c>
      <c r="T180" s="34">
        <v>107.7</v>
      </c>
      <c r="U180" s="34">
        <v>121.5</v>
      </c>
      <c r="V180" s="34">
        <v>124.7</v>
      </c>
      <c r="W180" s="34">
        <v>142.5</v>
      </c>
      <c r="X180" s="34">
        <v>146.5</v>
      </c>
      <c r="Y180" s="34">
        <v>146.19999999999999</v>
      </c>
      <c r="Z180" s="34">
        <v>150.6</v>
      </c>
      <c r="AA180" s="34">
        <v>149.4</v>
      </c>
      <c r="AB180" s="34">
        <v>158.9</v>
      </c>
      <c r="AC180" s="34">
        <v>161.4</v>
      </c>
      <c r="AD180" s="34">
        <v>186.3</v>
      </c>
      <c r="AE180" s="34">
        <v>184.1</v>
      </c>
      <c r="AF180" s="34">
        <v>184.9</v>
      </c>
      <c r="AG180" s="34">
        <v>194.8</v>
      </c>
      <c r="AH180" s="34">
        <v>164.3</v>
      </c>
      <c r="AI180" s="34">
        <v>172.1</v>
      </c>
      <c r="AJ180" s="34">
        <v>186.6</v>
      </c>
      <c r="AK180" s="34">
        <v>197.3</v>
      </c>
      <c r="AL180" s="34">
        <v>198.5</v>
      </c>
      <c r="AM180" s="34">
        <v>211.6</v>
      </c>
      <c r="AN180" s="34">
        <v>204.9</v>
      </c>
      <c r="AO180" s="34">
        <v>208.5</v>
      </c>
      <c r="AP180" s="34">
        <v>223.7</v>
      </c>
      <c r="AQ180" s="34">
        <v>240.7</v>
      </c>
      <c r="AR180" s="34">
        <v>238.9</v>
      </c>
      <c r="AS180" s="34">
        <v>246.5</v>
      </c>
      <c r="AT180" s="34">
        <v>279.7</v>
      </c>
      <c r="AU180" s="34">
        <v>309.3</v>
      </c>
      <c r="AV180" s="34">
        <v>341</v>
      </c>
      <c r="AW180" s="34">
        <v>386.5</v>
      </c>
      <c r="AX180" s="34">
        <v>466.7</v>
      </c>
      <c r="AY180" s="34">
        <v>475.6</v>
      </c>
      <c r="AZ180" s="34">
        <v>589.20000000000005</v>
      </c>
      <c r="BA180" s="34">
        <v>791.2</v>
      </c>
      <c r="BB180" s="34">
        <v>794.1</v>
      </c>
      <c r="BC180" s="34">
        <v>809.4</v>
      </c>
      <c r="BD180" s="34">
        <v>827.7</v>
      </c>
      <c r="BE180" s="34">
        <v>882.3</v>
      </c>
      <c r="BF180" s="34">
        <v>880.2</v>
      </c>
      <c r="BG180" s="34">
        <v>1028</v>
      </c>
      <c r="BH180" s="34">
        <v>1161.5</v>
      </c>
      <c r="BI180" s="34">
        <v>1185.7</v>
      </c>
      <c r="BJ180" s="34">
        <v>1139.2</v>
      </c>
      <c r="BK180" s="1">
        <v>1229.4000000000001</v>
      </c>
      <c r="BL180" s="1">
        <v>1348.2</v>
      </c>
      <c r="BM180" s="1">
        <v>1324</v>
      </c>
    </row>
    <row r="181" spans="1:65">
      <c r="A181" s="1" t="s">
        <v>1289</v>
      </c>
      <c r="B181" s="34"/>
      <c r="C181" s="34"/>
      <c r="D181" s="34"/>
      <c r="E181" s="34"/>
      <c r="F181" s="34"/>
      <c r="G181" s="34"/>
      <c r="H181" s="34"/>
      <c r="I181" s="34"/>
      <c r="J181" s="34"/>
      <c r="K181" s="34"/>
      <c r="L181" s="34">
        <v>2637</v>
      </c>
      <c r="M181" s="34">
        <v>2804.6</v>
      </c>
      <c r="N181" s="34">
        <v>3157.7</v>
      </c>
      <c r="O181" s="34">
        <v>3795.4</v>
      </c>
      <c r="P181" s="34">
        <v>5072.5</v>
      </c>
      <c r="Q181" s="34">
        <v>5571.2</v>
      </c>
      <c r="R181" s="34">
        <v>5514.3</v>
      </c>
      <c r="S181" s="34">
        <v>5435.4</v>
      </c>
      <c r="T181" s="34">
        <v>5537</v>
      </c>
      <c r="U181" s="34">
        <v>5857</v>
      </c>
      <c r="V181" s="34">
        <v>6148.9</v>
      </c>
      <c r="W181" s="34">
        <v>6720.8</v>
      </c>
      <c r="X181" s="34">
        <v>6892.3</v>
      </c>
      <c r="Y181" s="34">
        <v>6184.8</v>
      </c>
      <c r="Z181" s="34">
        <v>5829.3</v>
      </c>
      <c r="AA181" s="34">
        <v>4998</v>
      </c>
      <c r="AB181" s="34">
        <v>4683.8999999999996</v>
      </c>
      <c r="AC181" s="34">
        <v>4580.3</v>
      </c>
      <c r="AD181" s="34">
        <v>5091</v>
      </c>
      <c r="AE181" s="34">
        <v>5774.4</v>
      </c>
      <c r="AF181" s="34">
        <v>5790</v>
      </c>
      <c r="AG181" s="34">
        <v>5305.4</v>
      </c>
      <c r="AH181" s="34">
        <v>5048.2</v>
      </c>
      <c r="AI181" s="34">
        <v>4258</v>
      </c>
      <c r="AJ181" s="34">
        <v>3868.3</v>
      </c>
      <c r="AK181" s="34">
        <v>3874.5</v>
      </c>
      <c r="AL181" s="34">
        <v>3621</v>
      </c>
      <c r="AM181" s="34">
        <v>3602.4</v>
      </c>
      <c r="AN181" s="34">
        <v>2858.7</v>
      </c>
      <c r="AO181" s="34">
        <v>2632.1</v>
      </c>
      <c r="AP181" s="34">
        <v>2595.3000000000002</v>
      </c>
      <c r="AQ181" s="34">
        <v>2182.1</v>
      </c>
      <c r="AR181" s="34">
        <v>2030.5</v>
      </c>
      <c r="AS181" s="34">
        <v>2395.4</v>
      </c>
      <c r="AT181" s="34">
        <v>2959.6</v>
      </c>
      <c r="AU181" s="34">
        <v>2914.4</v>
      </c>
      <c r="AV181" s="34">
        <v>2836.6</v>
      </c>
      <c r="AW181" s="34">
        <v>2217.5</v>
      </c>
      <c r="AX181" s="34">
        <v>3671</v>
      </c>
      <c r="AY181" s="34">
        <v>4317</v>
      </c>
      <c r="AZ181" s="34">
        <v>4644.3999999999996</v>
      </c>
      <c r="BA181" s="34">
        <v>6328.1</v>
      </c>
      <c r="BB181" s="34">
        <v>9676</v>
      </c>
      <c r="BC181" s="34">
        <v>8826</v>
      </c>
      <c r="BD181" s="34">
        <v>9063</v>
      </c>
      <c r="BE181" s="34">
        <v>7587.3</v>
      </c>
      <c r="BF181" s="34">
        <v>8528.6</v>
      </c>
      <c r="BG181" s="34">
        <v>9361</v>
      </c>
      <c r="BH181" s="34">
        <v>10985.9</v>
      </c>
      <c r="BI181" s="34">
        <v>10316.5</v>
      </c>
      <c r="BJ181" s="34">
        <v>10124.700000000001</v>
      </c>
      <c r="BK181" s="1">
        <v>14018.9</v>
      </c>
      <c r="BL181" s="1">
        <v>12142.8</v>
      </c>
      <c r="BM181" s="1">
        <v>12060.1</v>
      </c>
    </row>
    <row r="182" spans="1:65">
      <c r="A182" s="1" t="s">
        <v>1290</v>
      </c>
      <c r="B182" s="34">
        <v>2334.1</v>
      </c>
      <c r="C182" s="34">
        <v>2364.8000000000002</v>
      </c>
      <c r="D182" s="34">
        <v>2471.1</v>
      </c>
      <c r="E182" s="34">
        <v>2646.2</v>
      </c>
      <c r="F182" s="34">
        <v>2839.3</v>
      </c>
      <c r="G182" s="34">
        <v>2171</v>
      </c>
      <c r="H182" s="34">
        <v>2211.4</v>
      </c>
      <c r="I182" s="34">
        <v>2208.4</v>
      </c>
      <c r="J182" s="34">
        <v>1902.4</v>
      </c>
      <c r="K182" s="34">
        <v>2096.9</v>
      </c>
      <c r="L182" s="34">
        <v>2311</v>
      </c>
      <c r="M182" s="34">
        <v>2772.9</v>
      </c>
      <c r="N182" s="34">
        <v>3294.6</v>
      </c>
      <c r="O182" s="34">
        <v>4323.2</v>
      </c>
      <c r="P182" s="34">
        <v>4610.6000000000004</v>
      </c>
      <c r="Q182" s="34">
        <v>4171.8</v>
      </c>
      <c r="R182" s="34">
        <v>4373.8</v>
      </c>
      <c r="S182" s="34">
        <v>4950.6000000000004</v>
      </c>
      <c r="T182" s="34">
        <v>5937</v>
      </c>
      <c r="U182" s="34">
        <v>6668.1</v>
      </c>
      <c r="V182" s="34">
        <v>7467.2</v>
      </c>
      <c r="W182" s="34">
        <v>7813.9</v>
      </c>
      <c r="X182" s="34">
        <v>7656.5</v>
      </c>
      <c r="Y182" s="34">
        <v>7598.3</v>
      </c>
      <c r="Z182" s="34">
        <v>6713.8</v>
      </c>
      <c r="AA182" s="34">
        <v>7600.6</v>
      </c>
      <c r="AB182" s="34">
        <v>9427.6</v>
      </c>
      <c r="AC182" s="34">
        <v>12330.9</v>
      </c>
      <c r="AD182" s="34">
        <v>13759.2</v>
      </c>
      <c r="AE182" s="34">
        <v>13312.4</v>
      </c>
      <c r="AF182" s="34">
        <v>13663</v>
      </c>
      <c r="AG182" s="34">
        <v>12230.1</v>
      </c>
      <c r="AH182" s="34">
        <v>11793.1</v>
      </c>
      <c r="AI182" s="34">
        <v>13094.3</v>
      </c>
      <c r="AJ182" s="34">
        <v>15280.3</v>
      </c>
      <c r="AK182" s="34">
        <v>17400.400000000001</v>
      </c>
      <c r="AL182" s="34">
        <v>18794.400000000001</v>
      </c>
      <c r="AM182" s="34">
        <v>17474.2</v>
      </c>
      <c r="AN182" s="34">
        <v>14738.4</v>
      </c>
      <c r="AO182" s="34">
        <v>15322.2</v>
      </c>
      <c r="AP182" s="50">
        <v>13641.1</v>
      </c>
      <c r="AQ182" s="50">
        <v>13882.9</v>
      </c>
      <c r="AR182" s="50">
        <v>16874.2</v>
      </c>
      <c r="AS182" s="50">
        <v>21913.7</v>
      </c>
      <c r="AT182" s="50">
        <v>25420.2</v>
      </c>
      <c r="AU182" s="50">
        <v>27751.1</v>
      </c>
      <c r="AV182" s="50">
        <v>26654.6</v>
      </c>
      <c r="AW182" s="50">
        <v>32480</v>
      </c>
      <c r="AX182" s="50">
        <v>31253</v>
      </c>
      <c r="AY182" s="50">
        <v>28209.4</v>
      </c>
      <c r="AZ182" s="50">
        <v>33676.800000000003</v>
      </c>
      <c r="BA182" s="50">
        <v>38388.5</v>
      </c>
      <c r="BB182" s="50">
        <v>39974.300000000003</v>
      </c>
      <c r="BC182" s="34">
        <v>42977.4</v>
      </c>
      <c r="BD182" s="34">
        <v>44578.2</v>
      </c>
      <c r="BE182" s="34">
        <v>38639.4</v>
      </c>
      <c r="BF182" s="34">
        <v>40070.9</v>
      </c>
      <c r="BG182" s="34">
        <v>42913.2</v>
      </c>
      <c r="BH182" s="34">
        <v>43228.7</v>
      </c>
      <c r="BI182" s="34">
        <v>42747.199999999997</v>
      </c>
      <c r="BJ182" s="34">
        <v>41785.699999999997</v>
      </c>
      <c r="BK182" s="1">
        <v>49624.2</v>
      </c>
      <c r="BL182" s="1">
        <v>48216.5</v>
      </c>
      <c r="BM182" s="1">
        <v>48527.8</v>
      </c>
    </row>
    <row r="183" spans="1:65">
      <c r="A183" s="1" t="s">
        <v>1291</v>
      </c>
      <c r="B183" s="34">
        <v>1314</v>
      </c>
      <c r="C183" s="34">
        <v>1382.3</v>
      </c>
      <c r="D183" s="34">
        <v>1474.1</v>
      </c>
      <c r="E183" s="34">
        <v>1565.2</v>
      </c>
      <c r="F183" s="34">
        <v>1689.8</v>
      </c>
      <c r="G183" s="34">
        <v>1812.1</v>
      </c>
      <c r="H183" s="34">
        <v>1959.5</v>
      </c>
      <c r="I183" s="34">
        <v>2069.4</v>
      </c>
      <c r="J183" s="34">
        <v>2218.6999999999998</v>
      </c>
      <c r="K183" s="34">
        <v>2417.1999999999998</v>
      </c>
      <c r="L183" s="34">
        <v>2618.6</v>
      </c>
      <c r="M183" s="34">
        <v>2863.5</v>
      </c>
      <c r="N183" s="34">
        <v>3288.1</v>
      </c>
      <c r="O183" s="34">
        <v>3936.2</v>
      </c>
      <c r="P183" s="34">
        <v>4367.8999999999996</v>
      </c>
      <c r="Q183" s="34">
        <v>4844.8999999999996</v>
      </c>
      <c r="R183" s="34">
        <v>5199.3</v>
      </c>
      <c r="S183" s="34">
        <v>5806.8</v>
      </c>
      <c r="T183" s="34">
        <v>6922.5</v>
      </c>
      <c r="U183" s="34">
        <v>7914.4</v>
      </c>
      <c r="V183" s="34">
        <v>8708.2999999999993</v>
      </c>
      <c r="W183" s="34">
        <v>8788.2000000000007</v>
      </c>
      <c r="X183" s="34">
        <v>8579.7000000000007</v>
      </c>
      <c r="Y183" s="34">
        <v>8796.5</v>
      </c>
      <c r="Z183" s="34">
        <v>9122.1</v>
      </c>
      <c r="AA183" s="34">
        <v>9529.2999999999993</v>
      </c>
      <c r="AB183" s="34">
        <v>11458.4</v>
      </c>
      <c r="AC183" s="34">
        <v>13167.7</v>
      </c>
      <c r="AD183" s="34">
        <v>14728.8</v>
      </c>
      <c r="AE183" s="34">
        <v>15281.8</v>
      </c>
      <c r="AF183" s="34">
        <v>17059.3</v>
      </c>
      <c r="AG183" s="34">
        <v>17883.599999999999</v>
      </c>
      <c r="AH183" s="34">
        <v>19055.8</v>
      </c>
      <c r="AI183" s="34">
        <v>19176.2</v>
      </c>
      <c r="AJ183" s="34">
        <v>20325.7</v>
      </c>
      <c r="AK183" s="34">
        <v>22224.3</v>
      </c>
      <c r="AL183" s="34">
        <v>22236.6</v>
      </c>
      <c r="AM183" s="34">
        <v>21729.7</v>
      </c>
      <c r="AN183" s="34">
        <v>21793.5</v>
      </c>
      <c r="AO183" s="34">
        <v>22719.7</v>
      </c>
      <c r="AP183" s="34">
        <v>23054.6</v>
      </c>
      <c r="AQ183" s="34">
        <v>22671.5</v>
      </c>
      <c r="AR183" s="34">
        <v>23474.9</v>
      </c>
      <c r="AS183" s="34">
        <v>26058.9</v>
      </c>
      <c r="AT183" s="34">
        <v>28798.2</v>
      </c>
      <c r="AU183" s="34">
        <v>30228.7</v>
      </c>
      <c r="AV183" s="34">
        <v>31656.9</v>
      </c>
      <c r="AW183" s="34">
        <v>34404.5</v>
      </c>
      <c r="AX183" s="34">
        <v>36254.199999999997</v>
      </c>
      <c r="AY183" s="34">
        <v>33671.800000000003</v>
      </c>
      <c r="AZ183" s="34">
        <v>35088.300000000003</v>
      </c>
      <c r="BA183" s="34">
        <v>37547.4</v>
      </c>
      <c r="BB183" s="34">
        <v>37285.599999999999</v>
      </c>
      <c r="BC183" s="34">
        <v>37575.1</v>
      </c>
      <c r="BD183" s="34">
        <v>38112.1</v>
      </c>
      <c r="BE183" s="34">
        <v>35733.300000000003</v>
      </c>
      <c r="BF183" s="34">
        <v>36197.199999999997</v>
      </c>
      <c r="BG183" s="34">
        <v>37576.6</v>
      </c>
      <c r="BH183" s="34">
        <v>39507.1</v>
      </c>
      <c r="BI183" s="34">
        <v>39685.599999999999</v>
      </c>
      <c r="BJ183" s="34">
        <v>38592.800000000003</v>
      </c>
      <c r="BK183" s="1">
        <v>42930.8</v>
      </c>
      <c r="BL183" s="1">
        <v>43681.7</v>
      </c>
      <c r="BM183" s="1">
        <v>46280.6</v>
      </c>
    </row>
    <row r="184" spans="1:65">
      <c r="A184" s="1" t="s">
        <v>1292</v>
      </c>
      <c r="B184" s="34"/>
      <c r="C184" s="34"/>
      <c r="D184" s="34"/>
      <c r="E184" s="34"/>
      <c r="F184" s="34"/>
      <c r="G184" s="34">
        <v>106.6</v>
      </c>
      <c r="H184" s="34">
        <v>111.5</v>
      </c>
      <c r="I184" s="34">
        <v>172.3</v>
      </c>
      <c r="J184" s="34">
        <v>296.3</v>
      </c>
      <c r="K184" s="34">
        <v>367.2</v>
      </c>
      <c r="L184" s="34">
        <v>382.2</v>
      </c>
      <c r="M184" s="34">
        <v>437</v>
      </c>
      <c r="N184" s="34">
        <v>518.20000000000005</v>
      </c>
      <c r="O184" s="34">
        <v>663</v>
      </c>
      <c r="P184" s="34">
        <v>2181</v>
      </c>
      <c r="Q184" s="34">
        <v>2663.5</v>
      </c>
      <c r="R184" s="34">
        <v>3106.8</v>
      </c>
      <c r="S184" s="34">
        <v>3164.9</v>
      </c>
      <c r="T184" s="34">
        <v>3002.2</v>
      </c>
      <c r="U184" s="34">
        <v>3875.4</v>
      </c>
      <c r="V184" s="34">
        <v>5879.1</v>
      </c>
      <c r="W184" s="34">
        <v>6748.8</v>
      </c>
      <c r="X184" s="34">
        <v>6636.8</v>
      </c>
      <c r="Y184" s="34">
        <v>6585.1</v>
      </c>
      <c r="Z184" s="34">
        <v>6928</v>
      </c>
      <c r="AA184" s="34">
        <v>7393.6</v>
      </c>
      <c r="AB184" s="34">
        <v>5074.1000000000004</v>
      </c>
      <c r="AC184" s="34">
        <v>5094.2</v>
      </c>
      <c r="AD184" s="34">
        <v>5165.7</v>
      </c>
      <c r="AE184" s="34">
        <v>5468.5</v>
      </c>
      <c r="AF184" s="34">
        <v>6475.4</v>
      </c>
      <c r="AG184" s="34">
        <v>5984.4</v>
      </c>
      <c r="AH184" s="34">
        <v>6272.5</v>
      </c>
      <c r="AI184" s="34">
        <v>6029.9</v>
      </c>
      <c r="AJ184" s="34">
        <v>6054.7</v>
      </c>
      <c r="AK184" s="34">
        <v>6352.8</v>
      </c>
      <c r="AL184" s="34">
        <v>6913.1</v>
      </c>
      <c r="AM184" s="34">
        <v>7052.7</v>
      </c>
      <c r="AN184" s="34">
        <v>6139.7</v>
      </c>
      <c r="AO184" s="34">
        <v>6742.8</v>
      </c>
      <c r="AP184" s="34">
        <v>8321.4</v>
      </c>
      <c r="AQ184" s="34">
        <v>8191.5</v>
      </c>
      <c r="AR184" s="34">
        <v>8380</v>
      </c>
      <c r="AS184" s="34">
        <v>8896.9</v>
      </c>
      <c r="AT184" s="34">
        <v>10030.4</v>
      </c>
      <c r="AU184" s="34">
        <v>12357.7</v>
      </c>
      <c r="AV184" s="34">
        <v>14533.7</v>
      </c>
      <c r="AW184" s="34">
        <v>16151.3</v>
      </c>
      <c r="AX184" s="34">
        <v>22974.3</v>
      </c>
      <c r="AY184" s="34">
        <v>17938</v>
      </c>
      <c r="AZ184" s="34">
        <v>22552.2</v>
      </c>
      <c r="BA184" s="34">
        <v>24166.1</v>
      </c>
      <c r="BB184" s="34">
        <v>24722.6</v>
      </c>
      <c r="BC184" s="34">
        <v>23563.9</v>
      </c>
      <c r="BD184" s="34">
        <v>23121.200000000001</v>
      </c>
      <c r="BE184" s="34">
        <v>18777.400000000001</v>
      </c>
      <c r="BF184" s="34">
        <v>17082.2</v>
      </c>
      <c r="BG184" s="34">
        <v>17802.599999999999</v>
      </c>
      <c r="BH184" s="34">
        <v>19887.599999999999</v>
      </c>
      <c r="BI184" s="34">
        <v>19132.2</v>
      </c>
      <c r="BJ184" s="34">
        <v>16707.599999999999</v>
      </c>
      <c r="BK184" s="1">
        <v>19509.5</v>
      </c>
      <c r="BL184" s="1">
        <v>25056.799999999999</v>
      </c>
      <c r="BM184" s="1">
        <v>23295.3</v>
      </c>
    </row>
    <row r="185" spans="1:65">
      <c r="A185" s="1" t="s">
        <v>1293</v>
      </c>
      <c r="B185" s="34"/>
      <c r="C185" s="34"/>
      <c r="D185" s="34"/>
      <c r="E185" s="34"/>
      <c r="F185" s="34"/>
      <c r="G185" s="34"/>
      <c r="H185" s="34"/>
      <c r="I185" s="34"/>
      <c r="J185" s="34"/>
      <c r="K185" s="34"/>
      <c r="L185" s="34"/>
      <c r="M185" s="34"/>
      <c r="N185" s="34"/>
      <c r="O185" s="34"/>
      <c r="P185" s="34"/>
      <c r="Q185" s="34">
        <v>1004.6</v>
      </c>
      <c r="R185" s="34">
        <v>1181.4000000000001</v>
      </c>
      <c r="S185" s="34">
        <v>1438</v>
      </c>
      <c r="T185" s="34">
        <v>1646.3</v>
      </c>
      <c r="U185" s="34">
        <v>2017.2</v>
      </c>
      <c r="V185" s="34">
        <v>2710.4</v>
      </c>
      <c r="W185" s="34">
        <v>2656.6</v>
      </c>
      <c r="X185" s="34">
        <v>2574.6</v>
      </c>
      <c r="Y185" s="34">
        <v>2417.6999999999998</v>
      </c>
      <c r="Z185" s="34">
        <v>2407.8000000000002</v>
      </c>
      <c r="AA185" s="34">
        <v>2321.6</v>
      </c>
      <c r="AB185" s="34">
        <v>2396.6</v>
      </c>
      <c r="AC185" s="34">
        <v>2889</v>
      </c>
      <c r="AD185" s="34">
        <v>3120.8</v>
      </c>
      <c r="AE185" s="34">
        <v>3123.7</v>
      </c>
      <c r="AF185" s="34">
        <v>3608.3</v>
      </c>
      <c r="AG185" s="34">
        <v>3742.2</v>
      </c>
      <c r="AH185" s="34">
        <v>4064.7</v>
      </c>
      <c r="AI185" s="34">
        <v>3955.5</v>
      </c>
      <c r="AJ185" s="34">
        <v>4138.6000000000004</v>
      </c>
      <c r="AK185" s="34">
        <v>4767.3</v>
      </c>
      <c r="AL185" s="34">
        <v>4901.5</v>
      </c>
      <c r="AM185" s="34">
        <v>4872.7</v>
      </c>
      <c r="AN185" s="34">
        <v>4908.1000000000004</v>
      </c>
      <c r="AO185" s="34">
        <v>5049</v>
      </c>
      <c r="AP185" s="34">
        <v>5264.1</v>
      </c>
      <c r="AQ185" s="34">
        <v>5211.8999999999996</v>
      </c>
      <c r="AR185" s="34">
        <v>5609.2</v>
      </c>
      <c r="AS185" s="34">
        <v>6803.9</v>
      </c>
      <c r="AT185" s="34">
        <v>7955.9</v>
      </c>
      <c r="AU185" s="34">
        <v>8859</v>
      </c>
      <c r="AV185" s="34">
        <v>9748.7999999999993</v>
      </c>
      <c r="AW185" s="34">
        <v>11505.4</v>
      </c>
      <c r="AX185" s="34">
        <v>12427.5</v>
      </c>
      <c r="AY185" s="34">
        <v>10627.6</v>
      </c>
      <c r="AZ185" s="34">
        <v>11207.5</v>
      </c>
      <c r="BA185" s="34">
        <v>12625.4</v>
      </c>
      <c r="BB185" s="34">
        <v>12403.6</v>
      </c>
      <c r="BC185" s="34">
        <v>12793.9</v>
      </c>
      <c r="BD185" s="34">
        <v>13014.9</v>
      </c>
      <c r="BE185" s="34">
        <v>11597.3</v>
      </c>
      <c r="BF185" s="34">
        <v>12007.6</v>
      </c>
      <c r="BG185" s="34">
        <v>13168.3</v>
      </c>
      <c r="BH185" s="34">
        <v>14244.6</v>
      </c>
      <c r="BI185" s="34">
        <v>14212.9</v>
      </c>
      <c r="BJ185" s="34">
        <v>12862.5</v>
      </c>
      <c r="BK185" s="1">
        <v>14917.6</v>
      </c>
      <c r="BL185" s="1">
        <v>15844.4</v>
      </c>
      <c r="BM185" s="1">
        <v>16460</v>
      </c>
    </row>
    <row r="186" spans="1:65">
      <c r="A186" s="1" t="s">
        <v>1294</v>
      </c>
      <c r="B186" s="34">
        <v>81.599999999999994</v>
      </c>
      <c r="C186" s="34">
        <v>87.5</v>
      </c>
      <c r="D186" s="34">
        <v>89.5</v>
      </c>
      <c r="E186" s="34">
        <v>93.9</v>
      </c>
      <c r="F186" s="34">
        <v>103</v>
      </c>
      <c r="G186" s="34">
        <v>114.4</v>
      </c>
      <c r="H186" s="34">
        <v>123.3</v>
      </c>
      <c r="I186" s="34">
        <v>136.6</v>
      </c>
      <c r="J186" s="34">
        <v>143.30000000000001</v>
      </c>
      <c r="K186" s="34">
        <v>150.5</v>
      </c>
      <c r="L186" s="34">
        <v>169.1</v>
      </c>
      <c r="M186" s="34">
        <v>175.2</v>
      </c>
      <c r="N186" s="34">
        <v>150.6</v>
      </c>
      <c r="O186" s="34">
        <v>99.3</v>
      </c>
      <c r="P186" s="34">
        <v>134.5</v>
      </c>
      <c r="Q186" s="34">
        <v>164.8</v>
      </c>
      <c r="R186" s="34">
        <v>187.5</v>
      </c>
      <c r="S186" s="34">
        <v>208.8</v>
      </c>
      <c r="T186" s="34">
        <v>238.2</v>
      </c>
      <c r="U186" s="34">
        <v>254.3</v>
      </c>
      <c r="V186" s="34">
        <v>293.39999999999998</v>
      </c>
      <c r="W186" s="34">
        <v>333.5</v>
      </c>
      <c r="X186" s="34">
        <v>349.8</v>
      </c>
      <c r="Y186" s="34">
        <v>315</v>
      </c>
      <c r="Z186" s="34">
        <v>331.4</v>
      </c>
      <c r="AA186" s="34">
        <v>320.7</v>
      </c>
      <c r="AB186" s="34">
        <v>317</v>
      </c>
      <c r="AC186" s="34">
        <v>319.89999999999998</v>
      </c>
      <c r="AD186" s="34">
        <v>356.3</v>
      </c>
      <c r="AE186" s="34">
        <v>359.7</v>
      </c>
      <c r="AF186" s="34">
        <v>346.7</v>
      </c>
      <c r="AG186" s="34">
        <v>382.8</v>
      </c>
      <c r="AH186" s="34">
        <v>399.5</v>
      </c>
      <c r="AI186" s="34">
        <v>412.7</v>
      </c>
      <c r="AJ186" s="34">
        <v>404.6</v>
      </c>
      <c r="AK186" s="34">
        <v>455.5</v>
      </c>
      <c r="AL186" s="34">
        <v>461.4</v>
      </c>
      <c r="AM186" s="34">
        <v>441.8</v>
      </c>
      <c r="AN186" s="34">
        <v>427.5</v>
      </c>
      <c r="AO186" s="34">
        <v>420.7</v>
      </c>
      <c r="AP186" s="34">
        <v>644.5</v>
      </c>
      <c r="AQ186" s="34">
        <v>610.1</v>
      </c>
      <c r="AR186" s="34">
        <v>599.79999999999995</v>
      </c>
      <c r="AS186" s="34">
        <v>673.4</v>
      </c>
      <c r="AT186" s="34">
        <v>774.8</v>
      </c>
      <c r="AU186" s="34">
        <v>832.8</v>
      </c>
      <c r="AV186" s="34">
        <v>909</v>
      </c>
      <c r="AW186" s="34">
        <v>1012.2</v>
      </c>
      <c r="AX186" s="34">
        <v>1087.5</v>
      </c>
      <c r="AY186" s="34">
        <v>985.3</v>
      </c>
      <c r="AZ186" s="34">
        <v>1011.6</v>
      </c>
      <c r="BA186" s="34">
        <v>1161</v>
      </c>
      <c r="BB186" s="34">
        <v>1236.9000000000001</v>
      </c>
      <c r="BC186" s="34">
        <v>1259.7</v>
      </c>
      <c r="BD186" s="34">
        <v>1303.2</v>
      </c>
      <c r="BE186" s="34">
        <v>1421.8</v>
      </c>
      <c r="BF186" s="34">
        <v>1468.8</v>
      </c>
      <c r="BG186" s="34">
        <v>1567.6</v>
      </c>
      <c r="BH186" s="34">
        <v>1620.7</v>
      </c>
      <c r="BI186" s="34">
        <v>1437.2</v>
      </c>
      <c r="BJ186" s="34">
        <v>1322.3</v>
      </c>
      <c r="BK186" s="1">
        <v>1506.1</v>
      </c>
      <c r="BL186" s="1">
        <v>1589.3</v>
      </c>
      <c r="BM186" s="1">
        <v>1407</v>
      </c>
    </row>
    <row r="187" spans="1:65">
      <c r="A187" s="1" t="s">
        <v>1295</v>
      </c>
      <c r="B187" s="34">
        <v>476.6</v>
      </c>
      <c r="C187" s="34">
        <v>516</v>
      </c>
      <c r="D187" s="34">
        <v>545.1</v>
      </c>
      <c r="E187" s="34">
        <v>586.1</v>
      </c>
      <c r="F187" s="34">
        <v>610.4</v>
      </c>
      <c r="G187" s="34">
        <v>650.5</v>
      </c>
      <c r="H187" s="34">
        <v>687.8</v>
      </c>
      <c r="I187" s="34">
        <v>743.6</v>
      </c>
      <c r="J187" s="34">
        <v>777</v>
      </c>
      <c r="K187" s="34">
        <v>828.6</v>
      </c>
      <c r="L187" s="34">
        <v>891.1</v>
      </c>
      <c r="M187" s="34">
        <v>977.5</v>
      </c>
      <c r="N187" s="34">
        <v>1044.2</v>
      </c>
      <c r="O187" s="34">
        <v>1162.3</v>
      </c>
      <c r="P187" s="34">
        <v>1294.3</v>
      </c>
      <c r="Q187" s="34">
        <v>1403.7</v>
      </c>
      <c r="R187" s="34">
        <v>1454.8</v>
      </c>
      <c r="S187" s="34">
        <v>1501.9</v>
      </c>
      <c r="T187" s="34">
        <v>1737.6</v>
      </c>
      <c r="U187" s="34">
        <v>1937.7</v>
      </c>
      <c r="V187" s="34">
        <v>2357.8000000000002</v>
      </c>
      <c r="W187" s="34">
        <v>2607.1999999999998</v>
      </c>
      <c r="X187" s="34">
        <v>2814.2</v>
      </c>
      <c r="Y187" s="34">
        <v>2822.9</v>
      </c>
      <c r="Z187" s="34">
        <v>2879.2</v>
      </c>
      <c r="AA187" s="34">
        <v>2977.4</v>
      </c>
      <c r="AB187" s="34">
        <v>3025.3</v>
      </c>
      <c r="AC187" s="34">
        <v>2972.1</v>
      </c>
      <c r="AD187" s="34">
        <v>2514.1999999999998</v>
      </c>
      <c r="AE187" s="34">
        <v>2467.5</v>
      </c>
      <c r="AF187" s="34">
        <v>2626.1</v>
      </c>
      <c r="AG187" s="34">
        <v>2827.6</v>
      </c>
      <c r="AH187" s="34">
        <v>3148.4</v>
      </c>
      <c r="AI187" s="34">
        <v>3368.2</v>
      </c>
      <c r="AJ187" s="34">
        <v>3519</v>
      </c>
      <c r="AK187" s="34">
        <v>3524.9</v>
      </c>
      <c r="AL187" s="34">
        <v>3561.3</v>
      </c>
      <c r="AM187" s="34">
        <v>3775.6</v>
      </c>
      <c r="AN187" s="34">
        <v>4012.1</v>
      </c>
      <c r="AO187" s="34">
        <v>4121.6000000000004</v>
      </c>
      <c r="AP187" s="34">
        <v>4099</v>
      </c>
      <c r="AQ187" s="34">
        <v>4084.3</v>
      </c>
      <c r="AR187" s="34">
        <v>4163.5</v>
      </c>
      <c r="AS187" s="34">
        <v>4304.1000000000004</v>
      </c>
      <c r="AT187" s="34">
        <v>4629</v>
      </c>
      <c r="AU187" s="34">
        <v>4953.1000000000004</v>
      </c>
      <c r="AV187" s="34">
        <v>5385.6</v>
      </c>
      <c r="AW187" s="34">
        <v>6205.8</v>
      </c>
      <c r="AX187" s="34">
        <v>7197.1</v>
      </c>
      <c r="AY187" s="34">
        <v>7618.4</v>
      </c>
      <c r="AZ187" s="34">
        <v>8124.6</v>
      </c>
      <c r="BA187" s="34">
        <v>9403.4</v>
      </c>
      <c r="BB187" s="34">
        <v>10767.3</v>
      </c>
      <c r="BC187" s="34">
        <v>11932.3</v>
      </c>
      <c r="BD187" s="34">
        <v>12837.2</v>
      </c>
      <c r="BE187" s="34">
        <v>13669.6</v>
      </c>
      <c r="BF187" s="34">
        <v>14382.2</v>
      </c>
      <c r="BG187" s="34">
        <v>15186</v>
      </c>
      <c r="BH187" s="34">
        <v>16156.1</v>
      </c>
      <c r="BI187" s="34">
        <v>16472.8</v>
      </c>
      <c r="BJ187" s="34">
        <v>13293.3</v>
      </c>
      <c r="BK187" s="1">
        <v>15491.3</v>
      </c>
      <c r="BL187" s="1">
        <v>17357.599999999999</v>
      </c>
      <c r="BM187" s="1">
        <v>18661.8</v>
      </c>
    </row>
    <row r="188" spans="1:65">
      <c r="A188" s="1" t="s">
        <v>234</v>
      </c>
      <c r="B188" s="34"/>
      <c r="C188" s="34"/>
      <c r="D188" s="34"/>
      <c r="E188" s="34"/>
      <c r="F188" s="34"/>
      <c r="G188" s="34"/>
      <c r="H188" s="34"/>
      <c r="I188" s="34"/>
      <c r="J188" s="34"/>
      <c r="K188" s="34"/>
      <c r="L188" s="34"/>
      <c r="M188" s="34"/>
      <c r="N188" s="34"/>
      <c r="O188" s="34"/>
      <c r="P188" s="34"/>
      <c r="Q188" s="34"/>
      <c r="R188" s="34"/>
      <c r="S188" s="34"/>
      <c r="T188" s="34"/>
      <c r="U188" s="34"/>
      <c r="V188" s="34"/>
      <c r="W188" s="34"/>
      <c r="X188" s="34">
        <v>827.4</v>
      </c>
      <c r="Y188" s="34">
        <v>750.2</v>
      </c>
      <c r="Z188" s="34">
        <v>1054.5999999999999</v>
      </c>
      <c r="AA188" s="34">
        <v>761.9</v>
      </c>
      <c r="AB188" s="34">
        <v>1077.5999999999999</v>
      </c>
      <c r="AC188" s="34">
        <v>1767.3</v>
      </c>
      <c r="AD188" s="34">
        <v>730.2</v>
      </c>
      <c r="AE188" s="34">
        <v>1040.5</v>
      </c>
      <c r="AF188" s="34">
        <v>1194.5</v>
      </c>
      <c r="AG188" s="34">
        <v>1520.7</v>
      </c>
      <c r="AH188" s="34">
        <v>1560.5</v>
      </c>
      <c r="AI188" s="34">
        <v>1481.3</v>
      </c>
      <c r="AJ188" s="34">
        <v>1871.4</v>
      </c>
      <c r="AK188" s="34">
        <v>2180.6</v>
      </c>
      <c r="AL188" s="34">
        <v>2218.3000000000002</v>
      </c>
      <c r="AM188" s="34">
        <v>2292.4</v>
      </c>
      <c r="AN188" s="34">
        <v>2149.6999999999998</v>
      </c>
      <c r="AO188" s="34">
        <v>1911.7</v>
      </c>
      <c r="AP188" s="34">
        <v>1941.3</v>
      </c>
      <c r="AQ188" s="34">
        <v>1926</v>
      </c>
      <c r="AR188" s="34">
        <v>2004</v>
      </c>
      <c r="AS188" s="34">
        <v>2126.1</v>
      </c>
      <c r="AT188" s="34">
        <v>2393.6999999999998</v>
      </c>
      <c r="AU188" s="34">
        <v>2702.2</v>
      </c>
      <c r="AV188" s="34">
        <v>3123.3</v>
      </c>
      <c r="AW188" s="34">
        <v>3572.4</v>
      </c>
      <c r="AX188" s="34">
        <v>4184.8999999999996</v>
      </c>
      <c r="AY188" s="34">
        <v>4165</v>
      </c>
      <c r="AZ188" s="34">
        <v>5047.2</v>
      </c>
      <c r="BA188" s="34">
        <v>5826.8</v>
      </c>
      <c r="BB188" s="34">
        <v>6475.7</v>
      </c>
      <c r="BC188" s="34">
        <v>6697.2</v>
      </c>
      <c r="BD188" s="34">
        <v>6614.8</v>
      </c>
      <c r="BE188" s="34">
        <v>6180.1</v>
      </c>
      <c r="BF188" s="34">
        <v>6163.9</v>
      </c>
      <c r="BG188" s="34">
        <v>6676.3</v>
      </c>
      <c r="BH188" s="34">
        <v>6912.1</v>
      </c>
      <c r="BI188" s="34">
        <v>6956.5</v>
      </c>
      <c r="BJ188" s="34">
        <v>6047.5</v>
      </c>
      <c r="BK188" s="1">
        <v>6713.7</v>
      </c>
      <c r="BL188" s="1">
        <v>7239.1</v>
      </c>
      <c r="BM188" s="1">
        <v>7789.9</v>
      </c>
    </row>
    <row r="189" spans="1:65">
      <c r="A189" s="1" t="s">
        <v>200</v>
      </c>
      <c r="B189" s="34">
        <v>263.8</v>
      </c>
      <c r="C189" s="34">
        <v>278.5</v>
      </c>
      <c r="D189" s="34">
        <v>164.1</v>
      </c>
      <c r="E189" s="34">
        <v>177.3</v>
      </c>
      <c r="F189" s="34">
        <v>186.5</v>
      </c>
      <c r="G189" s="34">
        <v>198.7</v>
      </c>
      <c r="H189" s="34">
        <v>213.3</v>
      </c>
      <c r="I189" s="34">
        <v>223.2</v>
      </c>
      <c r="J189" s="34">
        <v>242.9</v>
      </c>
      <c r="K189" s="34">
        <v>262.39999999999998</v>
      </c>
      <c r="L189" s="34">
        <v>201.9</v>
      </c>
      <c r="M189" s="34">
        <v>218</v>
      </c>
      <c r="N189" s="34">
        <v>230.1</v>
      </c>
      <c r="O189" s="34">
        <v>282.39999999999998</v>
      </c>
      <c r="P189" s="34">
        <v>377.1</v>
      </c>
      <c r="Q189" s="34">
        <v>398.1</v>
      </c>
      <c r="R189" s="34">
        <v>445.8</v>
      </c>
      <c r="S189" s="34">
        <v>499.1</v>
      </c>
      <c r="T189" s="34">
        <v>561.4</v>
      </c>
      <c r="U189" s="34">
        <v>662</v>
      </c>
      <c r="V189" s="34">
        <v>761</v>
      </c>
      <c r="W189" s="34">
        <v>815.2</v>
      </c>
      <c r="X189" s="34">
        <v>828.6</v>
      </c>
      <c r="Y189" s="34">
        <v>723.1</v>
      </c>
      <c r="Z189" s="34">
        <v>667.7</v>
      </c>
      <c r="AA189" s="34">
        <v>637.79999999999995</v>
      </c>
      <c r="AB189" s="34">
        <v>605.70000000000005</v>
      </c>
      <c r="AC189" s="34">
        <v>658.2</v>
      </c>
      <c r="AD189" s="34">
        <v>734.4</v>
      </c>
      <c r="AE189" s="34">
        <v>806.9</v>
      </c>
      <c r="AF189" s="34">
        <v>820.5</v>
      </c>
      <c r="AG189" s="34">
        <v>821.5</v>
      </c>
      <c r="AH189" s="34">
        <v>936.1</v>
      </c>
      <c r="AI189" s="34">
        <v>938.8</v>
      </c>
      <c r="AJ189" s="34">
        <v>1081.4000000000001</v>
      </c>
      <c r="AK189" s="34">
        <v>1222.3</v>
      </c>
      <c r="AL189" s="34">
        <v>1334.1</v>
      </c>
      <c r="AM189" s="34">
        <v>1294.0999999999999</v>
      </c>
      <c r="AN189" s="34">
        <v>1000</v>
      </c>
      <c r="AO189" s="34">
        <v>1123.2</v>
      </c>
      <c r="AP189" s="34">
        <v>1073.3</v>
      </c>
      <c r="AQ189" s="34">
        <v>991.1</v>
      </c>
      <c r="AR189" s="34">
        <v>1037.2</v>
      </c>
      <c r="AS189" s="34">
        <v>1049.4000000000001</v>
      </c>
      <c r="AT189" s="34">
        <v>1122.9000000000001</v>
      </c>
      <c r="AU189" s="34">
        <v>1245.3</v>
      </c>
      <c r="AV189" s="34">
        <v>1452.2</v>
      </c>
      <c r="AW189" s="34">
        <v>1741.6</v>
      </c>
      <c r="AX189" s="34">
        <v>1990.4</v>
      </c>
      <c r="AY189" s="34">
        <v>1893.3</v>
      </c>
      <c r="AZ189" s="34">
        <v>2201.8000000000002</v>
      </c>
      <c r="BA189" s="34">
        <v>2431.1999999999998</v>
      </c>
      <c r="BB189" s="34">
        <v>2671.8</v>
      </c>
      <c r="BC189" s="34">
        <v>2847.6</v>
      </c>
      <c r="BD189" s="34">
        <v>2935.9</v>
      </c>
      <c r="BE189" s="34">
        <v>2974.3</v>
      </c>
      <c r="BF189" s="34">
        <v>3038.2</v>
      </c>
      <c r="BG189" s="34">
        <v>3077.4</v>
      </c>
      <c r="BH189" s="34">
        <v>3194.7</v>
      </c>
      <c r="BI189" s="34">
        <v>3413.8</v>
      </c>
      <c r="BJ189" s="34">
        <v>3224.4</v>
      </c>
      <c r="BK189" s="1">
        <v>3460.5</v>
      </c>
      <c r="BL189" s="1">
        <v>3499.1</v>
      </c>
      <c r="BM189" s="1">
        <v>3725.6</v>
      </c>
    </row>
    <row r="190" spans="1:65">
      <c r="A190" s="1" t="s">
        <v>1296</v>
      </c>
      <c r="B190" s="34"/>
      <c r="C190" s="34"/>
      <c r="D190" s="34"/>
      <c r="E190" s="34"/>
      <c r="F190" s="34"/>
      <c r="G190" s="34"/>
      <c r="H190" s="34"/>
      <c r="I190" s="34"/>
      <c r="J190" s="34"/>
      <c r="K190" s="34"/>
      <c r="L190" s="34">
        <v>1017.3</v>
      </c>
      <c r="M190" s="34">
        <v>1082.4000000000001</v>
      </c>
      <c r="N190" s="34">
        <v>1146.5999999999999</v>
      </c>
      <c r="O190" s="34">
        <v>1222.5</v>
      </c>
      <c r="P190" s="34">
        <v>1330.7</v>
      </c>
      <c r="Q190" s="34">
        <v>1469.1</v>
      </c>
      <c r="R190" s="34">
        <v>1624.1</v>
      </c>
      <c r="S190" s="34">
        <v>1789.9</v>
      </c>
      <c r="T190" s="34">
        <v>1980.3</v>
      </c>
      <c r="U190" s="34">
        <v>2195.5</v>
      </c>
      <c r="V190" s="34">
        <v>2426.4</v>
      </c>
      <c r="W190" s="34">
        <v>2642.2</v>
      </c>
      <c r="X190" s="34">
        <v>2844.4</v>
      </c>
      <c r="Y190" s="34">
        <v>3057.2</v>
      </c>
      <c r="Z190" s="34">
        <v>3369.7</v>
      </c>
      <c r="AA190" s="34">
        <v>3740.2</v>
      </c>
      <c r="AB190" s="34">
        <v>4155.1000000000004</v>
      </c>
      <c r="AC190" s="34">
        <v>4624.3999999999996</v>
      </c>
      <c r="AD190" s="34">
        <v>5149.6000000000004</v>
      </c>
      <c r="AE190" s="34">
        <v>5736.5</v>
      </c>
      <c r="AF190" s="34">
        <v>6388.7</v>
      </c>
      <c r="AG190" s="34">
        <v>6813</v>
      </c>
      <c r="AH190" s="34">
        <v>6546.6</v>
      </c>
      <c r="AI190" s="34">
        <v>5888.6</v>
      </c>
      <c r="AJ190" s="34">
        <v>6329.1</v>
      </c>
      <c r="AK190" s="34">
        <v>7032.3</v>
      </c>
      <c r="AL190" s="34">
        <v>7754</v>
      </c>
      <c r="AM190" s="34">
        <v>7862.5</v>
      </c>
      <c r="AN190" s="34">
        <v>7907.9</v>
      </c>
      <c r="AO190" s="34">
        <v>7441</v>
      </c>
      <c r="AP190" s="34">
        <v>7580.6</v>
      </c>
      <c r="AQ190" s="34">
        <v>8041.8</v>
      </c>
      <c r="AR190" s="34">
        <v>8194.2999999999993</v>
      </c>
      <c r="AS190" s="34">
        <v>7774.6</v>
      </c>
      <c r="AT190" s="34">
        <v>8358.4</v>
      </c>
      <c r="AU190" s="34">
        <v>9633.7999999999993</v>
      </c>
      <c r="AV190" s="34">
        <v>9872</v>
      </c>
      <c r="AW190" s="34">
        <v>10374</v>
      </c>
      <c r="AX190" s="34">
        <v>10531.2</v>
      </c>
      <c r="AY190" s="34">
        <v>10092.299999999999</v>
      </c>
      <c r="AZ190" s="34">
        <v>10149.6</v>
      </c>
      <c r="BA190" s="34">
        <v>10903.2</v>
      </c>
      <c r="BB190" s="34">
        <v>12022.9</v>
      </c>
      <c r="BC190" s="34">
        <v>12595.6</v>
      </c>
      <c r="BD190" s="34">
        <v>13808.2</v>
      </c>
      <c r="BE190" s="34">
        <v>16141.2</v>
      </c>
      <c r="BF190" s="34">
        <v>17142.099999999999</v>
      </c>
      <c r="BG190" s="34">
        <v>16389.900000000001</v>
      </c>
      <c r="BH190" s="34">
        <v>16130.8</v>
      </c>
      <c r="BI190" s="34">
        <v>15730.6</v>
      </c>
      <c r="BJ190" s="34">
        <v>14532.6</v>
      </c>
      <c r="BK190" s="1">
        <v>12752.9</v>
      </c>
      <c r="BL190" s="1">
        <v>13422</v>
      </c>
      <c r="BM190" s="1">
        <v>14565.3</v>
      </c>
    </row>
    <row r="191" spans="1:65">
      <c r="A191" s="1" t="s">
        <v>1297</v>
      </c>
      <c r="B191" s="34">
        <v>116.1</v>
      </c>
      <c r="C191" s="34">
        <v>120.3</v>
      </c>
      <c r="D191" s="34">
        <v>125.4</v>
      </c>
      <c r="E191" s="34">
        <v>129.6</v>
      </c>
      <c r="F191" s="34">
        <v>140.30000000000001</v>
      </c>
      <c r="G191" s="34">
        <v>154.9</v>
      </c>
      <c r="H191" s="34">
        <v>172.1</v>
      </c>
      <c r="I191" s="34">
        <v>190.2</v>
      </c>
      <c r="J191" s="34">
        <v>204.3</v>
      </c>
      <c r="K191" s="34">
        <v>226.8</v>
      </c>
      <c r="L191" s="34">
        <v>259.39999999999998</v>
      </c>
      <c r="M191" s="34">
        <v>281.5</v>
      </c>
      <c r="N191" s="34">
        <v>328.9</v>
      </c>
      <c r="O191" s="34">
        <v>486.2</v>
      </c>
      <c r="P191" s="34">
        <v>536.9</v>
      </c>
      <c r="Q191" s="34">
        <v>485.5</v>
      </c>
      <c r="R191" s="34">
        <v>529.4</v>
      </c>
      <c r="S191" s="34">
        <v>562.4</v>
      </c>
      <c r="T191" s="34">
        <v>653.70000000000005</v>
      </c>
      <c r="U191" s="34">
        <v>754.1</v>
      </c>
      <c r="V191" s="34">
        <v>820</v>
      </c>
      <c r="W191" s="34">
        <v>788.3</v>
      </c>
      <c r="X191" s="34">
        <v>732.2</v>
      </c>
      <c r="Y191" s="34">
        <v>775.6</v>
      </c>
      <c r="Z191" s="34">
        <v>756.5</v>
      </c>
      <c r="AA191" s="34">
        <v>702.9</v>
      </c>
      <c r="AB191" s="34">
        <v>751.6</v>
      </c>
      <c r="AC191" s="34">
        <v>873.2</v>
      </c>
      <c r="AD191" s="34">
        <v>993.6</v>
      </c>
      <c r="AE191" s="34">
        <v>942.2</v>
      </c>
      <c r="AF191" s="34">
        <v>833.1</v>
      </c>
      <c r="AG191" s="34">
        <v>949</v>
      </c>
      <c r="AH191" s="34">
        <v>1058.3</v>
      </c>
      <c r="AI191" s="34">
        <v>1159.0999999999999</v>
      </c>
      <c r="AJ191" s="34">
        <v>1236.0999999999999</v>
      </c>
      <c r="AK191" s="34">
        <v>1004.2</v>
      </c>
      <c r="AL191" s="34">
        <v>1077.2</v>
      </c>
      <c r="AM191" s="34">
        <v>995.2</v>
      </c>
      <c r="AN191" s="34">
        <v>737.4</v>
      </c>
      <c r="AO191" s="34">
        <v>653.4</v>
      </c>
      <c r="AP191" s="34">
        <v>639.29999999999995</v>
      </c>
      <c r="AQ191" s="34">
        <v>540.70000000000005</v>
      </c>
      <c r="AR191" s="34">
        <v>509</v>
      </c>
      <c r="AS191" s="34">
        <v>580.6</v>
      </c>
      <c r="AT191" s="34">
        <v>624</v>
      </c>
      <c r="AU191" s="34">
        <v>748.7</v>
      </c>
      <c r="AV191" s="34">
        <v>1245.5</v>
      </c>
      <c r="AW191" s="34">
        <v>1379.1</v>
      </c>
      <c r="AX191" s="34">
        <v>1635</v>
      </c>
      <c r="AY191" s="34">
        <v>1579</v>
      </c>
      <c r="AZ191" s="34">
        <v>1879.2</v>
      </c>
      <c r="BA191" s="34">
        <v>2303.8000000000002</v>
      </c>
      <c r="BB191" s="34">
        <v>2653.1</v>
      </c>
      <c r="BC191" s="34">
        <v>2578.5</v>
      </c>
      <c r="BD191" s="34">
        <v>2742.3</v>
      </c>
      <c r="BE191" s="34">
        <v>2502.1</v>
      </c>
      <c r="BF191" s="34">
        <v>2332.6999999999998</v>
      </c>
      <c r="BG191" s="34">
        <v>2495.1</v>
      </c>
      <c r="BH191" s="34">
        <v>2584.3000000000002</v>
      </c>
      <c r="BI191" s="34">
        <v>2593.8000000000002</v>
      </c>
      <c r="BJ191" s="34">
        <v>2446.1</v>
      </c>
      <c r="BK191" s="1">
        <v>2624.6</v>
      </c>
      <c r="BL191" s="1">
        <v>3115.9</v>
      </c>
      <c r="BM191" s="1">
        <v>2994.5</v>
      </c>
    </row>
    <row r="192" spans="1:65">
      <c r="A192" s="1" t="s">
        <v>1298</v>
      </c>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v>1731.2</v>
      </c>
      <c r="AG192" s="34">
        <v>2235.5</v>
      </c>
      <c r="AH192" s="34">
        <v>2459</v>
      </c>
      <c r="AI192" s="34">
        <v>2497.1</v>
      </c>
      <c r="AJ192" s="34">
        <v>2874.8</v>
      </c>
      <c r="AK192" s="34">
        <v>3686.8</v>
      </c>
      <c r="AL192" s="34">
        <v>4147.5</v>
      </c>
      <c r="AM192" s="34">
        <v>4123.1000000000004</v>
      </c>
      <c r="AN192" s="34">
        <v>4518.1000000000004</v>
      </c>
      <c r="AO192" s="34">
        <v>4398.1000000000004</v>
      </c>
      <c r="AP192" s="34">
        <v>4501.5</v>
      </c>
      <c r="AQ192" s="34">
        <v>4991.2</v>
      </c>
      <c r="AR192" s="34">
        <v>5207.1000000000004</v>
      </c>
      <c r="AS192" s="34">
        <v>5701.6</v>
      </c>
      <c r="AT192" s="34">
        <v>6681.3</v>
      </c>
      <c r="AU192" s="34">
        <v>8021.5</v>
      </c>
      <c r="AV192" s="34">
        <v>9035.5</v>
      </c>
      <c r="AW192" s="34">
        <v>11254.3</v>
      </c>
      <c r="AX192" s="34">
        <v>13995.8</v>
      </c>
      <c r="AY192" s="34">
        <v>11525.9</v>
      </c>
      <c r="AZ192" s="34">
        <v>12504.3</v>
      </c>
      <c r="BA192" s="34">
        <v>13776.4</v>
      </c>
      <c r="BB192" s="34">
        <v>13010.8</v>
      </c>
      <c r="BC192" s="34">
        <v>13558.3</v>
      </c>
      <c r="BD192" s="34">
        <v>14181.9</v>
      </c>
      <c r="BE192" s="34">
        <v>12560.1</v>
      </c>
      <c r="BF192" s="34">
        <v>12378.8</v>
      </c>
      <c r="BG192" s="34">
        <v>13815.5</v>
      </c>
      <c r="BH192" s="34">
        <v>15504.5</v>
      </c>
      <c r="BI192" s="34">
        <v>15700</v>
      </c>
      <c r="BJ192" s="34">
        <v>15816.8</v>
      </c>
      <c r="BK192" s="1">
        <v>18050.3</v>
      </c>
      <c r="BL192" s="1">
        <v>18732.5</v>
      </c>
      <c r="BM192" s="1">
        <v>22112.9</v>
      </c>
    </row>
    <row r="193" spans="1:65">
      <c r="A193" s="1" t="s">
        <v>1299</v>
      </c>
      <c r="B193" s="34">
        <v>116.8</v>
      </c>
      <c r="C193" s="34">
        <v>121</v>
      </c>
      <c r="D193" s="34">
        <v>126.8</v>
      </c>
      <c r="E193" s="34">
        <v>131.19999999999999</v>
      </c>
      <c r="F193" s="34">
        <v>139.80000000000001</v>
      </c>
      <c r="G193" s="34">
        <v>145.19999999999999</v>
      </c>
      <c r="H193" s="34">
        <v>154.19999999999999</v>
      </c>
      <c r="I193" s="34">
        <v>148.4</v>
      </c>
      <c r="J193" s="34">
        <v>154.6</v>
      </c>
      <c r="K193" s="34">
        <v>166.1</v>
      </c>
      <c r="L193" s="34">
        <v>186.4</v>
      </c>
      <c r="M193" s="34">
        <v>175.9</v>
      </c>
      <c r="N193" s="34">
        <v>203</v>
      </c>
      <c r="O193" s="34">
        <v>242.4</v>
      </c>
      <c r="P193" s="34">
        <v>330.2</v>
      </c>
      <c r="Q193" s="34">
        <v>368.4</v>
      </c>
      <c r="R193" s="34">
        <v>428.1</v>
      </c>
      <c r="S193" s="34">
        <v>452.3</v>
      </c>
      <c r="T193" s="34">
        <v>492.7</v>
      </c>
      <c r="U193" s="34">
        <v>604.20000000000005</v>
      </c>
      <c r="V193" s="34">
        <v>738</v>
      </c>
      <c r="W193" s="34">
        <v>1019.5</v>
      </c>
      <c r="X193" s="34">
        <v>936.7</v>
      </c>
      <c r="Y193" s="34">
        <v>753.7</v>
      </c>
      <c r="Z193" s="34">
        <v>690.6</v>
      </c>
      <c r="AA193" s="34">
        <v>695.7</v>
      </c>
      <c r="AB193" s="34">
        <v>579.70000000000005</v>
      </c>
      <c r="AC193" s="34">
        <v>609</v>
      </c>
      <c r="AD193" s="34">
        <v>617.9</v>
      </c>
      <c r="AE193" s="34">
        <v>604.5</v>
      </c>
      <c r="AF193" s="34">
        <v>985.9</v>
      </c>
      <c r="AG193" s="34">
        <v>520.20000000000005</v>
      </c>
      <c r="AH193" s="34">
        <v>391.1</v>
      </c>
      <c r="AI193" s="34">
        <v>401.8</v>
      </c>
      <c r="AJ193" s="34">
        <v>405.6</v>
      </c>
      <c r="AK193" s="34">
        <v>579.1</v>
      </c>
      <c r="AL193" s="34">
        <v>681.3</v>
      </c>
      <c r="AM193" s="34">
        <v>730.4</v>
      </c>
      <c r="AN193" s="34">
        <v>751.7</v>
      </c>
      <c r="AO193" s="34">
        <v>455.2</v>
      </c>
      <c r="AP193" s="34">
        <v>511.2</v>
      </c>
      <c r="AQ193" s="34">
        <v>471.9</v>
      </c>
      <c r="AR193" s="34">
        <v>526.79999999999995</v>
      </c>
      <c r="AS193" s="34">
        <v>556.70000000000005</v>
      </c>
      <c r="AT193" s="34">
        <v>673.7</v>
      </c>
      <c r="AU193" s="34">
        <v>814.9</v>
      </c>
      <c r="AV193" s="34">
        <v>995.6</v>
      </c>
      <c r="AW193" s="34">
        <v>1171.5</v>
      </c>
      <c r="AX193" s="34">
        <v>1419.3</v>
      </c>
      <c r="AY193" s="34">
        <v>1248.7</v>
      </c>
      <c r="AZ193" s="34">
        <v>1416.6</v>
      </c>
      <c r="BA193" s="34">
        <v>1593.4</v>
      </c>
      <c r="BB193" s="34">
        <v>1681.2</v>
      </c>
      <c r="BC193" s="34">
        <v>1791.6</v>
      </c>
      <c r="BD193" s="34">
        <v>1844.6</v>
      </c>
      <c r="BE193" s="34">
        <v>1524.8</v>
      </c>
      <c r="BF193" s="34">
        <v>1320.4</v>
      </c>
      <c r="BG193" s="34">
        <v>1340.7</v>
      </c>
      <c r="BH193" s="34">
        <v>1452.9</v>
      </c>
      <c r="BI193" s="34">
        <v>1490.5</v>
      </c>
      <c r="BJ193" s="34">
        <v>1330.6</v>
      </c>
      <c r="BK193" s="1">
        <v>1420.1</v>
      </c>
      <c r="BL193" s="1">
        <v>1579.5</v>
      </c>
      <c r="BM193" s="1">
        <v>1466.2</v>
      </c>
    </row>
    <row r="194" spans="1:65">
      <c r="A194" s="1" t="s">
        <v>1300</v>
      </c>
      <c r="B194" s="34">
        <v>717.5</v>
      </c>
      <c r="C194" s="34">
        <v>777.2</v>
      </c>
      <c r="D194" s="34">
        <v>854.7</v>
      </c>
      <c r="E194" s="34">
        <v>931.8</v>
      </c>
      <c r="F194" s="34">
        <v>1006.4</v>
      </c>
      <c r="G194" s="34">
        <v>1110.8</v>
      </c>
      <c r="H194" s="34">
        <v>1207.8</v>
      </c>
      <c r="I194" s="34">
        <v>1335.3</v>
      </c>
      <c r="J194" s="34">
        <v>1480.7</v>
      </c>
      <c r="K194" s="34">
        <v>1661.9</v>
      </c>
      <c r="L194" s="34">
        <v>1852.4</v>
      </c>
      <c r="M194" s="34">
        <v>2044.3</v>
      </c>
      <c r="N194" s="34">
        <v>2246.5</v>
      </c>
      <c r="O194" s="34">
        <v>2432.4</v>
      </c>
      <c r="P194" s="34">
        <v>2614.5</v>
      </c>
      <c r="Q194" s="34">
        <v>2738.2</v>
      </c>
      <c r="R194" s="34">
        <v>2946.5</v>
      </c>
      <c r="S194" s="34">
        <v>3208.8</v>
      </c>
      <c r="T194" s="34">
        <v>3567.8</v>
      </c>
      <c r="U194" s="34">
        <v>4024.5</v>
      </c>
      <c r="V194" s="34">
        <v>4502.8</v>
      </c>
      <c r="W194" s="34">
        <v>4920.7</v>
      </c>
      <c r="X194" s="34">
        <v>5115</v>
      </c>
      <c r="Y194" s="34">
        <v>5217.7</v>
      </c>
      <c r="Z194" s="34">
        <v>5730.1</v>
      </c>
      <c r="AA194" s="34">
        <v>6008.1</v>
      </c>
      <c r="AB194" s="34">
        <v>6455.2</v>
      </c>
      <c r="AC194" s="34">
        <v>6980.5</v>
      </c>
      <c r="AD194" s="34">
        <v>7595.4</v>
      </c>
      <c r="AE194" s="34">
        <v>8033.1</v>
      </c>
      <c r="AF194" s="34">
        <v>8652.5</v>
      </c>
      <c r="AG194" s="34">
        <v>9064</v>
      </c>
      <c r="AH194" s="34">
        <v>9659.2999999999993</v>
      </c>
      <c r="AI194" s="34">
        <v>10212.299999999999</v>
      </c>
      <c r="AJ194" s="34">
        <v>10876.4</v>
      </c>
      <c r="AK194" s="34">
        <v>11579.2</v>
      </c>
      <c r="AL194" s="34">
        <v>12173.2</v>
      </c>
      <c r="AM194" s="34">
        <v>12817.6</v>
      </c>
      <c r="AN194" s="34">
        <v>14304.4</v>
      </c>
      <c r="AO194" s="34">
        <v>15221</v>
      </c>
      <c r="AP194" s="34">
        <v>16192.1</v>
      </c>
      <c r="AQ194" s="34">
        <v>18123.2</v>
      </c>
      <c r="AR194" s="34">
        <v>18731.5</v>
      </c>
      <c r="AS194" s="34">
        <v>19557.099999999999</v>
      </c>
      <c r="AT194" s="34">
        <v>20989</v>
      </c>
      <c r="AU194" s="34">
        <v>21959.3</v>
      </c>
      <c r="AV194" s="34">
        <v>22935.9</v>
      </c>
      <c r="AW194" s="34">
        <v>23664.9</v>
      </c>
      <c r="AX194" s="34">
        <v>24898.3</v>
      </c>
      <c r="AY194" s="34">
        <v>25768.7</v>
      </c>
      <c r="AZ194" s="34">
        <v>26435.7</v>
      </c>
      <c r="BA194" s="34">
        <v>27278.9</v>
      </c>
      <c r="BB194" s="34">
        <v>27944.7</v>
      </c>
      <c r="BC194" s="34">
        <v>28513.200000000001</v>
      </c>
      <c r="BD194" s="34">
        <v>28981.5</v>
      </c>
      <c r="BE194" s="34">
        <v>29763.5</v>
      </c>
      <c r="BF194" s="34">
        <v>30627.200000000001</v>
      </c>
      <c r="BG194" s="34">
        <v>31108.799999999999</v>
      </c>
      <c r="BH194" s="34">
        <v>31615.1</v>
      </c>
      <c r="BI194" s="34">
        <v>32916.9</v>
      </c>
      <c r="BJ194" s="34">
        <v>31427.4</v>
      </c>
      <c r="BK194" s="1">
        <v>32619.3</v>
      </c>
      <c r="BL194" s="1">
        <v>35268.1</v>
      </c>
      <c r="BM194" s="1">
        <v>36779.1</v>
      </c>
    </row>
    <row r="195" spans="1:65">
      <c r="A195" s="1" t="s">
        <v>1301</v>
      </c>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row>
    <row r="196" spans="1:65">
      <c r="A196" s="1" t="s">
        <v>1302</v>
      </c>
      <c r="B196" s="34">
        <v>377</v>
      </c>
      <c r="C196" s="34">
        <v>400.2</v>
      </c>
      <c r="D196" s="34">
        <v>426.5</v>
      </c>
      <c r="E196" s="34">
        <v>452.3</v>
      </c>
      <c r="F196" s="34">
        <v>490.2</v>
      </c>
      <c r="G196" s="34">
        <v>544.70000000000005</v>
      </c>
      <c r="H196" s="34">
        <v>601.29999999999995</v>
      </c>
      <c r="I196" s="34">
        <v>676.4</v>
      </c>
      <c r="J196" s="34">
        <v>751.9</v>
      </c>
      <c r="K196" s="34">
        <v>832.1</v>
      </c>
      <c r="L196" s="34">
        <v>934.1</v>
      </c>
      <c r="M196" s="34">
        <v>1064.5</v>
      </c>
      <c r="N196" s="34">
        <v>1302.3</v>
      </c>
      <c r="O196" s="34">
        <v>1748</v>
      </c>
      <c r="P196" s="34">
        <v>2000.4</v>
      </c>
      <c r="Q196" s="34">
        <v>2127.6</v>
      </c>
      <c r="R196" s="34">
        <v>2173.3000000000002</v>
      </c>
      <c r="S196" s="34">
        <v>2267.4</v>
      </c>
      <c r="T196" s="34">
        <v>2457.3000000000002</v>
      </c>
      <c r="U196" s="34">
        <v>2755.6</v>
      </c>
      <c r="V196" s="34">
        <v>3368.4</v>
      </c>
      <c r="W196" s="34">
        <v>3246</v>
      </c>
      <c r="X196" s="34">
        <v>3079.9</v>
      </c>
      <c r="Y196" s="34">
        <v>2735.5</v>
      </c>
      <c r="Z196" s="34">
        <v>2522.6999999999998</v>
      </c>
      <c r="AA196" s="34">
        <v>2705.2</v>
      </c>
      <c r="AB196" s="34">
        <v>3861.9</v>
      </c>
      <c r="AC196" s="34">
        <v>4803.8999999999996</v>
      </c>
      <c r="AD196" s="34">
        <v>5623.7</v>
      </c>
      <c r="AE196" s="34">
        <v>6056.4</v>
      </c>
      <c r="AF196" s="34">
        <v>7884.6</v>
      </c>
      <c r="AG196" s="34">
        <v>8959</v>
      </c>
      <c r="AH196" s="34">
        <v>10810.6</v>
      </c>
      <c r="AI196" s="34">
        <v>9534.7000000000007</v>
      </c>
      <c r="AJ196" s="34">
        <v>9977.2999999999993</v>
      </c>
      <c r="AK196" s="34">
        <v>11781.4</v>
      </c>
      <c r="AL196" s="34">
        <v>12185.1</v>
      </c>
      <c r="AM196" s="34">
        <v>11575.5</v>
      </c>
      <c r="AN196" s="34">
        <v>12199.2</v>
      </c>
      <c r="AO196" s="34">
        <v>12475.3</v>
      </c>
      <c r="AP196" s="34">
        <v>11526.4</v>
      </c>
      <c r="AQ196" s="34">
        <v>11734.8</v>
      </c>
      <c r="AR196" s="34">
        <v>12936.7</v>
      </c>
      <c r="AS196" s="34">
        <v>15797.8</v>
      </c>
      <c r="AT196" s="34">
        <v>18064.2</v>
      </c>
      <c r="AU196" s="34">
        <v>18780.099999999999</v>
      </c>
      <c r="AV196" s="34">
        <v>19839.5</v>
      </c>
      <c r="AW196" s="34">
        <v>22811.1</v>
      </c>
      <c r="AX196" s="34">
        <v>24949</v>
      </c>
      <c r="AY196" s="34">
        <v>23151.200000000001</v>
      </c>
      <c r="AZ196" s="34">
        <v>22520.6</v>
      </c>
      <c r="BA196" s="34">
        <v>23217.3</v>
      </c>
      <c r="BB196" s="34">
        <v>20563.7</v>
      </c>
      <c r="BC196" s="34">
        <v>21653.200000000001</v>
      </c>
      <c r="BD196" s="34">
        <v>22103.7</v>
      </c>
      <c r="BE196" s="34">
        <v>19250.099999999999</v>
      </c>
      <c r="BF196" s="34">
        <v>19992</v>
      </c>
      <c r="BG196" s="34">
        <v>21490.400000000001</v>
      </c>
      <c r="BH196" s="34">
        <v>23562.6</v>
      </c>
      <c r="BI196" s="34">
        <v>23330.799999999999</v>
      </c>
      <c r="BJ196" s="34">
        <v>22242.400000000001</v>
      </c>
      <c r="BK196" s="1">
        <v>24661.200000000001</v>
      </c>
      <c r="BL196" s="1">
        <v>24515.3</v>
      </c>
      <c r="BM196" s="1">
        <v>27275.1</v>
      </c>
    </row>
    <row r="197" spans="1:65">
      <c r="A197" s="1" t="s">
        <v>267</v>
      </c>
      <c r="B197" s="34">
        <v>152.5</v>
      </c>
      <c r="C197" s="34">
        <v>165.9</v>
      </c>
      <c r="D197" s="34">
        <v>181.3</v>
      </c>
      <c r="E197" s="34">
        <v>188.2</v>
      </c>
      <c r="F197" s="34">
        <v>195.3</v>
      </c>
      <c r="G197" s="34">
        <v>207</v>
      </c>
      <c r="H197" s="34">
        <v>212.2</v>
      </c>
      <c r="I197" s="34">
        <v>219.1</v>
      </c>
      <c r="J197" s="34">
        <v>224.9</v>
      </c>
      <c r="K197" s="34">
        <v>236.2</v>
      </c>
      <c r="L197" s="34">
        <v>246.9</v>
      </c>
      <c r="M197" s="34">
        <v>269.7</v>
      </c>
      <c r="N197" s="34">
        <v>305</v>
      </c>
      <c r="O197" s="34">
        <v>385.4</v>
      </c>
      <c r="P197" s="34">
        <v>503.6</v>
      </c>
      <c r="Q197" s="34">
        <v>556.79999999999995</v>
      </c>
      <c r="R197" s="34">
        <v>610.6</v>
      </c>
      <c r="S197" s="34">
        <v>733.5</v>
      </c>
      <c r="T197" s="34">
        <v>875.4</v>
      </c>
      <c r="U197" s="34">
        <v>1139.0999999999999</v>
      </c>
      <c r="V197" s="34">
        <v>1444.7</v>
      </c>
      <c r="W197" s="34">
        <v>1778.1</v>
      </c>
      <c r="X197" s="34">
        <v>1666.7</v>
      </c>
      <c r="Y197" s="34">
        <v>1696.9</v>
      </c>
      <c r="Z197" s="34">
        <v>1309.7</v>
      </c>
      <c r="AA197" s="34">
        <v>928.4</v>
      </c>
      <c r="AB197" s="34">
        <v>1024.2</v>
      </c>
      <c r="AC197" s="34">
        <v>1062</v>
      </c>
      <c r="AD197" s="34">
        <v>1107</v>
      </c>
      <c r="AE197" s="34">
        <v>1204.0999999999999</v>
      </c>
      <c r="AF197" s="34">
        <v>1431.8</v>
      </c>
      <c r="AG197" s="34">
        <v>1675.7</v>
      </c>
      <c r="AH197" s="34">
        <v>1673.4</v>
      </c>
      <c r="AI197" s="34">
        <v>1652.8</v>
      </c>
      <c r="AJ197" s="34">
        <v>1750.9</v>
      </c>
      <c r="AK197" s="34">
        <v>1968.4</v>
      </c>
      <c r="AL197" s="34">
        <v>2077.5</v>
      </c>
      <c r="AM197" s="34">
        <v>2068.1999999999998</v>
      </c>
      <c r="AN197" s="34">
        <v>1880.9</v>
      </c>
      <c r="AO197" s="34">
        <v>1758.3</v>
      </c>
      <c r="AP197" s="34">
        <v>1728.3</v>
      </c>
      <c r="AQ197" s="34">
        <v>1630.2</v>
      </c>
      <c r="AR197" s="34">
        <v>1361.2</v>
      </c>
      <c r="AS197" s="34">
        <v>1436.8</v>
      </c>
      <c r="AT197" s="34">
        <v>1776.9</v>
      </c>
      <c r="AU197" s="34">
        <v>1960.5</v>
      </c>
      <c r="AV197" s="34">
        <v>2426.4</v>
      </c>
      <c r="AW197" s="34">
        <v>3194.3</v>
      </c>
      <c r="AX197" s="34">
        <v>4360.3999999999996</v>
      </c>
      <c r="AY197" s="34">
        <v>3920.2</v>
      </c>
      <c r="AZ197" s="34">
        <v>4725.7</v>
      </c>
      <c r="BA197" s="34">
        <v>5776.3</v>
      </c>
      <c r="BB197" s="34">
        <v>5617.1</v>
      </c>
      <c r="BC197" s="34">
        <v>6410.8</v>
      </c>
      <c r="BD197" s="34">
        <v>6629.4</v>
      </c>
      <c r="BE197" s="34">
        <v>5861.4</v>
      </c>
      <c r="BF197" s="34">
        <v>5759</v>
      </c>
      <c r="BG197" s="34">
        <v>6136.1</v>
      </c>
      <c r="BH197" s="34">
        <v>6243</v>
      </c>
      <c r="BI197" s="34">
        <v>5807.8</v>
      </c>
      <c r="BJ197" s="34">
        <v>5353.3</v>
      </c>
      <c r="BK197" s="1">
        <v>5959.4</v>
      </c>
      <c r="BL197" s="1">
        <v>6187.1</v>
      </c>
      <c r="BM197" s="26">
        <v>6260.5</v>
      </c>
    </row>
    <row r="198" spans="1:65">
      <c r="A198" s="1" t="s">
        <v>1303</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v>1201.5999999999999</v>
      </c>
      <c r="AK198" s="34">
        <v>1326.6</v>
      </c>
      <c r="AL198" s="34">
        <v>1317.5</v>
      </c>
      <c r="AM198" s="34">
        <v>1389.2</v>
      </c>
      <c r="AN198" s="34">
        <v>1465</v>
      </c>
      <c r="AO198" s="34">
        <v>1499.5</v>
      </c>
      <c r="AP198" s="34">
        <v>1476.2</v>
      </c>
      <c r="AQ198" s="34">
        <v>1335.6</v>
      </c>
      <c r="AR198" s="34">
        <v>1156.2</v>
      </c>
      <c r="AS198" s="34">
        <v>1257.7</v>
      </c>
      <c r="AT198" s="34">
        <v>1422.2</v>
      </c>
      <c r="AU198" s="34">
        <v>1543.7</v>
      </c>
      <c r="AV198" s="34">
        <v>1570.1</v>
      </c>
      <c r="AW198" s="34">
        <v>1664.2</v>
      </c>
      <c r="AX198" s="34">
        <v>2035.2</v>
      </c>
      <c r="AY198" s="34">
        <v>2191.8000000000002</v>
      </c>
      <c r="AZ198" s="34">
        <v>2557.1</v>
      </c>
      <c r="BA198" s="34">
        <v>2880.8</v>
      </c>
      <c r="BB198" s="34">
        <v>3067.4</v>
      </c>
      <c r="BC198" s="34">
        <v>3315.3</v>
      </c>
      <c r="BD198" s="34">
        <v>3352.1</v>
      </c>
      <c r="BE198" s="34">
        <v>3272.2</v>
      </c>
      <c r="BF198" s="34">
        <v>3527.6</v>
      </c>
      <c r="BG198" s="34">
        <v>3620.4</v>
      </c>
      <c r="BH198" s="34">
        <v>3562.3</v>
      </c>
      <c r="BI198" s="34">
        <v>3656.9</v>
      </c>
      <c r="BJ198" s="34">
        <v>3233.6</v>
      </c>
      <c r="BK198" s="1">
        <v>3678.6</v>
      </c>
      <c r="BL198" s="1">
        <v>3800</v>
      </c>
      <c r="BM198" s="1">
        <v>3367.6</v>
      </c>
    </row>
    <row r="199" spans="1:65">
      <c r="A199" s="1" t="s">
        <v>1304</v>
      </c>
      <c r="B199" s="34"/>
      <c r="C199" s="34"/>
      <c r="D199" s="34"/>
      <c r="E199" s="34"/>
      <c r="F199" s="34"/>
      <c r="G199" s="34"/>
      <c r="H199" s="34"/>
      <c r="I199" s="34"/>
      <c r="J199" s="34"/>
      <c r="K199" s="34"/>
      <c r="L199" s="34">
        <v>361.2</v>
      </c>
      <c r="M199" s="34">
        <v>398.1</v>
      </c>
      <c r="N199" s="34">
        <v>462.7</v>
      </c>
      <c r="O199" s="34">
        <v>608.20000000000005</v>
      </c>
      <c r="P199" s="34">
        <v>816.6</v>
      </c>
      <c r="Q199" s="34">
        <v>879.3</v>
      </c>
      <c r="R199" s="34">
        <v>859.7</v>
      </c>
      <c r="S199" s="34">
        <v>884.8</v>
      </c>
      <c r="T199" s="34">
        <v>992.5</v>
      </c>
      <c r="U199" s="34">
        <v>1168</v>
      </c>
      <c r="V199" s="34">
        <v>1299.5</v>
      </c>
      <c r="W199" s="34">
        <v>1314.5</v>
      </c>
      <c r="X199" s="34">
        <v>1265.4000000000001</v>
      </c>
      <c r="Y199" s="34">
        <v>1185</v>
      </c>
      <c r="Z199" s="34">
        <v>1218.9000000000001</v>
      </c>
      <c r="AA199" s="34">
        <v>1145.9000000000001</v>
      </c>
      <c r="AB199" s="34">
        <v>1223.7</v>
      </c>
      <c r="AC199" s="34">
        <v>1174.4000000000001</v>
      </c>
      <c r="AD199" s="34">
        <v>1188.9000000000001</v>
      </c>
      <c r="AE199" s="34">
        <v>1219.3</v>
      </c>
      <c r="AF199" s="34">
        <v>1342.9</v>
      </c>
      <c r="AG199" s="34">
        <v>1405.3</v>
      </c>
      <c r="AH199" s="34">
        <v>1523.6</v>
      </c>
      <c r="AI199" s="34">
        <v>1579.1</v>
      </c>
      <c r="AJ199" s="34">
        <v>1825.9</v>
      </c>
      <c r="AK199" s="34">
        <v>1958.5</v>
      </c>
      <c r="AL199" s="34">
        <v>2071.8000000000002</v>
      </c>
      <c r="AM199" s="34">
        <v>2046.3</v>
      </c>
      <c r="AN199" s="34">
        <v>1736.8</v>
      </c>
      <c r="AO199" s="34">
        <v>1866.3</v>
      </c>
      <c r="AP199" s="34">
        <v>1693.9</v>
      </c>
      <c r="AQ199" s="34">
        <v>1643.2</v>
      </c>
      <c r="AR199" s="34">
        <v>1700.3</v>
      </c>
      <c r="AS199" s="34">
        <v>2000.7</v>
      </c>
      <c r="AT199" s="34">
        <v>2272.3000000000002</v>
      </c>
      <c r="AU199" s="34">
        <v>2491.1</v>
      </c>
      <c r="AV199" s="34">
        <v>2582.6999999999998</v>
      </c>
      <c r="AW199" s="34">
        <v>2811.7</v>
      </c>
      <c r="AX199" s="34">
        <v>2977</v>
      </c>
      <c r="AY199" s="34">
        <v>2654.9</v>
      </c>
      <c r="AZ199" s="34">
        <v>2888.1</v>
      </c>
      <c r="BA199" s="34">
        <v>3332</v>
      </c>
      <c r="BB199" s="34">
        <v>3493.2</v>
      </c>
      <c r="BC199" s="34">
        <v>3591.6</v>
      </c>
      <c r="BD199" s="34">
        <v>3862.3</v>
      </c>
      <c r="BE199" s="34">
        <v>3735.5</v>
      </c>
      <c r="BF199" s="34">
        <v>3878.3</v>
      </c>
      <c r="BG199" s="34">
        <v>4142.3</v>
      </c>
      <c r="BH199" s="34">
        <v>4299</v>
      </c>
      <c r="BI199" s="34">
        <v>4230.6000000000004</v>
      </c>
      <c r="BJ199" s="34">
        <v>3703.1</v>
      </c>
      <c r="BK199" s="1">
        <v>3648.4</v>
      </c>
      <c r="BL199" s="1">
        <v>3909.1</v>
      </c>
      <c r="BM199" s="1">
        <v>4194.7</v>
      </c>
    </row>
    <row r="200" spans="1:65">
      <c r="A200" s="1" t="s">
        <v>1305</v>
      </c>
      <c r="B200" s="34">
        <v>1371.5</v>
      </c>
      <c r="C200" s="34">
        <v>1443.6</v>
      </c>
      <c r="D200" s="34">
        <v>1543.1</v>
      </c>
      <c r="E200" s="34">
        <v>1641.1</v>
      </c>
      <c r="F200" s="34">
        <v>1772.6</v>
      </c>
      <c r="G200" s="34">
        <v>1906.4</v>
      </c>
      <c r="H200" s="34">
        <v>2064.5</v>
      </c>
      <c r="I200" s="34">
        <v>2184.9</v>
      </c>
      <c r="J200" s="34">
        <v>2347.6999999999998</v>
      </c>
      <c r="K200" s="34">
        <v>2562.6</v>
      </c>
      <c r="L200" s="34">
        <v>2785.9</v>
      </c>
      <c r="M200" s="34">
        <v>3058.3</v>
      </c>
      <c r="N200" s="34">
        <v>3518.3</v>
      </c>
      <c r="O200" s="34">
        <v>4218.5</v>
      </c>
      <c r="P200" s="34">
        <v>4673.8</v>
      </c>
      <c r="Q200" s="34">
        <v>5197.3999999999996</v>
      </c>
      <c r="R200" s="34">
        <v>5599.1</v>
      </c>
      <c r="S200" s="34">
        <v>6283.5</v>
      </c>
      <c r="T200" s="34">
        <v>7517.9</v>
      </c>
      <c r="U200" s="34">
        <v>8577</v>
      </c>
      <c r="V200" s="34">
        <v>9428</v>
      </c>
      <c r="W200" s="34">
        <v>9473.7000000000007</v>
      </c>
      <c r="X200" s="34">
        <v>9373.5</v>
      </c>
      <c r="Y200" s="34">
        <v>9672.9</v>
      </c>
      <c r="Z200" s="34">
        <v>10053.5</v>
      </c>
      <c r="AA200" s="34">
        <v>10530.3</v>
      </c>
      <c r="AB200" s="34">
        <v>12802.8</v>
      </c>
      <c r="AC200" s="34">
        <v>14760.6</v>
      </c>
      <c r="AD200" s="34">
        <v>16530.7</v>
      </c>
      <c r="AE200" s="34">
        <v>17153.8</v>
      </c>
      <c r="AF200" s="34">
        <v>19123.7</v>
      </c>
      <c r="AG200" s="34">
        <v>20025.8</v>
      </c>
      <c r="AH200" s="34">
        <v>21337</v>
      </c>
      <c r="AI200" s="34">
        <v>21358.5</v>
      </c>
      <c r="AJ200" s="34">
        <v>22743.200000000001</v>
      </c>
      <c r="AK200" s="34">
        <v>25097.200000000001</v>
      </c>
      <c r="AL200" s="34">
        <v>25078</v>
      </c>
      <c r="AM200" s="34">
        <v>24456.7</v>
      </c>
      <c r="AN200" s="34">
        <v>24442.3</v>
      </c>
      <c r="AO200" s="34">
        <v>25544.1</v>
      </c>
      <c r="AP200" s="34">
        <v>25861.1</v>
      </c>
      <c r="AQ200" s="34">
        <v>25489.200000000001</v>
      </c>
      <c r="AR200" s="34">
        <v>26453.3</v>
      </c>
      <c r="AS200" s="34">
        <v>29510.1</v>
      </c>
      <c r="AT200" s="34">
        <v>32625.1</v>
      </c>
      <c r="AU200" s="34">
        <v>34154.5</v>
      </c>
      <c r="AV200" s="34">
        <v>35741.800000000003</v>
      </c>
      <c r="AW200" s="34">
        <v>38783.300000000003</v>
      </c>
      <c r="AX200" s="34">
        <v>40836</v>
      </c>
      <c r="AY200" s="34">
        <v>38245.1</v>
      </c>
      <c r="AZ200" s="34">
        <v>39705.800000000003</v>
      </c>
      <c r="BA200" s="34">
        <v>42530.8</v>
      </c>
      <c r="BB200" s="34">
        <v>42291.199999999997</v>
      </c>
      <c r="BC200" s="34">
        <v>42558.400000000001</v>
      </c>
      <c r="BD200" s="34">
        <v>43223.199999999997</v>
      </c>
      <c r="BE200" s="34">
        <v>40717.1</v>
      </c>
      <c r="BF200" s="34">
        <v>41462</v>
      </c>
      <c r="BG200" s="34">
        <v>43088.4</v>
      </c>
      <c r="BH200" s="34">
        <v>45491.199999999997</v>
      </c>
      <c r="BI200" s="34">
        <v>45822.1</v>
      </c>
      <c r="BJ200" s="34">
        <v>44745.9</v>
      </c>
      <c r="BK200" s="1">
        <v>49781.7</v>
      </c>
      <c r="BL200" s="1">
        <v>50759.6</v>
      </c>
      <c r="BM200" s="1">
        <v>53464</v>
      </c>
    </row>
    <row r="201" spans="1:65">
      <c r="A201" s="1" t="s">
        <v>1306</v>
      </c>
      <c r="B201" s="34"/>
      <c r="C201" s="34"/>
      <c r="D201" s="34"/>
      <c r="E201" s="34"/>
      <c r="F201" s="34"/>
      <c r="G201" s="34">
        <v>1789.1</v>
      </c>
      <c r="H201" s="34">
        <v>2108.5</v>
      </c>
      <c r="I201" s="34">
        <v>2084.9</v>
      </c>
      <c r="J201" s="34">
        <v>2363.5</v>
      </c>
      <c r="K201" s="34">
        <v>2134.8000000000002</v>
      </c>
      <c r="L201" s="34">
        <v>2154.8000000000002</v>
      </c>
      <c r="M201" s="34">
        <v>2431.1999999999998</v>
      </c>
      <c r="N201" s="34">
        <v>2581.4</v>
      </c>
      <c r="O201" s="34">
        <v>3294.9</v>
      </c>
      <c r="P201" s="34">
        <v>4103</v>
      </c>
      <c r="Q201" s="34">
        <v>4936.8</v>
      </c>
      <c r="R201" s="34">
        <v>5072.8</v>
      </c>
      <c r="S201" s="34">
        <v>5323.2</v>
      </c>
      <c r="T201" s="34">
        <v>6540.5</v>
      </c>
      <c r="U201" s="34">
        <v>7662.8</v>
      </c>
      <c r="V201" s="34">
        <v>8071.4</v>
      </c>
      <c r="W201" s="34">
        <v>7310.8</v>
      </c>
      <c r="X201" s="34">
        <v>7088.9</v>
      </c>
      <c r="Y201" s="34">
        <v>7172.5</v>
      </c>
      <c r="Z201" s="34">
        <v>7237.5</v>
      </c>
      <c r="AA201" s="34">
        <v>7721</v>
      </c>
      <c r="AB201" s="34">
        <v>11509.2</v>
      </c>
      <c r="AC201" s="34">
        <v>13603.7</v>
      </c>
      <c r="AD201" s="34">
        <v>13500</v>
      </c>
      <c r="AE201" s="34">
        <v>13223.9</v>
      </c>
      <c r="AF201" s="34">
        <v>15728.7</v>
      </c>
      <c r="AG201" s="34">
        <v>15828.1</v>
      </c>
      <c r="AH201" s="34">
        <v>16910</v>
      </c>
      <c r="AI201" s="34">
        <v>15844.4</v>
      </c>
      <c r="AJ201" s="34">
        <v>16145.9</v>
      </c>
      <c r="AK201" s="34">
        <v>18090.599999999999</v>
      </c>
      <c r="AL201" s="34">
        <v>17713.7</v>
      </c>
      <c r="AM201" s="34">
        <v>15741.8</v>
      </c>
      <c r="AN201" s="34">
        <v>16070.3</v>
      </c>
      <c r="AO201" s="34">
        <v>15847.9</v>
      </c>
      <c r="AP201" s="34">
        <v>14346.2</v>
      </c>
      <c r="AQ201" s="34">
        <v>14012.2</v>
      </c>
      <c r="AR201" s="34">
        <v>15302.4</v>
      </c>
      <c r="AS201" s="34">
        <v>18724.5</v>
      </c>
      <c r="AT201" s="34">
        <v>20829.099999999999</v>
      </c>
      <c r="AU201" s="34">
        <v>21047.200000000001</v>
      </c>
      <c r="AV201" s="34">
        <v>21382.2</v>
      </c>
      <c r="AW201" s="34">
        <v>23837.8</v>
      </c>
      <c r="AX201" s="34">
        <v>25437.7</v>
      </c>
      <c r="AY201" s="34">
        <v>23326.1</v>
      </c>
      <c r="AZ201" s="34">
        <v>21447.9</v>
      </c>
      <c r="BA201" s="34">
        <v>21748</v>
      </c>
      <c r="BB201" s="34">
        <v>19864.5</v>
      </c>
      <c r="BC201" s="34">
        <v>20941.5</v>
      </c>
      <c r="BD201" s="34">
        <v>21223.1</v>
      </c>
      <c r="BE201" s="34">
        <v>18252.5</v>
      </c>
      <c r="BF201" s="34">
        <v>18726.599999999999</v>
      </c>
      <c r="BG201" s="34">
        <v>19744</v>
      </c>
      <c r="BH201" s="34">
        <v>20614.900000000001</v>
      </c>
      <c r="BI201" s="34">
        <v>20093.2</v>
      </c>
      <c r="BJ201" s="34">
        <v>19185.7</v>
      </c>
      <c r="BK201" s="1">
        <v>20230.2</v>
      </c>
      <c r="BL201" s="1">
        <v>18984.900000000001</v>
      </c>
    </row>
    <row r="202" spans="1:65">
      <c r="A202" s="1" t="s">
        <v>1307</v>
      </c>
      <c r="B202" s="34"/>
      <c r="C202" s="34"/>
      <c r="D202" s="34"/>
      <c r="E202" s="34"/>
      <c r="F202" s="34"/>
      <c r="G202" s="34"/>
      <c r="H202" s="34"/>
      <c r="I202" s="34"/>
      <c r="J202" s="34"/>
      <c r="K202" s="34"/>
      <c r="L202" s="34">
        <v>2557.4</v>
      </c>
      <c r="M202" s="34">
        <v>2913</v>
      </c>
      <c r="N202" s="34">
        <v>3439.9</v>
      </c>
      <c r="O202" s="34">
        <v>4848.6000000000004</v>
      </c>
      <c r="P202" s="34">
        <v>13393.3</v>
      </c>
      <c r="Q202" s="34">
        <v>12883.2</v>
      </c>
      <c r="R202" s="34">
        <v>15566</v>
      </c>
      <c r="S202" s="34">
        <v>15924</v>
      </c>
      <c r="T202" s="34">
        <v>16632.2</v>
      </c>
      <c r="U202" s="34">
        <v>21634.6</v>
      </c>
      <c r="V202" s="34">
        <v>28218.3</v>
      </c>
      <c r="W202" s="34">
        <v>29371.5</v>
      </c>
      <c r="X202" s="34">
        <v>24301.1</v>
      </c>
      <c r="Y202" s="34">
        <v>19571.8</v>
      </c>
      <c r="Z202" s="34">
        <v>19252.2</v>
      </c>
      <c r="AA202" s="34">
        <v>16818.400000000001</v>
      </c>
      <c r="AB202" s="34">
        <v>13216.5</v>
      </c>
      <c r="AC202" s="34">
        <v>13705.5</v>
      </c>
      <c r="AD202" s="34">
        <v>14650.7</v>
      </c>
      <c r="AE202" s="34">
        <v>15197.9</v>
      </c>
      <c r="AF202" s="34">
        <v>16664.8</v>
      </c>
      <c r="AG202" s="34">
        <v>15079.4</v>
      </c>
      <c r="AH202" s="34">
        <v>16223.8</v>
      </c>
      <c r="AI202" s="34">
        <v>14724.3</v>
      </c>
      <c r="AJ202" s="34">
        <v>14728.8</v>
      </c>
      <c r="AK202" s="34">
        <v>15797.7</v>
      </c>
      <c r="AL202" s="34">
        <v>17116.8</v>
      </c>
      <c r="AM202" s="34">
        <v>20519.400000000001</v>
      </c>
      <c r="AN202" s="34">
        <v>17651.5</v>
      </c>
      <c r="AO202" s="34">
        <v>20207.2</v>
      </c>
      <c r="AP202" s="34">
        <v>27494.799999999999</v>
      </c>
      <c r="AQ202" s="34">
        <v>25836.3</v>
      </c>
      <c r="AR202" s="34">
        <v>27151</v>
      </c>
      <c r="AS202" s="34">
        <v>31440.2</v>
      </c>
      <c r="AT202" s="34">
        <v>40792.300000000003</v>
      </c>
      <c r="AU202" s="34">
        <v>52468.4</v>
      </c>
      <c r="AV202" s="34">
        <v>59978.9</v>
      </c>
      <c r="AW202" s="34">
        <v>64707</v>
      </c>
      <c r="AX202" s="34">
        <v>79811.600000000006</v>
      </c>
      <c r="AY202" s="34">
        <v>60734</v>
      </c>
      <c r="AZ202" s="34">
        <v>73021.3</v>
      </c>
      <c r="BA202" s="34">
        <v>92993</v>
      </c>
      <c r="BB202" s="34">
        <v>98041.4</v>
      </c>
      <c r="BC202" s="34">
        <v>97630.8</v>
      </c>
      <c r="BD202" s="34">
        <v>93126.1</v>
      </c>
      <c r="BE202" s="34">
        <v>66984.899999999994</v>
      </c>
      <c r="BF202" s="34">
        <v>58467.199999999997</v>
      </c>
      <c r="BG202" s="34">
        <v>59407.7</v>
      </c>
      <c r="BH202" s="34">
        <v>66264.100000000006</v>
      </c>
      <c r="BI202" s="34">
        <v>62827.4</v>
      </c>
      <c r="BJ202" s="34">
        <v>52315.7</v>
      </c>
      <c r="BK202" s="1">
        <v>66858.7</v>
      </c>
      <c r="BL202" s="1">
        <v>87480.4</v>
      </c>
    </row>
    <row r="203" spans="1:65">
      <c r="A203" s="1" t="s">
        <v>1308</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v>1658.8</v>
      </c>
      <c r="AD203" s="34">
        <v>1753.2</v>
      </c>
      <c r="AE203" s="34">
        <v>1789.6</v>
      </c>
      <c r="AF203" s="34">
        <v>1648.5</v>
      </c>
      <c r="AG203" s="34">
        <v>1254.3</v>
      </c>
      <c r="AH203" s="34">
        <v>1102.0999999999999</v>
      </c>
      <c r="AI203" s="34">
        <v>1158.0999999999999</v>
      </c>
      <c r="AJ203" s="34">
        <v>1323</v>
      </c>
      <c r="AK203" s="34">
        <v>1650</v>
      </c>
      <c r="AL203" s="34">
        <v>1633</v>
      </c>
      <c r="AM203" s="34">
        <v>1577.3</v>
      </c>
      <c r="AN203" s="34">
        <v>1852.6</v>
      </c>
      <c r="AO203" s="34">
        <v>1599.9</v>
      </c>
      <c r="AP203" s="34">
        <v>1659.9</v>
      </c>
      <c r="AQ203" s="34">
        <v>1825.2</v>
      </c>
      <c r="AR203" s="34">
        <v>2119.9</v>
      </c>
      <c r="AS203" s="34">
        <v>2679.4</v>
      </c>
      <c r="AT203" s="34">
        <v>3495</v>
      </c>
      <c r="AU203" s="34">
        <v>4618</v>
      </c>
      <c r="AV203" s="34">
        <v>5757.5</v>
      </c>
      <c r="AW203" s="34">
        <v>8360.2999999999993</v>
      </c>
      <c r="AX203" s="34">
        <v>10435.200000000001</v>
      </c>
      <c r="AY203" s="34">
        <v>8548</v>
      </c>
      <c r="AZ203" s="34">
        <v>8397.7999999999993</v>
      </c>
      <c r="BA203" s="34">
        <v>9560.2000000000007</v>
      </c>
      <c r="BB203" s="34">
        <v>8930.7000000000007</v>
      </c>
      <c r="BC203" s="34">
        <v>9497.2000000000007</v>
      </c>
      <c r="BD203" s="34">
        <v>10031.299999999999</v>
      </c>
      <c r="BE203" s="34">
        <v>8977</v>
      </c>
      <c r="BF203" s="34">
        <v>9404.4</v>
      </c>
      <c r="BG203" s="34">
        <v>10728</v>
      </c>
      <c r="BH203" s="34">
        <v>12494.4</v>
      </c>
      <c r="BI203" s="34">
        <v>12958</v>
      </c>
      <c r="BJ203" s="34">
        <v>13047.5</v>
      </c>
      <c r="BK203" s="1">
        <v>14946.6</v>
      </c>
      <c r="BL203" s="1">
        <v>15692.3</v>
      </c>
      <c r="BM203" s="1">
        <v>18419.400000000001</v>
      </c>
    </row>
    <row r="204" spans="1:65">
      <c r="A204" s="1" t="s">
        <v>1309</v>
      </c>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v>3778</v>
      </c>
      <c r="AE204" s="34">
        <v>3429.6</v>
      </c>
      <c r="AF204" s="34">
        <v>3494.1</v>
      </c>
      <c r="AG204" s="34">
        <v>3490.5</v>
      </c>
      <c r="AH204" s="34">
        <v>3098.8</v>
      </c>
      <c r="AI204" s="34">
        <v>2930.7</v>
      </c>
      <c r="AJ204" s="34">
        <v>2662.1</v>
      </c>
      <c r="AK204" s="34">
        <v>2665.8</v>
      </c>
      <c r="AL204" s="34">
        <v>2643.9</v>
      </c>
      <c r="AM204" s="34">
        <v>2737.6</v>
      </c>
      <c r="AN204" s="34">
        <v>1834.9</v>
      </c>
      <c r="AO204" s="34">
        <v>1330.8</v>
      </c>
      <c r="AP204" s="34">
        <v>1771.6</v>
      </c>
      <c r="AQ204" s="34">
        <v>2100.4</v>
      </c>
      <c r="AR204" s="34">
        <v>2377.5</v>
      </c>
      <c r="AS204" s="34">
        <v>2975.1</v>
      </c>
      <c r="AT204" s="34">
        <v>4102.3999999999996</v>
      </c>
      <c r="AU204" s="34">
        <v>5323.5</v>
      </c>
      <c r="AV204" s="34">
        <v>6920.2</v>
      </c>
      <c r="AW204" s="34">
        <v>9101.2000000000007</v>
      </c>
      <c r="AX204" s="34">
        <v>11635.3</v>
      </c>
      <c r="AY204" s="34">
        <v>8562.7999999999993</v>
      </c>
      <c r="AZ204" s="34">
        <v>10675</v>
      </c>
      <c r="BA204" s="34">
        <v>14305.3</v>
      </c>
      <c r="BB204" s="34">
        <v>15401.9</v>
      </c>
      <c r="BC204" s="34">
        <v>15941.4</v>
      </c>
      <c r="BD204" s="34">
        <v>14055.5</v>
      </c>
      <c r="BE204" s="34">
        <v>9277.7000000000007</v>
      </c>
      <c r="BF204" s="34">
        <v>8663.2000000000007</v>
      </c>
      <c r="BG204" s="34">
        <v>10658.9</v>
      </c>
      <c r="BH204" s="34">
        <v>11211.9</v>
      </c>
      <c r="BI204" s="34">
        <v>11447.7</v>
      </c>
      <c r="BJ204" s="34">
        <v>10108.299999999999</v>
      </c>
      <c r="BK204" s="1">
        <v>12521.5</v>
      </c>
      <c r="BL204" s="1">
        <v>15445.2</v>
      </c>
      <c r="BM204" s="1">
        <v>13817</v>
      </c>
    </row>
    <row r="205" spans="1:65">
      <c r="A205" s="1" t="s">
        <v>1310</v>
      </c>
      <c r="B205" s="34">
        <v>40.1</v>
      </c>
      <c r="C205" s="34">
        <v>40</v>
      </c>
      <c r="D205" s="34">
        <v>40</v>
      </c>
      <c r="E205" s="34">
        <v>40.1</v>
      </c>
      <c r="F205" s="34">
        <v>39.799999999999997</v>
      </c>
      <c r="G205" s="34">
        <v>44.4</v>
      </c>
      <c r="H205" s="34">
        <v>36.200000000000003</v>
      </c>
      <c r="I205" s="34">
        <v>45</v>
      </c>
      <c r="J205" s="34">
        <v>47</v>
      </c>
      <c r="K205" s="34">
        <v>49.9</v>
      </c>
      <c r="L205" s="34">
        <v>56.4</v>
      </c>
      <c r="M205" s="34">
        <v>55.5</v>
      </c>
      <c r="N205" s="34">
        <v>59.6</v>
      </c>
      <c r="O205" s="34">
        <v>68.3</v>
      </c>
      <c r="P205" s="34">
        <v>70.3</v>
      </c>
      <c r="Q205" s="34">
        <v>126.6</v>
      </c>
      <c r="R205" s="34">
        <v>137.19999999999999</v>
      </c>
      <c r="S205" s="34">
        <v>156.1</v>
      </c>
      <c r="T205" s="34">
        <v>184</v>
      </c>
      <c r="U205" s="34">
        <v>218.6</v>
      </c>
      <c r="V205" s="34">
        <v>239.1</v>
      </c>
      <c r="W205" s="34">
        <v>258.60000000000002</v>
      </c>
      <c r="X205" s="34">
        <v>248.9</v>
      </c>
      <c r="Y205" s="34">
        <v>252.5</v>
      </c>
      <c r="Z205" s="34">
        <v>262.10000000000002</v>
      </c>
      <c r="AA205" s="34">
        <v>273.8</v>
      </c>
      <c r="AB205" s="34">
        <v>299.3</v>
      </c>
      <c r="AC205" s="34">
        <v>320.3</v>
      </c>
      <c r="AD205" s="34">
        <v>344.5</v>
      </c>
      <c r="AE205" s="34">
        <v>336.7</v>
      </c>
      <c r="AF205" s="34">
        <v>348.4</v>
      </c>
      <c r="AG205" s="34">
        <v>255.4</v>
      </c>
      <c r="AH205" s="34">
        <v>265</v>
      </c>
      <c r="AI205" s="34">
        <v>249.4</v>
      </c>
      <c r="AJ205" s="34">
        <v>111.9</v>
      </c>
      <c r="AK205" s="34">
        <v>227.5</v>
      </c>
      <c r="AL205" s="34">
        <v>205.8</v>
      </c>
      <c r="AM205" s="34">
        <v>241.5</v>
      </c>
      <c r="AN205" s="34">
        <v>251.3</v>
      </c>
      <c r="AO205" s="34">
        <v>269.3</v>
      </c>
      <c r="AP205" s="34">
        <v>255.1</v>
      </c>
      <c r="AQ205" s="34">
        <v>239.1</v>
      </c>
      <c r="AR205" s="34">
        <v>234.8</v>
      </c>
      <c r="AS205" s="34">
        <v>249.6</v>
      </c>
      <c r="AT205" s="34">
        <v>270.3</v>
      </c>
      <c r="AU205" s="34">
        <v>325</v>
      </c>
      <c r="AV205" s="34">
        <v>358.1</v>
      </c>
      <c r="AW205" s="34">
        <v>427.4</v>
      </c>
      <c r="AX205" s="34">
        <v>529.5</v>
      </c>
      <c r="AY205" s="34">
        <v>565</v>
      </c>
      <c r="AZ205" s="34">
        <v>594.1</v>
      </c>
      <c r="BA205" s="34">
        <v>650.9</v>
      </c>
      <c r="BB205" s="34">
        <v>706.1</v>
      </c>
      <c r="BC205" s="34">
        <v>704.4</v>
      </c>
      <c r="BD205" s="34">
        <v>724.7</v>
      </c>
      <c r="BE205" s="34">
        <v>733.8</v>
      </c>
      <c r="BF205" s="34">
        <v>728.8</v>
      </c>
      <c r="BG205" s="34">
        <v>756.5</v>
      </c>
      <c r="BH205" s="34">
        <v>769.1</v>
      </c>
      <c r="BI205" s="34">
        <v>806.3</v>
      </c>
      <c r="BJ205" s="34">
        <v>773.9</v>
      </c>
      <c r="BK205" s="1">
        <v>822.3</v>
      </c>
      <c r="BL205" s="1">
        <v>966.6</v>
      </c>
      <c r="BM205" s="1">
        <v>1000.2</v>
      </c>
    </row>
    <row r="206" spans="1:65">
      <c r="A206" s="1" t="s">
        <v>1311</v>
      </c>
      <c r="B206" s="34">
        <v>82.8</v>
      </c>
      <c r="C206" s="34">
        <v>86.3</v>
      </c>
      <c r="D206" s="34">
        <v>90</v>
      </c>
      <c r="E206" s="34">
        <v>98.7</v>
      </c>
      <c r="F206" s="34">
        <v>110.4</v>
      </c>
      <c r="G206" s="34">
        <v>115.6</v>
      </c>
      <c r="H206" s="34">
        <v>93.8</v>
      </c>
      <c r="I206" s="34">
        <v>101.1</v>
      </c>
      <c r="J206" s="34">
        <v>104.1</v>
      </c>
      <c r="K206" s="34">
        <v>112</v>
      </c>
      <c r="L206" s="34">
        <v>118.2</v>
      </c>
      <c r="M206" s="34">
        <v>123.1</v>
      </c>
      <c r="N206" s="34">
        <v>121.4</v>
      </c>
      <c r="O206" s="34">
        <v>135.69999999999999</v>
      </c>
      <c r="P206" s="34">
        <v>160.6</v>
      </c>
      <c r="Q206" s="34">
        <v>167.8</v>
      </c>
      <c r="R206" s="34">
        <v>159.80000000000001</v>
      </c>
      <c r="S206" s="34">
        <v>180.9</v>
      </c>
      <c r="T206" s="34">
        <v>201.2</v>
      </c>
      <c r="U206" s="34">
        <v>220.2</v>
      </c>
      <c r="V206" s="34">
        <v>260.3</v>
      </c>
      <c r="W206" s="34">
        <v>270</v>
      </c>
      <c r="X206" s="34">
        <v>272.89999999999998</v>
      </c>
      <c r="Y206" s="34">
        <v>282.10000000000002</v>
      </c>
      <c r="Z206" s="34">
        <v>274.2</v>
      </c>
      <c r="AA206" s="34">
        <v>291.2</v>
      </c>
      <c r="AB206" s="34">
        <v>301.3</v>
      </c>
      <c r="AC206" s="34">
        <v>326.89999999999998</v>
      </c>
      <c r="AD206" s="34">
        <v>343.3</v>
      </c>
      <c r="AE206" s="34">
        <v>338.7</v>
      </c>
      <c r="AF206" s="34">
        <v>356.6</v>
      </c>
      <c r="AG206" s="34">
        <v>310.39999999999998</v>
      </c>
      <c r="AH206" s="34">
        <v>322.5</v>
      </c>
      <c r="AI206" s="34">
        <v>312.39999999999998</v>
      </c>
      <c r="AJ206" s="34">
        <v>346.7</v>
      </c>
      <c r="AK206" s="34">
        <v>376.8</v>
      </c>
      <c r="AL206" s="34">
        <v>403.8</v>
      </c>
      <c r="AM206" s="34">
        <v>415.1</v>
      </c>
      <c r="AN206" s="34">
        <v>412.5</v>
      </c>
      <c r="AO206" s="34">
        <v>433.4</v>
      </c>
      <c r="AP206" s="34">
        <v>460.3</v>
      </c>
      <c r="AQ206" s="34">
        <v>461.9</v>
      </c>
      <c r="AR206" s="34">
        <v>475.7</v>
      </c>
      <c r="AS206" s="34">
        <v>545</v>
      </c>
      <c r="AT206" s="34">
        <v>621.20000000000005</v>
      </c>
      <c r="AU206" s="34">
        <v>698</v>
      </c>
      <c r="AV206" s="34">
        <v>779.6</v>
      </c>
      <c r="AW206" s="34">
        <v>966.4</v>
      </c>
      <c r="AX206" s="34">
        <v>967.1</v>
      </c>
      <c r="AY206" s="34">
        <v>1040.5</v>
      </c>
      <c r="AZ206" s="34">
        <v>1254</v>
      </c>
      <c r="BA206" s="34">
        <v>1361.6</v>
      </c>
      <c r="BB206" s="34">
        <v>1362.4</v>
      </c>
      <c r="BC206" s="34">
        <v>1380.1</v>
      </c>
      <c r="BD206" s="34">
        <v>1490.8</v>
      </c>
      <c r="BE206" s="34">
        <v>1539.6</v>
      </c>
      <c r="BF206" s="34">
        <v>1675.5</v>
      </c>
      <c r="BG206" s="34">
        <v>1887.9</v>
      </c>
      <c r="BH206" s="34">
        <v>1920.1</v>
      </c>
      <c r="BI206" s="34">
        <v>1965.1</v>
      </c>
      <c r="BJ206" s="34">
        <v>1855.5</v>
      </c>
      <c r="BK206" s="1">
        <v>2145.1</v>
      </c>
      <c r="BL206" s="1">
        <v>2254.6</v>
      </c>
      <c r="BM206" s="1">
        <v>2308.6999999999998</v>
      </c>
    </row>
    <row r="207" spans="1:65">
      <c r="A207" s="1" t="s">
        <v>1312</v>
      </c>
      <c r="B207" s="34">
        <v>419.7</v>
      </c>
      <c r="C207" s="34">
        <v>446.1</v>
      </c>
      <c r="D207" s="34">
        <v>477.9</v>
      </c>
      <c r="E207" s="34">
        <v>477.6</v>
      </c>
      <c r="F207" s="34">
        <v>494.6</v>
      </c>
      <c r="G207" s="34">
        <v>531.79999999999995</v>
      </c>
      <c r="H207" s="34">
        <v>564.6</v>
      </c>
      <c r="I207" s="34">
        <v>605.29999999999995</v>
      </c>
      <c r="J207" s="34">
        <v>747.2</v>
      </c>
      <c r="K207" s="34">
        <v>767.5</v>
      </c>
      <c r="L207" s="34">
        <v>880.6</v>
      </c>
      <c r="M207" s="34">
        <v>1123.2</v>
      </c>
      <c r="N207" s="34">
        <v>1437.2</v>
      </c>
      <c r="O207" s="34">
        <v>2108.6</v>
      </c>
      <c r="P207" s="34">
        <v>6068.4</v>
      </c>
      <c r="Q207" s="34">
        <v>5922.5</v>
      </c>
      <c r="R207" s="34">
        <v>7693.4</v>
      </c>
      <c r="S207" s="34">
        <v>8473.7000000000007</v>
      </c>
      <c r="T207" s="34">
        <v>8714.6</v>
      </c>
      <c r="U207" s="34">
        <v>11553.2</v>
      </c>
      <c r="V207" s="34">
        <v>16176.2</v>
      </c>
      <c r="W207" s="34">
        <v>17258.599999999999</v>
      </c>
      <c r="X207" s="34">
        <v>13680.8</v>
      </c>
      <c r="Y207" s="34">
        <v>10997.1</v>
      </c>
      <c r="Z207" s="34">
        <v>9717.4</v>
      </c>
      <c r="AA207" s="34">
        <v>8060.2</v>
      </c>
      <c r="AB207" s="34">
        <v>6449.6</v>
      </c>
      <c r="AC207" s="34">
        <v>6082.1</v>
      </c>
      <c r="AD207" s="34">
        <v>5998.2</v>
      </c>
      <c r="AE207" s="34">
        <v>6210.1</v>
      </c>
      <c r="AF207" s="34">
        <v>7349.7</v>
      </c>
      <c r="AG207" s="34">
        <v>7939.3</v>
      </c>
      <c r="AH207" s="34">
        <v>7932.7</v>
      </c>
      <c r="AI207" s="34">
        <v>7450.7</v>
      </c>
      <c r="AJ207" s="34">
        <v>7359.4</v>
      </c>
      <c r="AK207" s="34">
        <v>7588.8</v>
      </c>
      <c r="AL207" s="34">
        <v>8174.1</v>
      </c>
      <c r="AM207" s="34">
        <v>8323.7999999999993</v>
      </c>
      <c r="AN207" s="34">
        <v>7169.4</v>
      </c>
      <c r="AO207" s="34">
        <v>7697.3</v>
      </c>
      <c r="AP207" s="34">
        <v>8795.2999999999993</v>
      </c>
      <c r="AQ207" s="34">
        <v>8337.2999999999993</v>
      </c>
      <c r="AR207" s="34">
        <v>8381</v>
      </c>
      <c r="AS207" s="34">
        <v>9321.7999999999993</v>
      </c>
      <c r="AT207" s="34">
        <v>10935</v>
      </c>
      <c r="AU207" s="34">
        <v>13462.8</v>
      </c>
      <c r="AV207" s="34">
        <v>14848.6</v>
      </c>
      <c r="AW207" s="34">
        <v>15756.2</v>
      </c>
      <c r="AX207" s="34">
        <v>18944.900000000001</v>
      </c>
      <c r="AY207" s="34">
        <v>15064.6</v>
      </c>
      <c r="AZ207" s="34">
        <v>17958.900000000001</v>
      </c>
      <c r="BA207" s="34">
        <v>22441.599999999999</v>
      </c>
      <c r="BB207" s="34">
        <v>24069.200000000001</v>
      </c>
      <c r="BC207" s="34">
        <v>23945.5</v>
      </c>
      <c r="BD207" s="34">
        <v>23862.799999999999</v>
      </c>
      <c r="BE207" s="34">
        <v>20442.400000000001</v>
      </c>
      <c r="BF207" s="34">
        <v>19930.400000000001</v>
      </c>
      <c r="BG207" s="34">
        <v>20910.5</v>
      </c>
      <c r="BH207" s="34">
        <v>24175.599999999999</v>
      </c>
      <c r="BI207" s="34">
        <v>23405.7</v>
      </c>
      <c r="BJ207" s="34">
        <v>20398.099999999999</v>
      </c>
      <c r="BK207" s="1">
        <v>24315.599999999999</v>
      </c>
      <c r="BL207" s="1">
        <v>30447.9</v>
      </c>
      <c r="BM207" s="1">
        <v>28895</v>
      </c>
    </row>
    <row r="208" spans="1:65">
      <c r="A208" s="1" t="s">
        <v>1313</v>
      </c>
      <c r="B208" s="34">
        <v>100.3</v>
      </c>
      <c r="C208" s="34">
        <v>106.2</v>
      </c>
      <c r="D208" s="34">
        <v>112.3</v>
      </c>
      <c r="E208" s="34">
        <v>111.3</v>
      </c>
      <c r="F208" s="34">
        <v>111.2</v>
      </c>
      <c r="G208" s="34">
        <v>112.6</v>
      </c>
      <c r="H208" s="34">
        <v>112.5</v>
      </c>
      <c r="I208" s="34">
        <v>118.8</v>
      </c>
      <c r="J208" s="34">
        <v>120.8</v>
      </c>
      <c r="K208" s="34">
        <v>129.6</v>
      </c>
      <c r="L208" s="34">
        <v>143.5</v>
      </c>
      <c r="M208" s="34">
        <v>152</v>
      </c>
      <c r="N208" s="34">
        <v>160.1</v>
      </c>
      <c r="O208" s="34">
        <v>192.3</v>
      </c>
      <c r="P208" s="34">
        <v>238.9</v>
      </c>
      <c r="Q208" s="34">
        <v>280.3</v>
      </c>
      <c r="R208" s="34">
        <v>336.6</v>
      </c>
      <c r="S208" s="34">
        <v>404.1</v>
      </c>
      <c r="T208" s="34">
        <v>421.6</v>
      </c>
      <c r="U208" s="34">
        <v>419.7</v>
      </c>
      <c r="V208" s="34">
        <v>429</v>
      </c>
      <c r="W208" s="34">
        <v>495.5</v>
      </c>
      <c r="X208" s="34">
        <v>387.8</v>
      </c>
      <c r="Y208" s="34">
        <v>354.2</v>
      </c>
      <c r="Z208" s="34">
        <v>439.6</v>
      </c>
      <c r="AA208" s="34">
        <v>333.4</v>
      </c>
      <c r="AB208" s="34">
        <v>408.5</v>
      </c>
      <c r="AC208" s="34">
        <v>481.3</v>
      </c>
      <c r="AD208" s="34">
        <v>568.79999999999995</v>
      </c>
      <c r="AE208" s="34">
        <v>842</v>
      </c>
      <c r="AF208" s="34">
        <v>1301.8</v>
      </c>
      <c r="AG208" s="34">
        <v>1678.1</v>
      </c>
      <c r="AH208" s="34">
        <v>263</v>
      </c>
      <c r="AI208" s="34">
        <v>326.7</v>
      </c>
      <c r="AJ208" s="34">
        <v>459.4</v>
      </c>
      <c r="AK208" s="34">
        <v>483.7</v>
      </c>
      <c r="AL208" s="34">
        <v>307.8</v>
      </c>
      <c r="AM208" s="34">
        <v>388.8</v>
      </c>
      <c r="AN208" s="34">
        <v>366.1</v>
      </c>
      <c r="AO208" s="34">
        <v>339.3</v>
      </c>
      <c r="AP208" s="34">
        <v>378.2</v>
      </c>
      <c r="AQ208" s="34">
        <v>471.4</v>
      </c>
      <c r="AR208" s="34">
        <v>529.5</v>
      </c>
      <c r="AS208" s="34">
        <v>607</v>
      </c>
      <c r="AT208" s="34">
        <v>737.1</v>
      </c>
      <c r="AU208" s="34">
        <v>945.7</v>
      </c>
      <c r="AV208" s="34">
        <v>1179.9000000000001</v>
      </c>
      <c r="AW208" s="34">
        <v>1500.7</v>
      </c>
      <c r="AX208" s="34">
        <v>1585.6</v>
      </c>
      <c r="AY208" s="34">
        <v>1223.9000000000001</v>
      </c>
      <c r="AZ208" s="34">
        <v>1356.9</v>
      </c>
      <c r="BA208" s="34">
        <v>1391.4</v>
      </c>
      <c r="BB208" s="34">
        <v>1070.3</v>
      </c>
      <c r="BC208" s="34">
        <v>1195.4000000000001</v>
      </c>
      <c r="BD208" s="34">
        <v>1338.2</v>
      </c>
      <c r="BE208" s="34">
        <v>1355.1</v>
      </c>
      <c r="BF208" s="34">
        <v>1082.5999999999999</v>
      </c>
      <c r="BG208" s="34">
        <v>1014.8</v>
      </c>
      <c r="BH208" s="34">
        <v>769.9</v>
      </c>
      <c r="BI208" s="34">
        <v>748</v>
      </c>
      <c r="BJ208" s="34">
        <v>608.29999999999995</v>
      </c>
      <c r="BK208" s="1">
        <v>749.7</v>
      </c>
      <c r="BL208" s="1">
        <v>1102.2</v>
      </c>
      <c r="BM208" s="1">
        <v>2272.5</v>
      </c>
    </row>
    <row r="209" spans="1:65">
      <c r="A209" s="1" t="s">
        <v>1314</v>
      </c>
      <c r="B209" s="34">
        <v>306.60000000000002</v>
      </c>
      <c r="C209" s="34">
        <v>314.5</v>
      </c>
      <c r="D209" s="34">
        <v>313.39999999999998</v>
      </c>
      <c r="E209" s="34">
        <v>315</v>
      </c>
      <c r="F209" s="34">
        <v>324.39999999999998</v>
      </c>
      <c r="G209" s="34">
        <v>320.89999999999998</v>
      </c>
      <c r="H209" s="34">
        <v>321.2</v>
      </c>
      <c r="I209" s="34">
        <v>311.8</v>
      </c>
      <c r="J209" s="34">
        <v>318</v>
      </c>
      <c r="K209" s="34">
        <v>293.60000000000002</v>
      </c>
      <c r="L209" s="34">
        <v>297</v>
      </c>
      <c r="M209" s="34">
        <v>297.8</v>
      </c>
      <c r="N209" s="34">
        <v>349.8</v>
      </c>
      <c r="O209" s="34">
        <v>390.5</v>
      </c>
      <c r="P209" s="34">
        <v>427.4</v>
      </c>
      <c r="Q209" s="34">
        <v>560.70000000000005</v>
      </c>
      <c r="R209" s="34">
        <v>553.9</v>
      </c>
      <c r="S209" s="34">
        <v>553.5</v>
      </c>
      <c r="T209" s="34">
        <v>603.79999999999995</v>
      </c>
      <c r="U209" s="34">
        <v>734.1</v>
      </c>
      <c r="V209" s="34">
        <v>790.7</v>
      </c>
      <c r="W209" s="34">
        <v>699.9</v>
      </c>
      <c r="X209" s="34">
        <v>668.1</v>
      </c>
      <c r="Y209" s="34">
        <v>578.29999999999995</v>
      </c>
      <c r="Z209" s="34">
        <v>549.6</v>
      </c>
      <c r="AA209" s="34">
        <v>585.70000000000005</v>
      </c>
      <c r="AB209" s="34">
        <v>803.5</v>
      </c>
      <c r="AC209" s="34">
        <v>938.9</v>
      </c>
      <c r="AD209" s="34">
        <v>902.3</v>
      </c>
      <c r="AE209" s="34">
        <v>869.5</v>
      </c>
      <c r="AF209" s="34">
        <v>980.8</v>
      </c>
      <c r="AG209" s="34">
        <v>935.6</v>
      </c>
      <c r="AH209" s="34">
        <v>974.3</v>
      </c>
      <c r="AI209" s="34">
        <v>898.9</v>
      </c>
      <c r="AJ209" s="34">
        <v>598.1</v>
      </c>
      <c r="AK209" s="34">
        <v>732.8</v>
      </c>
      <c r="AL209" s="34">
        <v>741.8</v>
      </c>
      <c r="AM209" s="34">
        <v>667.5</v>
      </c>
      <c r="AN209" s="34">
        <v>702.4</v>
      </c>
      <c r="AO209" s="34">
        <v>695.6</v>
      </c>
      <c r="AP209" s="34">
        <v>619.6</v>
      </c>
      <c r="AQ209" s="34">
        <v>654.79999999999995</v>
      </c>
      <c r="AR209" s="34">
        <v>688.2</v>
      </c>
      <c r="AS209" s="34">
        <v>840.4</v>
      </c>
      <c r="AT209" s="34">
        <v>941.9</v>
      </c>
      <c r="AU209" s="34">
        <v>1003.2</v>
      </c>
      <c r="AV209" s="34">
        <v>1038.5999999999999</v>
      </c>
      <c r="AW209" s="34">
        <v>1210.2</v>
      </c>
      <c r="AX209" s="34">
        <v>1419.5</v>
      </c>
      <c r="AY209" s="34">
        <v>1324</v>
      </c>
      <c r="AZ209" s="34">
        <v>1286.5999999999999</v>
      </c>
      <c r="BA209" s="34">
        <v>1383.5</v>
      </c>
      <c r="BB209" s="34">
        <v>1334.7</v>
      </c>
      <c r="BC209" s="34">
        <v>1391.5</v>
      </c>
      <c r="BD209" s="34">
        <v>1417.1</v>
      </c>
      <c r="BE209" s="34">
        <v>1238.0999999999999</v>
      </c>
      <c r="BF209" s="34">
        <v>1290.7</v>
      </c>
      <c r="BG209" s="34">
        <v>1385.2</v>
      </c>
      <c r="BH209" s="34">
        <v>1484.2</v>
      </c>
      <c r="BI209" s="34">
        <v>1462.7</v>
      </c>
      <c r="BJ209" s="34">
        <v>1492.5</v>
      </c>
      <c r="BK209" s="1">
        <v>1630.7</v>
      </c>
      <c r="BL209" s="1">
        <v>1595</v>
      </c>
      <c r="BM209" s="1">
        <v>1746</v>
      </c>
    </row>
    <row r="210" spans="1:65">
      <c r="A210" s="1" t="s">
        <v>1315</v>
      </c>
      <c r="B210" s="34">
        <v>428.1</v>
      </c>
      <c r="C210" s="34">
        <v>449.1</v>
      </c>
      <c r="D210" s="34">
        <v>472.1</v>
      </c>
      <c r="E210" s="34">
        <v>511.2</v>
      </c>
      <c r="F210" s="34">
        <v>485.5</v>
      </c>
      <c r="G210" s="34">
        <v>516.5</v>
      </c>
      <c r="H210" s="34">
        <v>566.79999999999995</v>
      </c>
      <c r="I210" s="34">
        <v>626</v>
      </c>
      <c r="J210" s="34">
        <v>708.6</v>
      </c>
      <c r="K210" s="34">
        <v>812.7</v>
      </c>
      <c r="L210" s="34">
        <v>925.8</v>
      </c>
      <c r="M210" s="34">
        <v>1071.4000000000001</v>
      </c>
      <c r="N210" s="34">
        <v>1264.4000000000001</v>
      </c>
      <c r="O210" s="34">
        <v>1685.5</v>
      </c>
      <c r="P210" s="34">
        <v>2341.6999999999998</v>
      </c>
      <c r="Q210" s="34">
        <v>2489.9</v>
      </c>
      <c r="R210" s="34">
        <v>2758.9</v>
      </c>
      <c r="S210" s="34">
        <v>2846.3</v>
      </c>
      <c r="T210" s="34">
        <v>3193.9</v>
      </c>
      <c r="U210" s="34">
        <v>3900.5</v>
      </c>
      <c r="V210" s="34">
        <v>4928.1000000000004</v>
      </c>
      <c r="W210" s="34">
        <v>5596.6</v>
      </c>
      <c r="X210" s="34">
        <v>6077.6</v>
      </c>
      <c r="Y210" s="34">
        <v>6633.2</v>
      </c>
      <c r="Z210" s="34">
        <v>7228.3</v>
      </c>
      <c r="AA210" s="34">
        <v>7001.8</v>
      </c>
      <c r="AB210" s="34">
        <v>6799.9</v>
      </c>
      <c r="AC210" s="34">
        <v>7539</v>
      </c>
      <c r="AD210" s="34">
        <v>8914.4</v>
      </c>
      <c r="AE210" s="34">
        <v>10394.5</v>
      </c>
      <c r="AF210" s="34">
        <v>11861.8</v>
      </c>
      <c r="AG210" s="34">
        <v>14502.4</v>
      </c>
      <c r="AH210" s="34">
        <v>16136.2</v>
      </c>
      <c r="AI210" s="34">
        <v>18290.099999999999</v>
      </c>
      <c r="AJ210" s="34">
        <v>21552.400000000001</v>
      </c>
      <c r="AK210" s="34">
        <v>24914.9</v>
      </c>
      <c r="AL210" s="34">
        <v>26232.9</v>
      </c>
      <c r="AM210" s="34">
        <v>26375.9</v>
      </c>
      <c r="AN210" s="34">
        <v>21829.3</v>
      </c>
      <c r="AO210" s="34">
        <v>21796.6</v>
      </c>
      <c r="AP210" s="34">
        <v>23852.799999999999</v>
      </c>
      <c r="AQ210" s="34">
        <v>21699.7</v>
      </c>
      <c r="AR210" s="34">
        <v>22159.8</v>
      </c>
      <c r="AS210" s="34">
        <v>23730.400000000001</v>
      </c>
      <c r="AT210" s="34">
        <v>27608.1</v>
      </c>
      <c r="AU210" s="34">
        <v>29961.3</v>
      </c>
      <c r="AV210" s="34">
        <v>33768.5</v>
      </c>
      <c r="AW210" s="34">
        <v>39432.9</v>
      </c>
      <c r="AX210" s="34">
        <v>40008.6</v>
      </c>
      <c r="AY210" s="34">
        <v>38926.800000000003</v>
      </c>
      <c r="AZ210" s="34">
        <v>47236.7</v>
      </c>
      <c r="BA210" s="34">
        <v>53891.5</v>
      </c>
      <c r="BB210" s="34">
        <v>55547.6</v>
      </c>
      <c r="BC210" s="34">
        <v>56967.4</v>
      </c>
      <c r="BD210" s="34">
        <v>57564.800000000003</v>
      </c>
      <c r="BE210" s="34">
        <v>55645.599999999999</v>
      </c>
      <c r="BF210" s="34">
        <v>56899.9</v>
      </c>
      <c r="BG210" s="34">
        <v>61162.1</v>
      </c>
      <c r="BH210" s="34">
        <v>66840.600000000006</v>
      </c>
      <c r="BI210" s="34">
        <v>66081.7</v>
      </c>
      <c r="BJ210" s="34">
        <v>61466.8</v>
      </c>
      <c r="BK210" s="1">
        <v>79601.399999999994</v>
      </c>
      <c r="BL210" s="1">
        <v>88428.7</v>
      </c>
      <c r="BM210" s="1">
        <v>84734.3</v>
      </c>
    </row>
    <row r="211" spans="1:65">
      <c r="A211" s="1" t="s">
        <v>1316</v>
      </c>
      <c r="B211" s="34"/>
      <c r="C211" s="34"/>
      <c r="D211" s="34"/>
      <c r="E211" s="34"/>
      <c r="F211" s="34"/>
      <c r="G211" s="34"/>
      <c r="H211" s="34"/>
      <c r="I211" s="34">
        <v>157.9</v>
      </c>
      <c r="J211" s="34">
        <v>171.3</v>
      </c>
      <c r="K211" s="34">
        <v>169.9</v>
      </c>
      <c r="L211" s="34"/>
      <c r="M211" s="34">
        <v>282.39999999999998</v>
      </c>
      <c r="N211" s="34">
        <v>223.3</v>
      </c>
      <c r="O211" s="34">
        <v>295.89999999999998</v>
      </c>
      <c r="P211" s="34">
        <v>440</v>
      </c>
      <c r="Q211" s="34">
        <v>377.2</v>
      </c>
      <c r="R211" s="34">
        <v>407.2</v>
      </c>
      <c r="S211" s="34">
        <v>441.6</v>
      </c>
      <c r="T211" s="34">
        <v>508.8</v>
      </c>
      <c r="U211" s="34">
        <v>670</v>
      </c>
      <c r="V211" s="34">
        <v>782.5</v>
      </c>
      <c r="W211" s="34">
        <v>801.2</v>
      </c>
      <c r="X211" s="34">
        <v>770.8</v>
      </c>
      <c r="Y211" s="34">
        <v>699.8</v>
      </c>
      <c r="Z211" s="34">
        <v>677.7</v>
      </c>
      <c r="AA211" s="34">
        <v>597.20000000000005</v>
      </c>
      <c r="AB211" s="34">
        <v>515.20000000000005</v>
      </c>
      <c r="AC211" s="34">
        <v>524.4</v>
      </c>
      <c r="AD211" s="34">
        <v>578.4</v>
      </c>
      <c r="AE211" s="34">
        <v>549.6</v>
      </c>
      <c r="AF211" s="34">
        <v>662.9</v>
      </c>
      <c r="AG211" s="34">
        <v>681.4</v>
      </c>
      <c r="AH211" s="34">
        <v>782.3</v>
      </c>
      <c r="AI211" s="34">
        <v>849.4</v>
      </c>
      <c r="AJ211" s="34">
        <v>1105.2</v>
      </c>
      <c r="AK211" s="34">
        <v>1251.2</v>
      </c>
      <c r="AL211" s="34">
        <v>1322.5</v>
      </c>
      <c r="AM211" s="34">
        <v>1326.2</v>
      </c>
      <c r="AN211" s="34">
        <v>1121.0999999999999</v>
      </c>
      <c r="AO211" s="34">
        <v>1164.0999999999999</v>
      </c>
      <c r="AP211" s="34">
        <v>976.4</v>
      </c>
      <c r="AQ211" s="34">
        <v>929.9</v>
      </c>
      <c r="AR211" s="34">
        <v>768.5</v>
      </c>
      <c r="AS211" s="34">
        <v>905.6</v>
      </c>
      <c r="AT211" s="34">
        <v>992</v>
      </c>
      <c r="AU211" s="34">
        <v>1145.9000000000001</v>
      </c>
      <c r="AV211" s="34">
        <v>1251</v>
      </c>
      <c r="AW211" s="34">
        <v>1377.9</v>
      </c>
      <c r="AX211" s="34">
        <v>1504.5</v>
      </c>
      <c r="AY211" s="34">
        <v>1526.2</v>
      </c>
      <c r="AZ211" s="34">
        <v>1662</v>
      </c>
      <c r="BA211" s="34">
        <v>1921.4</v>
      </c>
      <c r="BB211" s="34">
        <v>2087.5</v>
      </c>
      <c r="BC211" s="34">
        <v>2208.1</v>
      </c>
      <c r="BD211" s="34">
        <v>2235.6999999999998</v>
      </c>
      <c r="BE211" s="34">
        <v>2134.8000000000002</v>
      </c>
      <c r="BF211" s="34">
        <v>2196.3000000000002</v>
      </c>
      <c r="BG211" s="34">
        <v>2283.6</v>
      </c>
      <c r="BH211" s="34">
        <v>2450.5</v>
      </c>
      <c r="BI211" s="34">
        <v>2398.8000000000002</v>
      </c>
      <c r="BJ211" s="34">
        <v>2222.5</v>
      </c>
      <c r="BK211" s="1">
        <v>2151.3000000000002</v>
      </c>
      <c r="BL211" s="1">
        <v>2162.6999999999998</v>
      </c>
      <c r="BM211" s="1">
        <v>2203.1999999999998</v>
      </c>
    </row>
    <row r="212" spans="1:65">
      <c r="A212" s="1" t="s">
        <v>1317</v>
      </c>
      <c r="B212" s="34">
        <v>140</v>
      </c>
      <c r="C212" s="34">
        <v>140.1</v>
      </c>
      <c r="D212" s="34">
        <v>143.9</v>
      </c>
      <c r="E212" s="34">
        <v>143.69999999999999</v>
      </c>
      <c r="F212" s="34">
        <v>150.4</v>
      </c>
      <c r="G212" s="34">
        <v>142.6</v>
      </c>
      <c r="H212" s="34">
        <v>146.19999999999999</v>
      </c>
      <c r="I212" s="34">
        <v>133.1</v>
      </c>
      <c r="J212" s="34">
        <v>123.5</v>
      </c>
      <c r="K212" s="34">
        <v>150</v>
      </c>
      <c r="L212" s="34">
        <v>156.4</v>
      </c>
      <c r="M212" s="34">
        <v>148.1</v>
      </c>
      <c r="N212" s="34">
        <v>161.19999999999999</v>
      </c>
      <c r="O212" s="34">
        <v>195.6</v>
      </c>
      <c r="P212" s="34">
        <v>216.4</v>
      </c>
      <c r="Q212" s="34">
        <v>222.3</v>
      </c>
      <c r="R212" s="34">
        <v>191.1</v>
      </c>
      <c r="S212" s="34">
        <v>218.2</v>
      </c>
      <c r="T212" s="34">
        <v>297</v>
      </c>
      <c r="U212" s="34">
        <v>336.2</v>
      </c>
      <c r="V212" s="34">
        <v>326.8</v>
      </c>
      <c r="W212" s="34">
        <v>324.39999999999998</v>
      </c>
      <c r="X212" s="34">
        <v>369</v>
      </c>
      <c r="Y212" s="34">
        <v>277.60000000000002</v>
      </c>
      <c r="Z212" s="34">
        <v>296.60000000000002</v>
      </c>
      <c r="AA212" s="34">
        <v>228.5</v>
      </c>
      <c r="AB212" s="34">
        <v>127.6</v>
      </c>
      <c r="AC212" s="34">
        <v>167.2</v>
      </c>
      <c r="AD212" s="34">
        <v>260.10000000000002</v>
      </c>
      <c r="AE212" s="34">
        <v>224.3</v>
      </c>
      <c r="AF212" s="34">
        <v>150.19999999999999</v>
      </c>
      <c r="AG212" s="34">
        <v>178.2</v>
      </c>
      <c r="AH212" s="34">
        <v>158.1</v>
      </c>
      <c r="AI212" s="34">
        <v>179</v>
      </c>
      <c r="AJ212" s="34">
        <v>211.3</v>
      </c>
      <c r="AK212" s="34">
        <v>201.4</v>
      </c>
      <c r="AL212" s="34">
        <v>216.6</v>
      </c>
      <c r="AM212" s="34">
        <v>193</v>
      </c>
      <c r="AN212" s="34">
        <v>151.1</v>
      </c>
      <c r="AO212" s="34">
        <v>149.6</v>
      </c>
      <c r="AP212" s="34">
        <v>138.69999999999999</v>
      </c>
      <c r="AQ212" s="34">
        <v>221.3</v>
      </c>
      <c r="AR212" s="34">
        <v>240.5</v>
      </c>
      <c r="AS212" s="34">
        <v>256</v>
      </c>
      <c r="AT212" s="34">
        <v>258.5</v>
      </c>
      <c r="AU212" s="34">
        <v>286.3</v>
      </c>
      <c r="AV212" s="34">
        <v>320.5</v>
      </c>
      <c r="AW212" s="34">
        <v>358.1</v>
      </c>
      <c r="AX212" s="34">
        <v>402.6</v>
      </c>
      <c r="AY212" s="34">
        <v>386.4</v>
      </c>
      <c r="AZ212" s="34">
        <v>400.5</v>
      </c>
      <c r="BA212" s="34">
        <v>443.5</v>
      </c>
      <c r="BB212" s="34">
        <v>558.20000000000005</v>
      </c>
      <c r="BC212" s="34">
        <v>706.5</v>
      </c>
      <c r="BD212" s="34">
        <v>702.3</v>
      </c>
      <c r="BE212" s="34">
        <v>581.29999999999995</v>
      </c>
      <c r="BF212" s="34">
        <v>515.4</v>
      </c>
      <c r="BG212" s="34">
        <v>484.5</v>
      </c>
      <c r="BH212" s="34">
        <v>519.6</v>
      </c>
      <c r="BI212" s="34">
        <v>506.6</v>
      </c>
      <c r="BJ212" s="34">
        <v>493.4</v>
      </c>
      <c r="BK212" s="1">
        <v>504.6</v>
      </c>
      <c r="BL212" s="1">
        <v>475.8</v>
      </c>
      <c r="BM212" s="1">
        <v>433.4</v>
      </c>
    </row>
    <row r="213" spans="1:65">
      <c r="A213" s="1" t="s">
        <v>1318</v>
      </c>
      <c r="B213" s="34"/>
      <c r="C213" s="34"/>
      <c r="D213" s="34"/>
      <c r="E213" s="34"/>
      <c r="F213" s="34"/>
      <c r="G213" s="34">
        <v>276.10000000000002</v>
      </c>
      <c r="H213" s="34">
        <v>284.60000000000002</v>
      </c>
      <c r="I213" s="34">
        <v>291</v>
      </c>
      <c r="J213" s="34">
        <v>293.3</v>
      </c>
      <c r="K213" s="34">
        <v>297.2</v>
      </c>
      <c r="L213" s="34">
        <v>313</v>
      </c>
      <c r="M213" s="34">
        <v>319.89999999999998</v>
      </c>
      <c r="N213" s="34">
        <v>332.7</v>
      </c>
      <c r="O213" s="34">
        <v>370.7</v>
      </c>
      <c r="P213" s="34">
        <v>418.1</v>
      </c>
      <c r="Q213" s="34">
        <v>462.2</v>
      </c>
      <c r="R213" s="34">
        <v>558.79999999999995</v>
      </c>
      <c r="S213" s="34">
        <v>691.1</v>
      </c>
      <c r="T213" s="34">
        <v>719.6</v>
      </c>
      <c r="U213" s="34">
        <v>781.3</v>
      </c>
      <c r="V213" s="34">
        <v>792.6</v>
      </c>
      <c r="W213" s="34">
        <v>755.6</v>
      </c>
      <c r="X213" s="34">
        <v>739</v>
      </c>
      <c r="Y213" s="34">
        <v>747.7</v>
      </c>
      <c r="Z213" s="34">
        <v>765.7</v>
      </c>
      <c r="AA213" s="34">
        <v>779.3</v>
      </c>
      <c r="AB213" s="34">
        <v>758.8</v>
      </c>
      <c r="AC213" s="34">
        <v>781.1</v>
      </c>
      <c r="AD213" s="34">
        <v>810.4</v>
      </c>
      <c r="AE213" s="34">
        <v>829.5</v>
      </c>
      <c r="AF213" s="34">
        <v>897.6</v>
      </c>
      <c r="AG213" s="34">
        <v>961.8</v>
      </c>
      <c r="AH213" s="34">
        <v>1047</v>
      </c>
      <c r="AI213" s="34">
        <v>1186.3</v>
      </c>
      <c r="AJ213" s="34">
        <v>1348.9</v>
      </c>
      <c r="AK213" s="34">
        <v>1552.1</v>
      </c>
      <c r="AL213" s="34">
        <v>1653.6</v>
      </c>
      <c r="AM213" s="34">
        <v>1749.5</v>
      </c>
      <c r="AN213" s="34">
        <v>1858.4</v>
      </c>
      <c r="AO213" s="34">
        <v>1904.9</v>
      </c>
      <c r="AP213" s="34">
        <v>1977.8</v>
      </c>
      <c r="AQ213" s="34">
        <v>2051.1999999999998</v>
      </c>
      <c r="AR213" s="34">
        <v>2106.6999999999998</v>
      </c>
      <c r="AS213" s="34">
        <v>2197.5</v>
      </c>
      <c r="AT213" s="34">
        <v>2274</v>
      </c>
      <c r="AU213" s="34">
        <v>2434.3000000000002</v>
      </c>
      <c r="AV213" s="34">
        <v>2651.4</v>
      </c>
      <c r="AW213" s="34">
        <v>2814.6</v>
      </c>
      <c r="AX213" s="34">
        <v>2964.2</v>
      </c>
      <c r="AY213" s="34">
        <v>2889.7</v>
      </c>
      <c r="AZ213" s="34">
        <v>3017.3</v>
      </c>
      <c r="BA213" s="34">
        <v>3305</v>
      </c>
      <c r="BB213" s="34">
        <v>3471.1</v>
      </c>
      <c r="BC213" s="34">
        <v>3555.2</v>
      </c>
      <c r="BD213" s="34">
        <v>3638.5</v>
      </c>
      <c r="BE213" s="34">
        <v>3761.5</v>
      </c>
      <c r="BF213" s="34">
        <v>3870.3</v>
      </c>
      <c r="BG213" s="34">
        <v>3986</v>
      </c>
      <c r="BH213" s="34">
        <v>4145.8999999999996</v>
      </c>
      <c r="BI213" s="34">
        <v>4280.3</v>
      </c>
      <c r="BJ213" s="34">
        <v>3960.3</v>
      </c>
      <c r="BK213" s="1">
        <v>4599.7</v>
      </c>
      <c r="BL213" s="1">
        <v>5048.3999999999996</v>
      </c>
      <c r="BM213" s="1">
        <v>5344.2</v>
      </c>
    </row>
    <row r="214" spans="1:65">
      <c r="A214" s="1" t="s">
        <v>1319</v>
      </c>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v>42004.9</v>
      </c>
      <c r="AP214" s="34">
        <v>37473.800000000003</v>
      </c>
      <c r="AQ214" s="34">
        <v>39415.199999999997</v>
      </c>
      <c r="AR214" s="34">
        <v>41770.1</v>
      </c>
      <c r="AS214" s="34">
        <v>51198.400000000001</v>
      </c>
      <c r="AT214" s="34">
        <v>59249.599999999999</v>
      </c>
      <c r="AU214" s="34">
        <v>60520.800000000003</v>
      </c>
      <c r="AV214" s="34">
        <v>63692.6</v>
      </c>
      <c r="AW214" s="34">
        <v>71970.100000000006</v>
      </c>
      <c r="AX214" s="34">
        <v>77962.100000000006</v>
      </c>
      <c r="AY214" s="34">
        <v>66200.7</v>
      </c>
      <c r="AZ214" s="34">
        <v>59516.3</v>
      </c>
      <c r="BA214" s="34">
        <v>55815.3</v>
      </c>
      <c r="BB214" s="34">
        <v>48433.599999999999</v>
      </c>
      <c r="BC214" s="34">
        <v>50435.4</v>
      </c>
      <c r="BD214" s="34">
        <v>50133.599999999999</v>
      </c>
      <c r="BE214" s="34">
        <v>42281.8</v>
      </c>
      <c r="BF214" s="34">
        <v>43398.400000000001</v>
      </c>
      <c r="BG214" s="34">
        <v>44885.5</v>
      </c>
      <c r="BH214" s="34">
        <v>48464.5</v>
      </c>
      <c r="BI214" s="34">
        <v>47287.4</v>
      </c>
      <c r="BJ214" s="34">
        <v>45321.5</v>
      </c>
      <c r="BK214" s="1">
        <v>54982.5</v>
      </c>
    </row>
    <row r="215" spans="1:65">
      <c r="A215" s="1" t="s">
        <v>229</v>
      </c>
      <c r="B215" s="34">
        <v>62.9</v>
      </c>
      <c r="C215" s="34">
        <v>65.099999999999994</v>
      </c>
      <c r="D215" s="34">
        <v>67.3</v>
      </c>
      <c r="E215" s="34">
        <v>69.7</v>
      </c>
      <c r="F215" s="34">
        <v>72.099999999999994</v>
      </c>
      <c r="G215" s="34">
        <v>74.599999999999994</v>
      </c>
      <c r="H215" s="34">
        <v>76.7</v>
      </c>
      <c r="I215" s="34">
        <v>79</v>
      </c>
      <c r="J215" s="34">
        <v>81.2</v>
      </c>
      <c r="K215" s="34">
        <v>84.5</v>
      </c>
      <c r="L215" s="34">
        <v>93.5</v>
      </c>
      <c r="M215" s="34">
        <v>90.9</v>
      </c>
      <c r="N215" s="34">
        <v>114.3</v>
      </c>
      <c r="O215" s="34">
        <v>120.3</v>
      </c>
      <c r="P215" s="34">
        <v>138.80000000000001</v>
      </c>
      <c r="Q215" s="34">
        <v>179</v>
      </c>
      <c r="R215" s="34">
        <v>201.1</v>
      </c>
      <c r="S215" s="34">
        <v>112</v>
      </c>
      <c r="T215" s="34">
        <v>118.2</v>
      </c>
      <c r="U215" s="34">
        <v>109</v>
      </c>
      <c r="V215" s="34">
        <v>102.3</v>
      </c>
      <c r="W215" s="34">
        <v>117.8</v>
      </c>
      <c r="X215" s="34">
        <v>130.1</v>
      </c>
      <c r="Y215" s="34">
        <v>119.7</v>
      </c>
      <c r="Z215" s="34">
        <v>123.6</v>
      </c>
      <c r="AA215" s="34">
        <v>132.1</v>
      </c>
      <c r="AB215" s="34">
        <v>132.69999999999999</v>
      </c>
      <c r="AC215" s="34">
        <v>142.4</v>
      </c>
      <c r="AD215" s="34">
        <v>146.9</v>
      </c>
      <c r="AE215" s="34">
        <v>167.9</v>
      </c>
      <c r="AF215" s="34">
        <v>147.30000000000001</v>
      </c>
      <c r="AG215" s="34">
        <v>106.6</v>
      </c>
      <c r="AH215" s="34">
        <v>110.3</v>
      </c>
      <c r="AI215" s="34">
        <v>190.3</v>
      </c>
      <c r="AJ215" s="34">
        <v>212.8</v>
      </c>
      <c r="AK215" s="34">
        <v>212.8</v>
      </c>
      <c r="AL215" s="34">
        <v>239.8</v>
      </c>
      <c r="AM215" s="34">
        <v>283.39999999999998</v>
      </c>
      <c r="AN215" s="34">
        <v>367.6</v>
      </c>
      <c r="AO215" s="34">
        <v>363.3</v>
      </c>
      <c r="AP215" s="34">
        <v>391.3</v>
      </c>
      <c r="AQ215" s="34">
        <v>248.4</v>
      </c>
      <c r="AR215" s="34">
        <v>233</v>
      </c>
      <c r="AS215" s="34">
        <v>290.7</v>
      </c>
      <c r="AT215" s="34">
        <v>381.5</v>
      </c>
      <c r="AU215" s="34">
        <v>447.4</v>
      </c>
      <c r="AV215" s="34">
        <v>466.1</v>
      </c>
      <c r="AW215" s="34">
        <v>488.5</v>
      </c>
      <c r="AX215" s="34">
        <v>516.70000000000005</v>
      </c>
      <c r="AY215" s="34">
        <v>251.4</v>
      </c>
      <c r="AZ215" s="34">
        <v>223.5</v>
      </c>
      <c r="BA215" s="34">
        <v>237.9</v>
      </c>
      <c r="BB215" s="34">
        <v>324.89999999999998</v>
      </c>
      <c r="BC215" s="34">
        <v>454.1</v>
      </c>
      <c r="BD215" s="34">
        <v>491.2</v>
      </c>
      <c r="BE215" s="34">
        <v>507.5</v>
      </c>
      <c r="BF215" s="34">
        <v>517.1</v>
      </c>
      <c r="BG215" s="34">
        <v>555.20000000000005</v>
      </c>
      <c r="BH215" s="34">
        <v>537.20000000000005</v>
      </c>
      <c r="BI215" s="34">
        <v>589.5</v>
      </c>
      <c r="BJ215" s="34">
        <v>556.6</v>
      </c>
      <c r="BK215" s="1">
        <v>576.5</v>
      </c>
      <c r="BL215" s="1">
        <v>592.1</v>
      </c>
      <c r="BM215" s="1">
        <v>643.79999999999995</v>
      </c>
    </row>
    <row r="216" spans="1:65">
      <c r="A216" s="1" t="s">
        <v>1320</v>
      </c>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v>2516.4</v>
      </c>
      <c r="AJ216" s="34">
        <v>2624.8</v>
      </c>
      <c r="AK216" s="34">
        <v>2207.5</v>
      </c>
      <c r="AL216" s="34">
        <v>2864.1</v>
      </c>
      <c r="AM216" s="34">
        <v>3380</v>
      </c>
      <c r="AN216" s="34">
        <v>2571.1999999999998</v>
      </c>
      <c r="AO216" s="34">
        <v>2571.3000000000002</v>
      </c>
      <c r="AP216" s="34">
        <v>914.8</v>
      </c>
      <c r="AQ216" s="34">
        <v>1727.3</v>
      </c>
      <c r="AR216" s="34">
        <v>2283.8000000000002</v>
      </c>
      <c r="AS216" s="34">
        <v>3005.4</v>
      </c>
      <c r="AT216" s="34">
        <v>3502.8</v>
      </c>
      <c r="AU216" s="34">
        <v>3720.5</v>
      </c>
      <c r="AV216" s="34">
        <v>4382.6000000000004</v>
      </c>
      <c r="AW216" s="34">
        <v>5848.5</v>
      </c>
      <c r="AX216" s="34">
        <v>7101</v>
      </c>
      <c r="AY216" s="34">
        <v>6169.1</v>
      </c>
      <c r="AZ216" s="34">
        <v>5735.4</v>
      </c>
      <c r="BA216" s="34">
        <v>6809.2</v>
      </c>
      <c r="BB216" s="34">
        <v>6015.9</v>
      </c>
      <c r="BC216" s="34">
        <v>6755.1</v>
      </c>
      <c r="BD216" s="34">
        <v>6600.1</v>
      </c>
      <c r="BE216" s="34">
        <v>5589</v>
      </c>
      <c r="BF216" s="34">
        <v>5765.2</v>
      </c>
      <c r="BG216" s="34">
        <v>6292.5</v>
      </c>
      <c r="BH216" s="34">
        <v>7252.4</v>
      </c>
      <c r="BI216" s="34">
        <v>7417.2</v>
      </c>
      <c r="BJ216" s="34">
        <v>7733.8</v>
      </c>
      <c r="BK216" s="1">
        <v>9233</v>
      </c>
      <c r="BL216" s="1">
        <v>9537.7000000000007</v>
      </c>
      <c r="BM216" s="1">
        <v>11361</v>
      </c>
    </row>
    <row r="217" spans="1:65">
      <c r="A217" s="1" t="s">
        <v>1321</v>
      </c>
      <c r="B217" s="34">
        <v>145.19999999999999</v>
      </c>
      <c r="C217" s="34">
        <v>149.80000000000001</v>
      </c>
      <c r="D217" s="34">
        <v>155.9</v>
      </c>
      <c r="E217" s="34">
        <v>163.9</v>
      </c>
      <c r="F217" s="34">
        <v>174.1</v>
      </c>
      <c r="G217" s="34">
        <v>183.3</v>
      </c>
      <c r="H217" s="34">
        <v>193</v>
      </c>
      <c r="I217" s="34">
        <v>193.2</v>
      </c>
      <c r="J217" s="34">
        <v>200.2</v>
      </c>
      <c r="K217" s="34">
        <v>217.8</v>
      </c>
      <c r="L217" s="34">
        <v>239.7</v>
      </c>
      <c r="M217" s="34">
        <v>237.9</v>
      </c>
      <c r="N217" s="34">
        <v>261.3</v>
      </c>
      <c r="O217" s="34">
        <v>324.2</v>
      </c>
      <c r="P217" s="34">
        <v>401.3</v>
      </c>
      <c r="Q217" s="34">
        <v>429.3</v>
      </c>
      <c r="R217" s="34">
        <v>456</v>
      </c>
      <c r="S217" s="34">
        <v>482</v>
      </c>
      <c r="T217" s="34">
        <v>519.79999999999995</v>
      </c>
      <c r="U217" s="34">
        <v>603.5</v>
      </c>
      <c r="V217" s="34">
        <v>746.6</v>
      </c>
      <c r="W217" s="34">
        <v>1005.2</v>
      </c>
      <c r="X217" s="34">
        <v>901.6</v>
      </c>
      <c r="Y217" s="34">
        <v>787.9</v>
      </c>
      <c r="Z217" s="34">
        <v>687.2</v>
      </c>
      <c r="AA217" s="34">
        <v>634.5</v>
      </c>
      <c r="AB217" s="34">
        <v>574.5</v>
      </c>
      <c r="AC217" s="34">
        <v>627.79999999999995</v>
      </c>
      <c r="AD217" s="34">
        <v>640.1</v>
      </c>
      <c r="AE217" s="34">
        <v>630.79999999999995</v>
      </c>
      <c r="AF217" s="34">
        <v>722.7</v>
      </c>
      <c r="AG217" s="34">
        <v>756.5</v>
      </c>
      <c r="AH217" s="34">
        <v>665.8</v>
      </c>
      <c r="AI217" s="34">
        <v>659.3</v>
      </c>
      <c r="AJ217" s="34">
        <v>657</v>
      </c>
      <c r="AK217" s="34">
        <v>814.5</v>
      </c>
      <c r="AL217" s="34">
        <v>884.3</v>
      </c>
      <c r="AM217" s="34">
        <v>908.4</v>
      </c>
      <c r="AN217" s="34">
        <v>887.2</v>
      </c>
      <c r="AO217" s="34">
        <v>617</v>
      </c>
      <c r="AP217" s="34">
        <v>637.29999999999995</v>
      </c>
      <c r="AQ217" s="34">
        <v>593.70000000000005</v>
      </c>
      <c r="AR217" s="34">
        <v>629.4</v>
      </c>
      <c r="AS217" s="34">
        <v>772.1</v>
      </c>
      <c r="AT217" s="34">
        <v>933.5</v>
      </c>
      <c r="AU217" s="34">
        <v>1078.3</v>
      </c>
      <c r="AV217" s="34">
        <v>1237.9000000000001</v>
      </c>
      <c r="AW217" s="34">
        <v>1394.5</v>
      </c>
      <c r="AX217" s="34">
        <v>1538</v>
      </c>
      <c r="AY217" s="34">
        <v>1429.3</v>
      </c>
      <c r="AZ217" s="34">
        <v>1645</v>
      </c>
      <c r="BA217" s="34">
        <v>1799</v>
      </c>
      <c r="BB217" s="34">
        <v>1818</v>
      </c>
      <c r="BC217" s="34">
        <v>1880.8</v>
      </c>
      <c r="BD217" s="34">
        <v>1908.4</v>
      </c>
      <c r="BE217" s="34">
        <v>1653</v>
      </c>
      <c r="BF217" s="34">
        <v>1467.5</v>
      </c>
      <c r="BG217" s="34">
        <v>1526.8</v>
      </c>
      <c r="BH217" s="34">
        <v>1628.8</v>
      </c>
      <c r="BI217" s="34">
        <v>1630.6</v>
      </c>
      <c r="BJ217" s="34">
        <v>1489.6</v>
      </c>
      <c r="BK217" s="1">
        <v>1635.2</v>
      </c>
      <c r="BL217" s="1">
        <v>1700.2</v>
      </c>
      <c r="BM217" s="1">
        <v>1635.2</v>
      </c>
    </row>
    <row r="218" spans="1:65">
      <c r="A218" s="1" t="s">
        <v>236</v>
      </c>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v>1653</v>
      </c>
      <c r="AY218" s="34">
        <v>1325.3</v>
      </c>
      <c r="AZ218" s="34">
        <v>1503.1</v>
      </c>
      <c r="BA218" s="34">
        <v>1455.4</v>
      </c>
      <c r="BB218" s="34">
        <v>1114.9000000000001</v>
      </c>
      <c r="BC218" s="34">
        <v>1659.1</v>
      </c>
      <c r="BD218" s="34">
        <v>1245.0999999999999</v>
      </c>
      <c r="BE218" s="34">
        <v>1071.8</v>
      </c>
      <c r="BF218" s="34"/>
      <c r="BG218" s="34"/>
      <c r="BH218" s="34"/>
      <c r="BI218" s="34"/>
      <c r="BJ218" s="34"/>
    </row>
    <row r="219" spans="1:65">
      <c r="A219" s="1" t="s">
        <v>1322</v>
      </c>
      <c r="B219" s="34">
        <v>145.19999999999999</v>
      </c>
      <c r="C219" s="34">
        <v>149.9</v>
      </c>
      <c r="D219" s="34">
        <v>155.9</v>
      </c>
      <c r="E219" s="34">
        <v>163.9</v>
      </c>
      <c r="F219" s="34">
        <v>174.2</v>
      </c>
      <c r="G219" s="34">
        <v>183.3</v>
      </c>
      <c r="H219" s="34">
        <v>193</v>
      </c>
      <c r="I219" s="34">
        <v>193.2</v>
      </c>
      <c r="J219" s="34">
        <v>200.2</v>
      </c>
      <c r="K219" s="34">
        <v>217.8</v>
      </c>
      <c r="L219" s="34">
        <v>239.7</v>
      </c>
      <c r="M219" s="34">
        <v>237.9</v>
      </c>
      <c r="N219" s="34">
        <v>261.39999999999998</v>
      </c>
      <c r="O219" s="34">
        <v>324.3</v>
      </c>
      <c r="P219" s="34">
        <v>401.3</v>
      </c>
      <c r="Q219" s="34">
        <v>429.4</v>
      </c>
      <c r="R219" s="34">
        <v>456</v>
      </c>
      <c r="S219" s="34">
        <v>482.1</v>
      </c>
      <c r="T219" s="34">
        <v>519.9</v>
      </c>
      <c r="U219" s="34">
        <v>603.70000000000005</v>
      </c>
      <c r="V219" s="34">
        <v>746.8</v>
      </c>
      <c r="W219" s="34">
        <v>1005.4</v>
      </c>
      <c r="X219" s="34">
        <v>901.8</v>
      </c>
      <c r="Y219" s="34">
        <v>788.1</v>
      </c>
      <c r="Z219" s="34">
        <v>687.5</v>
      </c>
      <c r="AA219" s="34">
        <v>634.70000000000005</v>
      </c>
      <c r="AB219" s="34">
        <v>574.9</v>
      </c>
      <c r="AC219" s="34">
        <v>628.29999999999995</v>
      </c>
      <c r="AD219" s="34">
        <v>640.6</v>
      </c>
      <c r="AE219" s="34">
        <v>631.29999999999995</v>
      </c>
      <c r="AF219" s="34">
        <v>723.3</v>
      </c>
      <c r="AG219" s="34">
        <v>757.2</v>
      </c>
      <c r="AH219" s="34">
        <v>666.5</v>
      </c>
      <c r="AI219" s="34">
        <v>660.1</v>
      </c>
      <c r="AJ219" s="34">
        <v>657.8</v>
      </c>
      <c r="AK219" s="34">
        <v>815.3</v>
      </c>
      <c r="AL219" s="34">
        <v>885.1</v>
      </c>
      <c r="AM219" s="34">
        <v>909.2</v>
      </c>
      <c r="AN219" s="34">
        <v>888.2</v>
      </c>
      <c r="AO219" s="34">
        <v>618</v>
      </c>
      <c r="AP219" s="34">
        <v>638.20000000000005</v>
      </c>
      <c r="AQ219" s="34">
        <v>594.6</v>
      </c>
      <c r="AR219" s="34">
        <v>630.4</v>
      </c>
      <c r="AS219" s="34">
        <v>773</v>
      </c>
      <c r="AT219" s="34">
        <v>934.6</v>
      </c>
      <c r="AU219" s="34">
        <v>1079.5</v>
      </c>
      <c r="AV219" s="34">
        <v>1239.0999999999999</v>
      </c>
      <c r="AW219" s="34">
        <v>1395.7</v>
      </c>
      <c r="AX219" s="34">
        <v>1539</v>
      </c>
      <c r="AY219" s="34">
        <v>1430.1</v>
      </c>
      <c r="AZ219" s="34">
        <v>1646</v>
      </c>
      <c r="BA219" s="34">
        <v>1800</v>
      </c>
      <c r="BB219" s="34">
        <v>1819</v>
      </c>
      <c r="BC219" s="34">
        <v>1882</v>
      </c>
      <c r="BD219" s="34">
        <v>1909.6</v>
      </c>
      <c r="BE219" s="34">
        <v>1654.3</v>
      </c>
      <c r="BF219" s="34">
        <v>1468.9</v>
      </c>
      <c r="BG219" s="34">
        <v>1528.2</v>
      </c>
      <c r="BH219" s="34">
        <v>1630.3</v>
      </c>
      <c r="BI219" s="34">
        <v>1632.1</v>
      </c>
      <c r="BJ219" s="34">
        <v>1490.7</v>
      </c>
      <c r="BK219" s="1">
        <v>1636.3</v>
      </c>
      <c r="BL219" s="1">
        <v>1701.7</v>
      </c>
      <c r="BM219" s="1">
        <v>1636.8</v>
      </c>
    </row>
    <row r="220" spans="1:65">
      <c r="A220" s="1" t="s">
        <v>1323</v>
      </c>
      <c r="B220" s="34"/>
      <c r="C220" s="34"/>
      <c r="D220" s="34"/>
      <c r="E220" s="34"/>
      <c r="F220" s="34"/>
      <c r="G220" s="34"/>
      <c r="H220" s="34"/>
      <c r="I220" s="34"/>
      <c r="J220" s="34"/>
      <c r="K220" s="34"/>
      <c r="L220" s="34">
        <v>459</v>
      </c>
      <c r="M220" s="34">
        <v>505</v>
      </c>
      <c r="N220" s="34">
        <v>576.70000000000005</v>
      </c>
      <c r="O220" s="34">
        <v>729.9</v>
      </c>
      <c r="P220" s="34">
        <v>979.7</v>
      </c>
      <c r="Q220" s="34">
        <v>1016.4</v>
      </c>
      <c r="R220" s="34">
        <v>1133.3</v>
      </c>
      <c r="S220" s="34">
        <v>1337.1</v>
      </c>
      <c r="T220" s="34">
        <v>1526.7</v>
      </c>
      <c r="U220" s="34">
        <v>1847.3</v>
      </c>
      <c r="V220" s="34">
        <v>2386.3000000000002</v>
      </c>
      <c r="W220" s="34">
        <v>2383.6999999999998</v>
      </c>
      <c r="X220" s="34">
        <v>2335.8000000000002</v>
      </c>
      <c r="Y220" s="34">
        <v>2244</v>
      </c>
      <c r="Z220" s="34">
        <v>2284.6999999999998</v>
      </c>
      <c r="AA220" s="34">
        <v>2257.6</v>
      </c>
      <c r="AB220" s="34">
        <v>2362.6</v>
      </c>
      <c r="AC220" s="34">
        <v>2720.1</v>
      </c>
      <c r="AD220" s="34">
        <v>2930.7</v>
      </c>
      <c r="AE220" s="34">
        <v>2933.7</v>
      </c>
      <c r="AF220" s="34">
        <v>3298</v>
      </c>
      <c r="AG220" s="34">
        <v>3403.5</v>
      </c>
      <c r="AH220" s="34">
        <v>3642.4</v>
      </c>
      <c r="AI220" s="34">
        <v>3597.4</v>
      </c>
      <c r="AJ220" s="34">
        <v>3800</v>
      </c>
      <c r="AK220" s="34">
        <v>4281.1000000000004</v>
      </c>
      <c r="AL220" s="34">
        <v>4435.5</v>
      </c>
      <c r="AM220" s="34">
        <v>4624.3</v>
      </c>
      <c r="AN220" s="34">
        <v>4681.8</v>
      </c>
      <c r="AO220" s="34">
        <v>4850.6000000000004</v>
      </c>
      <c r="AP220" s="34">
        <v>5023.1000000000004</v>
      </c>
      <c r="AQ220" s="34">
        <v>4979.1000000000004</v>
      </c>
      <c r="AR220" s="34">
        <v>5318.3</v>
      </c>
      <c r="AS220" s="34">
        <v>6213.3</v>
      </c>
      <c r="AT220" s="34">
        <v>7106.6</v>
      </c>
      <c r="AU220" s="34">
        <v>7876.6</v>
      </c>
      <c r="AV220" s="34">
        <v>8728</v>
      </c>
      <c r="AW220" s="34">
        <v>10108.700000000001</v>
      </c>
      <c r="AX220" s="34">
        <v>10849.1</v>
      </c>
      <c r="AY220" s="34">
        <v>9492.5</v>
      </c>
      <c r="AZ220" s="34">
        <v>9979</v>
      </c>
      <c r="BA220" s="34">
        <v>11060</v>
      </c>
      <c r="BB220" s="34">
        <v>11008.2</v>
      </c>
      <c r="BC220" s="34">
        <v>11302.5</v>
      </c>
      <c r="BD220" s="34">
        <v>11541.4</v>
      </c>
      <c r="BE220" s="34">
        <v>10568.2</v>
      </c>
      <c r="BF220" s="34">
        <v>10806.5</v>
      </c>
      <c r="BG220" s="34">
        <v>11730.9</v>
      </c>
      <c r="BH220" s="34">
        <v>12560.2</v>
      </c>
      <c r="BI220" s="34">
        <v>12581.2</v>
      </c>
      <c r="BJ220" s="34">
        <v>11219.3</v>
      </c>
      <c r="BK220" s="1">
        <v>12920.7</v>
      </c>
      <c r="BL220" s="1">
        <v>14176.6</v>
      </c>
      <c r="BM220" s="1">
        <v>14884.8</v>
      </c>
    </row>
    <row r="221" spans="1:65">
      <c r="A221" s="1" t="s">
        <v>1324</v>
      </c>
      <c r="B221" s="34"/>
      <c r="C221" s="34"/>
      <c r="D221" s="34"/>
      <c r="E221" s="34"/>
      <c r="F221" s="34"/>
      <c r="G221" s="34"/>
      <c r="H221" s="34"/>
      <c r="I221" s="34"/>
      <c r="J221" s="34"/>
      <c r="K221" s="34"/>
      <c r="L221" s="34">
        <v>479.6</v>
      </c>
      <c r="M221" s="34">
        <v>470.7</v>
      </c>
      <c r="N221" s="34">
        <v>512.5</v>
      </c>
      <c r="O221" s="34">
        <v>679.2</v>
      </c>
      <c r="P221" s="34">
        <v>686.8</v>
      </c>
      <c r="Q221" s="34">
        <v>698.6</v>
      </c>
      <c r="R221" s="34">
        <v>590.79999999999995</v>
      </c>
      <c r="S221" s="34">
        <v>544.9</v>
      </c>
      <c r="T221" s="34">
        <v>594.1</v>
      </c>
      <c r="U221" s="34">
        <v>692</v>
      </c>
      <c r="V221" s="34">
        <v>840.1</v>
      </c>
      <c r="W221" s="34">
        <v>842</v>
      </c>
      <c r="X221" s="34">
        <v>795.7</v>
      </c>
      <c r="Y221" s="34">
        <v>731.7</v>
      </c>
      <c r="Z221" s="34">
        <v>748.5</v>
      </c>
      <c r="AA221" s="34">
        <v>776.1</v>
      </c>
      <c r="AB221" s="34">
        <v>1063.9000000000001</v>
      </c>
      <c r="AC221" s="34">
        <v>1038.9000000000001</v>
      </c>
      <c r="AD221" s="34">
        <v>864.5</v>
      </c>
      <c r="AE221" s="34">
        <v>839.1</v>
      </c>
      <c r="AF221" s="34">
        <v>991.3</v>
      </c>
      <c r="AG221" s="34">
        <v>873.3</v>
      </c>
      <c r="AH221" s="34">
        <v>755</v>
      </c>
      <c r="AI221" s="34">
        <v>981</v>
      </c>
      <c r="AJ221" s="34">
        <v>1005.1</v>
      </c>
      <c r="AK221" s="34">
        <v>779.2</v>
      </c>
      <c r="AL221" s="34">
        <v>998.3</v>
      </c>
      <c r="AM221" s="34">
        <v>667.8</v>
      </c>
      <c r="AN221" s="34">
        <v>517.1</v>
      </c>
      <c r="AO221" s="34">
        <v>545.1</v>
      </c>
      <c r="AP221" s="34">
        <v>530.20000000000005</v>
      </c>
      <c r="AQ221" s="34">
        <v>519.29999999999995</v>
      </c>
      <c r="AR221" s="34">
        <v>568.4</v>
      </c>
      <c r="AS221" s="34">
        <v>663.9</v>
      </c>
      <c r="AT221" s="34">
        <v>726.6</v>
      </c>
      <c r="AU221" s="34">
        <v>844</v>
      </c>
      <c r="AV221" s="34">
        <v>861.5</v>
      </c>
      <c r="AW221" s="34">
        <v>878.1</v>
      </c>
      <c r="AX221" s="34">
        <v>1080.5999999999999</v>
      </c>
      <c r="AY221" s="34">
        <v>1126.5</v>
      </c>
      <c r="AZ221" s="34">
        <v>1043.3</v>
      </c>
      <c r="BA221" s="34">
        <v>1217.2</v>
      </c>
      <c r="BB221" s="34">
        <v>1207.7</v>
      </c>
      <c r="BC221" s="34">
        <v>1378.2</v>
      </c>
      <c r="BD221" s="34">
        <v>1484.2</v>
      </c>
      <c r="BE221" s="34">
        <v>1292.7</v>
      </c>
      <c r="BF221" s="34">
        <v>1428.3</v>
      </c>
      <c r="BG221" s="34">
        <v>1547.8</v>
      </c>
      <c r="BH221" s="34">
        <v>1815.6</v>
      </c>
      <c r="BI221" s="34">
        <v>1924.4</v>
      </c>
      <c r="BJ221" s="34">
        <v>2155.3000000000002</v>
      </c>
      <c r="BK221" s="1">
        <v>2350.5</v>
      </c>
      <c r="BL221" s="1">
        <v>2386.6999999999998</v>
      </c>
      <c r="BM221" s="1">
        <v>2601.8000000000002</v>
      </c>
    </row>
    <row r="222" spans="1:65">
      <c r="A222" s="1" t="s">
        <v>1325</v>
      </c>
      <c r="B222" s="34">
        <v>371.3</v>
      </c>
      <c r="C222" s="34">
        <v>387.5</v>
      </c>
      <c r="D222" s="34">
        <v>402.9</v>
      </c>
      <c r="E222" s="34">
        <v>420.8</v>
      </c>
      <c r="F222" s="34">
        <v>433.1</v>
      </c>
      <c r="G222" s="34">
        <v>480.1</v>
      </c>
      <c r="H222" s="34">
        <v>573.1</v>
      </c>
      <c r="I222" s="34">
        <v>642.29999999999995</v>
      </c>
      <c r="J222" s="34">
        <v>679</v>
      </c>
      <c r="K222" s="34">
        <v>706.3</v>
      </c>
      <c r="L222" s="34">
        <v>723.6</v>
      </c>
      <c r="M222" s="34">
        <v>767.8</v>
      </c>
      <c r="N222" s="34">
        <v>784.7</v>
      </c>
      <c r="O222" s="34">
        <v>856.5</v>
      </c>
      <c r="P222" s="34">
        <v>1038.9000000000001</v>
      </c>
      <c r="Q222" s="34">
        <v>1187.0999999999999</v>
      </c>
      <c r="R222" s="34">
        <v>1298.7</v>
      </c>
      <c r="S222" s="34">
        <v>1662.7</v>
      </c>
      <c r="T222" s="34">
        <v>1926</v>
      </c>
      <c r="U222" s="34">
        <v>2073.6</v>
      </c>
      <c r="V222" s="34">
        <v>2119.4</v>
      </c>
      <c r="W222" s="34">
        <v>2365.1999999999998</v>
      </c>
      <c r="X222" s="34">
        <v>2425.1999999999998</v>
      </c>
      <c r="Y222" s="34">
        <v>2328.6</v>
      </c>
      <c r="Z222" s="34">
        <v>2258.1</v>
      </c>
      <c r="AA222" s="34">
        <v>2254.8000000000002</v>
      </c>
      <c r="AB222" s="34">
        <v>2270.8000000000002</v>
      </c>
      <c r="AC222" s="34">
        <v>2469.3000000000002</v>
      </c>
      <c r="AD222" s="34">
        <v>2887.1</v>
      </c>
      <c r="AE222" s="34">
        <v>1328.7</v>
      </c>
      <c r="AF222" s="34">
        <v>941</v>
      </c>
      <c r="AG222" s="34">
        <v>1077.2</v>
      </c>
      <c r="AH222" s="34">
        <v>964.4</v>
      </c>
      <c r="AI222" s="34">
        <v>1015.1</v>
      </c>
      <c r="AJ222" s="34">
        <v>1419.5</v>
      </c>
      <c r="AK222" s="34">
        <v>1591.7</v>
      </c>
      <c r="AL222" s="34">
        <v>1940.8</v>
      </c>
      <c r="AM222" s="34">
        <v>2045.6</v>
      </c>
      <c r="AN222" s="34">
        <v>2405.6999999999998</v>
      </c>
      <c r="AO222" s="34">
        <v>1883.9</v>
      </c>
      <c r="AP222" s="34">
        <v>1978.4</v>
      </c>
      <c r="AQ222" s="34">
        <v>1711.7</v>
      </c>
      <c r="AR222" s="34">
        <v>2206.3000000000002</v>
      </c>
      <c r="AS222" s="34">
        <v>2529.3000000000002</v>
      </c>
      <c r="AT222" s="34">
        <v>2906.7</v>
      </c>
      <c r="AU222" s="34">
        <v>3474.1</v>
      </c>
      <c r="AV222" s="34">
        <v>5031.2</v>
      </c>
      <c r="AW222" s="34">
        <v>5562.3</v>
      </c>
      <c r="AX222" s="34">
        <v>6616.8</v>
      </c>
      <c r="AY222" s="34">
        <v>7176.9</v>
      </c>
      <c r="AZ222" s="34">
        <v>7999.5</v>
      </c>
      <c r="BA222" s="34">
        <v>8009.3</v>
      </c>
      <c r="BB222" s="34">
        <v>8923</v>
      </c>
      <c r="BC222" s="34">
        <v>9124.5</v>
      </c>
      <c r="BD222" s="34">
        <v>9199.2000000000007</v>
      </c>
      <c r="BE222" s="34">
        <v>8907.7999999999993</v>
      </c>
      <c r="BF222" s="34">
        <v>5705.4</v>
      </c>
      <c r="BG222" s="34">
        <v>6112.9</v>
      </c>
      <c r="BH222" s="34">
        <v>6730.8</v>
      </c>
      <c r="BI222" s="34">
        <v>6690</v>
      </c>
      <c r="BJ222" s="34">
        <v>4796.5</v>
      </c>
      <c r="BK222" s="1">
        <v>5026.8999999999996</v>
      </c>
      <c r="BL222" s="1">
        <v>5858.8</v>
      </c>
      <c r="BM222" s="1">
        <v>6069</v>
      </c>
    </row>
    <row r="223" spans="1:65">
      <c r="A223" s="1" t="s">
        <v>1326</v>
      </c>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v>2405.5</v>
      </c>
      <c r="AG223" s="34">
        <v>2691.2</v>
      </c>
      <c r="AH223" s="34">
        <v>2920.9</v>
      </c>
      <c r="AI223" s="34">
        <v>3102.3</v>
      </c>
      <c r="AJ223" s="34">
        <v>3771.4</v>
      </c>
      <c r="AK223" s="34">
        <v>4819.1000000000004</v>
      </c>
      <c r="AL223" s="34">
        <v>5196.8999999999996</v>
      </c>
      <c r="AM223" s="34">
        <v>5146.7</v>
      </c>
      <c r="AN223" s="34">
        <v>5538.6</v>
      </c>
      <c r="AO223" s="34">
        <v>5645.6</v>
      </c>
      <c r="AP223" s="34">
        <v>5426.6</v>
      </c>
      <c r="AQ223" s="34">
        <v>5722.2</v>
      </c>
      <c r="AR223" s="34">
        <v>6564.7</v>
      </c>
      <c r="AS223" s="34">
        <v>8731.9</v>
      </c>
      <c r="AT223" s="34">
        <v>10691.4</v>
      </c>
      <c r="AU223" s="34">
        <v>11690.1</v>
      </c>
      <c r="AV223" s="34">
        <v>13170.8</v>
      </c>
      <c r="AW223" s="34">
        <v>16106.1</v>
      </c>
      <c r="AX223" s="34">
        <v>18753.599999999999</v>
      </c>
      <c r="AY223" s="34">
        <v>16597.2</v>
      </c>
      <c r="AZ223" s="34">
        <v>16908.8</v>
      </c>
      <c r="BA223" s="34">
        <v>18509.7</v>
      </c>
      <c r="BB223" s="34">
        <v>17498.400000000001</v>
      </c>
      <c r="BC223" s="34">
        <v>18276</v>
      </c>
      <c r="BD223" s="34">
        <v>18720</v>
      </c>
      <c r="BE223" s="34">
        <v>16390.900000000001</v>
      </c>
      <c r="BF223" s="34">
        <v>16563.400000000001</v>
      </c>
      <c r="BG223" s="34">
        <v>17585.2</v>
      </c>
      <c r="BH223" s="34">
        <v>19486.400000000001</v>
      </c>
      <c r="BI223" s="34">
        <v>19381.900000000001</v>
      </c>
      <c r="BJ223" s="34">
        <v>19553.3</v>
      </c>
      <c r="BK223" s="1">
        <v>21765.7</v>
      </c>
      <c r="BL223" s="1">
        <v>21279.5</v>
      </c>
      <c r="BM223" s="1">
        <v>24470.2</v>
      </c>
    </row>
    <row r="224" spans="1:65">
      <c r="A224" s="1" t="s">
        <v>1327</v>
      </c>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v>9918.1</v>
      </c>
      <c r="AG224" s="34">
        <v>7224.2</v>
      </c>
      <c r="AH224" s="34">
        <v>7146.1</v>
      </c>
      <c r="AI224" s="34">
        <v>7249.4</v>
      </c>
      <c r="AJ224" s="34">
        <v>8238</v>
      </c>
      <c r="AK224" s="34">
        <v>10730.5</v>
      </c>
      <c r="AL224" s="34">
        <v>10815.1</v>
      </c>
      <c r="AM224" s="34">
        <v>10455</v>
      </c>
      <c r="AN224" s="34">
        <v>11175.8</v>
      </c>
      <c r="AO224" s="34">
        <v>11452.8</v>
      </c>
      <c r="AP224" s="34">
        <v>10201.299999999999</v>
      </c>
      <c r="AQ224" s="34">
        <v>10479.799999999999</v>
      </c>
      <c r="AR224" s="34">
        <v>11777.2</v>
      </c>
      <c r="AS224" s="34">
        <v>14849</v>
      </c>
      <c r="AT224" s="34">
        <v>17233.099999999999</v>
      </c>
      <c r="AU224" s="34">
        <v>18098.900000000001</v>
      </c>
      <c r="AV224" s="34">
        <v>19673</v>
      </c>
      <c r="AW224" s="34">
        <v>23817.9</v>
      </c>
      <c r="AX224" s="34">
        <v>27595.599999999999</v>
      </c>
      <c r="AY224" s="34">
        <v>24792.1</v>
      </c>
      <c r="AZ224" s="34">
        <v>23532.5</v>
      </c>
      <c r="BA224" s="34">
        <v>25128</v>
      </c>
      <c r="BB224" s="34">
        <v>22641.8</v>
      </c>
      <c r="BC224" s="34">
        <v>23503.3</v>
      </c>
      <c r="BD224" s="34">
        <v>24247.200000000001</v>
      </c>
      <c r="BE224" s="34">
        <v>20890.2</v>
      </c>
      <c r="BF224" s="34">
        <v>21678.400000000001</v>
      </c>
      <c r="BG224" s="34">
        <v>23514</v>
      </c>
      <c r="BH224" s="34">
        <v>26123.7</v>
      </c>
      <c r="BI224" s="34">
        <v>26042.400000000001</v>
      </c>
      <c r="BJ224" s="34">
        <v>25558.400000000001</v>
      </c>
      <c r="BK224" s="1">
        <v>29331.1</v>
      </c>
      <c r="BL224" s="1">
        <v>28439.3</v>
      </c>
      <c r="BM224" s="1">
        <v>32163.5</v>
      </c>
    </row>
    <row r="225" spans="1:65">
      <c r="A225" s="1" t="s">
        <v>1328</v>
      </c>
      <c r="B225" s="34">
        <v>2131.5</v>
      </c>
      <c r="C225" s="34">
        <v>2307.8000000000002</v>
      </c>
      <c r="D225" s="34">
        <v>2489.1</v>
      </c>
      <c r="E225" s="34">
        <v>2679</v>
      </c>
      <c r="F225" s="34">
        <v>2965.3</v>
      </c>
      <c r="G225" s="34">
        <v>3232.6</v>
      </c>
      <c r="H225" s="34">
        <v>3482.9</v>
      </c>
      <c r="I225" s="34">
        <v>3751.6</v>
      </c>
      <c r="J225" s="34">
        <v>3958.8</v>
      </c>
      <c r="K225" s="34">
        <v>4269.1000000000004</v>
      </c>
      <c r="L225" s="34">
        <v>4736.2</v>
      </c>
      <c r="M225" s="34">
        <v>5132.7</v>
      </c>
      <c r="N225" s="34">
        <v>6027.1</v>
      </c>
      <c r="O225" s="34">
        <v>7301.2</v>
      </c>
      <c r="P225" s="34">
        <v>8089.9</v>
      </c>
      <c r="Q225" s="34">
        <v>10117.299999999999</v>
      </c>
      <c r="R225" s="34">
        <v>10868.3</v>
      </c>
      <c r="S225" s="34">
        <v>11448.6</v>
      </c>
      <c r="T225" s="34">
        <v>12620.5</v>
      </c>
      <c r="U225" s="34">
        <v>14877.2</v>
      </c>
      <c r="V225" s="34">
        <v>17097.8</v>
      </c>
      <c r="W225" s="34">
        <v>15586.4</v>
      </c>
      <c r="X225" s="34">
        <v>13739</v>
      </c>
      <c r="Y225" s="34">
        <v>12608.2</v>
      </c>
      <c r="Z225" s="34">
        <v>13099</v>
      </c>
      <c r="AA225" s="34">
        <v>13666.9</v>
      </c>
      <c r="AB225" s="34">
        <v>17981</v>
      </c>
      <c r="AC225" s="34">
        <v>21792.6</v>
      </c>
      <c r="AD225" s="34">
        <v>24534.7</v>
      </c>
      <c r="AE225" s="34">
        <v>25662.2</v>
      </c>
      <c r="AF225" s="34">
        <v>30593.7</v>
      </c>
      <c r="AG225" s="34">
        <v>31822.799999999999</v>
      </c>
      <c r="AH225" s="34">
        <v>32801</v>
      </c>
      <c r="AI225" s="34">
        <v>24425.3</v>
      </c>
      <c r="AJ225" s="34">
        <v>26083.599999999999</v>
      </c>
      <c r="AK225" s="34">
        <v>30283</v>
      </c>
      <c r="AL225" s="34">
        <v>32999</v>
      </c>
      <c r="AM225" s="34">
        <v>30312.5</v>
      </c>
      <c r="AN225" s="34">
        <v>30596.5</v>
      </c>
      <c r="AO225" s="34">
        <v>30941.1</v>
      </c>
      <c r="AP225" s="34">
        <v>29624.9</v>
      </c>
      <c r="AQ225" s="34">
        <v>27247.9</v>
      </c>
      <c r="AR225" s="34">
        <v>29899.200000000001</v>
      </c>
      <c r="AS225" s="34">
        <v>37321.800000000003</v>
      </c>
      <c r="AT225" s="34">
        <v>42821.7</v>
      </c>
      <c r="AU225" s="34">
        <v>43437.1</v>
      </c>
      <c r="AV225" s="34">
        <v>46593.599999999999</v>
      </c>
      <c r="AW225" s="34">
        <v>53700</v>
      </c>
      <c r="AX225" s="34">
        <v>56152.6</v>
      </c>
      <c r="AY225" s="34">
        <v>46947</v>
      </c>
      <c r="AZ225" s="34">
        <v>52869</v>
      </c>
      <c r="BA225" s="34">
        <v>60755.8</v>
      </c>
      <c r="BB225" s="34">
        <v>58037.8</v>
      </c>
      <c r="BC225" s="34">
        <v>61126.9</v>
      </c>
      <c r="BD225" s="34">
        <v>60020.4</v>
      </c>
      <c r="BE225" s="34">
        <v>51545.5</v>
      </c>
      <c r="BF225" s="34">
        <v>51965.2</v>
      </c>
      <c r="BG225" s="34">
        <v>53791.5</v>
      </c>
      <c r="BH225" s="34">
        <v>54589.1</v>
      </c>
      <c r="BI225" s="34">
        <v>51939.4</v>
      </c>
      <c r="BJ225" s="34">
        <v>52837.9</v>
      </c>
      <c r="BK225" s="1">
        <v>61417.7</v>
      </c>
      <c r="BL225" s="1">
        <v>56299.5</v>
      </c>
      <c r="BM225" s="1">
        <v>56305.3</v>
      </c>
    </row>
    <row r="226" spans="1:65">
      <c r="A226" s="1" t="s">
        <v>1329</v>
      </c>
      <c r="B226" s="34">
        <v>101.7</v>
      </c>
      <c r="C226" s="34">
        <v>121.9</v>
      </c>
      <c r="D226" s="34">
        <v>127.2</v>
      </c>
      <c r="E226" s="34">
        <v>146.5</v>
      </c>
      <c r="F226" s="34">
        <v>171.7</v>
      </c>
      <c r="G226" s="34">
        <v>181</v>
      </c>
      <c r="H226" s="34">
        <v>192.7</v>
      </c>
      <c r="I226" s="34">
        <v>182.5</v>
      </c>
      <c r="J226" s="34">
        <v>189.8</v>
      </c>
      <c r="K226" s="34">
        <v>244.4</v>
      </c>
      <c r="L226" s="34">
        <v>253.2</v>
      </c>
      <c r="M226" s="34">
        <v>300</v>
      </c>
      <c r="N226" s="34">
        <v>313.89999999999998</v>
      </c>
      <c r="O226" s="34">
        <v>461.7</v>
      </c>
      <c r="P226" s="34">
        <v>534.4</v>
      </c>
      <c r="Q226" s="34">
        <v>565.79999999999995</v>
      </c>
      <c r="R226" s="34">
        <v>518.70000000000005</v>
      </c>
      <c r="S226" s="34">
        <v>560.70000000000005</v>
      </c>
      <c r="T226" s="34">
        <v>608</v>
      </c>
      <c r="U226" s="34">
        <v>711.6</v>
      </c>
      <c r="V226" s="34">
        <v>905.5</v>
      </c>
      <c r="W226" s="34">
        <v>926.3</v>
      </c>
      <c r="X226" s="34">
        <v>847.3</v>
      </c>
      <c r="Y226" s="34">
        <v>847.2</v>
      </c>
      <c r="Z226" s="34">
        <v>730.1</v>
      </c>
      <c r="AA226" s="34">
        <v>512.6</v>
      </c>
      <c r="AB226" s="34">
        <v>615.1</v>
      </c>
      <c r="AC226" s="34">
        <v>769.9</v>
      </c>
      <c r="AD226" s="34">
        <v>871.1</v>
      </c>
      <c r="AE226" s="34">
        <v>843.8</v>
      </c>
      <c r="AF226" s="34">
        <v>1305.2</v>
      </c>
      <c r="AG226" s="34">
        <v>1299.4000000000001</v>
      </c>
      <c r="AH226" s="34">
        <v>1388.7</v>
      </c>
      <c r="AI226" s="34">
        <v>1423.4</v>
      </c>
      <c r="AJ226" s="34">
        <v>1488.1</v>
      </c>
      <c r="AK226" s="34">
        <v>1781.7</v>
      </c>
      <c r="AL226" s="34">
        <v>1646.2</v>
      </c>
      <c r="AM226" s="34">
        <v>1732.8</v>
      </c>
      <c r="AN226" s="34">
        <v>1568.8</v>
      </c>
      <c r="AO226" s="34">
        <v>1520</v>
      </c>
      <c r="AP226" s="34">
        <v>1686.7</v>
      </c>
      <c r="AQ226" s="34">
        <v>1481.2</v>
      </c>
      <c r="AR226" s="34">
        <v>1363</v>
      </c>
      <c r="AS226" s="34">
        <v>2075.6</v>
      </c>
      <c r="AT226" s="34">
        <v>2599.1999999999998</v>
      </c>
      <c r="AU226" s="34">
        <v>2965</v>
      </c>
      <c r="AV226" s="34">
        <v>3053.9</v>
      </c>
      <c r="AW226" s="34">
        <v>3200.5</v>
      </c>
      <c r="AX226" s="34">
        <v>3022.5</v>
      </c>
      <c r="AY226" s="34">
        <v>3270.1</v>
      </c>
      <c r="AZ226" s="34">
        <v>4035.5</v>
      </c>
      <c r="BA226" s="34">
        <v>4361</v>
      </c>
      <c r="BB226" s="34">
        <v>4396.6000000000004</v>
      </c>
      <c r="BC226" s="34">
        <v>4111.1000000000004</v>
      </c>
      <c r="BD226" s="34">
        <v>3928.5</v>
      </c>
      <c r="BE226" s="34">
        <v>3583.3</v>
      </c>
      <c r="BF226" s="34">
        <v>3340</v>
      </c>
      <c r="BG226" s="34">
        <v>3824</v>
      </c>
      <c r="BH226" s="34">
        <v>4021.4</v>
      </c>
      <c r="BI226" s="34">
        <v>3843.4</v>
      </c>
      <c r="BJ226" s="34">
        <v>3372.9</v>
      </c>
      <c r="BK226" s="1">
        <v>4068.6</v>
      </c>
      <c r="BL226" s="1">
        <v>3986.9</v>
      </c>
      <c r="BM226" s="1">
        <v>3797.3</v>
      </c>
    </row>
    <row r="227" spans="1:65">
      <c r="A227" s="1" t="s">
        <v>1330</v>
      </c>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v>27997.3</v>
      </c>
      <c r="BB227" s="34">
        <v>28460.3</v>
      </c>
      <c r="BC227" s="34">
        <v>27942.9</v>
      </c>
      <c r="BD227" s="34">
        <v>36136.699999999997</v>
      </c>
      <c r="BE227" s="34">
        <v>36520</v>
      </c>
      <c r="BF227" s="34">
        <v>36597.699999999997</v>
      </c>
      <c r="BG227" s="34">
        <v>35043.699999999997</v>
      </c>
      <c r="BH227" s="34">
        <v>32341.9</v>
      </c>
      <c r="BI227" s="34">
        <v>35509.5</v>
      </c>
      <c r="BJ227" s="34">
        <v>30642.6</v>
      </c>
      <c r="BK227" s="1">
        <v>33238.5</v>
      </c>
      <c r="BL227" s="1">
        <v>37592.699999999997</v>
      </c>
      <c r="BM227" s="1">
        <v>39432.6</v>
      </c>
    </row>
    <row r="228" spans="1:65">
      <c r="A228" s="1" t="s">
        <v>1331</v>
      </c>
      <c r="B228" s="34">
        <v>288.10000000000002</v>
      </c>
      <c r="C228" s="34">
        <v>270.3</v>
      </c>
      <c r="D228" s="34">
        <v>287</v>
      </c>
      <c r="E228" s="34">
        <v>308.2</v>
      </c>
      <c r="F228" s="34">
        <v>332.3</v>
      </c>
      <c r="G228" s="34">
        <v>328.5</v>
      </c>
      <c r="H228" s="34">
        <v>337.6</v>
      </c>
      <c r="I228" s="34">
        <v>333.2</v>
      </c>
      <c r="J228" s="34">
        <v>314.39999999999998</v>
      </c>
      <c r="K228" s="34">
        <v>314.2</v>
      </c>
      <c r="L228" s="34">
        <v>343.9</v>
      </c>
      <c r="M228" s="34">
        <v>401.6</v>
      </c>
      <c r="N228" s="34">
        <v>547</v>
      </c>
      <c r="O228" s="34">
        <v>648.5</v>
      </c>
      <c r="P228" s="34">
        <v>744.5</v>
      </c>
      <c r="Q228" s="34">
        <v>806.2</v>
      </c>
      <c r="R228" s="34">
        <v>814.5</v>
      </c>
      <c r="S228" s="34">
        <v>1044.4000000000001</v>
      </c>
      <c r="T228" s="34">
        <v>1376.5</v>
      </c>
      <c r="U228" s="34">
        <v>2030.1</v>
      </c>
      <c r="V228" s="34">
        <v>2478.4</v>
      </c>
      <c r="W228" s="34">
        <v>2557.1999999999998</v>
      </c>
      <c r="X228" s="34">
        <v>2440.6999999999998</v>
      </c>
      <c r="Y228" s="34">
        <v>2426.3000000000002</v>
      </c>
      <c r="Z228" s="34">
        <v>2487.6</v>
      </c>
      <c r="AA228" s="34">
        <v>2754.1</v>
      </c>
      <c r="AB228" s="34">
        <v>3368.5</v>
      </c>
      <c r="AC228" s="34">
        <v>3871.8</v>
      </c>
      <c r="AD228" s="34">
        <v>4392.2</v>
      </c>
      <c r="AE228" s="34">
        <v>4689.1000000000004</v>
      </c>
      <c r="AF228" s="34">
        <v>5642.1</v>
      </c>
      <c r="AG228" s="34">
        <v>5654.6</v>
      </c>
      <c r="AH228" s="34">
        <v>6520.5</v>
      </c>
      <c r="AI228" s="34">
        <v>6978.7</v>
      </c>
      <c r="AJ228" s="34">
        <v>6974.9</v>
      </c>
      <c r="AK228" s="34">
        <v>7180.7</v>
      </c>
      <c r="AL228" s="34">
        <v>7004.3</v>
      </c>
      <c r="AM228" s="34">
        <v>7746.7</v>
      </c>
      <c r="AN228" s="34">
        <v>8209.5</v>
      </c>
      <c r="AO228" s="34">
        <v>8243.2000000000007</v>
      </c>
      <c r="AP228" s="34">
        <v>8063.7</v>
      </c>
      <c r="AQ228" s="34">
        <v>8153.3</v>
      </c>
      <c r="AR228" s="34">
        <v>8864.2000000000007</v>
      </c>
      <c r="AS228" s="34">
        <v>9070.2999999999993</v>
      </c>
      <c r="AT228" s="34">
        <v>10827.7</v>
      </c>
      <c r="AU228" s="34">
        <v>11802.1</v>
      </c>
      <c r="AV228" s="34">
        <v>12783</v>
      </c>
      <c r="AW228" s="34">
        <v>12669.3</v>
      </c>
      <c r="AX228" s="34">
        <v>11265.4</v>
      </c>
      <c r="AY228" s="34">
        <v>9747.1</v>
      </c>
      <c r="AZ228" s="34">
        <v>10934.8</v>
      </c>
      <c r="BA228" s="34">
        <v>12110.1</v>
      </c>
      <c r="BB228" s="34">
        <v>12337.2</v>
      </c>
      <c r="BC228" s="34">
        <v>14821.3</v>
      </c>
      <c r="BD228" s="34">
        <v>15188.2</v>
      </c>
      <c r="BE228" s="34">
        <v>15333.1</v>
      </c>
      <c r="BF228" s="34">
        <v>16567</v>
      </c>
      <c r="BG228" s="34">
        <v>17480.400000000001</v>
      </c>
      <c r="BH228" s="34">
        <v>18440.2</v>
      </c>
      <c r="BI228" s="34">
        <v>19141.5</v>
      </c>
      <c r="BJ228" s="34">
        <v>14041.5</v>
      </c>
      <c r="BK228" s="1">
        <v>14982.9</v>
      </c>
      <c r="BL228" s="1">
        <v>17167.2</v>
      </c>
      <c r="BM228" s="1">
        <v>17879.2</v>
      </c>
    </row>
    <row r="229" spans="1:65">
      <c r="A229" s="1" t="s">
        <v>1332</v>
      </c>
      <c r="B229" s="34">
        <v>186</v>
      </c>
      <c r="C229" s="34">
        <v>198.9</v>
      </c>
      <c r="D229" s="34">
        <v>226.9</v>
      </c>
      <c r="E229" s="34">
        <v>237.9</v>
      </c>
      <c r="F229" s="34">
        <v>257.5</v>
      </c>
      <c r="G229" s="34">
        <v>274.2</v>
      </c>
      <c r="H229" s="34">
        <v>242.2</v>
      </c>
      <c r="I229" s="34">
        <v>276.10000000000002</v>
      </c>
      <c r="J229" s="34">
        <v>296.60000000000002</v>
      </c>
      <c r="K229" s="34">
        <v>367.4</v>
      </c>
      <c r="L229" s="34">
        <v>338.7</v>
      </c>
      <c r="M229" s="34">
        <v>396.1</v>
      </c>
      <c r="N229" s="34">
        <v>452</v>
      </c>
      <c r="O229" s="34">
        <v>462.6</v>
      </c>
      <c r="P229" s="34">
        <v>712.2</v>
      </c>
      <c r="Q229" s="34">
        <v>910.6</v>
      </c>
      <c r="R229" s="34">
        <v>983.9</v>
      </c>
      <c r="S229" s="34">
        <v>958.5</v>
      </c>
      <c r="T229" s="34">
        <v>1116.0999999999999</v>
      </c>
      <c r="U229" s="34">
        <v>1154.5</v>
      </c>
      <c r="V229" s="34">
        <v>1467.9</v>
      </c>
      <c r="W229" s="34">
        <v>1686.1</v>
      </c>
      <c r="X229" s="34">
        <v>1713.7</v>
      </c>
      <c r="Y229" s="34">
        <v>1788.4</v>
      </c>
      <c r="Z229" s="34">
        <v>1718.8</v>
      </c>
      <c r="AA229" s="34">
        <v>1556.2</v>
      </c>
      <c r="AB229" s="34">
        <v>1218.7</v>
      </c>
      <c r="AC229" s="34">
        <v>1006.7</v>
      </c>
      <c r="AD229" s="34">
        <v>907.3</v>
      </c>
      <c r="AE229" s="34">
        <v>818.8</v>
      </c>
      <c r="AF229" s="34">
        <v>991.9</v>
      </c>
      <c r="AG229" s="34">
        <v>1015.6</v>
      </c>
      <c r="AH229" s="34">
        <v>1007.4</v>
      </c>
      <c r="AI229" s="34">
        <v>1011.7</v>
      </c>
      <c r="AJ229" s="34">
        <v>727</v>
      </c>
      <c r="AK229" s="34">
        <v>796.2</v>
      </c>
      <c r="AL229" s="34">
        <v>937.5</v>
      </c>
      <c r="AM229" s="34">
        <v>960.4</v>
      </c>
      <c r="AN229" s="34">
        <v>980.7</v>
      </c>
      <c r="AO229" s="34">
        <v>998.3</v>
      </c>
      <c r="AP229" s="34">
        <v>1161.2</v>
      </c>
      <c r="AQ229" s="34">
        <v>1209.8</v>
      </c>
      <c r="AR229" s="34">
        <v>1204.2</v>
      </c>
      <c r="AS229" s="34">
        <v>1239.4000000000001</v>
      </c>
      <c r="AT229" s="34">
        <v>1387.2</v>
      </c>
      <c r="AU229" s="34">
        <v>1552.9</v>
      </c>
      <c r="AV229" s="34">
        <v>1736.9</v>
      </c>
      <c r="AW229" s="34">
        <v>1954.6</v>
      </c>
      <c r="AX229" s="34">
        <v>2447.5</v>
      </c>
      <c r="AY229" s="34">
        <v>2479.1</v>
      </c>
      <c r="AZ229" s="34">
        <v>2748.3</v>
      </c>
      <c r="BA229" s="34">
        <v>2971.3</v>
      </c>
      <c r="BB229" s="34">
        <v>1910.6</v>
      </c>
      <c r="BC229" s="34">
        <v>993.7</v>
      </c>
      <c r="BD229" s="34">
        <v>1071.2</v>
      </c>
      <c r="BE229" s="34">
        <v>857.4</v>
      </c>
      <c r="BF229" s="34">
        <v>664.3</v>
      </c>
      <c r="BG229" s="34">
        <v>862.3</v>
      </c>
      <c r="BH229" s="34">
        <v>1111.9000000000001</v>
      </c>
      <c r="BI229" s="34">
        <v>1123.5999999999999</v>
      </c>
      <c r="BJ229" s="34">
        <v>537</v>
      </c>
      <c r="BK229" s="1">
        <v>421.1</v>
      </c>
    </row>
    <row r="230" spans="1:65">
      <c r="A230" s="1" t="s">
        <v>1333</v>
      </c>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v>18323.900000000001</v>
      </c>
      <c r="AR230" s="34">
        <v>17803.099999999999</v>
      </c>
      <c r="AS230" s="34">
        <v>18848.8</v>
      </c>
      <c r="AT230" s="34">
        <v>21233.9</v>
      </c>
      <c r="AU230" s="34">
        <v>24115.3</v>
      </c>
      <c r="AV230" s="34">
        <v>28728.6</v>
      </c>
      <c r="AW230" s="34">
        <v>29446.1</v>
      </c>
      <c r="AX230" s="34">
        <v>31459.5</v>
      </c>
      <c r="AY230" s="34">
        <v>24602.9</v>
      </c>
      <c r="AZ230" s="34">
        <v>23103.9</v>
      </c>
      <c r="BA230" s="34">
        <v>23649.7</v>
      </c>
      <c r="BB230" s="34">
        <v>22666.400000000001</v>
      </c>
      <c r="BC230" s="34">
        <v>22451.599999999999</v>
      </c>
      <c r="BD230" s="34">
        <v>24040.9</v>
      </c>
      <c r="BE230" s="34">
        <v>25783.3</v>
      </c>
      <c r="BF230" s="34">
        <v>26995</v>
      </c>
      <c r="BG230" s="34">
        <v>25824.3</v>
      </c>
      <c r="BH230" s="34">
        <v>27207.3</v>
      </c>
      <c r="BI230" s="34">
        <v>27327.9</v>
      </c>
      <c r="BJ230" s="34">
        <v>17496</v>
      </c>
      <c r="BK230" s="1">
        <v>23180.9</v>
      </c>
      <c r="BL230" s="1">
        <v>26886.5</v>
      </c>
      <c r="BM230" s="1">
        <v>30438.400000000001</v>
      </c>
    </row>
    <row r="231" spans="1:65">
      <c r="A231" s="1" t="s">
        <v>1334</v>
      </c>
      <c r="B231" s="1">
        <v>103.5</v>
      </c>
      <c r="C231" s="1">
        <v>108.2</v>
      </c>
      <c r="D231" s="1">
        <v>113.6</v>
      </c>
      <c r="E231" s="1">
        <v>115.8</v>
      </c>
      <c r="F231" s="1">
        <v>119.8</v>
      </c>
      <c r="G231" s="1">
        <v>125</v>
      </c>
      <c r="H231" s="1">
        <v>127.3</v>
      </c>
      <c r="I231" s="1">
        <v>129.9</v>
      </c>
      <c r="J231" s="1">
        <v>128.69999999999999</v>
      </c>
      <c r="K231" s="1">
        <v>131.19999999999999</v>
      </c>
      <c r="L231" s="1">
        <v>128</v>
      </c>
      <c r="M231" s="1">
        <v>134.1</v>
      </c>
      <c r="N231" s="1">
        <v>153.1</v>
      </c>
      <c r="O231" s="1">
        <v>165.4</v>
      </c>
      <c r="P231" s="1">
        <v>163.1</v>
      </c>
      <c r="Q231" s="1">
        <v>211.7</v>
      </c>
      <c r="R231" s="1">
        <v>208</v>
      </c>
      <c r="S231" s="1">
        <v>220.7</v>
      </c>
      <c r="T231" s="1">
        <v>258.2</v>
      </c>
      <c r="U231" s="1">
        <v>228.1</v>
      </c>
      <c r="V231" s="1">
        <v>234.3</v>
      </c>
      <c r="W231" s="1">
        <v>198.9</v>
      </c>
      <c r="X231" s="1">
        <v>180.5</v>
      </c>
      <c r="Y231" s="1">
        <v>171.3</v>
      </c>
      <c r="Z231" s="1">
        <v>186.8</v>
      </c>
      <c r="AA231" s="1">
        <v>208</v>
      </c>
      <c r="AB231" s="1">
        <v>208.6</v>
      </c>
      <c r="AC231" s="1">
        <v>219.5</v>
      </c>
      <c r="AD231" s="1">
        <v>270.39999999999998</v>
      </c>
      <c r="AE231" s="1">
        <v>252.8</v>
      </c>
      <c r="AF231" s="1">
        <v>298.39999999999998</v>
      </c>
      <c r="AG231" s="1">
        <v>310.7</v>
      </c>
      <c r="AH231" s="1">
        <v>298.60000000000002</v>
      </c>
      <c r="AI231" s="1">
        <v>226.9</v>
      </c>
      <c r="AJ231" s="1">
        <v>179</v>
      </c>
      <c r="AK231" s="1">
        <v>209.9</v>
      </c>
      <c r="AL231" s="1">
        <v>223.2</v>
      </c>
      <c r="AM231" s="1">
        <v>207.3</v>
      </c>
      <c r="AN231" s="1">
        <v>226.3</v>
      </c>
      <c r="AO231" s="1">
        <v>192.3</v>
      </c>
      <c r="AP231" s="1">
        <v>168.1</v>
      </c>
      <c r="AQ231" s="1">
        <v>200.4</v>
      </c>
      <c r="AR231" s="1">
        <v>225.9</v>
      </c>
      <c r="AS231" s="1">
        <v>298.2</v>
      </c>
      <c r="AT231" s="1">
        <v>460.1</v>
      </c>
      <c r="AU231" s="1">
        <v>664.6</v>
      </c>
      <c r="AV231" s="1">
        <v>716.7</v>
      </c>
      <c r="AW231" s="1">
        <v>806.7</v>
      </c>
      <c r="AX231" s="1">
        <v>936.5</v>
      </c>
      <c r="AY231" s="1">
        <v>808.2</v>
      </c>
      <c r="AZ231" s="1">
        <v>896.9</v>
      </c>
      <c r="BA231" s="1">
        <v>988.2</v>
      </c>
      <c r="BB231" s="1">
        <v>969.6</v>
      </c>
      <c r="BC231" s="1">
        <v>980.1</v>
      </c>
      <c r="BD231" s="1">
        <v>1017.8</v>
      </c>
      <c r="BE231" s="1">
        <v>774.4</v>
      </c>
      <c r="BF231" s="1">
        <v>692</v>
      </c>
      <c r="BG231" s="1">
        <v>662.9</v>
      </c>
      <c r="BH231" s="1">
        <v>720.3</v>
      </c>
      <c r="BI231" s="1">
        <v>701.6</v>
      </c>
      <c r="BJ231" s="1">
        <v>643.79999999999995</v>
      </c>
      <c r="BK231" s="1">
        <v>685.7</v>
      </c>
      <c r="BL231" s="1">
        <v>699.5</v>
      </c>
      <c r="BM231" s="1">
        <v>719.4</v>
      </c>
    </row>
    <row r="232" spans="1:65">
      <c r="A232" s="1" t="s">
        <v>1335</v>
      </c>
      <c r="B232" s="1">
        <v>91.2</v>
      </c>
      <c r="C232" s="1">
        <v>80.400000000000006</v>
      </c>
      <c r="D232" s="1">
        <v>72.400000000000006</v>
      </c>
      <c r="E232" s="1">
        <v>76.3</v>
      </c>
      <c r="F232" s="1">
        <v>86.1</v>
      </c>
      <c r="G232" s="1">
        <v>97.9</v>
      </c>
      <c r="H232" s="1">
        <v>104.2</v>
      </c>
      <c r="I232" s="1">
        <v>98.6</v>
      </c>
      <c r="J232" s="1">
        <v>97.1</v>
      </c>
      <c r="K232" s="1">
        <v>106.3</v>
      </c>
      <c r="L232" s="1">
        <v>115.3</v>
      </c>
      <c r="M232" s="1">
        <v>120.5</v>
      </c>
      <c r="N232" s="1">
        <v>133.9</v>
      </c>
      <c r="O232" s="1">
        <v>164.5</v>
      </c>
      <c r="P232" s="1">
        <v>182.5</v>
      </c>
      <c r="Q232" s="1">
        <v>200.9</v>
      </c>
      <c r="R232" s="1">
        <v>200.8</v>
      </c>
      <c r="S232" s="1">
        <v>227.8</v>
      </c>
      <c r="T232" s="1">
        <v>217.5</v>
      </c>
      <c r="U232" s="1">
        <v>247.9</v>
      </c>
      <c r="V232" s="1">
        <v>281.60000000000002</v>
      </c>
      <c r="W232" s="1">
        <v>296</v>
      </c>
      <c r="X232" s="1">
        <v>305.60000000000002</v>
      </c>
      <c r="Y232" s="1">
        <v>314.7</v>
      </c>
      <c r="Z232" s="1">
        <v>335.6</v>
      </c>
      <c r="AA232" s="1">
        <v>361.7</v>
      </c>
      <c r="AB232" s="1">
        <v>354.8</v>
      </c>
      <c r="AC232" s="1">
        <v>344.6</v>
      </c>
      <c r="AD232" s="1">
        <v>375.9</v>
      </c>
      <c r="AE232" s="1">
        <v>399.7</v>
      </c>
      <c r="AF232" s="1">
        <v>421.4</v>
      </c>
      <c r="AG232" s="1">
        <v>450.4</v>
      </c>
      <c r="AH232" s="1">
        <v>497.9</v>
      </c>
      <c r="AI232" s="1">
        <v>539.1</v>
      </c>
      <c r="AJ232" s="1">
        <v>640.20000000000005</v>
      </c>
      <c r="AK232" s="1">
        <v>779.6</v>
      </c>
      <c r="AL232" s="1">
        <v>884.2</v>
      </c>
      <c r="AM232" s="1">
        <v>903.5</v>
      </c>
      <c r="AN232" s="1">
        <v>814.9</v>
      </c>
      <c r="AO232" s="1">
        <v>887.5</v>
      </c>
      <c r="AP232" s="1">
        <v>966.8</v>
      </c>
      <c r="AQ232" s="1">
        <v>1019</v>
      </c>
      <c r="AR232" s="1">
        <v>1117.8</v>
      </c>
      <c r="AS232" s="1">
        <v>1254.4000000000001</v>
      </c>
      <c r="AT232" s="1">
        <v>1442.6</v>
      </c>
      <c r="AU232" s="1">
        <v>1657.5</v>
      </c>
      <c r="AV232" s="1">
        <v>1980.6</v>
      </c>
      <c r="AW232" s="1">
        <v>2484.8000000000002</v>
      </c>
      <c r="AX232" s="1">
        <v>3120.5</v>
      </c>
      <c r="AY232" s="1">
        <v>3358.4</v>
      </c>
      <c r="AZ232" s="1">
        <v>4058</v>
      </c>
      <c r="BA232" s="1">
        <v>4919</v>
      </c>
      <c r="BB232" s="1">
        <v>5437.6</v>
      </c>
      <c r="BC232" s="1">
        <v>5948.3</v>
      </c>
      <c r="BD232" s="1">
        <v>6363.1</v>
      </c>
      <c r="BE232" s="1">
        <v>6572.9</v>
      </c>
      <c r="BF232" s="1">
        <v>6666.3</v>
      </c>
      <c r="BG232" s="1">
        <v>7231.1</v>
      </c>
      <c r="BH232" s="1">
        <v>8033.2</v>
      </c>
      <c r="BI232" s="1">
        <v>8262.7999999999993</v>
      </c>
      <c r="BJ232" s="1">
        <v>8354.7000000000007</v>
      </c>
      <c r="BK232" s="1">
        <v>9922.6</v>
      </c>
      <c r="BL232" s="1">
        <v>10027.200000000001</v>
      </c>
      <c r="BM232" s="1">
        <v>10023.200000000001</v>
      </c>
    </row>
    <row r="233" spans="1:65">
      <c r="A233" s="1" t="s">
        <v>1336</v>
      </c>
      <c r="AD233" s="1">
        <v>2335.5</v>
      </c>
      <c r="AE233" s="1">
        <v>2250.4</v>
      </c>
      <c r="AF233" s="1">
        <v>2375.1999999999998</v>
      </c>
      <c r="AG233" s="1">
        <v>2319.9</v>
      </c>
      <c r="AH233" s="1">
        <v>2141.4</v>
      </c>
      <c r="AI233" s="1">
        <v>2127.6</v>
      </c>
      <c r="AJ233" s="1">
        <v>1920.8</v>
      </c>
      <c r="AK233" s="1">
        <v>2124.1</v>
      </c>
      <c r="AL233" s="1">
        <v>2182</v>
      </c>
      <c r="AM233" s="1">
        <v>2247.6999999999998</v>
      </c>
      <c r="AN233" s="1">
        <v>2171.4</v>
      </c>
      <c r="AO233" s="1">
        <v>1883</v>
      </c>
      <c r="AP233" s="1">
        <v>2052</v>
      </c>
      <c r="AQ233" s="1">
        <v>2088.1999999999998</v>
      </c>
      <c r="AR233" s="1">
        <v>2349.9</v>
      </c>
      <c r="AS233" s="1">
        <v>2890.5</v>
      </c>
      <c r="AT233" s="1">
        <v>3737.6</v>
      </c>
      <c r="AU233" s="1">
        <v>4677.7</v>
      </c>
      <c r="AV233" s="1">
        <v>5650.6</v>
      </c>
      <c r="AW233" s="1">
        <v>7262.6</v>
      </c>
      <c r="AX233" s="1">
        <v>8966.1</v>
      </c>
      <c r="AY233" s="1">
        <v>7082.5</v>
      </c>
      <c r="AZ233" s="1">
        <v>8283.7000000000007</v>
      </c>
      <c r="BA233" s="1">
        <v>10028.299999999999</v>
      </c>
      <c r="BB233" s="1">
        <v>10423.4</v>
      </c>
      <c r="BC233" s="1">
        <v>10971.2</v>
      </c>
      <c r="BD233" s="1">
        <v>10313.1</v>
      </c>
      <c r="BE233" s="1">
        <v>8014.5</v>
      </c>
      <c r="BF233" s="1">
        <v>7662.5</v>
      </c>
      <c r="BG233" s="1">
        <v>8554</v>
      </c>
      <c r="BH233" s="1">
        <v>8883.5</v>
      </c>
      <c r="BI233" s="1">
        <v>9022.7000000000007</v>
      </c>
      <c r="BJ233" s="1">
        <v>8437.7000000000007</v>
      </c>
      <c r="BK233" s="1">
        <v>9985.5</v>
      </c>
      <c r="BL233" s="1">
        <v>11413.9</v>
      </c>
      <c r="BM233" s="1">
        <v>11952.7</v>
      </c>
    </row>
    <row r="234" spans="1:65">
      <c r="A234" s="1" t="s">
        <v>1337</v>
      </c>
      <c r="B234" s="1">
        <v>103.6</v>
      </c>
      <c r="C234" s="1">
        <v>106.3</v>
      </c>
      <c r="D234" s="1">
        <v>109.4</v>
      </c>
      <c r="E234" s="1">
        <v>116.5</v>
      </c>
      <c r="F234" s="1">
        <v>132.30000000000001</v>
      </c>
      <c r="G234" s="1">
        <v>145.30000000000001</v>
      </c>
      <c r="H234" s="1">
        <v>162.1</v>
      </c>
      <c r="I234" s="1">
        <v>167.2</v>
      </c>
      <c r="J234" s="1">
        <v>167.6</v>
      </c>
      <c r="K234" s="1">
        <v>178.3</v>
      </c>
      <c r="L234" s="1">
        <v>163.19999999999999</v>
      </c>
      <c r="M234" s="1">
        <v>178.5</v>
      </c>
      <c r="N234" s="1">
        <v>203.4</v>
      </c>
      <c r="O234" s="1">
        <v>240.1</v>
      </c>
      <c r="P234" s="1">
        <v>323</v>
      </c>
      <c r="Q234" s="1">
        <v>347.4</v>
      </c>
      <c r="R234" s="1">
        <v>340.4</v>
      </c>
      <c r="S234" s="1">
        <v>417.4</v>
      </c>
      <c r="T234" s="1">
        <v>432.2</v>
      </c>
      <c r="U234" s="1">
        <v>456.1</v>
      </c>
      <c r="V234" s="1">
        <v>565.5</v>
      </c>
      <c r="W234" s="1">
        <v>464.5</v>
      </c>
      <c r="X234" s="1">
        <v>383.8</v>
      </c>
      <c r="Y234" s="1">
        <v>345.9</v>
      </c>
      <c r="Z234" s="1">
        <v>313.8</v>
      </c>
      <c r="AA234" s="1">
        <v>322.7</v>
      </c>
      <c r="AB234" s="1">
        <v>435.6</v>
      </c>
      <c r="AC234" s="1">
        <v>497.6</v>
      </c>
      <c r="AD234" s="1">
        <v>533</v>
      </c>
      <c r="AE234" s="1">
        <v>507.7</v>
      </c>
      <c r="AF234" s="1">
        <v>593.29999999999995</v>
      </c>
      <c r="AG234" s="1">
        <v>567.1</v>
      </c>
      <c r="AH234" s="1">
        <v>582.20000000000005</v>
      </c>
      <c r="AI234" s="1">
        <v>427.1</v>
      </c>
      <c r="AJ234" s="1">
        <v>339.1</v>
      </c>
      <c r="AK234" s="1">
        <v>432.1</v>
      </c>
      <c r="AL234" s="1">
        <v>465.5</v>
      </c>
      <c r="AM234" s="1">
        <v>460.9</v>
      </c>
      <c r="AN234" s="1">
        <v>474.1</v>
      </c>
      <c r="AO234" s="1">
        <v>457.4</v>
      </c>
      <c r="AP234" s="1">
        <v>420.7</v>
      </c>
      <c r="AQ234" s="1">
        <v>406.9</v>
      </c>
      <c r="AR234" s="1">
        <v>456.3</v>
      </c>
      <c r="AS234" s="1">
        <v>551.20000000000005</v>
      </c>
      <c r="AT234" s="1">
        <v>573.5</v>
      </c>
      <c r="AU234" s="1">
        <v>564.1</v>
      </c>
      <c r="AV234" s="1">
        <v>565.29999999999995</v>
      </c>
      <c r="AW234" s="1">
        <v>621.70000000000005</v>
      </c>
      <c r="AX234" s="1">
        <v>735.9</v>
      </c>
      <c r="AY234" s="1">
        <v>738</v>
      </c>
      <c r="AZ234" s="1">
        <v>722.2</v>
      </c>
      <c r="BA234" s="1">
        <v>803.5</v>
      </c>
      <c r="BB234" s="1">
        <v>781.6</v>
      </c>
      <c r="BC234" s="1">
        <v>847.4</v>
      </c>
      <c r="BD234" s="1">
        <v>877.2</v>
      </c>
      <c r="BE234" s="1">
        <v>770.1</v>
      </c>
      <c r="BF234" s="1">
        <v>792.4</v>
      </c>
      <c r="BG234" s="1">
        <v>813.4</v>
      </c>
      <c r="BH234" s="1">
        <v>873.6</v>
      </c>
      <c r="BI234" s="1">
        <v>848.3</v>
      </c>
      <c r="BJ234" s="1">
        <v>876.5</v>
      </c>
      <c r="BK234" s="1">
        <v>965</v>
      </c>
      <c r="BL234" s="1">
        <v>923.2</v>
      </c>
      <c r="BM234" s="1">
        <v>1013</v>
      </c>
    </row>
    <row r="235" spans="1:65">
      <c r="A235" s="1" t="s">
        <v>193</v>
      </c>
      <c r="B235" s="1">
        <v>103.8</v>
      </c>
      <c r="C235" s="1">
        <v>110.7</v>
      </c>
      <c r="D235" s="1">
        <v>117.2</v>
      </c>
      <c r="E235" s="1">
        <v>121.6</v>
      </c>
      <c r="F235" s="1">
        <v>129.6</v>
      </c>
      <c r="G235" s="1">
        <v>141.9</v>
      </c>
      <c r="H235" s="1">
        <v>165.6</v>
      </c>
      <c r="I235" s="1">
        <v>171.7</v>
      </c>
      <c r="J235" s="1">
        <v>179.9</v>
      </c>
      <c r="K235" s="1">
        <v>192.5</v>
      </c>
      <c r="L235" s="1">
        <v>198</v>
      </c>
      <c r="M235" s="1">
        <v>200.4</v>
      </c>
      <c r="N235" s="1">
        <v>216.1</v>
      </c>
      <c r="O235" s="1">
        <v>278.8</v>
      </c>
      <c r="P235" s="1">
        <v>343.4</v>
      </c>
      <c r="Q235" s="1">
        <v>363.8</v>
      </c>
      <c r="R235" s="1">
        <v>405.5</v>
      </c>
      <c r="S235" s="1">
        <v>461.7</v>
      </c>
      <c r="T235" s="1">
        <v>548</v>
      </c>
      <c r="U235" s="1">
        <v>611.5</v>
      </c>
      <c r="V235" s="1">
        <v>707.4</v>
      </c>
      <c r="W235" s="1">
        <v>745.7</v>
      </c>
      <c r="X235" s="1">
        <v>767.1</v>
      </c>
      <c r="Y235" s="1">
        <v>822.7</v>
      </c>
      <c r="Z235" s="1">
        <v>842.1</v>
      </c>
      <c r="AA235" s="1">
        <v>768.9</v>
      </c>
      <c r="AB235" s="1">
        <v>836.1</v>
      </c>
      <c r="AC235" s="1">
        <v>963</v>
      </c>
      <c r="AD235" s="1">
        <v>1154.5999999999999</v>
      </c>
      <c r="AE235" s="1">
        <v>1330</v>
      </c>
      <c r="AF235" s="1">
        <v>1545.3</v>
      </c>
      <c r="AG235" s="1">
        <v>1751.1</v>
      </c>
      <c r="AH235" s="1">
        <v>1957.4</v>
      </c>
      <c r="AI235" s="1">
        <v>2230.8000000000002</v>
      </c>
      <c r="AJ235" s="1">
        <v>2502.6999999999998</v>
      </c>
      <c r="AK235" s="1">
        <v>2848.6</v>
      </c>
      <c r="AL235" s="1">
        <v>3039.9</v>
      </c>
      <c r="AM235" s="1">
        <v>2462.4</v>
      </c>
      <c r="AN235" s="1">
        <v>1841</v>
      </c>
      <c r="AO235" s="1">
        <v>2028.6</v>
      </c>
      <c r="AP235" s="1">
        <v>2004.1</v>
      </c>
      <c r="AQ235" s="1">
        <v>1890</v>
      </c>
      <c r="AR235" s="1">
        <v>2091.1999999999998</v>
      </c>
      <c r="AS235" s="1">
        <v>2350.8000000000002</v>
      </c>
      <c r="AT235" s="1">
        <v>2647.3</v>
      </c>
      <c r="AU235" s="1">
        <v>2876.2</v>
      </c>
      <c r="AV235" s="1">
        <v>3343.8</v>
      </c>
      <c r="AW235" s="1">
        <v>3934.7</v>
      </c>
      <c r="AX235" s="1">
        <v>4327.8</v>
      </c>
      <c r="AY235" s="1">
        <v>4154.2</v>
      </c>
      <c r="AZ235" s="1">
        <v>4996.3999999999996</v>
      </c>
      <c r="BA235" s="1">
        <v>5396.6</v>
      </c>
      <c r="BB235" s="1">
        <v>5748.6</v>
      </c>
      <c r="BC235" s="1">
        <v>6041.1</v>
      </c>
      <c r="BD235" s="1">
        <v>5822.4</v>
      </c>
      <c r="BE235" s="1">
        <v>5708.8</v>
      </c>
      <c r="BF235" s="1">
        <v>5854.5</v>
      </c>
      <c r="BG235" s="1">
        <v>6436.8</v>
      </c>
      <c r="BH235" s="1">
        <v>7124.6</v>
      </c>
      <c r="BI235" s="1">
        <v>7628.6</v>
      </c>
      <c r="BJ235" s="1">
        <v>7001.9</v>
      </c>
      <c r="BK235" s="1">
        <v>7070.5</v>
      </c>
      <c r="BL235" s="1">
        <v>6913.1</v>
      </c>
      <c r="BM235" s="1">
        <v>7171.8</v>
      </c>
    </row>
    <row r="236" spans="1:65">
      <c r="A236" s="1" t="s">
        <v>1338</v>
      </c>
      <c r="AF236" s="1">
        <v>480.6</v>
      </c>
      <c r="AG236" s="1">
        <v>459.1</v>
      </c>
      <c r="AH236" s="1">
        <v>337.4</v>
      </c>
      <c r="AI236" s="1">
        <v>288</v>
      </c>
      <c r="AJ236" s="1">
        <v>262.2</v>
      </c>
      <c r="AK236" s="1">
        <v>208.2</v>
      </c>
      <c r="AL236" s="1">
        <v>172.9</v>
      </c>
      <c r="AM236" s="1">
        <v>150.6</v>
      </c>
      <c r="AN236" s="1">
        <v>214.4</v>
      </c>
      <c r="AO236" s="1">
        <v>175.6</v>
      </c>
      <c r="AP236" s="1">
        <v>137.19999999999999</v>
      </c>
      <c r="AQ236" s="1">
        <v>168.6</v>
      </c>
      <c r="AR236" s="1">
        <v>186.7</v>
      </c>
      <c r="AS236" s="1">
        <v>233.1</v>
      </c>
      <c r="AT236" s="1">
        <v>305.3</v>
      </c>
      <c r="AU236" s="1">
        <v>333.7</v>
      </c>
      <c r="AV236" s="1">
        <v>401</v>
      </c>
      <c r="AW236" s="1">
        <v>517.4</v>
      </c>
      <c r="AX236" s="1">
        <v>704.7</v>
      </c>
      <c r="AY236" s="1">
        <v>666.7</v>
      </c>
      <c r="AZ236" s="1">
        <v>740.3</v>
      </c>
      <c r="BA236" s="1">
        <v>837.9</v>
      </c>
      <c r="BB236" s="1">
        <v>959.4</v>
      </c>
      <c r="BC236" s="1">
        <v>1038.3</v>
      </c>
      <c r="BD236" s="1">
        <v>1094.4000000000001</v>
      </c>
      <c r="BE236" s="1">
        <v>970.4</v>
      </c>
      <c r="BF236" s="1">
        <v>801.4</v>
      </c>
      <c r="BG236" s="1">
        <v>844.4</v>
      </c>
      <c r="BH236" s="1">
        <v>850.7</v>
      </c>
      <c r="BI236" s="1">
        <v>889</v>
      </c>
      <c r="BJ236" s="1">
        <v>852.3</v>
      </c>
      <c r="BK236" s="1">
        <v>916.7</v>
      </c>
      <c r="BL236" s="1">
        <v>1076.4000000000001</v>
      </c>
      <c r="BM236" s="1">
        <v>1189</v>
      </c>
    </row>
    <row r="237" spans="1:65">
      <c r="A237" s="1" t="s">
        <v>1339</v>
      </c>
      <c r="AC237" s="1">
        <v>728.8</v>
      </c>
      <c r="AD237" s="1">
        <v>765.9</v>
      </c>
      <c r="AE237" s="1">
        <v>773.2</v>
      </c>
      <c r="AF237" s="1">
        <v>806.4</v>
      </c>
      <c r="AG237" s="1">
        <v>771.9</v>
      </c>
      <c r="AH237" s="1">
        <v>815</v>
      </c>
      <c r="AI237" s="1">
        <v>789</v>
      </c>
      <c r="AJ237" s="1">
        <v>619.6</v>
      </c>
      <c r="AK237" s="1">
        <v>587.29999999999995</v>
      </c>
      <c r="AL237" s="1">
        <v>553.1</v>
      </c>
      <c r="AM237" s="1">
        <v>561.5</v>
      </c>
      <c r="AN237" s="1">
        <v>588</v>
      </c>
      <c r="AO237" s="1">
        <v>544.4</v>
      </c>
      <c r="AP237" s="1">
        <v>635.70000000000005</v>
      </c>
      <c r="AQ237" s="1">
        <v>762.6</v>
      </c>
      <c r="AR237" s="1">
        <v>949.6</v>
      </c>
      <c r="AS237" s="1">
        <v>1256</v>
      </c>
      <c r="AT237" s="1">
        <v>1418.8</v>
      </c>
      <c r="AU237" s="1">
        <v>1658.7</v>
      </c>
      <c r="AV237" s="1">
        <v>2074.4</v>
      </c>
      <c r="AW237" s="1">
        <v>2520.3000000000002</v>
      </c>
      <c r="AX237" s="1">
        <v>3778.7</v>
      </c>
      <c r="AY237" s="1">
        <v>3901.7</v>
      </c>
      <c r="AZ237" s="1">
        <v>4286.8999999999996</v>
      </c>
      <c r="BA237" s="1">
        <v>5453.2</v>
      </c>
      <c r="BB237" s="1">
        <v>6441.9</v>
      </c>
      <c r="BC237" s="1">
        <v>7049.8</v>
      </c>
      <c r="BD237" s="1">
        <v>7685.5</v>
      </c>
      <c r="BE237" s="1">
        <v>6208.3</v>
      </c>
      <c r="BF237" s="1">
        <v>6163.3</v>
      </c>
      <c r="BG237" s="1">
        <v>6354.5</v>
      </c>
      <c r="BH237" s="1">
        <v>6721.3</v>
      </c>
      <c r="BI237" s="1">
        <v>7344.9</v>
      </c>
      <c r="BJ237" s="1">
        <v>7330.4</v>
      </c>
      <c r="BK237" s="1">
        <v>7885.3</v>
      </c>
      <c r="BL237" s="1">
        <v>8792.5</v>
      </c>
      <c r="BM237" s="1">
        <v>9190.7000000000007</v>
      </c>
    </row>
    <row r="238" spans="1:65">
      <c r="A238" s="1" t="s">
        <v>1340</v>
      </c>
      <c r="AE238" s="1">
        <v>2256.1</v>
      </c>
      <c r="AF238" s="1">
        <v>2424.4</v>
      </c>
      <c r="AG238" s="1">
        <v>2586.3000000000002</v>
      </c>
      <c r="AH238" s="1">
        <v>2783.3</v>
      </c>
      <c r="AI238" s="1">
        <v>3253.5</v>
      </c>
      <c r="AJ238" s="1">
        <v>3737.2</v>
      </c>
      <c r="AK238" s="1">
        <v>3975.1</v>
      </c>
      <c r="AL238" s="1">
        <v>4248.5</v>
      </c>
      <c r="AM238" s="1">
        <v>4584.7</v>
      </c>
      <c r="AN238" s="1">
        <v>4555.7</v>
      </c>
      <c r="AO238" s="1">
        <v>4022.3</v>
      </c>
      <c r="AP238" s="1">
        <v>4380.8</v>
      </c>
      <c r="AQ238" s="1">
        <v>4214.2</v>
      </c>
      <c r="AR238" s="1">
        <v>3705.7</v>
      </c>
      <c r="AS238" s="1">
        <v>3719.3</v>
      </c>
      <c r="AT238" s="1">
        <v>4241</v>
      </c>
      <c r="AU238" s="1">
        <v>5088</v>
      </c>
      <c r="AV238" s="1">
        <v>5907.6</v>
      </c>
      <c r="AW238" s="1">
        <v>6906.5</v>
      </c>
      <c r="AX238" s="1">
        <v>7967.1</v>
      </c>
      <c r="AY238" s="1">
        <v>7367.7</v>
      </c>
      <c r="AZ238" s="1">
        <v>9094.5</v>
      </c>
      <c r="BA238" s="1">
        <v>10248.700000000001</v>
      </c>
      <c r="BB238" s="1">
        <v>10244.299999999999</v>
      </c>
      <c r="BC238" s="1">
        <v>10382.5</v>
      </c>
      <c r="BD238" s="1">
        <v>10464.9</v>
      </c>
      <c r="BE238" s="1">
        <v>8577.7999999999993</v>
      </c>
      <c r="BF238" s="1">
        <v>8258.4</v>
      </c>
      <c r="BG238" s="1">
        <v>9110.9</v>
      </c>
      <c r="BH238" s="1">
        <v>8822.1</v>
      </c>
      <c r="BI238" s="1">
        <v>8596.4</v>
      </c>
      <c r="BJ238" s="1">
        <v>7183.6</v>
      </c>
      <c r="BK238" s="1">
        <v>8304.2999999999993</v>
      </c>
      <c r="BL238" s="1">
        <v>9388.7000000000007</v>
      </c>
      <c r="BM238" s="1">
        <v>10439.5</v>
      </c>
    </row>
    <row r="239" spans="1:65">
      <c r="A239" s="1" t="s">
        <v>1341</v>
      </c>
      <c r="AF239" s="1">
        <v>169.1</v>
      </c>
      <c r="AG239" s="1">
        <v>191.2</v>
      </c>
      <c r="AH239" s="1">
        <v>239.7</v>
      </c>
      <c r="AI239" s="1">
        <v>272.8</v>
      </c>
      <c r="AJ239" s="1">
        <v>296.2</v>
      </c>
      <c r="AK239" s="1">
        <v>320.8</v>
      </c>
      <c r="AL239" s="1">
        <v>369.3</v>
      </c>
      <c r="AM239" s="1">
        <v>379.4</v>
      </c>
      <c r="AN239" s="1">
        <v>380.8</v>
      </c>
      <c r="AO239" s="1">
        <v>260</v>
      </c>
      <c r="AP239" s="1">
        <v>417.7</v>
      </c>
      <c r="AQ239" s="1">
        <v>534.70000000000005</v>
      </c>
      <c r="AR239" s="1">
        <v>516.1</v>
      </c>
      <c r="AS239" s="1">
        <v>529.20000000000005</v>
      </c>
      <c r="AT239" s="1">
        <v>465.9</v>
      </c>
      <c r="AU239" s="1">
        <v>476.9</v>
      </c>
      <c r="AV239" s="1">
        <v>456.3</v>
      </c>
      <c r="AW239" s="1">
        <v>532.5</v>
      </c>
      <c r="AX239" s="1">
        <v>621.70000000000005</v>
      </c>
      <c r="AY239" s="1">
        <v>682.2</v>
      </c>
      <c r="AZ239" s="1">
        <v>810.2</v>
      </c>
      <c r="BA239" s="1">
        <v>936.7</v>
      </c>
      <c r="BB239" s="1">
        <v>1020.1</v>
      </c>
      <c r="BC239" s="1">
        <v>1201.5999999999999</v>
      </c>
      <c r="BD239" s="1">
        <v>1221.7</v>
      </c>
      <c r="BE239" s="1">
        <v>1322.9</v>
      </c>
      <c r="BF239" s="1">
        <v>1349.5</v>
      </c>
      <c r="BG239" s="1">
        <v>1285.5</v>
      </c>
      <c r="BH239" s="1">
        <v>1241.2</v>
      </c>
      <c r="BI239" s="1">
        <v>1583.1</v>
      </c>
      <c r="BJ239" s="1">
        <v>1663.6</v>
      </c>
      <c r="BK239" s="1">
        <v>2742</v>
      </c>
      <c r="BL239" s="1">
        <v>2389.3000000000002</v>
      </c>
      <c r="BM239" s="1">
        <v>1648.6</v>
      </c>
    </row>
    <row r="240" spans="1:65">
      <c r="A240" s="1" t="s">
        <v>1342</v>
      </c>
      <c r="C240" s="1">
        <v>167.7</v>
      </c>
      <c r="D240" s="1">
        <v>171.9</v>
      </c>
      <c r="E240" s="1">
        <v>189.2</v>
      </c>
      <c r="F240" s="1">
        <v>205.1</v>
      </c>
      <c r="G240" s="1">
        <v>222.9</v>
      </c>
      <c r="H240" s="1">
        <v>229.8</v>
      </c>
      <c r="I240" s="1">
        <v>243.4</v>
      </c>
      <c r="J240" s="1">
        <v>269</v>
      </c>
      <c r="K240" s="1">
        <v>293.3</v>
      </c>
      <c r="L240" s="1">
        <v>318.60000000000002</v>
      </c>
      <c r="M240" s="1">
        <v>356.2</v>
      </c>
      <c r="N240" s="1">
        <v>414.6</v>
      </c>
      <c r="O240" s="1">
        <v>536.5</v>
      </c>
      <c r="P240" s="1">
        <v>809.6</v>
      </c>
      <c r="Q240" s="1">
        <v>896.9</v>
      </c>
      <c r="R240" s="1">
        <v>1076.4000000000001</v>
      </c>
      <c r="S240" s="1">
        <v>1205.5999999999999</v>
      </c>
      <c r="T240" s="1">
        <v>1250.0999999999999</v>
      </c>
      <c r="U240" s="1">
        <v>1527.3</v>
      </c>
      <c r="V240" s="1">
        <v>1800.7</v>
      </c>
      <c r="W240" s="1">
        <v>1670.6</v>
      </c>
      <c r="X240" s="1">
        <v>1809</v>
      </c>
      <c r="Y240" s="1">
        <v>1946.9</v>
      </c>
      <c r="Z240" s="1">
        <v>1964.7</v>
      </c>
      <c r="AA240" s="1">
        <v>2059.3000000000002</v>
      </c>
      <c r="AB240" s="1">
        <v>2156</v>
      </c>
      <c r="AC240" s="1">
        <v>1806.9</v>
      </c>
      <c r="AD240" s="1">
        <v>1675.3</v>
      </c>
      <c r="AE240" s="1">
        <v>1630.1</v>
      </c>
      <c r="AF240" s="1">
        <v>2204</v>
      </c>
      <c r="AG240" s="1">
        <v>1090.9000000000001</v>
      </c>
      <c r="AH240" s="1">
        <v>1163.0999999999999</v>
      </c>
      <c r="AI240" s="1">
        <v>1178.3</v>
      </c>
      <c r="AJ240" s="1">
        <v>1222.3</v>
      </c>
      <c r="AK240" s="1">
        <v>1324.2</v>
      </c>
      <c r="AL240" s="1">
        <v>1453.7</v>
      </c>
      <c r="AM240" s="1">
        <v>1497.9</v>
      </c>
      <c r="AN240" s="1">
        <v>1505.2</v>
      </c>
      <c r="AO240" s="1">
        <v>1614.7</v>
      </c>
      <c r="AP240" s="1">
        <v>1673.6</v>
      </c>
      <c r="AQ240" s="1">
        <v>1662.7</v>
      </c>
      <c r="AR240" s="1">
        <v>1575.4</v>
      </c>
      <c r="AS240" s="1">
        <v>1702.3</v>
      </c>
      <c r="AT240" s="1">
        <v>1982.1</v>
      </c>
      <c r="AU240" s="1">
        <v>2274.6</v>
      </c>
      <c r="AV240" s="1">
        <v>2616.1</v>
      </c>
      <c r="AW240" s="1">
        <v>3151.8</v>
      </c>
      <c r="AX240" s="1">
        <v>3834.7</v>
      </c>
      <c r="AY240" s="1">
        <v>3643.3</v>
      </c>
      <c r="AZ240" s="1">
        <v>4133.8</v>
      </c>
      <c r="BA240" s="1">
        <v>4751.6000000000004</v>
      </c>
      <c r="BB240" s="1">
        <v>5026.6000000000004</v>
      </c>
      <c r="BC240" s="1">
        <v>4538.8</v>
      </c>
      <c r="BD240" s="1">
        <v>4397.3999999999996</v>
      </c>
      <c r="BE240" s="1">
        <v>3869.3</v>
      </c>
      <c r="BF240" s="1">
        <v>3891.1</v>
      </c>
      <c r="BG240" s="1">
        <v>3824.2</v>
      </c>
      <c r="BH240" s="1">
        <v>3568.3</v>
      </c>
      <c r="BI240" s="1">
        <v>3534.9</v>
      </c>
      <c r="BJ240" s="1">
        <v>3215.8</v>
      </c>
      <c r="BK240" s="1">
        <v>3672.5</v>
      </c>
      <c r="BL240" s="1">
        <v>4152.2</v>
      </c>
      <c r="BM240" s="1">
        <v>3827.1</v>
      </c>
    </row>
    <row r="241" spans="1:65">
      <c r="A241" s="1" t="s">
        <v>1343</v>
      </c>
      <c r="Q241" s="1">
        <v>347.8</v>
      </c>
      <c r="R241" s="1">
        <v>316.39999999999998</v>
      </c>
      <c r="S241" s="1">
        <v>356.2</v>
      </c>
      <c r="T241" s="1">
        <v>432</v>
      </c>
      <c r="U241" s="1">
        <v>462.8</v>
      </c>
      <c r="V241" s="1">
        <v>550.70000000000005</v>
      </c>
      <c r="W241" s="1">
        <v>642.70000000000005</v>
      </c>
      <c r="X241" s="1">
        <v>640.29999999999995</v>
      </c>
      <c r="Y241" s="1">
        <v>627.6</v>
      </c>
      <c r="Z241" s="1">
        <v>662.2</v>
      </c>
      <c r="AA241" s="1">
        <v>618.79999999999995</v>
      </c>
      <c r="AB241" s="1">
        <v>702.5</v>
      </c>
      <c r="AC241" s="1">
        <v>838.5</v>
      </c>
      <c r="AD241" s="1">
        <v>1089</v>
      </c>
      <c r="AE241" s="1">
        <v>1081</v>
      </c>
      <c r="AF241" s="1">
        <v>1150.3</v>
      </c>
      <c r="AG241" s="1">
        <v>1335.2</v>
      </c>
      <c r="AH241" s="1">
        <v>1380.9</v>
      </c>
      <c r="AI241" s="1">
        <v>1392</v>
      </c>
      <c r="AJ241" s="1">
        <v>1965.2</v>
      </c>
      <c r="AK241" s="1">
        <v>2089.1999999999998</v>
      </c>
      <c r="AL241" s="1">
        <v>2216.6999999999998</v>
      </c>
      <c r="AM241" s="1">
        <v>2135.9</v>
      </c>
      <c r="AN241" s="1">
        <v>1889.7</v>
      </c>
      <c r="AO241" s="1">
        <v>1953.4</v>
      </c>
      <c r="AP241" s="1">
        <v>1996.5</v>
      </c>
      <c r="AQ241" s="1">
        <v>1754.8</v>
      </c>
      <c r="AR241" s="1">
        <v>1760.7</v>
      </c>
      <c r="AS241" s="1">
        <v>1937</v>
      </c>
      <c r="AT241" s="1">
        <v>2196</v>
      </c>
      <c r="AU241" s="1">
        <v>2478.4</v>
      </c>
      <c r="AV241" s="1">
        <v>2752</v>
      </c>
      <c r="AW241" s="1">
        <v>2799.4</v>
      </c>
      <c r="AX241" s="1">
        <v>3221.1</v>
      </c>
      <c r="AY241" s="1">
        <v>2915.5</v>
      </c>
      <c r="AZ241" s="1">
        <v>3416.1</v>
      </c>
      <c r="BA241" s="1">
        <v>3852.1</v>
      </c>
      <c r="BB241" s="1">
        <v>4378.6000000000004</v>
      </c>
      <c r="BC241" s="1">
        <v>4208.2</v>
      </c>
      <c r="BD241" s="1">
        <v>4125.3999999999996</v>
      </c>
      <c r="BE241" s="1">
        <v>4117.8999999999996</v>
      </c>
      <c r="BF241" s="1">
        <v>3978.4</v>
      </c>
      <c r="BG241" s="1">
        <v>4367.3</v>
      </c>
      <c r="BH241" s="1">
        <v>4649.6000000000004</v>
      </c>
      <c r="BI241" s="1">
        <v>4879</v>
      </c>
      <c r="BJ241" s="1">
        <v>4606</v>
      </c>
      <c r="BK241" s="1">
        <v>4426</v>
      </c>
      <c r="BL241" s="1">
        <v>4681.7</v>
      </c>
    </row>
    <row r="242" spans="1:65">
      <c r="A242" s="1" t="s">
        <v>1344</v>
      </c>
      <c r="B242" s="1">
        <v>82.8</v>
      </c>
      <c r="C242" s="1">
        <v>86.3</v>
      </c>
      <c r="D242" s="1">
        <v>90</v>
      </c>
      <c r="E242" s="1">
        <v>98.7</v>
      </c>
      <c r="F242" s="1">
        <v>110.4</v>
      </c>
      <c r="G242" s="1">
        <v>115.6</v>
      </c>
      <c r="H242" s="1">
        <v>93.8</v>
      </c>
      <c r="I242" s="1">
        <v>101.1</v>
      </c>
      <c r="J242" s="1">
        <v>104.1</v>
      </c>
      <c r="K242" s="1">
        <v>112</v>
      </c>
      <c r="L242" s="1">
        <v>118.2</v>
      </c>
      <c r="M242" s="1">
        <v>123.1</v>
      </c>
      <c r="N242" s="1">
        <v>121.4</v>
      </c>
      <c r="O242" s="1">
        <v>135.69999999999999</v>
      </c>
      <c r="P242" s="1">
        <v>160.6</v>
      </c>
      <c r="Q242" s="1">
        <v>167.8</v>
      </c>
      <c r="R242" s="1">
        <v>159.80000000000001</v>
      </c>
      <c r="S242" s="1">
        <v>180.9</v>
      </c>
      <c r="T242" s="1">
        <v>201.2</v>
      </c>
      <c r="U242" s="1">
        <v>220.2</v>
      </c>
      <c r="V242" s="1">
        <v>260.3</v>
      </c>
      <c r="W242" s="1">
        <v>270</v>
      </c>
      <c r="X242" s="1">
        <v>272.89999999999998</v>
      </c>
      <c r="Y242" s="1">
        <v>282.10000000000002</v>
      </c>
      <c r="Z242" s="1">
        <v>274.2</v>
      </c>
      <c r="AA242" s="1">
        <v>291.2</v>
      </c>
      <c r="AB242" s="1">
        <v>301.3</v>
      </c>
      <c r="AC242" s="1">
        <v>326.89999999999998</v>
      </c>
      <c r="AD242" s="1">
        <v>343.3</v>
      </c>
      <c r="AE242" s="1">
        <v>338.7</v>
      </c>
      <c r="AF242" s="1">
        <v>356.6</v>
      </c>
      <c r="AG242" s="1">
        <v>310.39999999999998</v>
      </c>
      <c r="AH242" s="1">
        <v>322.5</v>
      </c>
      <c r="AI242" s="1">
        <v>312.39999999999998</v>
      </c>
      <c r="AJ242" s="1">
        <v>346.7</v>
      </c>
      <c r="AK242" s="1">
        <v>376.8</v>
      </c>
      <c r="AL242" s="1">
        <v>403.8</v>
      </c>
      <c r="AM242" s="1">
        <v>415.1</v>
      </c>
      <c r="AN242" s="1">
        <v>412.5</v>
      </c>
      <c r="AO242" s="1">
        <v>433.4</v>
      </c>
      <c r="AP242" s="1">
        <v>460.3</v>
      </c>
      <c r="AQ242" s="1">
        <v>461.9</v>
      </c>
      <c r="AR242" s="1">
        <v>475.7</v>
      </c>
      <c r="AS242" s="1">
        <v>545</v>
      </c>
      <c r="AT242" s="1">
        <v>621.20000000000005</v>
      </c>
      <c r="AU242" s="1">
        <v>698</v>
      </c>
      <c r="AV242" s="1">
        <v>779.6</v>
      </c>
      <c r="AW242" s="1">
        <v>966.4</v>
      </c>
      <c r="AX242" s="1">
        <v>967.1</v>
      </c>
      <c r="AY242" s="1">
        <v>1040.5</v>
      </c>
      <c r="AZ242" s="1">
        <v>1254</v>
      </c>
      <c r="BA242" s="1">
        <v>1361.6</v>
      </c>
      <c r="BB242" s="1">
        <v>1362.4</v>
      </c>
      <c r="BC242" s="1">
        <v>1380.1</v>
      </c>
      <c r="BD242" s="1">
        <v>1490.8</v>
      </c>
      <c r="BE242" s="1">
        <v>1539.6</v>
      </c>
      <c r="BF242" s="1">
        <v>1675.5</v>
      </c>
      <c r="BG242" s="1">
        <v>1887.9</v>
      </c>
      <c r="BH242" s="1">
        <v>1920.1</v>
      </c>
      <c r="BI242" s="1">
        <v>1965.1</v>
      </c>
      <c r="BJ242" s="1">
        <v>1855.5</v>
      </c>
      <c r="BK242" s="1">
        <v>2145.1</v>
      </c>
      <c r="BL242" s="1">
        <v>2254.6</v>
      </c>
      <c r="BM242" s="1">
        <v>2308.6999999999998</v>
      </c>
    </row>
    <row r="243" spans="1:65">
      <c r="A243" s="1" t="s">
        <v>1345</v>
      </c>
      <c r="B243" s="1">
        <v>145.19999999999999</v>
      </c>
      <c r="C243" s="1">
        <v>149.9</v>
      </c>
      <c r="D243" s="1">
        <v>155.9</v>
      </c>
      <c r="E243" s="1">
        <v>163.9</v>
      </c>
      <c r="F243" s="1">
        <v>174.2</v>
      </c>
      <c r="G243" s="1">
        <v>183.3</v>
      </c>
      <c r="H243" s="1">
        <v>193</v>
      </c>
      <c r="I243" s="1">
        <v>193.2</v>
      </c>
      <c r="J243" s="1">
        <v>200.2</v>
      </c>
      <c r="K243" s="1">
        <v>217.8</v>
      </c>
      <c r="L243" s="1">
        <v>239.7</v>
      </c>
      <c r="M243" s="1">
        <v>237.9</v>
      </c>
      <c r="N243" s="1">
        <v>261.39999999999998</v>
      </c>
      <c r="O243" s="1">
        <v>324.3</v>
      </c>
      <c r="P243" s="1">
        <v>401.3</v>
      </c>
      <c r="Q243" s="1">
        <v>429.4</v>
      </c>
      <c r="R243" s="1">
        <v>456</v>
      </c>
      <c r="S243" s="1">
        <v>482.1</v>
      </c>
      <c r="T243" s="1">
        <v>519.9</v>
      </c>
      <c r="U243" s="1">
        <v>603.70000000000005</v>
      </c>
      <c r="V243" s="1">
        <v>746.8</v>
      </c>
      <c r="W243" s="1">
        <v>1005.4</v>
      </c>
      <c r="X243" s="1">
        <v>901.8</v>
      </c>
      <c r="Y243" s="1">
        <v>788.1</v>
      </c>
      <c r="Z243" s="1">
        <v>687.5</v>
      </c>
      <c r="AA243" s="1">
        <v>634.70000000000005</v>
      </c>
      <c r="AB243" s="1">
        <v>574.9</v>
      </c>
      <c r="AC243" s="1">
        <v>628.29999999999995</v>
      </c>
      <c r="AD243" s="1">
        <v>640.6</v>
      </c>
      <c r="AE243" s="1">
        <v>631.29999999999995</v>
      </c>
      <c r="AF243" s="1">
        <v>723.3</v>
      </c>
      <c r="AG243" s="1">
        <v>757.2</v>
      </c>
      <c r="AH243" s="1">
        <v>666.5</v>
      </c>
      <c r="AI243" s="1">
        <v>660.1</v>
      </c>
      <c r="AJ243" s="1">
        <v>657.8</v>
      </c>
      <c r="AK243" s="1">
        <v>815.3</v>
      </c>
      <c r="AL243" s="1">
        <v>885.1</v>
      </c>
      <c r="AM243" s="1">
        <v>909.2</v>
      </c>
      <c r="AN243" s="1">
        <v>888.2</v>
      </c>
      <c r="AO243" s="1">
        <v>618</v>
      </c>
      <c r="AP243" s="1">
        <v>638.20000000000005</v>
      </c>
      <c r="AQ243" s="1">
        <v>594.6</v>
      </c>
      <c r="AR243" s="1">
        <v>630.4</v>
      </c>
      <c r="AS243" s="1">
        <v>773</v>
      </c>
      <c r="AT243" s="1">
        <v>934.6</v>
      </c>
      <c r="AU243" s="1">
        <v>1079.5</v>
      </c>
      <c r="AV243" s="1">
        <v>1239.0999999999999</v>
      </c>
      <c r="AW243" s="1">
        <v>1395.7</v>
      </c>
      <c r="AX243" s="1">
        <v>1539</v>
      </c>
      <c r="AY243" s="1">
        <v>1430.1</v>
      </c>
      <c r="AZ243" s="1">
        <v>1646</v>
      </c>
      <c r="BA243" s="1">
        <v>1800</v>
      </c>
      <c r="BB243" s="1">
        <v>1819</v>
      </c>
      <c r="BC243" s="1">
        <v>1882</v>
      </c>
      <c r="BD243" s="1">
        <v>1909.6</v>
      </c>
      <c r="BE243" s="1">
        <v>1654.3</v>
      </c>
      <c r="BF243" s="1">
        <v>1468.9</v>
      </c>
      <c r="BG243" s="1">
        <v>1528.2</v>
      </c>
      <c r="BH243" s="1">
        <v>1630.3</v>
      </c>
      <c r="BI243" s="1">
        <v>1632.1</v>
      </c>
      <c r="BJ243" s="1">
        <v>1490.7</v>
      </c>
      <c r="BK243" s="1">
        <v>1636.3</v>
      </c>
      <c r="BL243" s="1">
        <v>1701.7</v>
      </c>
      <c r="BM243" s="1">
        <v>1636.8</v>
      </c>
    </row>
    <row r="244" spans="1:65">
      <c r="A244" s="1" t="s">
        <v>1346</v>
      </c>
      <c r="B244" s="1">
        <v>632.4</v>
      </c>
      <c r="C244" s="1">
        <v>676.2</v>
      </c>
      <c r="D244" s="1">
        <v>702.6</v>
      </c>
      <c r="E244" s="1">
        <v>755.6</v>
      </c>
      <c r="F244" s="1">
        <v>779.4</v>
      </c>
      <c r="G244" s="1">
        <v>793.3</v>
      </c>
      <c r="H244" s="1">
        <v>767.8</v>
      </c>
      <c r="I244" s="1">
        <v>797.3</v>
      </c>
      <c r="J244" s="1">
        <v>784.2</v>
      </c>
      <c r="K244" s="1">
        <v>796.2</v>
      </c>
      <c r="L244" s="1">
        <v>831.1</v>
      </c>
      <c r="M244" s="1">
        <v>896.6</v>
      </c>
      <c r="N244" s="1">
        <v>1069.4000000000001</v>
      </c>
      <c r="O244" s="1">
        <v>1274.9000000000001</v>
      </c>
      <c r="P244" s="1">
        <v>1962.9</v>
      </c>
      <c r="Q244" s="1">
        <v>2317.5</v>
      </c>
      <c r="R244" s="1">
        <v>2341.9</v>
      </c>
      <c r="S244" s="1">
        <v>2901.6</v>
      </c>
      <c r="T244" s="1">
        <v>3248.6</v>
      </c>
      <c r="U244" s="1">
        <v>4137.7</v>
      </c>
      <c r="V244" s="1">
        <v>5528.9</v>
      </c>
      <c r="W244" s="1">
        <v>6118.9</v>
      </c>
      <c r="X244" s="1">
        <v>7034.9</v>
      </c>
      <c r="Y244" s="1">
        <v>6628.5</v>
      </c>
      <c r="Z244" s="1">
        <v>6547.5</v>
      </c>
      <c r="AA244" s="1">
        <v>6147.7</v>
      </c>
      <c r="AB244" s="1">
        <v>3941.6</v>
      </c>
      <c r="AC244" s="1">
        <v>3896.1</v>
      </c>
      <c r="AD244" s="1">
        <v>3613</v>
      </c>
      <c r="AE244" s="1">
        <v>3441.4</v>
      </c>
      <c r="AF244" s="1">
        <v>4001.5</v>
      </c>
      <c r="AG244" s="1">
        <v>4159.1000000000004</v>
      </c>
      <c r="AH244" s="1">
        <v>4231.5</v>
      </c>
      <c r="AI244" s="1">
        <v>3608.6</v>
      </c>
      <c r="AJ244" s="1">
        <v>3801.5</v>
      </c>
      <c r="AK244" s="1">
        <v>4074.9</v>
      </c>
      <c r="AL244" s="1">
        <v>4385.1000000000004</v>
      </c>
      <c r="AM244" s="1">
        <v>4352.8</v>
      </c>
      <c r="AN244" s="1">
        <v>4569.7</v>
      </c>
      <c r="AO244" s="1">
        <v>5130.8999999999996</v>
      </c>
      <c r="AP244" s="1">
        <v>6120.9</v>
      </c>
      <c r="AQ244" s="1">
        <v>6592.8</v>
      </c>
      <c r="AR244" s="1">
        <v>6692.8</v>
      </c>
      <c r="AS244" s="1">
        <v>8352.5</v>
      </c>
      <c r="AT244" s="1">
        <v>9756.5</v>
      </c>
      <c r="AU244" s="1">
        <v>11673.8</v>
      </c>
      <c r="AV244" s="1">
        <v>13340.9</v>
      </c>
      <c r="AW244" s="1">
        <v>15627.3</v>
      </c>
      <c r="AX244" s="1">
        <v>20011.099999999999</v>
      </c>
      <c r="AY244" s="1">
        <v>13682.8</v>
      </c>
      <c r="AZ244" s="1">
        <v>15711.6</v>
      </c>
      <c r="BA244" s="1">
        <v>17910.3</v>
      </c>
      <c r="BB244" s="1">
        <v>19110.099999999999</v>
      </c>
      <c r="BC244" s="1">
        <v>19927.400000000001</v>
      </c>
      <c r="BD244" s="1">
        <v>20473.400000000001</v>
      </c>
      <c r="BE244" s="1">
        <v>18508.8</v>
      </c>
      <c r="BF244" s="1">
        <v>16139.1</v>
      </c>
      <c r="BG244" s="1">
        <v>16258.7</v>
      </c>
      <c r="BH244" s="1">
        <v>16328.1</v>
      </c>
      <c r="BI244" s="1">
        <v>15642.4</v>
      </c>
      <c r="BJ244" s="1">
        <v>13705.9</v>
      </c>
      <c r="BK244" s="1">
        <v>16056.3</v>
      </c>
      <c r="BL244" s="1">
        <v>19629.5</v>
      </c>
      <c r="BM244" s="1">
        <v>18333</v>
      </c>
    </row>
    <row r="245" spans="1:65">
      <c r="A245" s="1" t="s">
        <v>293</v>
      </c>
      <c r="C245" s="1">
        <v>204.5</v>
      </c>
      <c r="D245" s="1">
        <v>205.5</v>
      </c>
      <c r="E245" s="1">
        <v>237</v>
      </c>
      <c r="F245" s="1">
        <v>233.7</v>
      </c>
      <c r="G245" s="1">
        <v>222.3</v>
      </c>
      <c r="H245" s="1">
        <v>228.8</v>
      </c>
      <c r="I245" s="1">
        <v>232.9</v>
      </c>
      <c r="J245" s="1">
        <v>253.8</v>
      </c>
      <c r="K245" s="1">
        <v>262.39999999999998</v>
      </c>
      <c r="L245" s="1">
        <v>285.10000000000002</v>
      </c>
      <c r="M245" s="1">
        <v>325.2</v>
      </c>
      <c r="N245" s="1">
        <v>420.6</v>
      </c>
      <c r="O245" s="1">
        <v>499.8</v>
      </c>
      <c r="P245" s="1">
        <v>631.70000000000005</v>
      </c>
      <c r="Q245" s="1">
        <v>750.4</v>
      </c>
      <c r="R245" s="1">
        <v>760.2</v>
      </c>
      <c r="S245" s="1">
        <v>838.6</v>
      </c>
      <c r="T245" s="1">
        <v>954.2</v>
      </c>
      <c r="U245" s="1">
        <v>1120.4000000000001</v>
      </c>
      <c r="V245" s="1">
        <v>1329.3</v>
      </c>
      <c r="W245" s="1">
        <v>1249.8</v>
      </c>
      <c r="X245" s="1">
        <v>1176.2</v>
      </c>
      <c r="Y245" s="1">
        <v>1177.5999999999999</v>
      </c>
      <c r="Z245" s="1">
        <v>1134</v>
      </c>
      <c r="AA245" s="1">
        <v>1124.9000000000001</v>
      </c>
      <c r="AB245" s="1">
        <v>1174.9000000000001</v>
      </c>
      <c r="AC245" s="1">
        <v>1231.4000000000001</v>
      </c>
      <c r="AD245" s="1">
        <v>1251.3</v>
      </c>
      <c r="AE245" s="1">
        <v>1223.5</v>
      </c>
      <c r="AF245" s="1">
        <v>1456.2</v>
      </c>
      <c r="AG245" s="1">
        <v>1516.3</v>
      </c>
      <c r="AH245" s="1">
        <v>1760.5</v>
      </c>
      <c r="AI245" s="1">
        <v>1627.3</v>
      </c>
      <c r="AJ245" s="1">
        <v>1709.8</v>
      </c>
      <c r="AK245" s="1">
        <v>1940</v>
      </c>
      <c r="AL245" s="1">
        <v>2077</v>
      </c>
      <c r="AM245" s="1">
        <v>2170.6</v>
      </c>
      <c r="AN245" s="1">
        <v>2253</v>
      </c>
      <c r="AO245" s="1">
        <v>2344</v>
      </c>
      <c r="AP245" s="1">
        <v>2170.5</v>
      </c>
      <c r="AQ245" s="1">
        <v>2207.6999999999998</v>
      </c>
      <c r="AR245" s="1">
        <v>2292.5</v>
      </c>
      <c r="AS245" s="1">
        <v>2693.2</v>
      </c>
      <c r="AT245" s="1">
        <v>3029.8</v>
      </c>
      <c r="AU245" s="1">
        <v>3106.6</v>
      </c>
      <c r="AV245" s="1">
        <v>3279.1</v>
      </c>
      <c r="AW245" s="1">
        <v>3678.1</v>
      </c>
      <c r="AX245" s="1">
        <v>4200.2</v>
      </c>
      <c r="AY245" s="1">
        <v>4029.5</v>
      </c>
      <c r="AZ245" s="1">
        <v>4241</v>
      </c>
      <c r="BA245" s="1">
        <v>4361.8999999999996</v>
      </c>
      <c r="BB245" s="1">
        <v>4233.8999999999996</v>
      </c>
      <c r="BC245" s="1">
        <v>4308.3</v>
      </c>
      <c r="BD245" s="1">
        <v>4398.6000000000004</v>
      </c>
      <c r="BE245" s="1">
        <v>3960.9</v>
      </c>
      <c r="BF245" s="1">
        <v>3796.1</v>
      </c>
      <c r="BG245" s="1">
        <v>3569.7</v>
      </c>
      <c r="BH245" s="1">
        <v>3577.2</v>
      </c>
      <c r="BI245" s="1">
        <v>3477.8</v>
      </c>
      <c r="BJ245" s="1">
        <v>3493.9</v>
      </c>
      <c r="BK245" s="1">
        <v>3817.4</v>
      </c>
      <c r="BL245" s="1">
        <v>3607.9</v>
      </c>
      <c r="BM245" s="1">
        <v>3895.4</v>
      </c>
    </row>
    <row r="246" spans="1:65">
      <c r="A246" s="1" t="s">
        <v>259</v>
      </c>
      <c r="B246" s="1">
        <v>275</v>
      </c>
      <c r="C246" s="1">
        <v>282.7</v>
      </c>
      <c r="D246" s="1">
        <v>307.3</v>
      </c>
      <c r="E246" s="1">
        <v>347.2</v>
      </c>
      <c r="F246" s="1">
        <v>365.1</v>
      </c>
      <c r="G246" s="1">
        <v>381.4</v>
      </c>
      <c r="H246" s="1">
        <v>438.3</v>
      </c>
      <c r="I246" s="1">
        <v>473.7</v>
      </c>
      <c r="J246" s="1">
        <v>516.5</v>
      </c>
      <c r="K246" s="1">
        <v>560.6</v>
      </c>
      <c r="L246" s="1">
        <v>502.6</v>
      </c>
      <c r="M246" s="1">
        <v>444.6</v>
      </c>
      <c r="N246" s="1">
        <v>555.29999999999995</v>
      </c>
      <c r="O246" s="1">
        <v>683.7</v>
      </c>
      <c r="P246" s="1">
        <v>911.2</v>
      </c>
      <c r="Q246" s="1">
        <v>1160.5</v>
      </c>
      <c r="R246" s="1">
        <v>1270.3</v>
      </c>
      <c r="S246" s="1">
        <v>1418</v>
      </c>
      <c r="T246" s="1">
        <v>1558.5</v>
      </c>
      <c r="U246" s="1">
        <v>2075</v>
      </c>
      <c r="V246" s="1">
        <v>1561</v>
      </c>
      <c r="W246" s="1">
        <v>1582.4</v>
      </c>
      <c r="X246" s="1">
        <v>1400.9</v>
      </c>
      <c r="Y246" s="1">
        <v>1314.2</v>
      </c>
      <c r="Z246" s="1">
        <v>1245.9000000000001</v>
      </c>
      <c r="AA246" s="1">
        <v>1367.2</v>
      </c>
      <c r="AB246" s="1">
        <v>1506.7</v>
      </c>
      <c r="AC246" s="1">
        <v>1701.3</v>
      </c>
      <c r="AD246" s="1">
        <v>1738.4</v>
      </c>
      <c r="AE246" s="1">
        <v>2009.7</v>
      </c>
      <c r="AF246" s="1">
        <v>2773.3</v>
      </c>
      <c r="AG246" s="1">
        <v>2730.1</v>
      </c>
      <c r="AH246" s="1">
        <v>2825.9</v>
      </c>
      <c r="AI246" s="1">
        <v>3148.8</v>
      </c>
      <c r="AJ246" s="1">
        <v>2240.6</v>
      </c>
      <c r="AK246" s="1">
        <v>2855</v>
      </c>
      <c r="AL246" s="1">
        <v>3009.7</v>
      </c>
      <c r="AM246" s="1">
        <v>3098.7</v>
      </c>
      <c r="AN246" s="1">
        <v>4433.3999999999996</v>
      </c>
      <c r="AO246" s="1">
        <v>4057.8</v>
      </c>
      <c r="AP246" s="1">
        <v>4278.3</v>
      </c>
      <c r="AQ246" s="1">
        <v>3100.5</v>
      </c>
      <c r="AR246" s="1">
        <v>3640.8</v>
      </c>
      <c r="AS246" s="1">
        <v>4704.8</v>
      </c>
      <c r="AT246" s="1">
        <v>6031.8</v>
      </c>
      <c r="AU246" s="1">
        <v>7369.4</v>
      </c>
      <c r="AV246" s="1">
        <v>8003.8</v>
      </c>
      <c r="AW246" s="1">
        <v>9711.2000000000007</v>
      </c>
      <c r="AX246" s="1">
        <v>10843.5</v>
      </c>
      <c r="AY246" s="1">
        <v>9013</v>
      </c>
      <c r="AZ246" s="1">
        <v>10622.7</v>
      </c>
      <c r="BA246" s="1">
        <v>11300.8</v>
      </c>
      <c r="BB246" s="1">
        <v>11713.3</v>
      </c>
      <c r="BC246" s="1">
        <v>12578.2</v>
      </c>
      <c r="BD246" s="1">
        <v>12165.2</v>
      </c>
      <c r="BE246" s="1">
        <v>11050</v>
      </c>
      <c r="BF246" s="1">
        <v>10970</v>
      </c>
      <c r="BG246" s="1">
        <v>10695.6</v>
      </c>
      <c r="BH246" s="1">
        <v>9568.7999999999993</v>
      </c>
      <c r="BI246" s="1">
        <v>9215.4</v>
      </c>
      <c r="BJ246" s="1">
        <v>8638.7000000000007</v>
      </c>
      <c r="BK246" s="1">
        <v>9743.2000000000007</v>
      </c>
      <c r="BL246" s="1">
        <v>10674.5</v>
      </c>
      <c r="BM246" s="1">
        <v>12985.8</v>
      </c>
    </row>
    <row r="247" spans="1:65">
      <c r="A247" s="1" t="s">
        <v>1347</v>
      </c>
      <c r="L247" s="1">
        <v>444.8</v>
      </c>
      <c r="M247" s="1">
        <v>464.1</v>
      </c>
      <c r="N247" s="1">
        <v>503.9</v>
      </c>
      <c r="O247" s="1">
        <v>575</v>
      </c>
      <c r="P247" s="1">
        <v>675.8</v>
      </c>
      <c r="Q247" s="1">
        <v>629.20000000000005</v>
      </c>
      <c r="R247" s="1">
        <v>587</v>
      </c>
      <c r="S247" s="1">
        <v>525.4</v>
      </c>
      <c r="T247" s="1">
        <v>520.6</v>
      </c>
      <c r="U247" s="1">
        <v>538.4</v>
      </c>
      <c r="V247" s="1">
        <v>544.1</v>
      </c>
      <c r="W247" s="1">
        <v>606.20000000000005</v>
      </c>
      <c r="X247" s="1">
        <v>515.29999999999995</v>
      </c>
      <c r="Y247" s="1">
        <v>512.70000000000005</v>
      </c>
      <c r="Z247" s="1">
        <v>546.79999999999995</v>
      </c>
      <c r="AA247" s="1">
        <v>463.8</v>
      </c>
      <c r="AB247" s="1">
        <v>538.5</v>
      </c>
      <c r="AC247" s="1">
        <v>579.4</v>
      </c>
      <c r="AD247" s="1">
        <v>792.7</v>
      </c>
      <c r="AE247" s="1">
        <v>937.6</v>
      </c>
      <c r="AF247" s="1">
        <v>1039.3</v>
      </c>
      <c r="AG247" s="1">
        <v>1082.7</v>
      </c>
      <c r="AH247" s="1">
        <v>1112.9000000000001</v>
      </c>
      <c r="AI247" s="1">
        <v>1094.3</v>
      </c>
      <c r="AJ247" s="1">
        <v>1231.5999999999999</v>
      </c>
      <c r="AK247" s="1">
        <v>1243.9000000000001</v>
      </c>
      <c r="AL247" s="1">
        <v>1387.8</v>
      </c>
      <c r="AM247" s="1">
        <v>1426.2</v>
      </c>
      <c r="AN247" s="1">
        <v>1431.9</v>
      </c>
      <c r="AO247" s="1">
        <v>1535.3</v>
      </c>
      <c r="AP247" s="1">
        <v>1564</v>
      </c>
      <c r="AQ247" s="1">
        <v>1451.5</v>
      </c>
      <c r="AR247" s="1">
        <v>1752.8</v>
      </c>
      <c r="AS247" s="1">
        <v>2012.4</v>
      </c>
      <c r="AT247" s="1">
        <v>2328.5</v>
      </c>
      <c r="AU247" s="1">
        <v>2311.3000000000002</v>
      </c>
      <c r="AV247" s="1">
        <v>2402.5</v>
      </c>
      <c r="AW247" s="1">
        <v>2803.2</v>
      </c>
      <c r="AX247" s="1">
        <v>3103</v>
      </c>
      <c r="AY247" s="1">
        <v>2697.6</v>
      </c>
      <c r="AZ247" s="1">
        <v>3043.2</v>
      </c>
      <c r="BA247" s="1">
        <v>3663.3</v>
      </c>
      <c r="BB247" s="1">
        <v>3625</v>
      </c>
      <c r="BC247" s="1">
        <v>3536.9</v>
      </c>
      <c r="BD247" s="1">
        <v>3556.4</v>
      </c>
      <c r="BE247" s="1">
        <v>3384.4</v>
      </c>
      <c r="BF247" s="1">
        <v>3836.1</v>
      </c>
      <c r="BG247" s="1">
        <v>4181.3999999999996</v>
      </c>
      <c r="BH247" s="1">
        <v>4419.3</v>
      </c>
      <c r="BI247" s="1">
        <v>4940.1000000000004</v>
      </c>
      <c r="BJ247" s="1">
        <v>4674.8999999999996</v>
      </c>
      <c r="BK247" s="1">
        <v>5372.8</v>
      </c>
      <c r="BL247" s="1">
        <v>5221.5</v>
      </c>
      <c r="BM247" s="1">
        <v>5465.1</v>
      </c>
    </row>
    <row r="248" spans="1:65">
      <c r="A248" s="1" t="s">
        <v>1348</v>
      </c>
      <c r="B248" s="1">
        <v>271.39999999999998</v>
      </c>
      <c r="C248" s="1">
        <v>281</v>
      </c>
      <c r="D248" s="1">
        <v>299.5</v>
      </c>
      <c r="E248" s="1">
        <v>324.2</v>
      </c>
      <c r="F248" s="1">
        <v>341.3</v>
      </c>
      <c r="G248" s="1">
        <v>337.4</v>
      </c>
      <c r="H248" s="1">
        <v>375.6</v>
      </c>
      <c r="I248" s="1">
        <v>380.1</v>
      </c>
      <c r="J248" s="1">
        <v>395</v>
      </c>
      <c r="K248" s="1">
        <v>401.4</v>
      </c>
      <c r="L248" s="1">
        <v>215.2</v>
      </c>
      <c r="M248" s="1">
        <v>222.5</v>
      </c>
      <c r="N248" s="1">
        <v>244.6</v>
      </c>
      <c r="O248" s="1">
        <v>281.7</v>
      </c>
      <c r="P248" s="1">
        <v>326.5</v>
      </c>
      <c r="Q248" s="1">
        <v>362.6</v>
      </c>
      <c r="R248" s="1">
        <v>395.1</v>
      </c>
      <c r="S248" s="1">
        <v>455.4</v>
      </c>
      <c r="T248" s="1">
        <v>526.6</v>
      </c>
      <c r="U248" s="1">
        <v>539</v>
      </c>
      <c r="V248" s="1">
        <v>607.79999999999995</v>
      </c>
      <c r="W248" s="1">
        <v>680.3</v>
      </c>
      <c r="X248" s="1">
        <v>698.5</v>
      </c>
      <c r="Y248" s="1">
        <v>682.3</v>
      </c>
      <c r="Z248" s="1">
        <v>607.20000000000005</v>
      </c>
      <c r="AA248" s="1">
        <v>698.3</v>
      </c>
      <c r="AB248" s="1">
        <v>477.9</v>
      </c>
      <c r="AC248" s="1">
        <v>333.9</v>
      </c>
      <c r="AD248" s="1">
        <v>306.60000000000002</v>
      </c>
      <c r="AE248" s="1">
        <v>258.60000000000002</v>
      </c>
      <c r="AF248" s="1">
        <v>242.7</v>
      </c>
      <c r="AG248" s="1">
        <v>275.3</v>
      </c>
      <c r="AH248" s="1">
        <v>249.2</v>
      </c>
      <c r="AI248" s="1">
        <v>223.4</v>
      </c>
      <c r="AJ248" s="1">
        <v>227.7</v>
      </c>
      <c r="AK248" s="1">
        <v>256.89999999999998</v>
      </c>
      <c r="AL248" s="1">
        <v>311.7</v>
      </c>
      <c r="AM248" s="1">
        <v>361.2</v>
      </c>
      <c r="AN248" s="1">
        <v>383.9</v>
      </c>
      <c r="AO248" s="1">
        <v>390.3</v>
      </c>
      <c r="AP248" s="1">
        <v>399.3</v>
      </c>
      <c r="AQ248" s="1">
        <v>394.2</v>
      </c>
      <c r="AR248" s="1">
        <v>400.1</v>
      </c>
      <c r="AS248" s="1">
        <v>419.4</v>
      </c>
      <c r="AT248" s="1">
        <v>447.4</v>
      </c>
      <c r="AU248" s="1">
        <v>480.2</v>
      </c>
      <c r="AV248" s="1">
        <v>472.6</v>
      </c>
      <c r="AW248" s="1">
        <v>539.5</v>
      </c>
      <c r="AX248" s="1">
        <v>671.2</v>
      </c>
      <c r="AY248" s="1">
        <v>688.7</v>
      </c>
      <c r="AZ248" s="1">
        <v>730.8</v>
      </c>
      <c r="BA248" s="1">
        <v>768.9</v>
      </c>
      <c r="BB248" s="1">
        <v>854.5</v>
      </c>
      <c r="BC248" s="1">
        <v>954.7</v>
      </c>
      <c r="BD248" s="1">
        <v>1013.4</v>
      </c>
      <c r="BE248" s="1">
        <v>929.8</v>
      </c>
      <c r="BF248" s="1">
        <v>942.9</v>
      </c>
      <c r="BG248" s="1">
        <v>975.9</v>
      </c>
      <c r="BH248" s="1">
        <v>1011.6</v>
      </c>
      <c r="BI248" s="1">
        <v>1050.9000000000001</v>
      </c>
      <c r="BJ248" s="1">
        <v>1104.2</v>
      </c>
      <c r="BK248" s="1">
        <v>1146</v>
      </c>
      <c r="BL248" s="1">
        <v>1193.4000000000001</v>
      </c>
      <c r="BM248" s="1">
        <v>1211.0999999999999</v>
      </c>
    </row>
    <row r="249" spans="1:65">
      <c r="A249" s="1" t="s">
        <v>1349</v>
      </c>
      <c r="B249" s="1">
        <v>55.5</v>
      </c>
      <c r="C249" s="1">
        <v>56.3</v>
      </c>
      <c r="D249" s="1">
        <v>55.6</v>
      </c>
      <c r="E249" s="1">
        <v>62.1</v>
      </c>
      <c r="F249" s="1">
        <v>68.8</v>
      </c>
      <c r="G249" s="1">
        <v>100.2</v>
      </c>
      <c r="H249" s="1">
        <v>101.6</v>
      </c>
      <c r="I249" s="1">
        <v>103</v>
      </c>
      <c r="J249" s="1">
        <v>107</v>
      </c>
      <c r="K249" s="1">
        <v>116.8</v>
      </c>
      <c r="L249" s="1">
        <v>122.1</v>
      </c>
      <c r="M249" s="1">
        <v>133.5</v>
      </c>
      <c r="N249" s="1">
        <v>137</v>
      </c>
      <c r="O249" s="1">
        <v>152.69999999999999</v>
      </c>
      <c r="P249" s="1">
        <v>183.7</v>
      </c>
      <c r="Q249" s="1">
        <v>201.1</v>
      </c>
      <c r="R249" s="1">
        <v>203.2</v>
      </c>
      <c r="S249" s="1">
        <v>237.4</v>
      </c>
      <c r="T249" s="1">
        <v>190.5</v>
      </c>
      <c r="U249" s="1">
        <v>164.4</v>
      </c>
      <c r="V249" s="1">
        <v>93.7</v>
      </c>
      <c r="W249" s="1">
        <v>98.6</v>
      </c>
      <c r="X249" s="1">
        <v>156.9</v>
      </c>
      <c r="Y249" s="1">
        <v>157.4</v>
      </c>
      <c r="Z249" s="1">
        <v>247.3</v>
      </c>
      <c r="AA249" s="1">
        <v>234</v>
      </c>
      <c r="AB249" s="1">
        <v>253.3</v>
      </c>
      <c r="AC249" s="1">
        <v>392.5</v>
      </c>
      <c r="AD249" s="1">
        <v>394.7</v>
      </c>
      <c r="AE249" s="1">
        <v>309.89999999999998</v>
      </c>
      <c r="AF249" s="1">
        <v>244.8</v>
      </c>
      <c r="AG249" s="1">
        <v>182.8</v>
      </c>
      <c r="AH249" s="1">
        <v>152</v>
      </c>
      <c r="AI249" s="1">
        <v>165.5</v>
      </c>
      <c r="AJ249" s="1">
        <v>198.3</v>
      </c>
      <c r="AK249" s="1">
        <v>278.3</v>
      </c>
      <c r="AL249" s="1">
        <v>284.5</v>
      </c>
      <c r="AM249" s="1">
        <v>286.60000000000002</v>
      </c>
      <c r="AN249" s="1">
        <v>292.2</v>
      </c>
      <c r="AO249" s="1">
        <v>257.7</v>
      </c>
      <c r="AP249" s="1">
        <v>257.8</v>
      </c>
      <c r="AQ249" s="1">
        <v>235.9</v>
      </c>
      <c r="AR249" s="1">
        <v>241.9</v>
      </c>
      <c r="AS249" s="1">
        <v>250.7</v>
      </c>
      <c r="AT249" s="1">
        <v>292.5</v>
      </c>
      <c r="AU249" s="1">
        <v>330.6</v>
      </c>
      <c r="AV249" s="1">
        <v>346.8</v>
      </c>
      <c r="AW249" s="1">
        <v>401.7</v>
      </c>
      <c r="AX249" s="1">
        <v>473.3</v>
      </c>
      <c r="AY249" s="1">
        <v>799.9</v>
      </c>
      <c r="AZ249" s="1">
        <v>824.7</v>
      </c>
      <c r="BA249" s="1">
        <v>837.1</v>
      </c>
      <c r="BB249" s="1">
        <v>796.7</v>
      </c>
      <c r="BC249" s="1">
        <v>819.8</v>
      </c>
      <c r="BD249" s="1">
        <v>897.5</v>
      </c>
      <c r="BE249" s="1">
        <v>864.2</v>
      </c>
      <c r="BF249" s="1">
        <v>753.7</v>
      </c>
      <c r="BG249" s="1">
        <v>766.2</v>
      </c>
      <c r="BH249" s="1">
        <v>793.1</v>
      </c>
      <c r="BI249" s="1">
        <v>823</v>
      </c>
      <c r="BJ249" s="1">
        <v>846.8</v>
      </c>
      <c r="BK249" s="1">
        <v>883.9</v>
      </c>
      <c r="BL249" s="1">
        <v>964.4</v>
      </c>
      <c r="BM249" s="1">
        <v>1014.2</v>
      </c>
    </row>
    <row r="250" spans="1:65">
      <c r="A250" s="1" t="s">
        <v>1350</v>
      </c>
      <c r="AC250" s="1">
        <v>1265.4000000000001</v>
      </c>
      <c r="AD250" s="1">
        <v>1452.7</v>
      </c>
      <c r="AE250" s="1">
        <v>1559.3</v>
      </c>
      <c r="AF250" s="1">
        <v>1532.5</v>
      </c>
      <c r="AG250" s="1">
        <v>1474.3</v>
      </c>
      <c r="AH250" s="1">
        <v>1417.2</v>
      </c>
      <c r="AI250" s="1">
        <v>1258.0999999999999</v>
      </c>
      <c r="AJ250" s="1">
        <v>1012.1</v>
      </c>
      <c r="AK250" s="1">
        <v>936</v>
      </c>
      <c r="AL250" s="1">
        <v>872.7</v>
      </c>
      <c r="AM250" s="1">
        <v>991.2</v>
      </c>
      <c r="AN250" s="1">
        <v>835.2</v>
      </c>
      <c r="AO250" s="1">
        <v>635.79999999999995</v>
      </c>
      <c r="AP250" s="1">
        <v>658.3</v>
      </c>
      <c r="AQ250" s="1">
        <v>807.8</v>
      </c>
      <c r="AR250" s="1">
        <v>911.9</v>
      </c>
      <c r="AS250" s="1">
        <v>1087.8</v>
      </c>
      <c r="AT250" s="1">
        <v>1416.6</v>
      </c>
      <c r="AU250" s="1">
        <v>1894.5</v>
      </c>
      <c r="AV250" s="1">
        <v>2391.3000000000002</v>
      </c>
      <c r="AW250" s="1">
        <v>3197.9</v>
      </c>
      <c r="AX250" s="1">
        <v>4066.5</v>
      </c>
      <c r="AY250" s="1">
        <v>2639.4</v>
      </c>
      <c r="AZ250" s="1">
        <v>3078.4</v>
      </c>
      <c r="BA250" s="1">
        <v>3704.8</v>
      </c>
      <c r="BB250" s="1">
        <v>4004.8</v>
      </c>
      <c r="BC250" s="1">
        <v>4187.7</v>
      </c>
      <c r="BD250" s="1">
        <v>3104.7</v>
      </c>
      <c r="BE250" s="1">
        <v>2124.6999999999998</v>
      </c>
      <c r="BF250" s="1">
        <v>2187.6999999999998</v>
      </c>
      <c r="BG250" s="1">
        <v>2638.3</v>
      </c>
      <c r="BH250" s="1">
        <v>3096.6</v>
      </c>
      <c r="BI250" s="1">
        <v>3661.5</v>
      </c>
      <c r="BJ250" s="1">
        <v>3751.7</v>
      </c>
      <c r="BK250" s="1">
        <v>4827.8</v>
      </c>
      <c r="BL250" s="1">
        <v>4576</v>
      </c>
      <c r="BM250" s="1">
        <v>5181.3999999999996</v>
      </c>
    </row>
    <row r="251" spans="1:65">
      <c r="A251" s="1" t="s">
        <v>1351</v>
      </c>
      <c r="B251" s="1">
        <v>156.5</v>
      </c>
      <c r="C251" s="1">
        <v>146.1</v>
      </c>
      <c r="D251" s="1">
        <v>144.80000000000001</v>
      </c>
      <c r="E251" s="1">
        <v>154.9</v>
      </c>
      <c r="F251" s="1">
        <v>174.3</v>
      </c>
      <c r="G251" s="1">
        <v>191.6</v>
      </c>
      <c r="H251" s="1">
        <v>204.4</v>
      </c>
      <c r="I251" s="1">
        <v>204.5</v>
      </c>
      <c r="J251" s="1">
        <v>210</v>
      </c>
      <c r="K251" s="1">
        <v>228.9</v>
      </c>
      <c r="L251" s="1">
        <v>246.1</v>
      </c>
      <c r="M251" s="1">
        <v>259.10000000000002</v>
      </c>
      <c r="N251" s="1">
        <v>291.8</v>
      </c>
      <c r="O251" s="1">
        <v>364</v>
      </c>
      <c r="P251" s="1">
        <v>451.9</v>
      </c>
      <c r="Q251" s="1">
        <v>507.4</v>
      </c>
      <c r="R251" s="1">
        <v>535</v>
      </c>
      <c r="S251" s="1">
        <v>589.1</v>
      </c>
      <c r="T251" s="1">
        <v>612.70000000000005</v>
      </c>
      <c r="U251" s="1">
        <v>740.2</v>
      </c>
      <c r="V251" s="1">
        <v>875.4</v>
      </c>
      <c r="W251" s="1">
        <v>928.8</v>
      </c>
      <c r="X251" s="1">
        <v>874.9</v>
      </c>
      <c r="Y251" s="1">
        <v>887.1</v>
      </c>
      <c r="Z251" s="1">
        <v>927.9</v>
      </c>
      <c r="AA251" s="1">
        <v>930.6</v>
      </c>
      <c r="AB251" s="1">
        <v>911.7</v>
      </c>
      <c r="AC251" s="1">
        <v>887.9</v>
      </c>
      <c r="AD251" s="1">
        <v>939.8</v>
      </c>
      <c r="AE251" s="1">
        <v>977.6</v>
      </c>
      <c r="AF251" s="1">
        <v>1117</v>
      </c>
      <c r="AG251" s="1">
        <v>1064</v>
      </c>
      <c r="AH251" s="1">
        <v>1133.3</v>
      </c>
      <c r="AI251" s="1">
        <v>1269.0999999999999</v>
      </c>
      <c r="AJ251" s="1">
        <v>1410.3</v>
      </c>
      <c r="AK251" s="1">
        <v>1580.1</v>
      </c>
      <c r="AL251" s="1">
        <v>1726.6</v>
      </c>
      <c r="AM251" s="1">
        <v>1816.5</v>
      </c>
      <c r="AN251" s="1">
        <v>1773.1</v>
      </c>
      <c r="AO251" s="1">
        <v>1707.9</v>
      </c>
      <c r="AP251" s="1">
        <v>1848.3</v>
      </c>
      <c r="AQ251" s="1">
        <v>1831.3</v>
      </c>
      <c r="AR251" s="1">
        <v>1827.9</v>
      </c>
      <c r="AS251" s="1">
        <v>2020.3</v>
      </c>
      <c r="AT251" s="1">
        <v>2362.9</v>
      </c>
      <c r="AU251" s="1">
        <v>2784.6</v>
      </c>
      <c r="AV251" s="1">
        <v>3256.6</v>
      </c>
      <c r="AW251" s="1">
        <v>3971.8</v>
      </c>
      <c r="AX251" s="1">
        <v>4764.7</v>
      </c>
      <c r="AY251" s="1">
        <v>4688.3</v>
      </c>
      <c r="AZ251" s="1">
        <v>5684.8</v>
      </c>
      <c r="BA251" s="1">
        <v>6742.4</v>
      </c>
      <c r="BB251" s="1">
        <v>7131.8</v>
      </c>
      <c r="BC251" s="1">
        <v>7505.2</v>
      </c>
      <c r="BD251" s="1">
        <v>7722.5</v>
      </c>
      <c r="BE251" s="1">
        <v>7372.2</v>
      </c>
      <c r="BF251" s="1">
        <v>7340.5</v>
      </c>
      <c r="BG251" s="1">
        <v>7988.4</v>
      </c>
      <c r="BH251" s="1">
        <v>8461.6</v>
      </c>
      <c r="BI251" s="1">
        <v>8547.7000000000007</v>
      </c>
      <c r="BJ251" s="1">
        <v>8239.1</v>
      </c>
      <c r="BK251" s="1">
        <v>9778.1</v>
      </c>
      <c r="BL251" s="1">
        <v>10190.9</v>
      </c>
      <c r="BM251" s="1">
        <v>10461.799999999999</v>
      </c>
    </row>
    <row r="252" spans="1:65">
      <c r="A252" s="1" t="s">
        <v>212</v>
      </c>
      <c r="B252" s="1">
        <v>477.8</v>
      </c>
      <c r="C252" s="1">
        <v>624.70000000000005</v>
      </c>
      <c r="D252" s="1">
        <v>680.3</v>
      </c>
      <c r="E252" s="1">
        <v>592.20000000000005</v>
      </c>
      <c r="F252" s="1">
        <v>743</v>
      </c>
      <c r="G252" s="1">
        <v>706.3</v>
      </c>
      <c r="H252" s="1">
        <v>667</v>
      </c>
      <c r="I252" s="1">
        <v>584.6</v>
      </c>
      <c r="J252" s="1">
        <v>578.20000000000005</v>
      </c>
      <c r="K252" s="1">
        <v>722.6</v>
      </c>
      <c r="L252" s="1">
        <v>765.9</v>
      </c>
      <c r="M252" s="1">
        <v>1000.6</v>
      </c>
      <c r="N252" s="1">
        <v>775.8</v>
      </c>
      <c r="O252" s="1">
        <v>1397.7</v>
      </c>
      <c r="P252" s="1">
        <v>1433.8</v>
      </c>
      <c r="Q252" s="1">
        <v>1231.9000000000001</v>
      </c>
      <c r="R252" s="1">
        <v>1268.5999999999999</v>
      </c>
      <c r="S252" s="1">
        <v>1414.2</v>
      </c>
      <c r="T252" s="1">
        <v>1678.3</v>
      </c>
      <c r="U252" s="1">
        <v>2442.1</v>
      </c>
      <c r="V252" s="1">
        <v>3440.5</v>
      </c>
      <c r="W252" s="1">
        <v>3725</v>
      </c>
      <c r="X252" s="1">
        <v>3081</v>
      </c>
      <c r="Y252" s="1">
        <v>1704.6</v>
      </c>
      <c r="Z252" s="1">
        <v>1612.3</v>
      </c>
      <c r="AA252" s="1">
        <v>1564.7</v>
      </c>
      <c r="AB252" s="1">
        <v>1933.5</v>
      </c>
      <c r="AC252" s="1">
        <v>2408.6</v>
      </c>
      <c r="AD252" s="1">
        <v>2668.7</v>
      </c>
      <c r="AE252" s="1">
        <v>2724.1</v>
      </c>
      <c r="AF252" s="1">
        <v>2983.2</v>
      </c>
      <c r="AG252" s="1">
        <v>3574.1</v>
      </c>
      <c r="AH252" s="1">
        <v>4083.5</v>
      </c>
      <c r="AI252" s="1">
        <v>4729.8999999999996</v>
      </c>
      <c r="AJ252" s="1">
        <v>5478</v>
      </c>
      <c r="AK252" s="1">
        <v>6014.9</v>
      </c>
      <c r="AL252" s="1">
        <v>6358.2</v>
      </c>
      <c r="AM252" s="1">
        <v>7386.5</v>
      </c>
      <c r="AN252" s="1">
        <v>7780.7</v>
      </c>
      <c r="AO252" s="1">
        <v>7314.5</v>
      </c>
      <c r="AP252" s="1">
        <v>6932.5</v>
      </c>
      <c r="AQ252" s="1">
        <v>6331.2</v>
      </c>
      <c r="AR252" s="1">
        <v>4115.2</v>
      </c>
      <c r="AS252" s="1">
        <v>3638.9</v>
      </c>
      <c r="AT252" s="1">
        <v>4130.1000000000004</v>
      </c>
      <c r="AU252" s="1">
        <v>5233.5</v>
      </c>
      <c r="AV252" s="1">
        <v>5942.1</v>
      </c>
      <c r="AW252" s="1">
        <v>7149.4</v>
      </c>
      <c r="AX252" s="1">
        <v>9328.1</v>
      </c>
      <c r="AY252" s="1">
        <v>9780.7000000000007</v>
      </c>
      <c r="AZ252" s="1">
        <v>12512.6</v>
      </c>
      <c r="BA252" s="1">
        <v>14975.6</v>
      </c>
      <c r="BB252" s="1">
        <v>16087.3</v>
      </c>
      <c r="BC252" s="1">
        <v>18140.900000000001</v>
      </c>
      <c r="BD252" s="1">
        <v>18131.599999999999</v>
      </c>
      <c r="BE252" s="1">
        <v>16950.8</v>
      </c>
      <c r="BF252" s="1">
        <v>16837.900000000001</v>
      </c>
      <c r="BG252" s="1">
        <v>18995.400000000001</v>
      </c>
      <c r="BH252" s="1">
        <v>19067.3</v>
      </c>
      <c r="BI252" s="1">
        <v>18149.099999999999</v>
      </c>
      <c r="BJ252" s="1">
        <v>15651</v>
      </c>
      <c r="BK252" s="1">
        <v>17733.900000000001</v>
      </c>
      <c r="BL252" s="1">
        <v>20499.2</v>
      </c>
      <c r="BM252" s="1">
        <v>22564.5</v>
      </c>
    </row>
    <row r="253" spans="1:65">
      <c r="A253" s="1" t="s">
        <v>151</v>
      </c>
      <c r="B253" s="1">
        <v>2999.9</v>
      </c>
      <c r="C253" s="1">
        <v>3059.2</v>
      </c>
      <c r="D253" s="1">
        <v>3236</v>
      </c>
      <c r="E253" s="1">
        <v>3366.4</v>
      </c>
      <c r="F253" s="1">
        <v>3565.3</v>
      </c>
      <c r="G253" s="1">
        <v>3818.3</v>
      </c>
      <c r="H253" s="1">
        <v>4136.3</v>
      </c>
      <c r="I253" s="1">
        <v>4326</v>
      </c>
      <c r="J253" s="1">
        <v>4684.6000000000004</v>
      </c>
      <c r="K253" s="1">
        <v>5020</v>
      </c>
      <c r="L253" s="1">
        <v>5234.3</v>
      </c>
      <c r="M253" s="1">
        <v>5609.4</v>
      </c>
      <c r="N253" s="1">
        <v>6094</v>
      </c>
      <c r="O253" s="1">
        <v>6726.4</v>
      </c>
      <c r="P253" s="1">
        <v>7225.7</v>
      </c>
      <c r="Q253" s="1">
        <v>7801.5</v>
      </c>
      <c r="R253" s="1">
        <v>8592.2999999999993</v>
      </c>
      <c r="S253" s="1">
        <v>9452.6</v>
      </c>
      <c r="T253" s="1">
        <v>10564.9</v>
      </c>
      <c r="U253" s="1">
        <v>11674.2</v>
      </c>
      <c r="V253" s="1">
        <v>12574.8</v>
      </c>
      <c r="W253" s="1">
        <v>13976.1</v>
      </c>
      <c r="X253" s="1">
        <v>14433.8</v>
      </c>
      <c r="Y253" s="1">
        <v>15543.9</v>
      </c>
      <c r="Z253" s="1">
        <v>17121.2</v>
      </c>
      <c r="AA253" s="1">
        <v>18236.8</v>
      </c>
      <c r="AB253" s="1">
        <v>19071.2</v>
      </c>
      <c r="AC253" s="1">
        <v>20038.900000000001</v>
      </c>
      <c r="AD253" s="1">
        <v>21417</v>
      </c>
      <c r="AE253" s="1">
        <v>22857.200000000001</v>
      </c>
      <c r="AF253" s="1">
        <v>23888.6</v>
      </c>
      <c r="AG253" s="1">
        <v>24342.3</v>
      </c>
      <c r="AH253" s="1">
        <v>25419</v>
      </c>
      <c r="AI253" s="1">
        <v>26387.3</v>
      </c>
      <c r="AJ253" s="1">
        <v>27694.9</v>
      </c>
      <c r="AK253" s="1">
        <v>28690.9</v>
      </c>
      <c r="AL253" s="1">
        <v>29967.7</v>
      </c>
      <c r="AM253" s="1">
        <v>31459.1</v>
      </c>
      <c r="AN253" s="1">
        <v>32853.699999999997</v>
      </c>
      <c r="AO253" s="1">
        <v>34515.4</v>
      </c>
      <c r="AP253" s="1">
        <v>36330</v>
      </c>
      <c r="AQ253" s="1">
        <v>37133.599999999999</v>
      </c>
      <c r="AR253" s="1">
        <v>37997.699999999997</v>
      </c>
      <c r="AS253" s="1">
        <v>39490.300000000003</v>
      </c>
      <c r="AT253" s="1">
        <v>41724.6</v>
      </c>
      <c r="AU253" s="1">
        <v>44123.4</v>
      </c>
      <c r="AV253" s="1">
        <v>46302</v>
      </c>
      <c r="AW253" s="1">
        <v>48050.2</v>
      </c>
      <c r="AX253" s="1">
        <v>48570.1</v>
      </c>
      <c r="AY253" s="1">
        <v>47195</v>
      </c>
      <c r="AZ253" s="1">
        <v>48650.7</v>
      </c>
      <c r="BA253" s="1">
        <v>50066</v>
      </c>
      <c r="BB253" s="1">
        <v>51784.4</v>
      </c>
      <c r="BC253" s="1">
        <v>53409.8</v>
      </c>
      <c r="BD253" s="1">
        <v>55304.3</v>
      </c>
      <c r="BE253" s="1">
        <v>57040.2</v>
      </c>
      <c r="BF253" s="1">
        <v>58206.6</v>
      </c>
      <c r="BG253" s="1">
        <v>60322.3</v>
      </c>
      <c r="BH253" s="1">
        <v>63201</v>
      </c>
      <c r="BI253" s="1">
        <v>65548.100000000006</v>
      </c>
      <c r="BJ253" s="1">
        <v>64317.4</v>
      </c>
      <c r="BK253" s="1">
        <v>71055.899999999994</v>
      </c>
      <c r="BL253" s="1">
        <v>77246.7</v>
      </c>
      <c r="BM253" s="1">
        <v>81695.199999999997</v>
      </c>
    </row>
    <row r="254" spans="1:65">
      <c r="A254" s="1" t="s">
        <v>1352</v>
      </c>
      <c r="AC254" s="1">
        <v>752.3</v>
      </c>
      <c r="AD254" s="1">
        <v>936.6</v>
      </c>
      <c r="AE254" s="1">
        <v>1018</v>
      </c>
      <c r="AF254" s="1">
        <v>651.5</v>
      </c>
      <c r="AG254" s="1">
        <v>652.79999999999995</v>
      </c>
      <c r="AH254" s="1">
        <v>603.4</v>
      </c>
      <c r="AI254" s="1">
        <v>597</v>
      </c>
      <c r="AJ254" s="1">
        <v>576.4</v>
      </c>
      <c r="AK254" s="1">
        <v>585.9</v>
      </c>
      <c r="AL254" s="1">
        <v>600.6</v>
      </c>
      <c r="AM254" s="1">
        <v>623</v>
      </c>
      <c r="AN254" s="1">
        <v>623.20000000000005</v>
      </c>
      <c r="AO254" s="1">
        <v>702.5</v>
      </c>
      <c r="AP254" s="1">
        <v>558.20000000000005</v>
      </c>
      <c r="AQ254" s="1">
        <v>456.7</v>
      </c>
      <c r="AR254" s="1">
        <v>383.3</v>
      </c>
      <c r="AS254" s="1">
        <v>396.4</v>
      </c>
      <c r="AT254" s="1">
        <v>465.1</v>
      </c>
      <c r="AU254" s="1">
        <v>546.79999999999995</v>
      </c>
      <c r="AV254" s="1">
        <v>654.29999999999995</v>
      </c>
      <c r="AW254" s="1">
        <v>830.4</v>
      </c>
      <c r="AX254" s="1">
        <v>1082.3</v>
      </c>
      <c r="AY254" s="1">
        <v>1213.3</v>
      </c>
      <c r="AZ254" s="1">
        <v>1742.3</v>
      </c>
      <c r="BA254" s="1">
        <v>2051.1</v>
      </c>
      <c r="BB254" s="1">
        <v>2267.6</v>
      </c>
      <c r="BC254" s="1">
        <v>2419.6999999999998</v>
      </c>
      <c r="BD254" s="1">
        <v>2628.5</v>
      </c>
      <c r="BE254" s="1">
        <v>2754</v>
      </c>
      <c r="BF254" s="1">
        <v>2704.7</v>
      </c>
      <c r="BG254" s="1">
        <v>1916.8</v>
      </c>
      <c r="BH254" s="1">
        <v>1604.3</v>
      </c>
      <c r="BI254" s="1">
        <v>1795.2</v>
      </c>
      <c r="BJ254" s="1">
        <v>1759.3</v>
      </c>
      <c r="BK254" s="1">
        <v>1993.4</v>
      </c>
      <c r="BL254" s="1">
        <v>2276.1999999999998</v>
      </c>
      <c r="BM254" s="1">
        <v>2496.1</v>
      </c>
    </row>
    <row r="255" spans="1:65">
      <c r="A255" s="1" t="s">
        <v>1353</v>
      </c>
      <c r="B255" s="1">
        <v>155.30000000000001</v>
      </c>
      <c r="C255" s="1">
        <v>163.4</v>
      </c>
      <c r="D255" s="1">
        <v>166.6</v>
      </c>
      <c r="E255" s="1">
        <v>154.69999999999999</v>
      </c>
      <c r="F255" s="1">
        <v>163.9</v>
      </c>
      <c r="G255" s="1">
        <v>165.1</v>
      </c>
      <c r="H255" s="1">
        <v>173.2</v>
      </c>
      <c r="I255" s="1">
        <v>167.8</v>
      </c>
      <c r="J255" s="1">
        <v>160.30000000000001</v>
      </c>
      <c r="K255" s="1">
        <v>171.4</v>
      </c>
      <c r="L255" s="1">
        <v>187.4</v>
      </c>
      <c r="M255" s="1">
        <v>201.1</v>
      </c>
      <c r="N255" s="1">
        <v>273.60000000000002</v>
      </c>
      <c r="O255" s="1">
        <v>296</v>
      </c>
      <c r="P255" s="1">
        <v>319.8</v>
      </c>
      <c r="Q255" s="1">
        <v>320</v>
      </c>
      <c r="R255" s="1">
        <v>313.2</v>
      </c>
      <c r="S255" s="1">
        <v>467.8</v>
      </c>
      <c r="T255" s="1">
        <v>572.70000000000005</v>
      </c>
      <c r="U255" s="1">
        <v>665.2</v>
      </c>
      <c r="V255" s="1">
        <v>766.1</v>
      </c>
      <c r="W255" s="1">
        <v>943.6</v>
      </c>
      <c r="X255" s="1">
        <v>1043.9000000000001</v>
      </c>
      <c r="Y255" s="1">
        <v>1114.5999999999999</v>
      </c>
      <c r="Z255" s="1">
        <v>1223.8</v>
      </c>
      <c r="AA255" s="1">
        <v>1313.2</v>
      </c>
      <c r="AB255" s="1">
        <v>1444</v>
      </c>
      <c r="AC255" s="1">
        <v>1570.9</v>
      </c>
      <c r="AD255" s="1">
        <v>1791</v>
      </c>
      <c r="AE255" s="1">
        <v>1911.9</v>
      </c>
      <c r="AF255" s="1">
        <v>2136.8000000000002</v>
      </c>
      <c r="AG255" s="1">
        <v>2259.5</v>
      </c>
      <c r="AH255" s="1">
        <v>2455</v>
      </c>
      <c r="AI255" s="1">
        <v>2519.8000000000002</v>
      </c>
      <c r="AJ255" s="1">
        <v>2540.1999999999998</v>
      </c>
      <c r="AK255" s="1">
        <v>2767.8</v>
      </c>
      <c r="AL255" s="1">
        <v>2900.4</v>
      </c>
      <c r="AM255" s="1">
        <v>3043.2</v>
      </c>
      <c r="AN255" s="1">
        <v>3272.6</v>
      </c>
      <c r="AO255" s="1">
        <v>3427.5</v>
      </c>
      <c r="AP255" s="1">
        <v>3760.1</v>
      </c>
      <c r="AQ255" s="1">
        <v>4066.1</v>
      </c>
      <c r="AR255" s="1">
        <v>4299.3999999999996</v>
      </c>
      <c r="AS255" s="1">
        <v>4500.8999999999996</v>
      </c>
      <c r="AT255" s="1">
        <v>4883.3</v>
      </c>
      <c r="AU255" s="1">
        <v>5176.1000000000004</v>
      </c>
      <c r="AV255" s="1">
        <v>5775.1</v>
      </c>
      <c r="AW255" s="1">
        <v>6439</v>
      </c>
      <c r="AX255" s="1">
        <v>6641.5</v>
      </c>
      <c r="AY255" s="1">
        <v>6503.1</v>
      </c>
      <c r="AZ255" s="1">
        <v>6591</v>
      </c>
      <c r="BA255" s="1">
        <v>6566.5</v>
      </c>
      <c r="BB255" s="1">
        <v>6754.4</v>
      </c>
      <c r="BC255" s="1">
        <v>7117.6</v>
      </c>
      <c r="BD255" s="1">
        <v>7210.6</v>
      </c>
      <c r="BE255" s="1">
        <v>7386.7</v>
      </c>
      <c r="BF255" s="1">
        <v>7684.8</v>
      </c>
      <c r="BG255" s="1">
        <v>7996.7</v>
      </c>
      <c r="BH255" s="1">
        <v>8399.7000000000007</v>
      </c>
      <c r="BI255" s="1">
        <v>8680.2999999999993</v>
      </c>
      <c r="BJ255" s="1">
        <v>8306.4</v>
      </c>
      <c r="BK255" s="1">
        <v>8360.1</v>
      </c>
      <c r="BL255" s="1">
        <v>9297.7999999999993</v>
      </c>
      <c r="BM255" s="1">
        <v>10279.5</v>
      </c>
    </row>
    <row r="256" spans="1:65">
      <c r="A256" s="1" t="s">
        <v>1354</v>
      </c>
      <c r="B256" s="1">
        <v>939.6</v>
      </c>
      <c r="C256" s="1">
        <v>954.4</v>
      </c>
      <c r="D256" s="1">
        <v>1006.9</v>
      </c>
      <c r="E256" s="1">
        <v>1060.5999999999999</v>
      </c>
      <c r="F256" s="1">
        <v>874.2</v>
      </c>
      <c r="G256" s="1">
        <v>869.9</v>
      </c>
      <c r="H256" s="1">
        <v>877.2</v>
      </c>
      <c r="I256" s="1">
        <v>894.7</v>
      </c>
      <c r="J256" s="1">
        <v>940.2</v>
      </c>
      <c r="K256" s="1">
        <v>934</v>
      </c>
      <c r="L256" s="1">
        <v>1018.1</v>
      </c>
      <c r="M256" s="1">
        <v>1109.4000000000001</v>
      </c>
      <c r="N256" s="1">
        <v>1158.9000000000001</v>
      </c>
      <c r="O256" s="1">
        <v>1371.1</v>
      </c>
      <c r="P256" s="1">
        <v>2039.7</v>
      </c>
      <c r="Q256" s="1">
        <v>2084.4</v>
      </c>
      <c r="R256" s="1">
        <v>2316</v>
      </c>
      <c r="S256" s="1">
        <v>2592.9</v>
      </c>
      <c r="T256" s="1">
        <v>2735.4</v>
      </c>
      <c r="U256" s="1">
        <v>3266.8</v>
      </c>
      <c r="V256" s="1">
        <v>3886.6</v>
      </c>
      <c r="W256" s="1">
        <v>4241.3</v>
      </c>
      <c r="X256" s="1">
        <v>4214.7</v>
      </c>
      <c r="Y256" s="1">
        <v>4091.9</v>
      </c>
      <c r="Z256" s="1">
        <v>3531.3</v>
      </c>
      <c r="AA256" s="1">
        <v>3560.8</v>
      </c>
      <c r="AB256" s="1">
        <v>3388.2</v>
      </c>
      <c r="AC256" s="1">
        <v>2620.4</v>
      </c>
      <c r="AD256" s="1">
        <v>3203.4</v>
      </c>
      <c r="AE256" s="1">
        <v>2258.6999999999998</v>
      </c>
      <c r="AF256" s="1">
        <v>2461</v>
      </c>
      <c r="AG256" s="1">
        <v>2642.8</v>
      </c>
      <c r="AH256" s="1">
        <v>2918.6</v>
      </c>
      <c r="AI256" s="1">
        <v>2835.7</v>
      </c>
      <c r="AJ256" s="1">
        <v>2699.5</v>
      </c>
      <c r="AK256" s="1">
        <v>3500.6</v>
      </c>
      <c r="AL256" s="1">
        <v>3125.2</v>
      </c>
      <c r="AM256" s="1">
        <v>3726</v>
      </c>
      <c r="AN256" s="1">
        <v>3886</v>
      </c>
      <c r="AO256" s="1">
        <v>4087.8</v>
      </c>
      <c r="AP256" s="1">
        <v>4795.6000000000004</v>
      </c>
      <c r="AQ256" s="1">
        <v>4940.1000000000004</v>
      </c>
      <c r="AR256" s="1">
        <v>3667.2</v>
      </c>
      <c r="AS256" s="1">
        <v>3243.4</v>
      </c>
      <c r="AT256" s="1">
        <v>4287.6000000000004</v>
      </c>
      <c r="AU256" s="1">
        <v>5456.3</v>
      </c>
      <c r="AV256" s="1">
        <v>6769.9</v>
      </c>
      <c r="AW256" s="1">
        <v>8369.2000000000007</v>
      </c>
      <c r="AX256" s="1">
        <v>11310.8</v>
      </c>
      <c r="AY256" s="1">
        <v>11641.8</v>
      </c>
      <c r="AZ256" s="1">
        <v>13692.9</v>
      </c>
      <c r="BA256" s="1">
        <v>10877.1</v>
      </c>
      <c r="BB256" s="1">
        <v>12937.9</v>
      </c>
      <c r="BC256" s="1">
        <v>12434</v>
      </c>
      <c r="BD256" s="1">
        <v>15975.7</v>
      </c>
    </row>
    <row r="257" spans="1:65">
      <c r="A257" s="1" t="s">
        <v>1355</v>
      </c>
    </row>
    <row r="258" spans="1:65">
      <c r="A258" s="1" t="s">
        <v>1356</v>
      </c>
      <c r="AR258" s="1">
        <v>30062</v>
      </c>
      <c r="AS258" s="1">
        <v>31731.3</v>
      </c>
      <c r="AT258" s="1">
        <v>35006.400000000001</v>
      </c>
      <c r="AU258" s="1">
        <v>40828.699999999997</v>
      </c>
      <c r="AV258" s="1">
        <v>41377.1</v>
      </c>
      <c r="AW258" s="1">
        <v>44158.5</v>
      </c>
      <c r="AX258" s="1">
        <v>39152.400000000001</v>
      </c>
      <c r="AY258" s="1">
        <v>38753.199999999997</v>
      </c>
      <c r="AZ258" s="1">
        <v>39905.1</v>
      </c>
      <c r="BA258" s="1">
        <v>38997.1</v>
      </c>
      <c r="BB258" s="1">
        <v>37795.300000000003</v>
      </c>
      <c r="BC258" s="1">
        <v>34598</v>
      </c>
      <c r="BD258" s="1">
        <v>33045.4</v>
      </c>
      <c r="BE258" s="1">
        <v>34007.4</v>
      </c>
      <c r="BF258" s="1">
        <v>35325</v>
      </c>
      <c r="BG258" s="1">
        <v>35365.1</v>
      </c>
      <c r="BH258" s="1">
        <v>36663.199999999997</v>
      </c>
      <c r="BI258" s="1">
        <v>38633.5</v>
      </c>
      <c r="BJ258" s="1">
        <v>39411</v>
      </c>
      <c r="BK258" s="1">
        <v>41976</v>
      </c>
    </row>
    <row r="259" spans="1:65">
      <c r="A259" s="1" t="s">
        <v>1357</v>
      </c>
      <c r="AA259" s="1">
        <v>235.7</v>
      </c>
      <c r="AB259" s="1">
        <v>430.2</v>
      </c>
      <c r="AC259" s="1">
        <v>585.29999999999995</v>
      </c>
      <c r="AD259" s="1">
        <v>397</v>
      </c>
      <c r="AE259" s="1">
        <v>96.1</v>
      </c>
      <c r="AF259" s="1">
        <v>96.7</v>
      </c>
      <c r="AG259" s="1">
        <v>140.6</v>
      </c>
      <c r="AH259" s="1">
        <v>141.4</v>
      </c>
      <c r="AI259" s="1">
        <v>185.2</v>
      </c>
      <c r="AJ259" s="1">
        <v>224.6</v>
      </c>
      <c r="AK259" s="1">
        <v>281.10000000000002</v>
      </c>
      <c r="AL259" s="1">
        <v>329</v>
      </c>
      <c r="AM259" s="1">
        <v>352.9</v>
      </c>
      <c r="AN259" s="1">
        <v>352.8</v>
      </c>
      <c r="AO259" s="1">
        <v>367.2</v>
      </c>
      <c r="AP259" s="1">
        <v>394.6</v>
      </c>
      <c r="AQ259" s="1">
        <v>409.5</v>
      </c>
      <c r="AR259" s="1">
        <v>434.8</v>
      </c>
      <c r="AS259" s="1">
        <v>485.5</v>
      </c>
      <c r="AT259" s="1">
        <v>551.9</v>
      </c>
      <c r="AU259" s="1">
        <v>693.2</v>
      </c>
      <c r="AV259" s="1">
        <v>790.6</v>
      </c>
      <c r="AW259" s="1">
        <v>913.3</v>
      </c>
      <c r="AX259" s="1">
        <v>1158.0999999999999</v>
      </c>
      <c r="AY259" s="1">
        <v>1225.8</v>
      </c>
      <c r="AZ259" s="1">
        <v>1684</v>
      </c>
      <c r="BA259" s="1">
        <v>1953.6</v>
      </c>
      <c r="BB259" s="1">
        <v>2190.1999999999998</v>
      </c>
      <c r="BC259" s="1">
        <v>2367.5</v>
      </c>
      <c r="BD259" s="1">
        <v>2558.8000000000002</v>
      </c>
      <c r="BE259" s="1">
        <v>2595.1999999999998</v>
      </c>
      <c r="BF259" s="1">
        <v>2760.7</v>
      </c>
      <c r="BG259" s="1">
        <v>2992.1</v>
      </c>
      <c r="BH259" s="1">
        <v>3267.2</v>
      </c>
      <c r="BI259" s="1">
        <v>3491.1</v>
      </c>
      <c r="BJ259" s="1">
        <v>3586.3</v>
      </c>
      <c r="BK259" s="1">
        <v>3759.9</v>
      </c>
      <c r="BL259" s="1">
        <v>4179</v>
      </c>
      <c r="BM259" s="1">
        <v>4346.8</v>
      </c>
    </row>
    <row r="260" spans="1:65">
      <c r="A260" s="1" t="s">
        <v>1358</v>
      </c>
      <c r="U260" s="1">
        <v>1033.9000000000001</v>
      </c>
      <c r="V260" s="1">
        <v>1025.5999999999999</v>
      </c>
      <c r="W260" s="1">
        <v>941.2</v>
      </c>
      <c r="X260" s="1">
        <v>925.3</v>
      </c>
      <c r="Y260" s="1">
        <v>926.2</v>
      </c>
      <c r="Z260" s="1">
        <v>1112.5</v>
      </c>
      <c r="AA260" s="1">
        <v>990.5</v>
      </c>
      <c r="AB260" s="1">
        <v>926.8</v>
      </c>
      <c r="AC260" s="1">
        <v>996.5</v>
      </c>
      <c r="AD260" s="1">
        <v>1103.3</v>
      </c>
      <c r="AE260" s="1">
        <v>1046.4000000000001</v>
      </c>
      <c r="AF260" s="1">
        <v>1119.3</v>
      </c>
      <c r="AG260" s="1">
        <v>1301.5999999999999</v>
      </c>
      <c r="AH260" s="1">
        <v>1318.5</v>
      </c>
      <c r="AI260" s="1">
        <v>1233.4000000000001</v>
      </c>
      <c r="AJ260" s="1">
        <v>1403.1</v>
      </c>
      <c r="AK260" s="1">
        <v>1461.4</v>
      </c>
      <c r="AL260" s="1">
        <v>1496</v>
      </c>
      <c r="AM260" s="1">
        <v>1525</v>
      </c>
      <c r="AN260" s="1">
        <v>1432.6</v>
      </c>
      <c r="AO260" s="1">
        <v>1429.9</v>
      </c>
      <c r="AP260" s="1">
        <v>1416.2</v>
      </c>
      <c r="AQ260" s="1">
        <v>1309</v>
      </c>
      <c r="AR260" s="1">
        <v>1299.2</v>
      </c>
      <c r="AS260" s="1">
        <v>1517.3</v>
      </c>
      <c r="AT260" s="1">
        <v>1718.3</v>
      </c>
      <c r="AU260" s="1">
        <v>1814.8</v>
      </c>
      <c r="AV260" s="1">
        <v>1970.9</v>
      </c>
      <c r="AW260" s="1">
        <v>2261.5</v>
      </c>
      <c r="AX260" s="1">
        <v>2525.1</v>
      </c>
      <c r="AY260" s="1">
        <v>2472.5</v>
      </c>
      <c r="AZ260" s="1">
        <v>2732.6</v>
      </c>
      <c r="BA260" s="1">
        <v>3064.8</v>
      </c>
      <c r="BB260" s="1">
        <v>2906.3</v>
      </c>
      <c r="BC260" s="1">
        <v>2877.4</v>
      </c>
      <c r="BD260" s="1">
        <v>2861.2</v>
      </c>
      <c r="BE260" s="1">
        <v>2643.9</v>
      </c>
      <c r="BF260" s="1">
        <v>2757.2</v>
      </c>
      <c r="BG260" s="1">
        <v>3032.2</v>
      </c>
      <c r="BH260" s="1">
        <v>3076.8</v>
      </c>
      <c r="BI260" s="1">
        <v>3076.6</v>
      </c>
      <c r="BJ260" s="1">
        <v>2917.8</v>
      </c>
      <c r="BK260" s="1">
        <v>2978</v>
      </c>
      <c r="BL260" s="1">
        <v>3128.5</v>
      </c>
      <c r="BM260" s="1">
        <v>3367.1</v>
      </c>
    </row>
    <row r="261" spans="1:65">
      <c r="A261" s="1" t="s">
        <v>1359</v>
      </c>
      <c r="B261" s="1">
        <v>450.1</v>
      </c>
      <c r="C261" s="1">
        <v>468.5</v>
      </c>
      <c r="D261" s="1">
        <v>493.4</v>
      </c>
      <c r="E261" s="1">
        <v>521.4</v>
      </c>
      <c r="F261" s="1">
        <v>560.6</v>
      </c>
      <c r="G261" s="1">
        <v>598</v>
      </c>
      <c r="H261" s="1">
        <v>634</v>
      </c>
      <c r="I261" s="1">
        <v>661.4</v>
      </c>
      <c r="J261" s="1">
        <v>700.2</v>
      </c>
      <c r="K261" s="1">
        <v>756.8</v>
      </c>
      <c r="L261" s="1">
        <v>813.4</v>
      </c>
      <c r="M261" s="1">
        <v>880.1</v>
      </c>
      <c r="N261" s="1">
        <v>997.1</v>
      </c>
      <c r="O261" s="1">
        <v>1189.4000000000001</v>
      </c>
      <c r="P261" s="1">
        <v>1341.1</v>
      </c>
      <c r="Q261" s="1">
        <v>1471.9</v>
      </c>
      <c r="R261" s="1">
        <v>1570.9</v>
      </c>
      <c r="S261" s="1">
        <v>1745</v>
      </c>
      <c r="T261" s="1">
        <v>2028.2</v>
      </c>
      <c r="U261" s="1">
        <v>2316.5</v>
      </c>
      <c r="V261" s="1">
        <v>2570.5</v>
      </c>
      <c r="W261" s="1">
        <v>2609.3000000000002</v>
      </c>
      <c r="X261" s="1">
        <v>2530.6999999999998</v>
      </c>
      <c r="Y261" s="1">
        <v>2555.5</v>
      </c>
      <c r="Z261" s="1">
        <v>2611</v>
      </c>
      <c r="AA261" s="1">
        <v>2685.3</v>
      </c>
      <c r="AB261" s="1">
        <v>3110.1</v>
      </c>
      <c r="AC261" s="1">
        <v>3480</v>
      </c>
      <c r="AD261" s="1">
        <v>3822.7</v>
      </c>
      <c r="AE261" s="1">
        <v>3906.5</v>
      </c>
      <c r="AF261" s="1">
        <v>4311.3999999999996</v>
      </c>
      <c r="AG261" s="1">
        <v>4426</v>
      </c>
      <c r="AH261" s="1">
        <v>4655.7</v>
      </c>
      <c r="AI261" s="1">
        <v>4671.7</v>
      </c>
      <c r="AJ261" s="1">
        <v>4951.8</v>
      </c>
      <c r="AK261" s="1">
        <v>5437.7</v>
      </c>
      <c r="AL261" s="1">
        <v>5481.7</v>
      </c>
      <c r="AM261" s="1">
        <v>5385.2</v>
      </c>
      <c r="AN261" s="1">
        <v>5300.6</v>
      </c>
      <c r="AO261" s="1">
        <v>5399</v>
      </c>
      <c r="AP261" s="1">
        <v>5507.3</v>
      </c>
      <c r="AQ261" s="1">
        <v>5400.6</v>
      </c>
      <c r="AR261" s="1">
        <v>5535.2</v>
      </c>
      <c r="AS261" s="1">
        <v>6127.5</v>
      </c>
      <c r="AT261" s="1">
        <v>6817.5</v>
      </c>
      <c r="AU261" s="1">
        <v>7288.6</v>
      </c>
      <c r="AV261" s="1">
        <v>7799.3</v>
      </c>
      <c r="AW261" s="1">
        <v>8680.9</v>
      </c>
      <c r="AX261" s="1">
        <v>9420.4</v>
      </c>
      <c r="AY261" s="1">
        <v>8818.1</v>
      </c>
      <c r="AZ261" s="1">
        <v>9543.1</v>
      </c>
      <c r="BA261" s="1">
        <v>10484.5</v>
      </c>
      <c r="BB261" s="1">
        <v>10586.7</v>
      </c>
      <c r="BC261" s="1">
        <v>10754.8</v>
      </c>
      <c r="BD261" s="1">
        <v>10918.6</v>
      </c>
      <c r="BE261" s="1">
        <v>10177.9</v>
      </c>
      <c r="BF261" s="1">
        <v>10224.1</v>
      </c>
      <c r="BG261" s="1">
        <v>10762.8</v>
      </c>
      <c r="BH261" s="1">
        <v>11315.1</v>
      </c>
      <c r="BI261" s="1">
        <v>11358.5</v>
      </c>
      <c r="BJ261" s="1">
        <v>10941.7</v>
      </c>
      <c r="BK261" s="1">
        <v>12362.5</v>
      </c>
      <c r="BL261" s="1">
        <v>12730.2</v>
      </c>
      <c r="BM261" s="1">
        <v>13138.3</v>
      </c>
    </row>
    <row r="262" spans="1:65">
      <c r="A262" s="1" t="s">
        <v>1360</v>
      </c>
      <c r="L262" s="1">
        <v>316.60000000000002</v>
      </c>
      <c r="M262" s="1">
        <v>370.3</v>
      </c>
      <c r="N262" s="1">
        <v>424.7</v>
      </c>
      <c r="O262" s="1">
        <v>551.20000000000005</v>
      </c>
      <c r="P262" s="1">
        <v>614.5</v>
      </c>
      <c r="Q262" s="1">
        <v>602.1</v>
      </c>
      <c r="R262" s="1">
        <v>537.5</v>
      </c>
      <c r="S262" s="1">
        <v>613</v>
      </c>
      <c r="T262" s="1">
        <v>668.1</v>
      </c>
      <c r="U262" s="1">
        <v>747.8</v>
      </c>
      <c r="V262" s="1">
        <v>762.5</v>
      </c>
      <c r="W262" s="1">
        <v>711.2</v>
      </c>
      <c r="X262" s="1">
        <v>726.4</v>
      </c>
      <c r="Y262" s="1">
        <v>670.1</v>
      </c>
      <c r="Z262" s="1">
        <v>654.79999999999995</v>
      </c>
      <c r="AA262" s="1">
        <v>573.9</v>
      </c>
      <c r="AB262" s="1">
        <v>606.79999999999995</v>
      </c>
      <c r="AC262" s="1">
        <v>669.9</v>
      </c>
      <c r="AD262" s="1">
        <v>794.4</v>
      </c>
      <c r="AE262" s="1">
        <v>732</v>
      </c>
      <c r="AF262" s="1">
        <v>747.8</v>
      </c>
      <c r="AG262" s="1">
        <v>744.5</v>
      </c>
      <c r="AH262" s="1">
        <v>779.2</v>
      </c>
      <c r="AI262" s="1">
        <v>776.9</v>
      </c>
      <c r="AJ262" s="1">
        <v>1277.2</v>
      </c>
      <c r="AK262" s="1">
        <v>1285.7</v>
      </c>
      <c r="AL262" s="1">
        <v>1414.2</v>
      </c>
      <c r="AM262" s="1">
        <v>1598.9</v>
      </c>
      <c r="AN262" s="1">
        <v>1493.9</v>
      </c>
      <c r="AO262" s="1">
        <v>1401.7</v>
      </c>
      <c r="AP262" s="1">
        <v>1406.8</v>
      </c>
      <c r="AQ262" s="1">
        <v>1435.3</v>
      </c>
      <c r="AR262" s="1">
        <v>1509.9</v>
      </c>
      <c r="AS262" s="1">
        <v>1778.8</v>
      </c>
      <c r="AT262" s="1">
        <v>2168</v>
      </c>
      <c r="AU262" s="1">
        <v>2527.8000000000002</v>
      </c>
      <c r="AV262" s="1">
        <v>2639.8</v>
      </c>
      <c r="AW262" s="1">
        <v>3011.1</v>
      </c>
      <c r="AX262" s="1">
        <v>3344.1</v>
      </c>
      <c r="AY262" s="1">
        <v>3251</v>
      </c>
      <c r="AZ262" s="1">
        <v>3494.4</v>
      </c>
      <c r="BA262" s="1">
        <v>3789.6</v>
      </c>
      <c r="BB262" s="1">
        <v>3902.3</v>
      </c>
      <c r="BC262" s="1">
        <v>3989.9</v>
      </c>
      <c r="BD262" s="1">
        <v>3948.7</v>
      </c>
      <c r="BE262" s="1">
        <v>4048.5</v>
      </c>
      <c r="BF262" s="1">
        <v>4105.8</v>
      </c>
      <c r="BG262" s="1">
        <v>4261.6000000000004</v>
      </c>
      <c r="BH262" s="1">
        <v>4189.1000000000004</v>
      </c>
      <c r="BI262" s="1">
        <v>4308.3</v>
      </c>
      <c r="BJ262" s="1">
        <v>4042.7</v>
      </c>
      <c r="BK262" s="1">
        <v>3857.7</v>
      </c>
      <c r="BL262" s="1">
        <v>3745.6</v>
      </c>
      <c r="BM262" s="1">
        <v>4139</v>
      </c>
    </row>
    <row r="263" spans="1:65">
      <c r="A263" s="1" t="s">
        <v>1361</v>
      </c>
      <c r="AX263" s="1">
        <v>2873.4</v>
      </c>
      <c r="AY263" s="1">
        <v>2790.5</v>
      </c>
      <c r="AZ263" s="1">
        <v>2981.2</v>
      </c>
      <c r="BA263" s="1">
        <v>3524.4</v>
      </c>
      <c r="BB263" s="1">
        <v>3410.7</v>
      </c>
      <c r="BC263" s="1">
        <v>3704.6</v>
      </c>
      <c r="BD263" s="1">
        <v>3902.5</v>
      </c>
      <c r="BE263" s="1">
        <v>3520.8</v>
      </c>
      <c r="BF263" s="1">
        <v>3759.5</v>
      </c>
      <c r="BG263" s="1">
        <v>4009.4</v>
      </c>
      <c r="BH263" s="1">
        <v>4384.2</v>
      </c>
      <c r="BI263" s="1">
        <v>4416</v>
      </c>
      <c r="BJ263" s="1">
        <v>4310.8999999999996</v>
      </c>
      <c r="BK263" s="1">
        <v>5270.6</v>
      </c>
      <c r="BL263" s="1">
        <v>5291</v>
      </c>
      <c r="BM263" s="1">
        <v>5943.1</v>
      </c>
    </row>
    <row r="264" spans="1:65">
      <c r="A264" s="1" t="s">
        <v>1362</v>
      </c>
      <c r="AF264" s="1">
        <v>945.3</v>
      </c>
      <c r="AG264" s="1">
        <v>1055.4000000000001</v>
      </c>
      <c r="AH264" s="1">
        <v>1244.3</v>
      </c>
      <c r="AI264" s="1">
        <v>1450.3</v>
      </c>
      <c r="AJ264" s="1">
        <v>1801.5</v>
      </c>
      <c r="AK264" s="1">
        <v>794.6</v>
      </c>
      <c r="AL264" s="1">
        <v>391</v>
      </c>
      <c r="AM264" s="1">
        <v>399.7</v>
      </c>
      <c r="AN264" s="1">
        <v>359</v>
      </c>
      <c r="AO264" s="1">
        <v>421.7</v>
      </c>
      <c r="AP264" s="1">
        <v>519.6</v>
      </c>
      <c r="AQ264" s="1">
        <v>514.70000000000005</v>
      </c>
      <c r="AR264" s="1">
        <v>543.9</v>
      </c>
      <c r="AS264" s="1">
        <v>583.4</v>
      </c>
      <c r="AT264" s="1">
        <v>668.9</v>
      </c>
      <c r="AU264" s="1">
        <v>784.8</v>
      </c>
      <c r="AV264" s="1">
        <v>867.8</v>
      </c>
      <c r="AW264" s="1">
        <v>956.2</v>
      </c>
      <c r="AX264" s="1">
        <v>1153.5</v>
      </c>
      <c r="AY264" s="1">
        <v>1045.8</v>
      </c>
      <c r="AZ264" s="1">
        <v>1249.0999999999999</v>
      </c>
      <c r="BA264" s="1">
        <v>1284.5999999999999</v>
      </c>
      <c r="BB264" s="1">
        <v>1350</v>
      </c>
      <c r="BC264" s="1">
        <v>1497.7</v>
      </c>
      <c r="BD264" s="1">
        <v>1557.6</v>
      </c>
      <c r="BE264" s="1">
        <v>1488.4</v>
      </c>
      <c r="BF264" s="1">
        <v>1069.8</v>
      </c>
      <c r="BG264" s="1">
        <v>893.7</v>
      </c>
      <c r="BH264" s="1">
        <v>701.7</v>
      </c>
      <c r="BI264" s="1">
        <v>693.8</v>
      </c>
      <c r="BJ264" s="1">
        <v>626.29999999999995</v>
      </c>
      <c r="BK264" s="1">
        <v>583.79999999999995</v>
      </c>
      <c r="BL264" s="1">
        <v>698.9</v>
      </c>
      <c r="BM264" s="1">
        <v>533.4</v>
      </c>
    </row>
    <row r="265" spans="1:65">
      <c r="A265" s="1" t="s">
        <v>315</v>
      </c>
      <c r="B265" s="1">
        <v>529.6</v>
      </c>
      <c r="C265" s="1">
        <v>543</v>
      </c>
      <c r="D265" s="1">
        <v>560.70000000000005</v>
      </c>
      <c r="E265" s="1">
        <v>601.6</v>
      </c>
      <c r="F265" s="1">
        <v>642.70000000000005</v>
      </c>
      <c r="G265" s="1">
        <v>681.1</v>
      </c>
      <c r="H265" s="1">
        <v>718.1</v>
      </c>
      <c r="I265" s="1">
        <v>775.2</v>
      </c>
      <c r="J265" s="1">
        <v>813.5</v>
      </c>
      <c r="K265" s="1">
        <v>887.2</v>
      </c>
      <c r="L265" s="1">
        <v>948.6</v>
      </c>
      <c r="M265" s="1">
        <v>1016.5</v>
      </c>
      <c r="N265" s="1">
        <v>1034.5</v>
      </c>
      <c r="O265" s="1">
        <v>1364.2</v>
      </c>
      <c r="P265" s="1">
        <v>1650.5</v>
      </c>
      <c r="Q265" s="1">
        <v>1664.5</v>
      </c>
      <c r="R265" s="1">
        <v>1554</v>
      </c>
      <c r="S265" s="1">
        <v>1666.5</v>
      </c>
      <c r="T265" s="1">
        <v>1846.9</v>
      </c>
      <c r="U265" s="1">
        <v>2196.6999999999998</v>
      </c>
      <c r="V265" s="1">
        <v>3034.7</v>
      </c>
      <c r="W265" s="1">
        <v>3080.8</v>
      </c>
      <c r="X265" s="1">
        <v>2769.1</v>
      </c>
      <c r="Y265" s="1">
        <v>3019.1</v>
      </c>
      <c r="Z265" s="1">
        <v>2590</v>
      </c>
      <c r="AA265" s="1">
        <v>1909.7</v>
      </c>
      <c r="AB265" s="1">
        <v>2103.1999999999998</v>
      </c>
      <c r="AC265" s="1">
        <v>2672.7</v>
      </c>
      <c r="AD265" s="1">
        <v>2780.6</v>
      </c>
      <c r="AE265" s="1">
        <v>2794.4</v>
      </c>
      <c r="AF265" s="1">
        <v>3160.9</v>
      </c>
      <c r="AG265" s="1">
        <v>3304.8</v>
      </c>
      <c r="AH265" s="1">
        <v>3519</v>
      </c>
      <c r="AI265" s="1">
        <v>3461.3</v>
      </c>
      <c r="AJ265" s="1">
        <v>3548</v>
      </c>
      <c r="AK265" s="1">
        <v>3904.3</v>
      </c>
      <c r="AL265" s="1">
        <v>3654.9</v>
      </c>
      <c r="AM265" s="1">
        <v>3731.4</v>
      </c>
      <c r="AN265" s="1">
        <v>3336.4</v>
      </c>
      <c r="AO265" s="1">
        <v>3267.9</v>
      </c>
      <c r="AP265" s="1">
        <v>3241.7</v>
      </c>
      <c r="AQ265" s="1">
        <v>2867.5</v>
      </c>
      <c r="AR265" s="1">
        <v>2708.4</v>
      </c>
      <c r="AS265" s="1">
        <v>4095.7</v>
      </c>
      <c r="AT265" s="1">
        <v>5268.3</v>
      </c>
      <c r="AU265" s="1">
        <v>5893.2</v>
      </c>
      <c r="AV265" s="1">
        <v>6139.6</v>
      </c>
      <c r="AW265" s="1">
        <v>6662.1</v>
      </c>
      <c r="AX265" s="1">
        <v>6251.9</v>
      </c>
      <c r="AY265" s="1">
        <v>6444.2</v>
      </c>
      <c r="AZ265" s="1">
        <v>8059.6</v>
      </c>
      <c r="BA265" s="1">
        <v>8737</v>
      </c>
      <c r="BB265" s="1">
        <v>8173.9</v>
      </c>
      <c r="BC265" s="1">
        <v>7441.2</v>
      </c>
      <c r="BD265" s="1">
        <v>6965.1</v>
      </c>
      <c r="BE265" s="1">
        <v>6204.9</v>
      </c>
      <c r="BF265" s="1">
        <v>5735.1</v>
      </c>
      <c r="BG265" s="1">
        <v>6734.5</v>
      </c>
      <c r="BH265" s="1">
        <v>7067.7</v>
      </c>
      <c r="BI265" s="1">
        <v>6702.5</v>
      </c>
      <c r="BJ265" s="1">
        <v>5753.1</v>
      </c>
      <c r="BK265" s="1">
        <v>7073.6</v>
      </c>
      <c r="BL265" s="1">
        <v>6766.5</v>
      </c>
      <c r="BM265" s="1">
        <v>6253.2</v>
      </c>
    </row>
    <row r="266" spans="1:65">
      <c r="A266" s="1" t="s">
        <v>1363</v>
      </c>
      <c r="B266" s="1">
        <v>228.6</v>
      </c>
      <c r="C266" s="1">
        <v>216.3</v>
      </c>
      <c r="D266" s="1">
        <v>208.6</v>
      </c>
      <c r="E266" s="1">
        <v>209.5</v>
      </c>
      <c r="F266" s="1">
        <v>236.9</v>
      </c>
      <c r="G266" s="1">
        <v>296</v>
      </c>
      <c r="H266" s="1">
        <v>334.7</v>
      </c>
      <c r="I266" s="1">
        <v>350.7</v>
      </c>
      <c r="J266" s="1">
        <v>398.6</v>
      </c>
      <c r="K266" s="1">
        <v>472.6</v>
      </c>
      <c r="L266" s="1">
        <v>426.3</v>
      </c>
      <c r="M266" s="1">
        <v>383.4</v>
      </c>
      <c r="N266" s="1">
        <v>414.1</v>
      </c>
      <c r="O266" s="1">
        <v>523.4</v>
      </c>
      <c r="P266" s="1">
        <v>608.29999999999995</v>
      </c>
      <c r="Q266" s="1">
        <v>495.5</v>
      </c>
      <c r="R266" s="1">
        <v>540</v>
      </c>
      <c r="S266" s="1">
        <v>480.5</v>
      </c>
      <c r="T266" s="1">
        <v>521.20000000000005</v>
      </c>
      <c r="U266" s="1">
        <v>604.1</v>
      </c>
      <c r="V266" s="1">
        <v>678.8</v>
      </c>
      <c r="W266" s="1">
        <v>679.3</v>
      </c>
      <c r="X266" s="1">
        <v>635.4</v>
      </c>
      <c r="Y266" s="1">
        <v>527.9</v>
      </c>
      <c r="Z266" s="1">
        <v>419.2</v>
      </c>
      <c r="AA266" s="1">
        <v>336.8</v>
      </c>
      <c r="AB266" s="1">
        <v>241.5</v>
      </c>
      <c r="AC266" s="1">
        <v>319.3</v>
      </c>
      <c r="AD266" s="1">
        <v>511.2</v>
      </c>
      <c r="AE266" s="1">
        <v>533.20000000000005</v>
      </c>
      <c r="AF266" s="1">
        <v>427.4</v>
      </c>
      <c r="AG266" s="1">
        <v>428.5</v>
      </c>
      <c r="AH266" s="1">
        <v>394.1</v>
      </c>
      <c r="AI266" s="1">
        <v>395.8</v>
      </c>
      <c r="AJ266" s="1">
        <v>431.5</v>
      </c>
      <c r="AK266" s="1">
        <v>438.4</v>
      </c>
      <c r="AL266" s="1">
        <v>404.1</v>
      </c>
      <c r="AM266" s="1">
        <v>471.2</v>
      </c>
      <c r="AN266" s="1">
        <v>377.5</v>
      </c>
      <c r="AO266" s="1">
        <v>353.8</v>
      </c>
      <c r="AP266" s="1">
        <v>364</v>
      </c>
      <c r="AQ266" s="1">
        <v>401.7</v>
      </c>
      <c r="AR266" s="1">
        <v>399.1</v>
      </c>
      <c r="AS266" s="1">
        <v>452.3</v>
      </c>
      <c r="AT266" s="1">
        <v>556.1</v>
      </c>
      <c r="AU266" s="1">
        <v>720.4</v>
      </c>
      <c r="AV266" s="1">
        <v>1065.5999999999999</v>
      </c>
      <c r="AW266" s="1">
        <v>1133.4000000000001</v>
      </c>
      <c r="AX266" s="1">
        <v>1393.5</v>
      </c>
      <c r="AY266" s="1">
        <v>1150.9000000000001</v>
      </c>
      <c r="AZ266" s="1">
        <v>1469.4</v>
      </c>
      <c r="BA266" s="1">
        <v>1644.5</v>
      </c>
      <c r="BB266" s="1">
        <v>1729.6</v>
      </c>
      <c r="BC266" s="1">
        <v>1840.3</v>
      </c>
      <c r="BD266" s="1">
        <v>1724.6</v>
      </c>
      <c r="BE266" s="1">
        <v>1307.9000000000001</v>
      </c>
      <c r="BF266" s="1">
        <v>1249.9000000000001</v>
      </c>
      <c r="BG266" s="1">
        <v>1495.8</v>
      </c>
      <c r="BH266" s="1">
        <v>1475.2</v>
      </c>
      <c r="BI266" s="1">
        <v>1268.0999999999999</v>
      </c>
      <c r="BJ266" s="1">
        <v>958.3</v>
      </c>
      <c r="BK266" s="1">
        <v>1134.7</v>
      </c>
      <c r="BL266" s="1">
        <v>1456.9</v>
      </c>
      <c r="BM266" s="1">
        <v>1369.1</v>
      </c>
    </row>
    <row r="267" spans="1:65">
      <c r="A267" s="1" t="s">
        <v>1364</v>
      </c>
      <c r="B267" s="1">
        <v>276.60000000000002</v>
      </c>
      <c r="C267" s="1">
        <v>279.3</v>
      </c>
      <c r="D267" s="1">
        <v>276</v>
      </c>
      <c r="E267" s="1">
        <v>277.5</v>
      </c>
      <c r="F267" s="1">
        <v>282.39999999999998</v>
      </c>
      <c r="G267" s="1">
        <v>294.89999999999998</v>
      </c>
      <c r="H267" s="1">
        <v>279.3</v>
      </c>
      <c r="I267" s="1">
        <v>295.10000000000002</v>
      </c>
      <c r="J267" s="1">
        <v>302.8</v>
      </c>
      <c r="K267" s="1">
        <v>346.5</v>
      </c>
      <c r="L267" s="1">
        <v>362.1</v>
      </c>
      <c r="M267" s="1">
        <v>406.2</v>
      </c>
      <c r="N267" s="1">
        <v>484</v>
      </c>
      <c r="O267" s="1">
        <v>579.29999999999995</v>
      </c>
      <c r="P267" s="1">
        <v>674.5</v>
      </c>
      <c r="Q267" s="1">
        <v>716.9</v>
      </c>
      <c r="R267" s="1">
        <v>686.7</v>
      </c>
      <c r="S267" s="1">
        <v>676.3</v>
      </c>
      <c r="T267" s="1">
        <v>664.4</v>
      </c>
      <c r="U267" s="1">
        <v>777.9</v>
      </c>
      <c r="V267" s="1">
        <v>947.4</v>
      </c>
      <c r="W267" s="1">
        <v>1067.3</v>
      </c>
      <c r="X267" s="1">
        <v>1094.3</v>
      </c>
      <c r="Y267" s="1">
        <v>957.8</v>
      </c>
      <c r="Z267" s="1">
        <v>756.3</v>
      </c>
      <c r="AA267" s="1">
        <v>648.70000000000005</v>
      </c>
      <c r="AB267" s="1">
        <v>692.1</v>
      </c>
      <c r="AC267" s="1">
        <v>726.6</v>
      </c>
      <c r="AD267" s="1">
        <v>816.7</v>
      </c>
      <c r="AE267" s="1">
        <v>841.6</v>
      </c>
      <c r="AF267" s="1">
        <v>868.5</v>
      </c>
      <c r="AG267" s="1">
        <v>832.7</v>
      </c>
      <c r="AH267" s="1">
        <v>634.4</v>
      </c>
      <c r="AI267" s="1">
        <v>608</v>
      </c>
      <c r="AJ267" s="1">
        <v>634.6</v>
      </c>
      <c r="AK267" s="1">
        <v>646.79999999999995</v>
      </c>
      <c r="AL267" s="1">
        <v>765.2</v>
      </c>
      <c r="AM267" s="1">
        <v>750.7</v>
      </c>
      <c r="AN267" s="1">
        <v>554.4</v>
      </c>
      <c r="AO267" s="1">
        <v>585.29999999999995</v>
      </c>
      <c r="AP267" s="1">
        <v>565.29999999999995</v>
      </c>
      <c r="AQ267" s="1">
        <v>569</v>
      </c>
      <c r="AR267" s="1">
        <v>529.20000000000005</v>
      </c>
      <c r="AS267" s="1">
        <v>474.3</v>
      </c>
      <c r="AT267" s="1">
        <v>477.4</v>
      </c>
      <c r="AU267" s="1">
        <v>470.8</v>
      </c>
      <c r="AV267" s="1">
        <v>441.5</v>
      </c>
      <c r="AW267" s="1">
        <v>425</v>
      </c>
      <c r="AX267" s="1">
        <v>351.8</v>
      </c>
      <c r="AY267" s="1">
        <v>762.3</v>
      </c>
      <c r="AZ267" s="1">
        <v>937.8</v>
      </c>
      <c r="BA267" s="1">
        <v>1082.5999999999999</v>
      </c>
      <c r="BB267" s="1">
        <v>1290.2</v>
      </c>
      <c r="BC267" s="1">
        <v>1408.4</v>
      </c>
      <c r="BD267" s="1">
        <v>1407</v>
      </c>
      <c r="BE267" s="1">
        <v>1410.3</v>
      </c>
      <c r="BF267" s="1">
        <v>1421.8</v>
      </c>
      <c r="BG267" s="1">
        <v>1192.0999999999999</v>
      </c>
      <c r="BH267" s="1">
        <v>2269.1999999999998</v>
      </c>
      <c r="BI267" s="1">
        <v>1421.9</v>
      </c>
      <c r="BJ267" s="1">
        <v>1372.7</v>
      </c>
      <c r="BK267" s="1">
        <v>1773.9</v>
      </c>
      <c r="BL267" s="1">
        <v>1676.8</v>
      </c>
      <c r="BM267" s="1">
        <v>1592.4</v>
      </c>
    </row>
  </sheetData>
  <sheetProtection sheet="1" objects="1" scenarios="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8289-62BE-47CD-A1BA-5E41AC4AA583}">
  <sheetPr codeName="Sheet12"/>
  <dimension ref="A1:BL267"/>
  <sheetViews>
    <sheetView topLeftCell="AU1" zoomScale="150" zoomScaleNormal="150" workbookViewId="0">
      <pane ySplit="1" topLeftCell="A278" activePane="bottomLeft" state="frozen"/>
      <selection pane="bottomLeft" activeCell="BH278" sqref="BH278"/>
    </sheetView>
  </sheetViews>
  <sheetFormatPr baseColWidth="10" defaultColWidth="8.83203125" defaultRowHeight="15"/>
  <cols>
    <col min="1" max="1" width="30.33203125" customWidth="1"/>
  </cols>
  <sheetData>
    <row r="1" spans="1:64">
      <c r="A1" s="2" t="s">
        <v>1130</v>
      </c>
      <c r="B1" s="2">
        <v>1960</v>
      </c>
      <c r="C1" s="2">
        <v>1961</v>
      </c>
      <c r="D1" s="2">
        <v>1962</v>
      </c>
      <c r="E1" s="2">
        <v>1963</v>
      </c>
      <c r="F1" s="2">
        <v>1964</v>
      </c>
      <c r="G1" s="2">
        <v>1965</v>
      </c>
      <c r="H1" s="2">
        <v>1966</v>
      </c>
      <c r="I1" s="2">
        <v>1967</v>
      </c>
      <c r="J1" s="2">
        <v>1968</v>
      </c>
      <c r="K1" s="2">
        <v>1969</v>
      </c>
      <c r="L1" s="2">
        <v>1970</v>
      </c>
      <c r="M1" s="2">
        <v>1971</v>
      </c>
      <c r="N1" s="2">
        <v>1972</v>
      </c>
      <c r="O1" s="2">
        <v>1973</v>
      </c>
      <c r="P1" s="2">
        <v>1974</v>
      </c>
      <c r="Q1" s="2">
        <v>1975</v>
      </c>
      <c r="R1" s="2">
        <v>1976</v>
      </c>
      <c r="S1" s="2">
        <v>1977</v>
      </c>
      <c r="T1" s="2">
        <v>1978</v>
      </c>
      <c r="U1" s="2">
        <v>1979</v>
      </c>
      <c r="V1" s="2">
        <v>1980</v>
      </c>
      <c r="W1" s="2">
        <v>1981</v>
      </c>
      <c r="X1" s="2">
        <v>1982</v>
      </c>
      <c r="Y1" s="2">
        <v>1983</v>
      </c>
      <c r="Z1" s="2">
        <v>1984</v>
      </c>
      <c r="AA1">
        <v>1985</v>
      </c>
      <c r="AB1">
        <v>1986</v>
      </c>
      <c r="AC1">
        <v>1987</v>
      </c>
      <c r="AD1">
        <v>1988</v>
      </c>
      <c r="AE1">
        <v>1989</v>
      </c>
      <c r="AF1">
        <v>1990</v>
      </c>
      <c r="AG1">
        <v>1991</v>
      </c>
      <c r="AH1">
        <v>1992</v>
      </c>
      <c r="AI1">
        <v>1993</v>
      </c>
      <c r="AJ1">
        <v>1994</v>
      </c>
      <c r="AK1">
        <v>1995</v>
      </c>
      <c r="AL1">
        <v>1996</v>
      </c>
      <c r="AM1">
        <v>1997</v>
      </c>
      <c r="AN1">
        <v>1998</v>
      </c>
      <c r="AO1">
        <v>1999</v>
      </c>
      <c r="AP1">
        <v>2000</v>
      </c>
      <c r="AQ1">
        <v>2001</v>
      </c>
      <c r="AR1">
        <v>2002</v>
      </c>
      <c r="AS1">
        <v>2003</v>
      </c>
      <c r="AT1">
        <v>2004</v>
      </c>
      <c r="AU1">
        <v>2005</v>
      </c>
      <c r="AV1">
        <v>2006</v>
      </c>
      <c r="AW1">
        <v>2007</v>
      </c>
      <c r="AX1">
        <v>2008</v>
      </c>
      <c r="AY1">
        <v>2009</v>
      </c>
      <c r="AZ1">
        <v>2010</v>
      </c>
      <c r="BA1">
        <v>2011</v>
      </c>
      <c r="BB1">
        <v>2012</v>
      </c>
      <c r="BC1">
        <v>2013</v>
      </c>
      <c r="BD1">
        <v>2014</v>
      </c>
      <c r="BE1">
        <v>2015</v>
      </c>
      <c r="BF1">
        <v>2016</v>
      </c>
      <c r="BG1">
        <v>2017</v>
      </c>
      <c r="BH1">
        <v>2018</v>
      </c>
      <c r="BI1">
        <v>2019</v>
      </c>
      <c r="BJ1">
        <v>2020</v>
      </c>
      <c r="BK1">
        <v>2021</v>
      </c>
      <c r="BL1">
        <v>2022</v>
      </c>
    </row>
    <row r="2" spans="1:64">
      <c r="A2" s="1" t="s">
        <v>1131</v>
      </c>
      <c r="B2" s="1"/>
      <c r="C2" s="1"/>
      <c r="D2" s="1"/>
      <c r="E2" s="1"/>
      <c r="F2" s="1"/>
      <c r="G2" s="1"/>
      <c r="H2" s="1"/>
      <c r="I2" s="1"/>
      <c r="J2" s="1"/>
      <c r="K2" s="1"/>
      <c r="L2" s="1"/>
      <c r="M2" s="1"/>
      <c r="N2" s="1"/>
      <c r="O2" s="1"/>
      <c r="P2" s="1"/>
      <c r="Q2" s="1"/>
      <c r="R2" s="1"/>
      <c r="S2" s="1"/>
      <c r="T2" s="1"/>
      <c r="U2" s="1"/>
      <c r="V2" s="1"/>
      <c r="W2" s="1"/>
      <c r="X2" s="1"/>
      <c r="Y2" s="1"/>
      <c r="Z2" s="1"/>
      <c r="AB2">
        <v>1.79</v>
      </c>
      <c r="AC2">
        <v>1.79</v>
      </c>
      <c r="AD2">
        <v>1.79</v>
      </c>
      <c r="AE2">
        <v>1.79</v>
      </c>
      <c r="AF2">
        <v>1.79</v>
      </c>
      <c r="AG2">
        <v>1.79</v>
      </c>
      <c r="AH2">
        <v>1.79</v>
      </c>
      <c r="AI2">
        <v>1.79</v>
      </c>
      <c r="AJ2">
        <v>1.79</v>
      </c>
      <c r="AK2">
        <v>1.79</v>
      </c>
      <c r="AL2">
        <v>1.79</v>
      </c>
      <c r="AM2">
        <v>1.79</v>
      </c>
      <c r="AN2">
        <v>1.79</v>
      </c>
      <c r="AO2">
        <v>1.79</v>
      </c>
      <c r="AP2">
        <v>1.79</v>
      </c>
      <c r="AQ2">
        <v>1.79</v>
      </c>
      <c r="AR2">
        <v>1.79</v>
      </c>
      <c r="AS2">
        <v>1.79</v>
      </c>
      <c r="AT2">
        <v>1.79</v>
      </c>
      <c r="AU2">
        <v>1.79</v>
      </c>
      <c r="AV2">
        <v>1.79</v>
      </c>
      <c r="AW2">
        <v>1.79</v>
      </c>
      <c r="AX2">
        <v>1.79</v>
      </c>
      <c r="AY2">
        <v>1.79</v>
      </c>
      <c r="AZ2">
        <v>1.79</v>
      </c>
      <c r="BA2">
        <v>1.79</v>
      </c>
      <c r="BB2">
        <v>1.79</v>
      </c>
      <c r="BC2">
        <v>1.79</v>
      </c>
      <c r="BD2">
        <v>1.79</v>
      </c>
      <c r="BE2">
        <v>1.79</v>
      </c>
      <c r="BF2">
        <v>1.79</v>
      </c>
      <c r="BG2">
        <v>1.79</v>
      </c>
      <c r="BH2">
        <v>1.79</v>
      </c>
      <c r="BI2">
        <v>1.79</v>
      </c>
      <c r="BJ2">
        <v>1.79</v>
      </c>
      <c r="BK2">
        <v>1.79</v>
      </c>
      <c r="BL2">
        <v>1.79</v>
      </c>
    </row>
    <row r="3" spans="1:64">
      <c r="A3" s="1" t="s">
        <v>1132</v>
      </c>
      <c r="B3" s="1"/>
      <c r="C3" s="1"/>
      <c r="D3" s="1"/>
      <c r="E3" s="1"/>
      <c r="F3" s="1"/>
      <c r="G3" s="1"/>
      <c r="H3" s="1"/>
      <c r="I3" s="1"/>
      <c r="J3" s="1"/>
      <c r="K3" s="1"/>
      <c r="L3" s="1"/>
      <c r="M3" s="1"/>
      <c r="N3" s="1"/>
      <c r="O3" s="1"/>
      <c r="P3" s="1"/>
      <c r="Q3" s="1"/>
      <c r="R3" s="1"/>
      <c r="S3" s="1"/>
      <c r="T3" s="1"/>
      <c r="U3" s="1"/>
      <c r="V3" s="1"/>
      <c r="W3" s="1"/>
      <c r="X3" s="1"/>
      <c r="Y3" s="1"/>
      <c r="Z3" s="1"/>
    </row>
    <row r="4" spans="1:64">
      <c r="A4" s="1" t="s">
        <v>1133</v>
      </c>
      <c r="B4" s="1">
        <v>17.2</v>
      </c>
      <c r="C4" s="1">
        <v>17.2</v>
      </c>
      <c r="D4" s="1">
        <v>17.2</v>
      </c>
      <c r="E4" s="1">
        <v>35.11</v>
      </c>
      <c r="F4" s="1">
        <v>38.69</v>
      </c>
      <c r="G4" s="1">
        <v>38.69</v>
      </c>
      <c r="H4" s="1">
        <v>38.69</v>
      </c>
      <c r="I4" s="1">
        <v>38.69</v>
      </c>
      <c r="J4" s="1">
        <v>38.69</v>
      </c>
      <c r="K4" s="1">
        <v>38.69</v>
      </c>
      <c r="L4" s="1">
        <v>38.69</v>
      </c>
      <c r="M4" s="1">
        <v>38.69</v>
      </c>
      <c r="N4" s="1">
        <v>38.69</v>
      </c>
      <c r="O4" s="1">
        <v>38.69</v>
      </c>
      <c r="P4" s="1">
        <v>38.380000000000003</v>
      </c>
      <c r="Q4" s="1">
        <v>34.93</v>
      </c>
      <c r="R4" s="1">
        <v>34.93</v>
      </c>
      <c r="S4" s="1">
        <v>34.93</v>
      </c>
      <c r="T4" s="1">
        <v>34.93</v>
      </c>
      <c r="U4" s="1">
        <v>33.85</v>
      </c>
      <c r="V4" s="1">
        <v>34.369999999999997</v>
      </c>
      <c r="W4" s="1">
        <v>38.56</v>
      </c>
      <c r="X4" s="1">
        <v>39.28</v>
      </c>
      <c r="Y4" s="1">
        <v>39.28</v>
      </c>
      <c r="Z4" s="1">
        <v>39.28</v>
      </c>
      <c r="AA4">
        <v>39.28</v>
      </c>
      <c r="AB4">
        <v>39.28</v>
      </c>
      <c r="AC4">
        <v>39.28</v>
      </c>
      <c r="AD4">
        <v>39.28</v>
      </c>
      <c r="AE4">
        <v>39.28</v>
      </c>
      <c r="AF4">
        <v>39.28</v>
      </c>
      <c r="AG4">
        <v>39.28</v>
      </c>
      <c r="AH4">
        <v>39.28</v>
      </c>
      <c r="AI4">
        <v>39.28</v>
      </c>
      <c r="AJ4">
        <v>38.82</v>
      </c>
      <c r="AK4">
        <v>36.57</v>
      </c>
      <c r="AL4">
        <v>47.5</v>
      </c>
      <c r="AM4">
        <v>47.5</v>
      </c>
      <c r="AN4">
        <v>47.5</v>
      </c>
      <c r="AO4">
        <v>46.62</v>
      </c>
      <c r="AP4">
        <v>47.36</v>
      </c>
      <c r="AQ4">
        <v>47.5</v>
      </c>
      <c r="AR4">
        <v>47.26</v>
      </c>
      <c r="AS4">
        <v>48.76</v>
      </c>
      <c r="AT4">
        <v>47.85</v>
      </c>
      <c r="AU4">
        <v>49.49</v>
      </c>
      <c r="AV4">
        <v>49.93</v>
      </c>
      <c r="AW4">
        <v>49.96</v>
      </c>
      <c r="AX4">
        <v>50.25</v>
      </c>
      <c r="AY4">
        <v>50.33</v>
      </c>
      <c r="AZ4">
        <v>46.45</v>
      </c>
      <c r="BA4">
        <v>46.75</v>
      </c>
      <c r="BB4">
        <v>50.92</v>
      </c>
      <c r="BC4">
        <v>55.38</v>
      </c>
      <c r="BD4">
        <v>57.25</v>
      </c>
      <c r="BE4">
        <v>61.14</v>
      </c>
      <c r="BF4">
        <v>67.87</v>
      </c>
      <c r="BG4">
        <v>68.03</v>
      </c>
      <c r="BH4">
        <v>72.08</v>
      </c>
      <c r="BI4">
        <v>77.739999999999995</v>
      </c>
      <c r="BJ4">
        <v>76.81</v>
      </c>
    </row>
    <row r="5" spans="1:64">
      <c r="A5" s="1" t="s">
        <v>1134</v>
      </c>
      <c r="B5" s="1"/>
      <c r="C5" s="1"/>
      <c r="D5" s="1"/>
      <c r="E5" s="1"/>
      <c r="F5" s="1"/>
      <c r="G5" s="1"/>
      <c r="H5" s="1"/>
      <c r="I5" s="1"/>
      <c r="J5" s="1"/>
      <c r="K5" s="1"/>
      <c r="L5" s="1"/>
      <c r="M5" s="1"/>
      <c r="N5" s="1"/>
      <c r="O5" s="1"/>
      <c r="P5" s="1"/>
      <c r="Q5" s="1"/>
      <c r="R5" s="1"/>
      <c r="S5" s="1"/>
      <c r="T5" s="1"/>
      <c r="U5" s="1"/>
      <c r="V5" s="1"/>
      <c r="W5" s="1"/>
      <c r="X5" s="1"/>
      <c r="Y5" s="1"/>
      <c r="Z5" s="1"/>
    </row>
    <row r="6" spans="1:64">
      <c r="A6" s="1" t="s">
        <v>1135</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v>0</v>
      </c>
      <c r="AB6">
        <v>0</v>
      </c>
      <c r="AC6">
        <v>0</v>
      </c>
      <c r="AD6">
        <v>0</v>
      </c>
      <c r="AE6">
        <v>0</v>
      </c>
      <c r="AF6">
        <v>0</v>
      </c>
      <c r="AG6">
        <v>0</v>
      </c>
      <c r="AH6">
        <v>0</v>
      </c>
      <c r="AI6">
        <v>0</v>
      </c>
      <c r="AJ6">
        <v>0</v>
      </c>
      <c r="AK6">
        <v>0</v>
      </c>
      <c r="AL6">
        <v>0.13</v>
      </c>
      <c r="AM6">
        <v>0.23</v>
      </c>
      <c r="AN6">
        <v>0.39</v>
      </c>
      <c r="AO6">
        <v>2.79</v>
      </c>
      <c r="AP6">
        <v>10.039999999999999</v>
      </c>
      <c r="AQ6">
        <v>22.06</v>
      </c>
      <c r="AR6">
        <v>43.53</v>
      </c>
      <c r="AS6">
        <v>74.61</v>
      </c>
      <c r="AT6">
        <v>83.54</v>
      </c>
      <c r="AU6">
        <v>87.16</v>
      </c>
      <c r="AV6">
        <v>80.37</v>
      </c>
      <c r="AW6">
        <v>76.709999999999994</v>
      </c>
      <c r="AX6">
        <v>75.03</v>
      </c>
      <c r="AY6">
        <v>79.33</v>
      </c>
      <c r="AZ6">
        <v>91.91</v>
      </c>
      <c r="BA6">
        <v>93.93</v>
      </c>
      <c r="BB6">
        <v>95.47</v>
      </c>
      <c r="BC6">
        <v>96.52</v>
      </c>
      <c r="BD6">
        <v>98.3</v>
      </c>
      <c r="BE6">
        <v>120.06</v>
      </c>
      <c r="BF6">
        <v>163.66</v>
      </c>
      <c r="BG6">
        <v>165.92</v>
      </c>
      <c r="BH6">
        <v>252.86</v>
      </c>
      <c r="BI6">
        <v>364.83</v>
      </c>
      <c r="BJ6">
        <v>578.26</v>
      </c>
      <c r="BK6">
        <v>631.44000000000005</v>
      </c>
      <c r="BL6">
        <v>460.57</v>
      </c>
    </row>
    <row r="7" spans="1:64">
      <c r="A7" s="1" t="s">
        <v>1136</v>
      </c>
      <c r="B7" s="1"/>
      <c r="C7" s="1"/>
      <c r="D7" s="1"/>
      <c r="E7" s="1"/>
      <c r="F7" s="1"/>
      <c r="G7" s="1"/>
      <c r="H7" s="1"/>
      <c r="I7" s="1"/>
      <c r="J7" s="1"/>
      <c r="K7" s="1"/>
      <c r="L7" s="1"/>
      <c r="M7" s="1"/>
      <c r="N7" s="1"/>
      <c r="O7" s="1"/>
      <c r="P7" s="1"/>
      <c r="Q7" s="1"/>
      <c r="R7" s="1"/>
      <c r="S7" s="1"/>
      <c r="T7" s="1"/>
      <c r="U7" s="1"/>
      <c r="V7" s="1"/>
      <c r="W7" s="1"/>
      <c r="X7" s="1"/>
      <c r="Y7" s="1"/>
      <c r="Z7" s="1"/>
      <c r="AH7">
        <v>75.03</v>
      </c>
      <c r="AI7">
        <v>102.06</v>
      </c>
      <c r="AJ7">
        <v>94.62</v>
      </c>
      <c r="AK7">
        <v>92.7</v>
      </c>
      <c r="AL7">
        <v>104.5</v>
      </c>
      <c r="AM7">
        <v>148.93</v>
      </c>
      <c r="AN7">
        <v>150.63</v>
      </c>
      <c r="AO7">
        <v>137.69</v>
      </c>
      <c r="AP7">
        <v>143.71</v>
      </c>
      <c r="AQ7">
        <v>143.47999999999999</v>
      </c>
      <c r="AR7">
        <v>140.15</v>
      </c>
      <c r="AS7">
        <v>121.86</v>
      </c>
      <c r="AT7">
        <v>102.78</v>
      </c>
      <c r="AU7">
        <v>99.87</v>
      </c>
      <c r="AV7">
        <v>98.1</v>
      </c>
      <c r="AW7">
        <v>90.43</v>
      </c>
      <c r="AX7">
        <v>83.89</v>
      </c>
      <c r="AY7">
        <v>94.98</v>
      </c>
      <c r="AZ7">
        <v>103.94</v>
      </c>
      <c r="BA7">
        <v>100.9</v>
      </c>
      <c r="BB7">
        <v>108.18</v>
      </c>
      <c r="BC7">
        <v>105.67</v>
      </c>
      <c r="BD7">
        <v>105.48</v>
      </c>
      <c r="BE7">
        <v>125.96</v>
      </c>
      <c r="BF7">
        <v>124.14</v>
      </c>
      <c r="BG7">
        <v>119.1</v>
      </c>
      <c r="BH7">
        <v>107.99</v>
      </c>
      <c r="BI7">
        <v>109.85</v>
      </c>
      <c r="BJ7">
        <v>108.65</v>
      </c>
      <c r="BK7">
        <v>103.52</v>
      </c>
      <c r="BL7">
        <v>113.04</v>
      </c>
    </row>
    <row r="8" spans="1:64">
      <c r="A8" s="1" t="s">
        <v>1137</v>
      </c>
      <c r="B8" s="1"/>
      <c r="C8" s="1"/>
      <c r="D8" s="1"/>
      <c r="E8" s="1"/>
      <c r="F8" s="1"/>
      <c r="G8" s="1"/>
      <c r="H8" s="1"/>
      <c r="I8" s="1"/>
      <c r="J8" s="1"/>
      <c r="K8" s="1"/>
      <c r="L8" s="1"/>
      <c r="M8" s="1"/>
      <c r="N8" s="1"/>
      <c r="O8" s="1"/>
      <c r="P8" s="1"/>
      <c r="Q8" s="1"/>
      <c r="R8" s="1"/>
      <c r="S8" s="1"/>
      <c r="T8" s="1"/>
      <c r="U8" s="1"/>
      <c r="V8" s="1"/>
      <c r="W8" s="1"/>
      <c r="X8" s="1"/>
      <c r="Y8" s="1"/>
      <c r="Z8" s="1"/>
      <c r="AQ8">
        <v>1.1200000000000001</v>
      </c>
      <c r="AR8">
        <v>1.06</v>
      </c>
      <c r="AS8">
        <v>0.89</v>
      </c>
      <c r="AT8">
        <v>0.81</v>
      </c>
      <c r="AU8">
        <v>0.8</v>
      </c>
      <c r="AV8">
        <v>0.8</v>
      </c>
      <c r="AW8">
        <v>0.73</v>
      </c>
      <c r="AX8">
        <v>0.68</v>
      </c>
      <c r="AY8">
        <v>0.72</v>
      </c>
      <c r="AZ8">
        <v>0.75</v>
      </c>
      <c r="BA8">
        <v>0.72</v>
      </c>
      <c r="BB8">
        <v>0.78</v>
      </c>
      <c r="BC8">
        <v>0.75</v>
      </c>
      <c r="BD8">
        <v>0.75</v>
      </c>
      <c r="BE8">
        <v>0.9</v>
      </c>
      <c r="BF8">
        <v>0.9</v>
      </c>
      <c r="BG8">
        <v>0.89</v>
      </c>
      <c r="BH8">
        <v>0.85</v>
      </c>
      <c r="BI8">
        <v>0.89</v>
      </c>
      <c r="BJ8">
        <v>0.88</v>
      </c>
      <c r="BK8">
        <v>0.85</v>
      </c>
      <c r="BL8">
        <v>0.95</v>
      </c>
    </row>
    <row r="9" spans="1:64">
      <c r="A9" s="1" t="s">
        <v>1138</v>
      </c>
      <c r="B9" s="1"/>
      <c r="C9" s="1"/>
      <c r="D9" s="1"/>
      <c r="E9" s="1"/>
      <c r="F9" s="1"/>
      <c r="G9" s="1"/>
      <c r="H9" s="1"/>
      <c r="I9" s="1"/>
      <c r="J9" s="1"/>
      <c r="K9" s="1"/>
      <c r="L9" s="1"/>
      <c r="M9" s="1"/>
      <c r="N9" s="1"/>
      <c r="O9" s="1"/>
      <c r="P9" s="1"/>
      <c r="Q9" s="1"/>
      <c r="R9" s="1"/>
      <c r="S9" s="1"/>
      <c r="T9" s="1"/>
      <c r="U9" s="1"/>
      <c r="V9" s="1"/>
      <c r="W9" s="1"/>
      <c r="X9" s="1"/>
      <c r="Y9" s="1"/>
      <c r="Z9" s="1"/>
    </row>
    <row r="10" spans="1:64">
      <c r="A10" s="1" t="s">
        <v>1139</v>
      </c>
      <c r="B10" s="1"/>
      <c r="C10" s="1"/>
      <c r="D10" s="1"/>
      <c r="E10" s="1"/>
      <c r="F10" s="1"/>
      <c r="G10" s="1"/>
      <c r="H10" s="1">
        <v>4.76</v>
      </c>
      <c r="I10" s="1">
        <v>4.76</v>
      </c>
      <c r="J10" s="1">
        <v>4.76</v>
      </c>
      <c r="K10" s="1">
        <v>4.76</v>
      </c>
      <c r="L10" s="1">
        <v>4.76</v>
      </c>
      <c r="M10" s="1">
        <v>4.75</v>
      </c>
      <c r="N10" s="1">
        <v>4.3899999999999997</v>
      </c>
      <c r="O10" s="1">
        <v>4</v>
      </c>
      <c r="P10" s="1">
        <v>3.96</v>
      </c>
      <c r="Q10" s="1">
        <v>3.96</v>
      </c>
      <c r="R10" s="1">
        <v>3.95</v>
      </c>
      <c r="S10" s="1">
        <v>3.9</v>
      </c>
      <c r="T10" s="1">
        <v>3.87</v>
      </c>
      <c r="U10" s="1">
        <v>3.82</v>
      </c>
      <c r="V10" s="1">
        <v>3.71</v>
      </c>
      <c r="W10" s="1">
        <v>3.67</v>
      </c>
      <c r="X10" s="1">
        <v>3.67</v>
      </c>
      <c r="Y10" s="1">
        <v>3.67</v>
      </c>
      <c r="Z10" s="1">
        <v>3.67</v>
      </c>
      <c r="AA10">
        <v>3.67</v>
      </c>
      <c r="AB10">
        <v>3.67</v>
      </c>
      <c r="AC10">
        <v>3.67</v>
      </c>
      <c r="AD10">
        <v>3.67</v>
      </c>
      <c r="AE10">
        <v>3.67</v>
      </c>
      <c r="AF10">
        <v>3.67</v>
      </c>
      <c r="AG10">
        <v>3.67</v>
      </c>
      <c r="AH10">
        <v>3.67</v>
      </c>
      <c r="AI10">
        <v>3.67</v>
      </c>
      <c r="AJ10">
        <v>3.67</v>
      </c>
      <c r="AK10">
        <v>3.67</v>
      </c>
      <c r="AL10">
        <v>3.67</v>
      </c>
      <c r="AM10">
        <v>3.67</v>
      </c>
      <c r="AN10">
        <v>3.67</v>
      </c>
      <c r="AO10">
        <v>3.67</v>
      </c>
      <c r="AP10">
        <v>3.67</v>
      </c>
      <c r="AQ10">
        <v>3.67</v>
      </c>
      <c r="AR10">
        <v>3.67</v>
      </c>
      <c r="AS10">
        <v>3.67</v>
      </c>
      <c r="AT10">
        <v>3.67</v>
      </c>
      <c r="AU10">
        <v>3.67</v>
      </c>
      <c r="AV10">
        <v>3.67</v>
      </c>
      <c r="AW10">
        <v>3.67</v>
      </c>
      <c r="AX10">
        <v>3.67</v>
      </c>
      <c r="AY10">
        <v>3.67</v>
      </c>
      <c r="AZ10">
        <v>3.67</v>
      </c>
      <c r="BA10">
        <v>3.67</v>
      </c>
      <c r="BB10">
        <v>3.67</v>
      </c>
      <c r="BC10">
        <v>3.67</v>
      </c>
      <c r="BD10">
        <v>3.67</v>
      </c>
      <c r="BE10">
        <v>3.67</v>
      </c>
      <c r="BF10">
        <v>3.67</v>
      </c>
      <c r="BG10">
        <v>3.67</v>
      </c>
      <c r="BH10">
        <v>3.67</v>
      </c>
      <c r="BI10">
        <v>3.67</v>
      </c>
      <c r="BJ10">
        <v>3.67</v>
      </c>
      <c r="BK10">
        <v>3.67</v>
      </c>
      <c r="BL10">
        <v>3.67</v>
      </c>
    </row>
    <row r="11" spans="1:64">
      <c r="A11" s="1" t="s">
        <v>221</v>
      </c>
      <c r="B11" s="1"/>
      <c r="C11" s="1"/>
      <c r="D11" s="1"/>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v>0</v>
      </c>
      <c r="AB11">
        <v>0</v>
      </c>
      <c r="AC11">
        <v>0</v>
      </c>
      <c r="AD11">
        <v>0</v>
      </c>
      <c r="AE11">
        <v>0.04</v>
      </c>
      <c r="AF11">
        <v>0.49</v>
      </c>
      <c r="AG11">
        <v>0.95</v>
      </c>
      <c r="AH11">
        <v>0.99</v>
      </c>
      <c r="AI11">
        <v>1</v>
      </c>
      <c r="AJ11">
        <v>1</v>
      </c>
      <c r="AK11">
        <v>1</v>
      </c>
      <c r="AL11">
        <v>1</v>
      </c>
      <c r="AM11">
        <v>1</v>
      </c>
      <c r="AN11">
        <v>1</v>
      </c>
      <c r="AO11">
        <v>1</v>
      </c>
      <c r="AP11">
        <v>1</v>
      </c>
      <c r="AQ11">
        <v>1</v>
      </c>
      <c r="AR11">
        <v>3.06</v>
      </c>
      <c r="AS11">
        <v>2.9</v>
      </c>
      <c r="AT11">
        <v>2.92</v>
      </c>
      <c r="AU11">
        <v>2.9</v>
      </c>
      <c r="AV11">
        <v>3.05</v>
      </c>
      <c r="AW11">
        <v>3.1</v>
      </c>
      <c r="AX11">
        <v>3.14</v>
      </c>
      <c r="AY11">
        <v>3.71</v>
      </c>
      <c r="AZ11">
        <v>3.9</v>
      </c>
      <c r="BA11">
        <v>4.1100000000000003</v>
      </c>
      <c r="BB11">
        <v>4.54</v>
      </c>
      <c r="BC11">
        <v>5.46</v>
      </c>
      <c r="BD11">
        <v>8.08</v>
      </c>
      <c r="BE11">
        <v>9.23</v>
      </c>
      <c r="BF11">
        <v>14.76</v>
      </c>
      <c r="BG11">
        <v>16.559999999999999</v>
      </c>
      <c r="BH11">
        <v>28.09</v>
      </c>
      <c r="BI11">
        <v>48.15</v>
      </c>
      <c r="BJ11">
        <v>70.540000000000006</v>
      </c>
      <c r="BK11">
        <v>94.99</v>
      </c>
      <c r="BL11">
        <v>130.62</v>
      </c>
    </row>
    <row r="12" spans="1:64">
      <c r="A12" s="1" t="s">
        <v>1140</v>
      </c>
      <c r="B12" s="1"/>
      <c r="C12" s="1"/>
      <c r="D12" s="1"/>
      <c r="E12" s="1"/>
      <c r="F12" s="1"/>
      <c r="G12" s="1"/>
      <c r="H12" s="1"/>
      <c r="I12" s="1"/>
      <c r="J12" s="1"/>
      <c r="K12" s="1"/>
      <c r="L12" s="1"/>
      <c r="M12" s="1"/>
      <c r="N12" s="1"/>
      <c r="O12" s="1"/>
      <c r="P12" s="1"/>
      <c r="Q12" s="1"/>
      <c r="R12" s="1"/>
      <c r="S12" s="1"/>
      <c r="T12" s="1"/>
      <c r="U12" s="1"/>
      <c r="V12" s="1"/>
      <c r="W12" s="1"/>
      <c r="X12" s="1"/>
      <c r="Y12" s="1"/>
      <c r="Z12" s="1"/>
      <c r="AI12">
        <v>9.11</v>
      </c>
      <c r="AJ12">
        <v>288.64999999999998</v>
      </c>
      <c r="AK12">
        <v>405.91</v>
      </c>
      <c r="AL12">
        <v>414.04</v>
      </c>
      <c r="AM12">
        <v>490.85</v>
      </c>
      <c r="AN12">
        <v>504.92</v>
      </c>
      <c r="AO12">
        <v>535.05999999999995</v>
      </c>
      <c r="AP12">
        <v>539.53</v>
      </c>
      <c r="AQ12">
        <v>555.08000000000004</v>
      </c>
      <c r="AR12">
        <v>573.35</v>
      </c>
      <c r="AS12">
        <v>578.76</v>
      </c>
      <c r="AT12">
        <v>533.45000000000005</v>
      </c>
      <c r="AU12">
        <v>457.69</v>
      </c>
      <c r="AV12">
        <v>416.04</v>
      </c>
      <c r="AW12">
        <v>342.08</v>
      </c>
      <c r="AX12">
        <v>305.97000000000003</v>
      </c>
      <c r="AY12">
        <v>363.28</v>
      </c>
      <c r="AZ12">
        <v>373.66</v>
      </c>
      <c r="BA12">
        <v>372.5</v>
      </c>
      <c r="BB12">
        <v>401.76</v>
      </c>
      <c r="BC12">
        <v>409.63</v>
      </c>
      <c r="BD12">
        <v>415.92</v>
      </c>
      <c r="BE12">
        <v>477.92</v>
      </c>
      <c r="BF12">
        <v>480.49</v>
      </c>
      <c r="BG12">
        <v>482.72</v>
      </c>
      <c r="BH12">
        <v>482.99</v>
      </c>
      <c r="BI12">
        <v>480.45</v>
      </c>
      <c r="BJ12">
        <v>489.01</v>
      </c>
      <c r="BK12">
        <v>503.77</v>
      </c>
      <c r="BL12">
        <v>435.67</v>
      </c>
    </row>
    <row r="13" spans="1:64">
      <c r="A13" s="1" t="s">
        <v>1141</v>
      </c>
      <c r="B13" s="1"/>
      <c r="C13" s="1"/>
      <c r="D13" s="1"/>
      <c r="E13" s="1"/>
      <c r="F13" s="1"/>
      <c r="G13" s="1"/>
      <c r="H13" s="1"/>
      <c r="I13" s="1"/>
      <c r="J13" s="1"/>
      <c r="K13" s="1"/>
      <c r="L13" s="1"/>
      <c r="M13" s="1"/>
      <c r="N13" s="1"/>
      <c r="O13" s="1"/>
      <c r="P13" s="1"/>
      <c r="Q13" s="1"/>
      <c r="R13" s="1"/>
      <c r="S13" s="1"/>
      <c r="T13" s="1"/>
      <c r="U13" s="1"/>
      <c r="V13" s="1"/>
      <c r="W13" s="1"/>
      <c r="X13" s="1"/>
      <c r="Y13" s="1"/>
      <c r="Z13" s="1"/>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row>
    <row r="14" spans="1:64">
      <c r="A14" s="1" t="s">
        <v>1142</v>
      </c>
      <c r="B14" s="1">
        <v>1.71</v>
      </c>
      <c r="C14" s="1">
        <v>1.71</v>
      </c>
      <c r="D14" s="1">
        <v>1.71</v>
      </c>
      <c r="E14" s="1">
        <v>1.71</v>
      </c>
      <c r="F14" s="1">
        <v>1.71</v>
      </c>
      <c r="G14" s="1">
        <v>1.71</v>
      </c>
      <c r="H14" s="1">
        <v>1.71</v>
      </c>
      <c r="I14" s="1">
        <v>1.76</v>
      </c>
      <c r="J14" s="1">
        <v>2</v>
      </c>
      <c r="K14" s="1">
        <v>2</v>
      </c>
      <c r="L14" s="1">
        <v>2</v>
      </c>
      <c r="M14" s="1">
        <v>1.97</v>
      </c>
      <c r="N14" s="1">
        <v>1.92</v>
      </c>
      <c r="O14" s="1">
        <v>1.96</v>
      </c>
      <c r="P14" s="1">
        <v>2.0499999999999998</v>
      </c>
      <c r="Q14" s="1">
        <v>2.17</v>
      </c>
      <c r="R14" s="1">
        <v>2.61</v>
      </c>
      <c r="S14" s="1">
        <v>2.7</v>
      </c>
      <c r="T14" s="1">
        <v>2.7</v>
      </c>
      <c r="U14" s="1">
        <v>2.7</v>
      </c>
      <c r="V14" s="1">
        <v>2.7</v>
      </c>
      <c r="W14" s="1">
        <v>2.7</v>
      </c>
      <c r="X14" s="1">
        <v>2.7</v>
      </c>
      <c r="Y14" s="1">
        <v>2.7</v>
      </c>
      <c r="Z14" s="1">
        <v>2.7</v>
      </c>
      <c r="AA14">
        <v>2.7</v>
      </c>
      <c r="AB14">
        <v>2.7</v>
      </c>
      <c r="AC14">
        <v>2.7</v>
      </c>
      <c r="AD14">
        <v>2.7</v>
      </c>
      <c r="AE14">
        <v>2.7</v>
      </c>
      <c r="AF14">
        <v>2.7</v>
      </c>
      <c r="AG14">
        <v>2.7</v>
      </c>
      <c r="AH14">
        <v>2.7</v>
      </c>
      <c r="AI14">
        <v>2.7</v>
      </c>
      <c r="AJ14">
        <v>2.7</v>
      </c>
      <c r="AK14">
        <v>2.7</v>
      </c>
      <c r="AL14">
        <v>2.7</v>
      </c>
      <c r="AM14">
        <v>2.7</v>
      </c>
      <c r="AN14">
        <v>2.7</v>
      </c>
      <c r="AO14">
        <v>2.7</v>
      </c>
      <c r="AP14">
        <v>2.7</v>
      </c>
      <c r="AQ14">
        <v>2.7</v>
      </c>
      <c r="AR14">
        <v>2.7</v>
      </c>
      <c r="AS14">
        <v>2.7</v>
      </c>
      <c r="AT14">
        <v>2.7</v>
      </c>
      <c r="AU14">
        <v>2.7</v>
      </c>
      <c r="AV14">
        <v>2.7</v>
      </c>
      <c r="AW14">
        <v>2.7</v>
      </c>
      <c r="AX14">
        <v>2.7</v>
      </c>
      <c r="AY14">
        <v>2.7</v>
      </c>
      <c r="AZ14">
        <v>2.7</v>
      </c>
      <c r="BA14">
        <v>2.7</v>
      </c>
      <c r="BB14">
        <v>2.7</v>
      </c>
      <c r="BC14">
        <v>2.7</v>
      </c>
      <c r="BD14">
        <v>2.7</v>
      </c>
      <c r="BE14">
        <v>2.7</v>
      </c>
      <c r="BF14">
        <v>2.7</v>
      </c>
      <c r="BG14">
        <v>2.7</v>
      </c>
      <c r="BH14">
        <v>2.7</v>
      </c>
      <c r="BI14">
        <v>2.7</v>
      </c>
      <c r="BJ14">
        <v>2.7</v>
      </c>
      <c r="BK14">
        <v>2.7</v>
      </c>
      <c r="BL14">
        <v>2.7</v>
      </c>
    </row>
    <row r="15" spans="1:64">
      <c r="A15" s="1" t="s">
        <v>1143</v>
      </c>
      <c r="B15" s="1">
        <v>0.89</v>
      </c>
      <c r="C15" s="1">
        <v>0.89</v>
      </c>
      <c r="D15" s="1">
        <v>0.89</v>
      </c>
      <c r="E15" s="1">
        <v>0.89</v>
      </c>
      <c r="F15" s="1">
        <v>0.89</v>
      </c>
      <c r="G15" s="1">
        <v>0.89</v>
      </c>
      <c r="H15" s="1">
        <v>0.89</v>
      </c>
      <c r="I15" s="1">
        <v>0.89</v>
      </c>
      <c r="J15" s="1">
        <v>0.89</v>
      </c>
      <c r="K15" s="1">
        <v>0.89</v>
      </c>
      <c r="L15" s="1">
        <v>0.89</v>
      </c>
      <c r="M15" s="1">
        <v>0.88</v>
      </c>
      <c r="N15" s="1">
        <v>0.84</v>
      </c>
      <c r="O15" s="1">
        <v>0.7</v>
      </c>
      <c r="P15" s="1">
        <v>0.7</v>
      </c>
      <c r="Q15" s="1">
        <v>0.76</v>
      </c>
      <c r="R15" s="1">
        <v>0.82</v>
      </c>
      <c r="S15" s="1">
        <v>0.9</v>
      </c>
      <c r="T15" s="1">
        <v>0.87</v>
      </c>
      <c r="U15" s="1">
        <v>0.89</v>
      </c>
      <c r="V15" s="1">
        <v>0.88</v>
      </c>
      <c r="W15" s="1">
        <v>0.87</v>
      </c>
      <c r="X15" s="1">
        <v>0.99</v>
      </c>
      <c r="Y15" s="1">
        <v>1.1100000000000001</v>
      </c>
      <c r="Z15" s="1">
        <v>1.1399999999999999</v>
      </c>
      <c r="AA15">
        <v>1.43</v>
      </c>
      <c r="AB15">
        <v>1.5</v>
      </c>
      <c r="AC15">
        <v>1.43</v>
      </c>
      <c r="AD15">
        <v>1.28</v>
      </c>
      <c r="AE15">
        <v>1.26</v>
      </c>
      <c r="AF15">
        <v>1.28</v>
      </c>
      <c r="AG15">
        <v>1.28</v>
      </c>
      <c r="AH15">
        <v>1.36</v>
      </c>
      <c r="AI15">
        <v>1.47</v>
      </c>
      <c r="AJ15">
        <v>1.37</v>
      </c>
      <c r="AK15">
        <v>1.35</v>
      </c>
      <c r="AL15">
        <v>1.28</v>
      </c>
      <c r="AM15">
        <v>1.35</v>
      </c>
      <c r="AN15">
        <v>1.59</v>
      </c>
      <c r="AO15">
        <v>1.55</v>
      </c>
      <c r="AP15">
        <v>1.72</v>
      </c>
      <c r="AQ15">
        <v>1.93</v>
      </c>
      <c r="AR15">
        <v>1.84</v>
      </c>
      <c r="AS15">
        <v>1.54</v>
      </c>
      <c r="AT15">
        <v>1.36</v>
      </c>
      <c r="AU15">
        <v>1.31</v>
      </c>
      <c r="AV15">
        <v>1.33</v>
      </c>
      <c r="AW15">
        <v>1.2</v>
      </c>
      <c r="AX15">
        <v>1.19</v>
      </c>
      <c r="AY15">
        <v>1.28</v>
      </c>
      <c r="AZ15">
        <v>1.0900000000000001</v>
      </c>
      <c r="BA15">
        <v>0.97</v>
      </c>
      <c r="BB15">
        <v>0.97</v>
      </c>
      <c r="BC15">
        <v>1.04</v>
      </c>
      <c r="BD15">
        <v>1.1100000000000001</v>
      </c>
      <c r="BE15">
        <v>1.33</v>
      </c>
      <c r="BF15">
        <v>1.35</v>
      </c>
      <c r="BG15">
        <v>1.3</v>
      </c>
      <c r="BH15">
        <v>1.34</v>
      </c>
      <c r="BI15">
        <v>1.44</v>
      </c>
      <c r="BJ15">
        <v>1.45</v>
      </c>
      <c r="BK15">
        <v>1.33</v>
      </c>
      <c r="BL15">
        <v>1.44</v>
      </c>
    </row>
    <row r="16" spans="1:64">
      <c r="A16" s="1" t="s">
        <v>1144</v>
      </c>
      <c r="B16" s="1">
        <v>26</v>
      </c>
      <c r="C16" s="1">
        <v>26</v>
      </c>
      <c r="D16" s="1">
        <v>26</v>
      </c>
      <c r="E16" s="1">
        <v>26</v>
      </c>
      <c r="F16" s="1">
        <v>26</v>
      </c>
      <c r="G16" s="1">
        <v>26</v>
      </c>
      <c r="H16" s="1">
        <v>26</v>
      </c>
      <c r="I16" s="1">
        <v>26</v>
      </c>
      <c r="J16" s="1">
        <v>26</v>
      </c>
      <c r="K16" s="1">
        <v>26</v>
      </c>
      <c r="L16" s="1">
        <v>26</v>
      </c>
      <c r="M16" s="1">
        <v>24.99</v>
      </c>
      <c r="N16" s="1">
        <v>23.12</v>
      </c>
      <c r="O16" s="1">
        <v>19.579999999999998</v>
      </c>
      <c r="P16" s="1">
        <v>18.690000000000001</v>
      </c>
      <c r="Q16" s="1">
        <v>17.420000000000002</v>
      </c>
      <c r="R16" s="1">
        <v>17.940000000000001</v>
      </c>
      <c r="S16" s="1">
        <v>16.53</v>
      </c>
      <c r="T16" s="1">
        <v>14.52</v>
      </c>
      <c r="U16" s="1">
        <v>13.37</v>
      </c>
      <c r="V16" s="1">
        <v>12.94</v>
      </c>
      <c r="W16" s="1">
        <v>15.93</v>
      </c>
      <c r="X16" s="1">
        <v>17.059999999999999</v>
      </c>
      <c r="Y16" s="1">
        <v>17.96</v>
      </c>
      <c r="Z16" s="1">
        <v>20.010000000000002</v>
      </c>
      <c r="AA16">
        <v>20.69</v>
      </c>
      <c r="AB16">
        <v>15.27</v>
      </c>
      <c r="AC16">
        <v>12.64</v>
      </c>
      <c r="AD16">
        <v>12.35</v>
      </c>
      <c r="AE16">
        <v>13.23</v>
      </c>
      <c r="AF16">
        <v>11.37</v>
      </c>
      <c r="AG16">
        <v>11.68</v>
      </c>
      <c r="AH16">
        <v>10.99</v>
      </c>
      <c r="AI16">
        <v>11.63</v>
      </c>
      <c r="AJ16">
        <v>11.42</v>
      </c>
      <c r="AK16">
        <v>10.08</v>
      </c>
      <c r="AL16">
        <v>10.59</v>
      </c>
      <c r="AM16">
        <v>12.2</v>
      </c>
      <c r="AN16">
        <v>12.38</v>
      </c>
      <c r="AO16">
        <v>0.94</v>
      </c>
      <c r="AP16">
        <v>1.08</v>
      </c>
      <c r="AQ16">
        <v>1.1200000000000001</v>
      </c>
      <c r="AR16">
        <v>1.06</v>
      </c>
      <c r="AS16">
        <v>0.88</v>
      </c>
      <c r="AT16">
        <v>0.8</v>
      </c>
      <c r="AU16">
        <v>0.8</v>
      </c>
      <c r="AV16">
        <v>0.8</v>
      </c>
      <c r="AW16">
        <v>0.73</v>
      </c>
      <c r="AX16">
        <v>0.68</v>
      </c>
      <c r="AY16">
        <v>0.72</v>
      </c>
      <c r="AZ16">
        <v>0.75</v>
      </c>
      <c r="BA16">
        <v>0.72</v>
      </c>
      <c r="BB16">
        <v>0.78</v>
      </c>
      <c r="BC16">
        <v>0.75</v>
      </c>
      <c r="BD16">
        <v>0.75</v>
      </c>
      <c r="BE16">
        <v>0.9</v>
      </c>
      <c r="BF16">
        <v>0.9</v>
      </c>
      <c r="BG16">
        <v>0.89</v>
      </c>
      <c r="BH16">
        <v>0.85</v>
      </c>
      <c r="BI16">
        <v>0.89</v>
      </c>
      <c r="BJ16">
        <v>0.88</v>
      </c>
      <c r="BK16">
        <v>0.85</v>
      </c>
      <c r="BL16">
        <v>0.95</v>
      </c>
    </row>
    <row r="17" spans="1:64">
      <c r="A17" s="1" t="s">
        <v>1145</v>
      </c>
      <c r="B17" s="1"/>
      <c r="C17" s="1"/>
      <c r="D17" s="1"/>
      <c r="E17" s="1"/>
      <c r="F17" s="1"/>
      <c r="G17" s="1"/>
      <c r="H17" s="1"/>
      <c r="I17" s="1"/>
      <c r="J17" s="1"/>
      <c r="K17" s="1"/>
      <c r="L17" s="1"/>
      <c r="M17" s="1"/>
      <c r="N17" s="1"/>
      <c r="O17" s="1"/>
      <c r="P17" s="1"/>
      <c r="Q17" s="1"/>
      <c r="R17" s="1"/>
      <c r="S17" s="1"/>
      <c r="T17" s="1"/>
      <c r="U17" s="1"/>
      <c r="V17" s="1"/>
      <c r="W17" s="1"/>
      <c r="X17" s="1"/>
      <c r="Y17" s="1"/>
      <c r="Z17" s="1"/>
      <c r="AH17">
        <v>0.01</v>
      </c>
      <c r="AI17">
        <v>0.02</v>
      </c>
      <c r="AJ17">
        <v>0.31</v>
      </c>
      <c r="AK17">
        <v>0.88</v>
      </c>
      <c r="AL17">
        <v>0.86</v>
      </c>
      <c r="AM17">
        <v>0.8</v>
      </c>
      <c r="AN17">
        <v>0.77</v>
      </c>
      <c r="AO17">
        <v>0.82</v>
      </c>
      <c r="AP17">
        <v>0.89</v>
      </c>
      <c r="AQ17">
        <v>0.93</v>
      </c>
      <c r="AR17">
        <v>0.97</v>
      </c>
      <c r="AS17">
        <v>0.98</v>
      </c>
      <c r="AT17">
        <v>0.98</v>
      </c>
      <c r="AU17">
        <v>0.95</v>
      </c>
      <c r="AV17">
        <v>0.89</v>
      </c>
      <c r="AW17">
        <v>0.86</v>
      </c>
      <c r="AX17">
        <v>0.82</v>
      </c>
      <c r="AY17">
        <v>0.8</v>
      </c>
      <c r="AZ17">
        <v>0.8</v>
      </c>
      <c r="BA17">
        <v>0.79</v>
      </c>
      <c r="BB17">
        <v>0.79</v>
      </c>
      <c r="BC17">
        <v>0.78</v>
      </c>
      <c r="BD17">
        <v>0.78</v>
      </c>
      <c r="BE17">
        <v>1.02</v>
      </c>
      <c r="BF17">
        <v>1.6</v>
      </c>
      <c r="BG17">
        <v>1.72</v>
      </c>
      <c r="BH17">
        <v>1.7</v>
      </c>
      <c r="BI17">
        <v>1.7</v>
      </c>
      <c r="BJ17">
        <v>1.7</v>
      </c>
      <c r="BK17">
        <v>1.7</v>
      </c>
      <c r="BL17">
        <v>1.7</v>
      </c>
    </row>
    <row r="18" spans="1:64">
      <c r="A18" s="1" t="s">
        <v>1146</v>
      </c>
      <c r="B18" s="1">
        <v>50</v>
      </c>
      <c r="C18" s="1">
        <v>50</v>
      </c>
      <c r="D18" s="1">
        <v>50</v>
      </c>
      <c r="E18" s="1">
        <v>50</v>
      </c>
      <c r="F18" s="1">
        <v>50</v>
      </c>
      <c r="G18" s="1">
        <v>84.38</v>
      </c>
      <c r="H18" s="1">
        <v>87.5</v>
      </c>
      <c r="I18" s="1">
        <v>87.5</v>
      </c>
      <c r="J18" s="1">
        <v>87.5</v>
      </c>
      <c r="K18" s="1">
        <v>87.5</v>
      </c>
      <c r="L18" s="1">
        <v>87.5</v>
      </c>
      <c r="M18" s="1">
        <v>87.5</v>
      </c>
      <c r="N18" s="1">
        <v>87.5</v>
      </c>
      <c r="O18" s="1">
        <v>80.03</v>
      </c>
      <c r="P18" s="1">
        <v>78.75</v>
      </c>
      <c r="Q18" s="1">
        <v>78.75</v>
      </c>
      <c r="R18" s="1">
        <v>86.25</v>
      </c>
      <c r="S18" s="1">
        <v>90</v>
      </c>
      <c r="T18" s="1">
        <v>90</v>
      </c>
      <c r="U18" s="1">
        <v>90</v>
      </c>
      <c r="V18" s="1">
        <v>90</v>
      </c>
      <c r="W18" s="1">
        <v>90</v>
      </c>
      <c r="X18" s="1">
        <v>90</v>
      </c>
      <c r="Y18" s="1">
        <v>92.95</v>
      </c>
      <c r="Z18" s="1">
        <v>119.71</v>
      </c>
      <c r="AA18">
        <v>120.69</v>
      </c>
      <c r="AB18">
        <v>114.17</v>
      </c>
      <c r="AC18">
        <v>123.56</v>
      </c>
      <c r="AD18">
        <v>140.4</v>
      </c>
      <c r="AE18">
        <v>158.66999999999999</v>
      </c>
      <c r="AF18">
        <v>171.26</v>
      </c>
      <c r="AG18">
        <v>181.51</v>
      </c>
      <c r="AH18">
        <v>208.3</v>
      </c>
      <c r="AI18">
        <v>242.78</v>
      </c>
      <c r="AJ18">
        <v>252.66</v>
      </c>
      <c r="AK18">
        <v>249.76</v>
      </c>
      <c r="AL18">
        <v>302.75</v>
      </c>
      <c r="AM18">
        <v>352.35</v>
      </c>
      <c r="AN18">
        <v>447.77</v>
      </c>
      <c r="AO18">
        <v>563.55999999999995</v>
      </c>
      <c r="AP18">
        <v>720.67</v>
      </c>
      <c r="AQ18">
        <v>830.35</v>
      </c>
      <c r="AR18">
        <v>930.75</v>
      </c>
      <c r="AS18">
        <v>1082.6199999999999</v>
      </c>
      <c r="AT18">
        <v>1100.9000000000001</v>
      </c>
      <c r="AU18">
        <v>1081.58</v>
      </c>
      <c r="AV18">
        <v>1028.68</v>
      </c>
      <c r="AW18">
        <v>1081.8699999999999</v>
      </c>
      <c r="AX18">
        <v>1185.69</v>
      </c>
      <c r="AY18">
        <v>1230.18</v>
      </c>
      <c r="AZ18">
        <v>1230.75</v>
      </c>
      <c r="BA18">
        <v>1261.07</v>
      </c>
      <c r="BB18">
        <v>1442.51</v>
      </c>
      <c r="BC18">
        <v>1555.09</v>
      </c>
      <c r="BD18">
        <v>1546.69</v>
      </c>
      <c r="BE18">
        <v>1571.9</v>
      </c>
      <c r="BF18">
        <v>1654.63</v>
      </c>
      <c r="BG18">
        <v>1729.06</v>
      </c>
      <c r="BH18">
        <v>1782.88</v>
      </c>
      <c r="BI18">
        <v>1845.62</v>
      </c>
      <c r="BJ18">
        <v>1915.05</v>
      </c>
      <c r="BK18">
        <v>1975.95</v>
      </c>
      <c r="BL18">
        <v>2034.31</v>
      </c>
    </row>
    <row r="19" spans="1:64">
      <c r="A19" s="1" t="s">
        <v>1147</v>
      </c>
      <c r="B19" s="1">
        <v>50</v>
      </c>
      <c r="C19" s="1">
        <v>50</v>
      </c>
      <c r="D19" s="1">
        <v>50</v>
      </c>
      <c r="E19" s="1">
        <v>50</v>
      </c>
      <c r="F19" s="1">
        <v>50</v>
      </c>
      <c r="G19" s="1">
        <v>50</v>
      </c>
      <c r="H19" s="1">
        <v>50</v>
      </c>
      <c r="I19" s="1">
        <v>50</v>
      </c>
      <c r="J19" s="1">
        <v>50</v>
      </c>
      <c r="K19" s="1">
        <v>50</v>
      </c>
      <c r="L19" s="1">
        <v>50</v>
      </c>
      <c r="M19" s="1">
        <v>49.06</v>
      </c>
      <c r="N19" s="1">
        <v>44.01</v>
      </c>
      <c r="O19" s="1">
        <v>38.979999999999997</v>
      </c>
      <c r="P19" s="1">
        <v>38.950000000000003</v>
      </c>
      <c r="Q19" s="1">
        <v>36.78</v>
      </c>
      <c r="R19" s="1">
        <v>38.61</v>
      </c>
      <c r="S19" s="1">
        <v>35.840000000000003</v>
      </c>
      <c r="T19" s="1">
        <v>31.49</v>
      </c>
      <c r="U19" s="1">
        <v>29.32</v>
      </c>
      <c r="V19" s="1">
        <v>29.24</v>
      </c>
      <c r="W19" s="1">
        <v>37.130000000000003</v>
      </c>
      <c r="X19" s="1">
        <v>45.69</v>
      </c>
      <c r="Y19" s="1">
        <v>51.13</v>
      </c>
      <c r="Z19" s="1">
        <v>57.78</v>
      </c>
      <c r="AA19">
        <v>59.38</v>
      </c>
      <c r="AB19">
        <v>44.67</v>
      </c>
      <c r="AC19">
        <v>37.33</v>
      </c>
      <c r="AD19">
        <v>36.770000000000003</v>
      </c>
      <c r="AE19">
        <v>39.4</v>
      </c>
      <c r="AF19">
        <v>33.42</v>
      </c>
      <c r="AG19">
        <v>34.15</v>
      </c>
      <c r="AH19">
        <v>32.15</v>
      </c>
      <c r="AI19">
        <v>34.6</v>
      </c>
      <c r="AJ19">
        <v>33.46</v>
      </c>
      <c r="AK19">
        <v>29.48</v>
      </c>
      <c r="AL19">
        <v>30.96</v>
      </c>
      <c r="AM19">
        <v>35.770000000000003</v>
      </c>
      <c r="AN19">
        <v>36.299999999999997</v>
      </c>
      <c r="AO19">
        <v>0.94</v>
      </c>
      <c r="AP19">
        <v>1.08</v>
      </c>
      <c r="AQ19">
        <v>1.1200000000000001</v>
      </c>
      <c r="AR19">
        <v>1.06</v>
      </c>
      <c r="AS19">
        <v>0.88</v>
      </c>
      <c r="AT19">
        <v>0.8</v>
      </c>
      <c r="AU19">
        <v>0.8</v>
      </c>
      <c r="AV19">
        <v>0.8</v>
      </c>
      <c r="AW19">
        <v>0.73</v>
      </c>
      <c r="AX19">
        <v>0.68</v>
      </c>
      <c r="AY19">
        <v>0.72</v>
      </c>
      <c r="AZ19">
        <v>0.75</v>
      </c>
      <c r="BA19">
        <v>0.72</v>
      </c>
      <c r="BB19">
        <v>0.78</v>
      </c>
      <c r="BC19">
        <v>0.75</v>
      </c>
      <c r="BD19">
        <v>0.75</v>
      </c>
      <c r="BE19">
        <v>0.9</v>
      </c>
      <c r="BF19">
        <v>0.9</v>
      </c>
      <c r="BG19">
        <v>0.89</v>
      </c>
      <c r="BH19">
        <v>0.85</v>
      </c>
      <c r="BI19">
        <v>0.89</v>
      </c>
      <c r="BJ19">
        <v>0.88</v>
      </c>
      <c r="BK19">
        <v>0.85</v>
      </c>
      <c r="BL19">
        <v>0.95</v>
      </c>
    </row>
    <row r="20" spans="1:64">
      <c r="A20" s="1" t="s">
        <v>1148</v>
      </c>
      <c r="B20" s="1">
        <v>245.2</v>
      </c>
      <c r="C20" s="1">
        <v>245.26</v>
      </c>
      <c r="D20" s="1">
        <v>245.01</v>
      </c>
      <c r="E20" s="1">
        <v>245.02</v>
      </c>
      <c r="F20" s="1">
        <v>245.03</v>
      </c>
      <c r="G20" s="1">
        <v>245.06</v>
      </c>
      <c r="H20" s="1">
        <v>245.68</v>
      </c>
      <c r="I20" s="1">
        <v>246</v>
      </c>
      <c r="J20" s="1">
        <v>247.56</v>
      </c>
      <c r="K20" s="1">
        <v>259.95999999999998</v>
      </c>
      <c r="L20" s="1">
        <v>276.39999999999998</v>
      </c>
      <c r="M20" s="1">
        <v>275.36</v>
      </c>
      <c r="N20" s="1">
        <v>252.03</v>
      </c>
      <c r="O20" s="1">
        <v>222.89</v>
      </c>
      <c r="P20" s="1">
        <v>240.7</v>
      </c>
      <c r="Q20" s="1">
        <v>214.31</v>
      </c>
      <c r="R20" s="1">
        <v>238.95</v>
      </c>
      <c r="S20" s="1">
        <v>245.68</v>
      </c>
      <c r="T20" s="1">
        <v>225.66</v>
      </c>
      <c r="U20" s="1">
        <v>212.72</v>
      </c>
      <c r="V20" s="1">
        <v>211.28</v>
      </c>
      <c r="W20" s="1">
        <v>271.73</v>
      </c>
      <c r="X20" s="1">
        <v>328.61</v>
      </c>
      <c r="Y20" s="1">
        <v>381.07</v>
      </c>
      <c r="Z20" s="1">
        <v>436.96</v>
      </c>
      <c r="AA20">
        <v>449.26</v>
      </c>
      <c r="AB20">
        <v>346.31</v>
      </c>
      <c r="AC20">
        <v>300.54000000000002</v>
      </c>
      <c r="AD20">
        <v>297.85000000000002</v>
      </c>
      <c r="AE20">
        <v>319.01</v>
      </c>
      <c r="AF20">
        <v>272.26</v>
      </c>
      <c r="AG20">
        <v>282.11</v>
      </c>
      <c r="AH20">
        <v>264.69</v>
      </c>
      <c r="AI20">
        <v>283.16000000000003</v>
      </c>
      <c r="AJ20">
        <v>555.20000000000005</v>
      </c>
      <c r="AK20">
        <v>499.15</v>
      </c>
      <c r="AL20">
        <v>511.55</v>
      </c>
      <c r="AM20">
        <v>583.66999999999996</v>
      </c>
      <c r="AN20">
        <v>589.95000000000005</v>
      </c>
      <c r="AO20">
        <v>615.47</v>
      </c>
      <c r="AP20">
        <v>710.21</v>
      </c>
      <c r="AQ20">
        <v>732.4</v>
      </c>
      <c r="AR20">
        <v>693.71</v>
      </c>
      <c r="AS20">
        <v>579.9</v>
      </c>
      <c r="AT20">
        <v>527.34</v>
      </c>
      <c r="AU20">
        <v>527.26</v>
      </c>
      <c r="AV20">
        <v>522.42999999999995</v>
      </c>
      <c r="AW20">
        <v>478.63</v>
      </c>
      <c r="AX20">
        <v>446</v>
      </c>
      <c r="AY20">
        <v>470.29</v>
      </c>
      <c r="AZ20">
        <v>494.79</v>
      </c>
      <c r="BA20">
        <v>471.25</v>
      </c>
      <c r="BB20">
        <v>510.56</v>
      </c>
      <c r="BC20">
        <v>493.9</v>
      </c>
      <c r="BD20">
        <v>493.76</v>
      </c>
      <c r="BE20">
        <v>591.21</v>
      </c>
      <c r="BF20">
        <v>592.61</v>
      </c>
      <c r="BG20">
        <v>580.66</v>
      </c>
      <c r="BH20">
        <v>555.45000000000005</v>
      </c>
      <c r="BI20">
        <v>585.95000000000005</v>
      </c>
      <c r="BJ20">
        <v>574.29</v>
      </c>
      <c r="BK20">
        <v>554.61</v>
      </c>
      <c r="BL20">
        <v>623.94000000000005</v>
      </c>
    </row>
    <row r="21" spans="1:64">
      <c r="A21" s="1" t="s">
        <v>1149</v>
      </c>
      <c r="B21" s="1">
        <v>245.2</v>
      </c>
      <c r="C21" s="1">
        <v>245.26</v>
      </c>
      <c r="D21" s="1">
        <v>245.01</v>
      </c>
      <c r="E21" s="1">
        <v>245.02</v>
      </c>
      <c r="F21" s="1">
        <v>245.03</v>
      </c>
      <c r="G21" s="1">
        <v>245.06</v>
      </c>
      <c r="H21" s="1">
        <v>245.68</v>
      </c>
      <c r="I21" s="1">
        <v>246</v>
      </c>
      <c r="J21" s="1">
        <v>247.56</v>
      </c>
      <c r="K21" s="1">
        <v>259.95999999999998</v>
      </c>
      <c r="L21" s="1">
        <v>276.39999999999998</v>
      </c>
      <c r="M21" s="1">
        <v>275.36</v>
      </c>
      <c r="N21" s="1">
        <v>252.03</v>
      </c>
      <c r="O21" s="1">
        <v>222.89</v>
      </c>
      <c r="P21" s="1">
        <v>240.7</v>
      </c>
      <c r="Q21" s="1">
        <v>214.31</v>
      </c>
      <c r="R21" s="1">
        <v>238.95</v>
      </c>
      <c r="S21" s="1">
        <v>245.68</v>
      </c>
      <c r="T21" s="1">
        <v>225.66</v>
      </c>
      <c r="U21" s="1">
        <v>212.72</v>
      </c>
      <c r="V21" s="1">
        <v>211.28</v>
      </c>
      <c r="W21" s="1">
        <v>271.73</v>
      </c>
      <c r="X21" s="1">
        <v>328.61</v>
      </c>
      <c r="Y21" s="1">
        <v>381.07</v>
      </c>
      <c r="Z21" s="1">
        <v>436.96</v>
      </c>
      <c r="AA21">
        <v>449.26</v>
      </c>
      <c r="AB21">
        <v>346.31</v>
      </c>
      <c r="AC21">
        <v>300.54000000000002</v>
      </c>
      <c r="AD21">
        <v>297.85000000000002</v>
      </c>
      <c r="AE21">
        <v>319.01</v>
      </c>
      <c r="AF21">
        <v>272.26</v>
      </c>
      <c r="AG21">
        <v>282.11</v>
      </c>
      <c r="AH21">
        <v>264.69</v>
      </c>
      <c r="AI21">
        <v>283.16000000000003</v>
      </c>
      <c r="AJ21">
        <v>555.20000000000005</v>
      </c>
      <c r="AK21">
        <v>499.15</v>
      </c>
      <c r="AL21">
        <v>511.55</v>
      </c>
      <c r="AM21">
        <v>583.66999999999996</v>
      </c>
      <c r="AN21">
        <v>589.95000000000005</v>
      </c>
      <c r="AO21">
        <v>615.47</v>
      </c>
      <c r="AP21">
        <v>710.21</v>
      </c>
      <c r="AQ21">
        <v>732.4</v>
      </c>
      <c r="AR21">
        <v>693.71</v>
      </c>
      <c r="AS21">
        <v>579.9</v>
      </c>
      <c r="AT21">
        <v>527.34</v>
      </c>
      <c r="AU21">
        <v>527.26</v>
      </c>
      <c r="AV21">
        <v>522.42999999999995</v>
      </c>
      <c r="AW21">
        <v>478.63</v>
      </c>
      <c r="AX21">
        <v>446</v>
      </c>
      <c r="AY21">
        <v>470.29</v>
      </c>
      <c r="AZ21">
        <v>494.79</v>
      </c>
      <c r="BA21">
        <v>471.25</v>
      </c>
      <c r="BB21">
        <v>510.56</v>
      </c>
      <c r="BC21">
        <v>493.9</v>
      </c>
      <c r="BD21">
        <v>493.76</v>
      </c>
      <c r="BE21">
        <v>591.21</v>
      </c>
      <c r="BF21">
        <v>592.61</v>
      </c>
      <c r="BG21">
        <v>580.66</v>
      </c>
      <c r="BH21">
        <v>555.45000000000005</v>
      </c>
      <c r="BI21">
        <v>585.91</v>
      </c>
      <c r="BJ21">
        <v>575.59</v>
      </c>
      <c r="BK21">
        <v>554.53</v>
      </c>
      <c r="BL21">
        <v>623.76</v>
      </c>
    </row>
    <row r="22" spans="1:64">
      <c r="A22" s="1" t="s">
        <v>1150</v>
      </c>
      <c r="B22" s="1"/>
      <c r="C22" s="1"/>
      <c r="D22" s="1"/>
      <c r="E22" s="1"/>
      <c r="F22" s="1"/>
      <c r="G22" s="1"/>
      <c r="H22" s="1"/>
      <c r="I22" s="1"/>
      <c r="J22" s="1"/>
      <c r="K22" s="1"/>
      <c r="L22" s="1"/>
      <c r="M22" s="1">
        <v>7.87</v>
      </c>
      <c r="N22" s="1">
        <v>7.7</v>
      </c>
      <c r="O22" s="1">
        <v>7.85</v>
      </c>
      <c r="P22" s="1">
        <v>8.23</v>
      </c>
      <c r="Q22" s="1">
        <v>12.19</v>
      </c>
      <c r="R22" s="1">
        <v>15.4</v>
      </c>
      <c r="S22" s="1">
        <v>15.38</v>
      </c>
      <c r="T22" s="1">
        <v>15.02</v>
      </c>
      <c r="U22" s="1">
        <v>15.55</v>
      </c>
      <c r="V22" s="1">
        <v>15.45</v>
      </c>
      <c r="W22" s="1">
        <v>17.989999999999998</v>
      </c>
      <c r="X22" s="1">
        <v>22.12</v>
      </c>
      <c r="Y22" s="1">
        <v>24.62</v>
      </c>
      <c r="Z22" s="1">
        <v>25.35</v>
      </c>
      <c r="AA22">
        <v>27.99</v>
      </c>
      <c r="AB22">
        <v>30.41</v>
      </c>
      <c r="AC22">
        <v>30.95</v>
      </c>
      <c r="AD22">
        <v>31.73</v>
      </c>
      <c r="AE22">
        <v>32.270000000000003</v>
      </c>
      <c r="AF22">
        <v>34.57</v>
      </c>
      <c r="AG22">
        <v>36.6</v>
      </c>
      <c r="AH22">
        <v>38.950000000000003</v>
      </c>
      <c r="AI22">
        <v>39.57</v>
      </c>
      <c r="AJ22">
        <v>40.21</v>
      </c>
      <c r="AK22">
        <v>40.28</v>
      </c>
      <c r="AL22">
        <v>41.79</v>
      </c>
      <c r="AM22">
        <v>43.89</v>
      </c>
      <c r="AN22">
        <v>46.91</v>
      </c>
      <c r="AO22">
        <v>49.09</v>
      </c>
      <c r="AP22">
        <v>52.14</v>
      </c>
      <c r="AQ22">
        <v>55.81</v>
      </c>
      <c r="AR22">
        <v>57.89</v>
      </c>
      <c r="AS22">
        <v>58.15</v>
      </c>
      <c r="AT22">
        <v>59.51</v>
      </c>
      <c r="AU22">
        <v>64.33</v>
      </c>
      <c r="AV22">
        <v>68.930000000000007</v>
      </c>
      <c r="AW22">
        <v>68.87</v>
      </c>
      <c r="AX22">
        <v>68.599999999999994</v>
      </c>
      <c r="AY22">
        <v>69.040000000000006</v>
      </c>
      <c r="AZ22">
        <v>69.650000000000006</v>
      </c>
      <c r="BA22">
        <v>74.150000000000006</v>
      </c>
      <c r="BB22">
        <v>81.86</v>
      </c>
      <c r="BC22">
        <v>78.099999999999994</v>
      </c>
      <c r="BD22">
        <v>77.64</v>
      </c>
      <c r="BE22">
        <v>77.95</v>
      </c>
      <c r="BF22">
        <v>78.47</v>
      </c>
      <c r="BG22">
        <v>80.44</v>
      </c>
      <c r="BH22">
        <v>83.47</v>
      </c>
      <c r="BI22">
        <v>84.45</v>
      </c>
      <c r="BJ22">
        <v>84.87</v>
      </c>
      <c r="BK22">
        <v>85.08</v>
      </c>
      <c r="BL22">
        <v>91.75</v>
      </c>
    </row>
    <row r="23" spans="1:64">
      <c r="A23" s="1" t="s">
        <v>1151</v>
      </c>
      <c r="B23" s="1">
        <v>0</v>
      </c>
      <c r="C23" s="1">
        <v>0</v>
      </c>
      <c r="D23" s="1">
        <v>0</v>
      </c>
      <c r="E23" s="1">
        <v>0</v>
      </c>
      <c r="F23" s="1">
        <v>0</v>
      </c>
      <c r="G23" s="1">
        <v>0</v>
      </c>
      <c r="H23" s="1">
        <v>0</v>
      </c>
      <c r="I23" s="1">
        <v>0</v>
      </c>
      <c r="J23" s="1">
        <v>0</v>
      </c>
      <c r="K23" s="1">
        <v>0</v>
      </c>
      <c r="L23" s="1">
        <v>0</v>
      </c>
      <c r="M23" s="1">
        <v>0</v>
      </c>
      <c r="N23" s="1">
        <v>0</v>
      </c>
      <c r="O23" s="1">
        <v>0</v>
      </c>
      <c r="P23" s="1">
        <v>0</v>
      </c>
      <c r="Q23" s="1"/>
      <c r="R23" s="1"/>
      <c r="S23" s="1"/>
      <c r="T23" s="1"/>
      <c r="U23" s="1"/>
      <c r="V23" s="1"/>
      <c r="W23" s="1"/>
      <c r="X23" s="1"/>
      <c r="Y23" s="1"/>
      <c r="Z23" s="1"/>
      <c r="AG23">
        <v>0.02</v>
      </c>
      <c r="AH23">
        <v>0.02</v>
      </c>
      <c r="AI23">
        <v>0.03</v>
      </c>
      <c r="AJ23">
        <v>0.05</v>
      </c>
      <c r="AK23">
        <v>7.0000000000000007E-2</v>
      </c>
      <c r="AL23">
        <v>0.18</v>
      </c>
      <c r="AM23">
        <v>1.68</v>
      </c>
      <c r="AN23">
        <v>1.76</v>
      </c>
      <c r="AO23">
        <v>1.84</v>
      </c>
      <c r="AP23">
        <v>2.12</v>
      </c>
      <c r="AQ23">
        <v>2.1800000000000002</v>
      </c>
      <c r="AR23">
        <v>2.08</v>
      </c>
      <c r="AS23">
        <v>1.73</v>
      </c>
      <c r="AT23">
        <v>1.58</v>
      </c>
      <c r="AU23">
        <v>1.57</v>
      </c>
      <c r="AV23">
        <v>1.56</v>
      </c>
      <c r="AW23">
        <v>1.43</v>
      </c>
      <c r="AX23">
        <v>1.34</v>
      </c>
      <c r="AY23">
        <v>1.41</v>
      </c>
      <c r="AZ23">
        <v>1.48</v>
      </c>
      <c r="BA23">
        <v>1.41</v>
      </c>
      <c r="BB23">
        <v>1.52</v>
      </c>
      <c r="BC23">
        <v>1.47</v>
      </c>
      <c r="BD23">
        <v>1.47</v>
      </c>
      <c r="BE23">
        <v>1.76</v>
      </c>
      <c r="BF23">
        <v>1.77</v>
      </c>
      <c r="BG23">
        <v>1.74</v>
      </c>
      <c r="BH23">
        <v>1.66</v>
      </c>
      <c r="BI23">
        <v>1.75</v>
      </c>
      <c r="BJ23">
        <v>1.72</v>
      </c>
      <c r="BK23">
        <v>1.65</v>
      </c>
      <c r="BL23">
        <v>1.86</v>
      </c>
    </row>
    <row r="24" spans="1:64">
      <c r="A24" s="1" t="s">
        <v>1152</v>
      </c>
      <c r="B24" s="1"/>
      <c r="C24" s="1"/>
      <c r="D24" s="1"/>
      <c r="E24" s="1"/>
      <c r="F24" s="1"/>
      <c r="G24" s="1"/>
      <c r="H24" s="1">
        <v>0.48</v>
      </c>
      <c r="I24" s="1">
        <v>0.48</v>
      </c>
      <c r="J24" s="1">
        <v>0.48</v>
      </c>
      <c r="K24" s="1">
        <v>0.48</v>
      </c>
      <c r="L24" s="1">
        <v>0.48</v>
      </c>
      <c r="M24" s="1">
        <v>0.47</v>
      </c>
      <c r="N24" s="1">
        <v>0.44</v>
      </c>
      <c r="O24" s="1">
        <v>0.4</v>
      </c>
      <c r="P24" s="1">
        <v>0.39</v>
      </c>
      <c r="Q24" s="1">
        <v>0.4</v>
      </c>
      <c r="R24" s="1">
        <v>0.4</v>
      </c>
      <c r="S24" s="1">
        <v>0.4</v>
      </c>
      <c r="T24" s="1">
        <v>0.39</v>
      </c>
      <c r="U24" s="1">
        <v>0.38</v>
      </c>
      <c r="V24" s="1">
        <v>0.38</v>
      </c>
      <c r="W24" s="1">
        <v>0.38</v>
      </c>
      <c r="X24" s="1">
        <v>0.38</v>
      </c>
      <c r="Y24" s="1">
        <v>0.38</v>
      </c>
      <c r="Z24" s="1">
        <v>0.38</v>
      </c>
      <c r="AA24">
        <v>0.38</v>
      </c>
      <c r="AB24">
        <v>0.38</v>
      </c>
      <c r="AC24">
        <v>0.38</v>
      </c>
      <c r="AD24">
        <v>0.38</v>
      </c>
      <c r="AE24">
        <v>0.38</v>
      </c>
      <c r="AF24">
        <v>0.38</v>
      </c>
      <c r="AG24">
        <v>0.38</v>
      </c>
      <c r="AH24">
        <v>0.38</v>
      </c>
      <c r="AI24">
        <v>0.38</v>
      </c>
      <c r="AJ24">
        <v>0.38</v>
      </c>
      <c r="AK24">
        <v>0.38</v>
      </c>
      <c r="AL24">
        <v>0.38</v>
      </c>
      <c r="AM24">
        <v>0.38</v>
      </c>
      <c r="AN24">
        <v>0.38</v>
      </c>
      <c r="AO24">
        <v>0.38</v>
      </c>
      <c r="AP24">
        <v>0.38</v>
      </c>
      <c r="AQ24">
        <v>0.38</v>
      </c>
      <c r="AR24">
        <v>0.38</v>
      </c>
      <c r="AS24">
        <v>0.38</v>
      </c>
      <c r="AT24">
        <v>0.38</v>
      </c>
      <c r="AU24">
        <v>0.38</v>
      </c>
      <c r="AV24">
        <v>0.38</v>
      </c>
      <c r="AW24">
        <v>0.38</v>
      </c>
      <c r="AX24">
        <v>0.38</v>
      </c>
      <c r="AY24">
        <v>0.38</v>
      </c>
      <c r="AZ24">
        <v>0.38</v>
      </c>
      <c r="BA24">
        <v>0.38</v>
      </c>
      <c r="BB24">
        <v>0.38</v>
      </c>
      <c r="BC24">
        <v>0.38</v>
      </c>
      <c r="BD24">
        <v>0.38</v>
      </c>
      <c r="BE24">
        <v>0.38</v>
      </c>
      <c r="BF24">
        <v>0.38</v>
      </c>
      <c r="BG24">
        <v>0.38</v>
      </c>
      <c r="BH24">
        <v>0.38</v>
      </c>
      <c r="BI24">
        <v>0.38</v>
      </c>
      <c r="BJ24">
        <v>0.38</v>
      </c>
      <c r="BK24">
        <v>0.38</v>
      </c>
      <c r="BL24">
        <v>0.38</v>
      </c>
    </row>
    <row r="25" spans="1:64">
      <c r="A25" s="1" t="s">
        <v>1153</v>
      </c>
      <c r="B25" s="1">
        <v>1.02</v>
      </c>
      <c r="C25" s="1">
        <v>1.02</v>
      </c>
      <c r="D25" s="1">
        <v>1.02</v>
      </c>
      <c r="E25" s="1">
        <v>1.02</v>
      </c>
      <c r="F25" s="1">
        <v>1.02</v>
      </c>
      <c r="G25" s="1">
        <v>1.02</v>
      </c>
      <c r="H25" s="1">
        <v>1</v>
      </c>
      <c r="I25" s="1">
        <v>1</v>
      </c>
      <c r="J25" s="1">
        <v>1</v>
      </c>
      <c r="K25" s="1">
        <v>1</v>
      </c>
      <c r="L25" s="1">
        <v>1</v>
      </c>
      <c r="M25" s="1">
        <v>1</v>
      </c>
      <c r="N25" s="1">
        <v>1</v>
      </c>
      <c r="O25" s="1">
        <v>1</v>
      </c>
      <c r="P25" s="1">
        <v>1</v>
      </c>
      <c r="Q25" s="1">
        <v>1</v>
      </c>
      <c r="R25" s="1">
        <v>1</v>
      </c>
      <c r="S25" s="1">
        <v>1</v>
      </c>
      <c r="T25" s="1">
        <v>1</v>
      </c>
      <c r="U25" s="1">
        <v>1</v>
      </c>
      <c r="V25" s="1">
        <v>1</v>
      </c>
      <c r="W25" s="1">
        <v>1</v>
      </c>
      <c r="X25" s="1">
        <v>1</v>
      </c>
      <c r="Y25" s="1">
        <v>1</v>
      </c>
      <c r="Z25" s="1">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row>
    <row r="26" spans="1:64">
      <c r="A26" s="1" t="s">
        <v>1154</v>
      </c>
      <c r="B26" s="1"/>
      <c r="C26" s="1"/>
      <c r="D26" s="1"/>
      <c r="E26" s="1"/>
      <c r="F26" s="1"/>
      <c r="G26" s="1"/>
      <c r="H26" s="1"/>
      <c r="I26" s="1"/>
      <c r="J26" s="1"/>
      <c r="K26" s="1"/>
      <c r="L26" s="1"/>
      <c r="M26" s="1"/>
      <c r="N26" s="1"/>
      <c r="O26" s="1"/>
      <c r="P26" s="1"/>
      <c r="Q26" s="1"/>
      <c r="R26" s="1"/>
      <c r="S26" s="1"/>
      <c r="T26" s="1"/>
      <c r="U26" s="1"/>
      <c r="V26" s="1"/>
      <c r="W26" s="1"/>
      <c r="X26" s="1"/>
      <c r="Y26" s="1"/>
      <c r="Z26" s="1"/>
      <c r="AM26">
        <v>1.73</v>
      </c>
      <c r="AN26">
        <v>1.76</v>
      </c>
      <c r="AO26">
        <v>1.84</v>
      </c>
      <c r="AP26">
        <v>2.12</v>
      </c>
      <c r="AQ26">
        <v>2.19</v>
      </c>
      <c r="AR26">
        <v>2.08</v>
      </c>
      <c r="AS26">
        <v>1.73</v>
      </c>
      <c r="AT26">
        <v>1.58</v>
      </c>
      <c r="AU26">
        <v>1.57</v>
      </c>
      <c r="AV26">
        <v>1.56</v>
      </c>
      <c r="AW26">
        <v>1.43</v>
      </c>
      <c r="AX26">
        <v>1.34</v>
      </c>
      <c r="AY26">
        <v>1.41</v>
      </c>
      <c r="AZ26">
        <v>1.48</v>
      </c>
      <c r="BA26">
        <v>1.41</v>
      </c>
      <c r="BB26">
        <v>1.52</v>
      </c>
      <c r="BC26">
        <v>1.47</v>
      </c>
      <c r="BD26">
        <v>1.47</v>
      </c>
      <c r="BE26">
        <v>1.76</v>
      </c>
      <c r="BF26">
        <v>1.77</v>
      </c>
      <c r="BG26">
        <v>1.74</v>
      </c>
      <c r="BH26">
        <v>1.66</v>
      </c>
      <c r="BI26">
        <v>1.75</v>
      </c>
      <c r="BJ26">
        <v>1.72</v>
      </c>
      <c r="BK26">
        <v>1.65</v>
      </c>
      <c r="BL26">
        <v>1.86</v>
      </c>
    </row>
    <row r="27" spans="1:64">
      <c r="A27" s="1" t="s">
        <v>1155</v>
      </c>
      <c r="B27" s="1"/>
      <c r="C27" s="1"/>
      <c r="D27" s="1"/>
      <c r="E27" s="1"/>
      <c r="F27" s="1"/>
      <c r="G27" s="1"/>
      <c r="H27" s="1"/>
      <c r="I27" s="1"/>
      <c r="J27" s="1"/>
      <c r="K27" s="1"/>
      <c r="L27" s="1"/>
      <c r="M27" s="1"/>
      <c r="N27" s="1"/>
      <c r="O27" s="1"/>
      <c r="P27" s="1"/>
      <c r="Q27" s="1"/>
      <c r="R27" s="1"/>
      <c r="S27" s="1"/>
      <c r="T27" s="1"/>
      <c r="U27" s="1"/>
      <c r="V27" s="1"/>
      <c r="W27" s="1"/>
      <c r="X27" s="1"/>
      <c r="Y27" s="1"/>
      <c r="Z27" s="1"/>
      <c r="AJ27">
        <v>0</v>
      </c>
      <c r="AK27">
        <v>0</v>
      </c>
      <c r="AL27">
        <v>0</v>
      </c>
      <c r="AM27">
        <v>0</v>
      </c>
      <c r="AN27">
        <v>0</v>
      </c>
      <c r="AO27">
        <v>0.02</v>
      </c>
      <c r="AP27">
        <v>0.09</v>
      </c>
      <c r="AQ27">
        <v>0.14000000000000001</v>
      </c>
      <c r="AR27">
        <v>0.18</v>
      </c>
      <c r="AS27">
        <v>0.21</v>
      </c>
      <c r="AT27">
        <v>0.22</v>
      </c>
      <c r="AU27">
        <v>0.22</v>
      </c>
      <c r="AV27">
        <v>0.21</v>
      </c>
      <c r="AW27">
        <v>0.21</v>
      </c>
      <c r="AX27">
        <v>0.21</v>
      </c>
      <c r="AY27">
        <v>0.28000000000000003</v>
      </c>
      <c r="AZ27">
        <v>0.3</v>
      </c>
      <c r="BA27">
        <v>0.5</v>
      </c>
      <c r="BB27">
        <v>0.83</v>
      </c>
      <c r="BC27">
        <v>0.89</v>
      </c>
      <c r="BD27">
        <v>1.02</v>
      </c>
      <c r="BE27">
        <v>1.59</v>
      </c>
      <c r="BF27">
        <v>1.99</v>
      </c>
      <c r="BG27">
        <v>1.93</v>
      </c>
      <c r="BH27">
        <v>2.04</v>
      </c>
      <c r="BI27">
        <v>2.09</v>
      </c>
      <c r="BJ27">
        <v>2.44</v>
      </c>
      <c r="BK27">
        <v>2.54</v>
      </c>
      <c r="BL27">
        <v>2.63</v>
      </c>
    </row>
    <row r="28" spans="1:64">
      <c r="A28" s="1" t="s">
        <v>1156</v>
      </c>
      <c r="B28" s="1">
        <v>1.43</v>
      </c>
      <c r="C28" s="1">
        <v>1.43</v>
      </c>
      <c r="D28" s="1">
        <v>1.43</v>
      </c>
      <c r="E28" s="1">
        <v>1.43</v>
      </c>
      <c r="F28" s="1">
        <v>1.43</v>
      </c>
      <c r="G28" s="1">
        <v>1.43</v>
      </c>
      <c r="H28" s="1">
        <v>1.43</v>
      </c>
      <c r="I28" s="1">
        <v>1.45</v>
      </c>
      <c r="J28" s="1">
        <v>1.67</v>
      </c>
      <c r="K28" s="1">
        <v>1.67</v>
      </c>
      <c r="L28" s="1">
        <v>1.67</v>
      </c>
      <c r="M28" s="1">
        <v>1.64</v>
      </c>
      <c r="N28" s="1">
        <v>1.6</v>
      </c>
      <c r="O28" s="1">
        <v>1.63</v>
      </c>
      <c r="P28" s="1">
        <v>1.71</v>
      </c>
      <c r="Q28" s="1">
        <v>1.81</v>
      </c>
      <c r="R28" s="1">
        <v>2.23</v>
      </c>
      <c r="S28" s="1">
        <v>2</v>
      </c>
      <c r="T28" s="1">
        <v>2</v>
      </c>
      <c r="U28" s="1">
        <v>2</v>
      </c>
      <c r="V28" s="1">
        <v>2</v>
      </c>
      <c r="W28" s="1">
        <v>2</v>
      </c>
      <c r="X28" s="1">
        <v>2</v>
      </c>
      <c r="Y28" s="1">
        <v>2</v>
      </c>
      <c r="Z28" s="1">
        <v>2</v>
      </c>
      <c r="AA28">
        <v>2</v>
      </c>
      <c r="AB28">
        <v>2</v>
      </c>
      <c r="AC28">
        <v>2</v>
      </c>
      <c r="AD28">
        <v>2</v>
      </c>
      <c r="AE28">
        <v>2</v>
      </c>
      <c r="AF28">
        <v>2</v>
      </c>
      <c r="AG28">
        <v>2</v>
      </c>
      <c r="AH28">
        <v>2</v>
      </c>
      <c r="AI28">
        <v>2</v>
      </c>
      <c r="AJ28">
        <v>2</v>
      </c>
      <c r="AK28">
        <v>2</v>
      </c>
      <c r="AL28">
        <v>2</v>
      </c>
      <c r="AM28">
        <v>2</v>
      </c>
      <c r="AN28">
        <v>2</v>
      </c>
      <c r="AO28">
        <v>2</v>
      </c>
      <c r="AP28">
        <v>2</v>
      </c>
      <c r="AQ28">
        <v>2</v>
      </c>
      <c r="AR28">
        <v>2</v>
      </c>
      <c r="AS28">
        <v>2</v>
      </c>
      <c r="AT28">
        <v>2</v>
      </c>
      <c r="AU28">
        <v>2</v>
      </c>
      <c r="AV28">
        <v>2</v>
      </c>
      <c r="AW28">
        <v>2</v>
      </c>
      <c r="AX28">
        <v>2</v>
      </c>
      <c r="AY28">
        <v>2</v>
      </c>
      <c r="AZ28">
        <v>2</v>
      </c>
      <c r="BA28">
        <v>2</v>
      </c>
      <c r="BB28">
        <v>2</v>
      </c>
      <c r="BC28">
        <v>2</v>
      </c>
      <c r="BD28">
        <v>2</v>
      </c>
      <c r="BE28">
        <v>2</v>
      </c>
      <c r="BF28">
        <v>2</v>
      </c>
      <c r="BG28">
        <v>2</v>
      </c>
      <c r="BH28">
        <v>2</v>
      </c>
      <c r="BI28">
        <v>2</v>
      </c>
      <c r="BJ28">
        <v>2</v>
      </c>
      <c r="BK28">
        <v>2</v>
      </c>
      <c r="BL28">
        <v>2</v>
      </c>
    </row>
    <row r="29" spans="1:64">
      <c r="A29" s="1" t="s">
        <v>1157</v>
      </c>
      <c r="B29" s="1">
        <v>0.86</v>
      </c>
      <c r="C29" s="1">
        <v>0.86</v>
      </c>
      <c r="D29" s="1">
        <v>0.86</v>
      </c>
      <c r="E29" s="1">
        <v>0.86</v>
      </c>
      <c r="F29" s="1">
        <v>0.86</v>
      </c>
      <c r="G29" s="1">
        <v>0.86</v>
      </c>
      <c r="H29" s="1">
        <v>0.86</v>
      </c>
      <c r="I29" s="1">
        <v>0.87</v>
      </c>
      <c r="J29" s="1">
        <v>1</v>
      </c>
      <c r="K29" s="1">
        <v>1</v>
      </c>
      <c r="L29" s="1">
        <v>1</v>
      </c>
      <c r="M29" s="1">
        <v>1</v>
      </c>
      <c r="N29" s="1">
        <v>1</v>
      </c>
      <c r="O29" s="1">
        <v>1</v>
      </c>
      <c r="P29" s="1">
        <v>1</v>
      </c>
      <c r="Q29" s="1">
        <v>1</v>
      </c>
      <c r="R29" s="1">
        <v>1</v>
      </c>
      <c r="S29" s="1">
        <v>1</v>
      </c>
      <c r="T29" s="1">
        <v>1</v>
      </c>
      <c r="U29" s="1">
        <v>1</v>
      </c>
      <c r="V29" s="1">
        <v>1</v>
      </c>
      <c r="W29" s="1">
        <v>1</v>
      </c>
      <c r="X29" s="1">
        <v>1</v>
      </c>
      <c r="Y29" s="1">
        <v>1</v>
      </c>
      <c r="Z29" s="1">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row>
    <row r="30" spans="1:64">
      <c r="A30" s="1" t="s">
        <v>1158</v>
      </c>
      <c r="B30" s="1">
        <v>0</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v>0.44</v>
      </c>
      <c r="AB30">
        <v>1.92</v>
      </c>
      <c r="AC30">
        <v>2.0499999999999998</v>
      </c>
      <c r="AD30">
        <v>2.35</v>
      </c>
      <c r="AE30">
        <v>2.69</v>
      </c>
      <c r="AF30">
        <v>3.17</v>
      </c>
      <c r="AG30">
        <v>3.58</v>
      </c>
      <c r="AH30">
        <v>3.9</v>
      </c>
      <c r="AI30">
        <v>4.2699999999999996</v>
      </c>
      <c r="AJ30">
        <v>4.62</v>
      </c>
      <c r="AK30">
        <v>4.8</v>
      </c>
      <c r="AL30">
        <v>5.07</v>
      </c>
      <c r="AM30">
        <v>5.25</v>
      </c>
      <c r="AN30">
        <v>5.51</v>
      </c>
      <c r="AO30">
        <v>5.81</v>
      </c>
      <c r="AP30">
        <v>6.18</v>
      </c>
      <c r="AQ30">
        <v>6.61</v>
      </c>
      <c r="AR30">
        <v>7.17</v>
      </c>
      <c r="AS30">
        <v>7.66</v>
      </c>
      <c r="AT30">
        <v>7.94</v>
      </c>
      <c r="AU30">
        <v>8.07</v>
      </c>
      <c r="AV30">
        <v>8.01</v>
      </c>
      <c r="AW30">
        <v>7.85</v>
      </c>
      <c r="AX30">
        <v>7.24</v>
      </c>
      <c r="AY30">
        <v>7.02</v>
      </c>
      <c r="AZ30">
        <v>7.02</v>
      </c>
      <c r="BA30">
        <v>6.94</v>
      </c>
      <c r="BB30">
        <v>6.91</v>
      </c>
      <c r="BC30">
        <v>6.91</v>
      </c>
      <c r="BD30">
        <v>6.91</v>
      </c>
      <c r="BE30">
        <v>6.91</v>
      </c>
      <c r="BF30">
        <v>6.91</v>
      </c>
      <c r="BG30">
        <v>6.91</v>
      </c>
      <c r="BH30">
        <v>6.91</v>
      </c>
      <c r="BI30">
        <v>6.91</v>
      </c>
      <c r="BJ30">
        <v>6.91</v>
      </c>
      <c r="BK30">
        <v>6.91</v>
      </c>
      <c r="BL30">
        <v>6.91</v>
      </c>
    </row>
    <row r="31" spans="1:64">
      <c r="A31" s="1" t="s">
        <v>211</v>
      </c>
      <c r="B31" s="1">
        <v>0</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v>0</v>
      </c>
      <c r="AB31">
        <v>0</v>
      </c>
      <c r="AC31">
        <v>0</v>
      </c>
      <c r="AD31">
        <v>0</v>
      </c>
      <c r="AE31">
        <v>0</v>
      </c>
      <c r="AF31">
        <v>0</v>
      </c>
      <c r="AG31">
        <v>0</v>
      </c>
      <c r="AH31">
        <v>0</v>
      </c>
      <c r="AI31">
        <v>0.04</v>
      </c>
      <c r="AJ31">
        <v>0.66</v>
      </c>
      <c r="AK31">
        <v>0.92</v>
      </c>
      <c r="AL31">
        <v>1.01</v>
      </c>
      <c r="AM31">
        <v>1.08</v>
      </c>
      <c r="AN31">
        <v>1.1599999999999999</v>
      </c>
      <c r="AO31">
        <v>1.81</v>
      </c>
      <c r="AP31">
        <v>1.83</v>
      </c>
      <c r="AQ31">
        <v>2.35</v>
      </c>
      <c r="AR31">
        <v>2.92</v>
      </c>
      <c r="AS31">
        <v>3.08</v>
      </c>
      <c r="AT31">
        <v>2.93</v>
      </c>
      <c r="AU31">
        <v>2.4300000000000002</v>
      </c>
      <c r="AV31">
        <v>2.1800000000000002</v>
      </c>
      <c r="AW31">
        <v>1.95</v>
      </c>
      <c r="AX31">
        <v>1.83</v>
      </c>
      <c r="AY31">
        <v>2</v>
      </c>
      <c r="AZ31">
        <v>1.76</v>
      </c>
      <c r="BA31">
        <v>1.67</v>
      </c>
      <c r="BB31">
        <v>1.95</v>
      </c>
      <c r="BC31">
        <v>2.16</v>
      </c>
      <c r="BD31">
        <v>2.35</v>
      </c>
      <c r="BE31">
        <v>3.33</v>
      </c>
      <c r="BF31">
        <v>3.49</v>
      </c>
      <c r="BG31">
        <v>3.19</v>
      </c>
      <c r="BH31">
        <v>3.65</v>
      </c>
      <c r="BI31">
        <v>3.94</v>
      </c>
      <c r="BJ31">
        <v>5.16</v>
      </c>
      <c r="BK31">
        <v>5.39</v>
      </c>
      <c r="BL31">
        <v>5.16</v>
      </c>
    </row>
    <row r="32" spans="1:64">
      <c r="A32" s="1" t="s">
        <v>1159</v>
      </c>
      <c r="B32" s="1">
        <v>1.71</v>
      </c>
      <c r="C32" s="1">
        <v>1.71</v>
      </c>
      <c r="D32" s="1">
        <v>1.71</v>
      </c>
      <c r="E32" s="1">
        <v>1.71</v>
      </c>
      <c r="F32" s="1">
        <v>1.71</v>
      </c>
      <c r="G32" s="1">
        <v>1.71</v>
      </c>
      <c r="H32" s="1">
        <v>1.71</v>
      </c>
      <c r="I32" s="1">
        <v>1.74</v>
      </c>
      <c r="J32" s="1">
        <v>2</v>
      </c>
      <c r="K32" s="1">
        <v>2</v>
      </c>
      <c r="L32" s="1">
        <v>2</v>
      </c>
      <c r="M32" s="1">
        <v>1.97</v>
      </c>
      <c r="N32" s="1">
        <v>1.92</v>
      </c>
      <c r="O32" s="1">
        <v>1.96</v>
      </c>
      <c r="P32" s="1">
        <v>2.0499999999999998</v>
      </c>
      <c r="Q32" s="1">
        <v>2.02</v>
      </c>
      <c r="R32" s="1">
        <v>2</v>
      </c>
      <c r="S32" s="1">
        <v>2</v>
      </c>
      <c r="T32" s="1">
        <v>2</v>
      </c>
      <c r="U32" s="1">
        <v>2</v>
      </c>
      <c r="V32" s="1">
        <v>2</v>
      </c>
      <c r="W32" s="1">
        <v>2</v>
      </c>
      <c r="X32" s="1">
        <v>2</v>
      </c>
      <c r="Y32" s="1">
        <v>2</v>
      </c>
      <c r="Z32" s="1">
        <v>2</v>
      </c>
      <c r="AA32">
        <v>2</v>
      </c>
      <c r="AB32">
        <v>2</v>
      </c>
      <c r="AC32">
        <v>2</v>
      </c>
      <c r="AD32">
        <v>2</v>
      </c>
      <c r="AE32">
        <v>2</v>
      </c>
      <c r="AF32">
        <v>2</v>
      </c>
      <c r="AG32">
        <v>2</v>
      </c>
      <c r="AH32">
        <v>2</v>
      </c>
      <c r="AI32">
        <v>2</v>
      </c>
      <c r="AJ32">
        <v>2</v>
      </c>
      <c r="AK32">
        <v>2</v>
      </c>
      <c r="AL32">
        <v>2</v>
      </c>
      <c r="AM32">
        <v>2</v>
      </c>
      <c r="AN32">
        <v>2</v>
      </c>
      <c r="AO32">
        <v>2</v>
      </c>
      <c r="AP32">
        <v>2</v>
      </c>
      <c r="AQ32">
        <v>2</v>
      </c>
      <c r="AR32">
        <v>2</v>
      </c>
      <c r="AS32">
        <v>2</v>
      </c>
      <c r="AT32">
        <v>2</v>
      </c>
      <c r="AU32">
        <v>2</v>
      </c>
      <c r="AV32">
        <v>2</v>
      </c>
      <c r="AW32">
        <v>2</v>
      </c>
      <c r="AX32">
        <v>2</v>
      </c>
      <c r="AY32">
        <v>2</v>
      </c>
      <c r="AZ32">
        <v>2</v>
      </c>
      <c r="BA32">
        <v>2</v>
      </c>
      <c r="BB32">
        <v>2</v>
      </c>
      <c r="BC32">
        <v>2</v>
      </c>
      <c r="BD32">
        <v>2</v>
      </c>
      <c r="BE32">
        <v>2</v>
      </c>
      <c r="BF32">
        <v>2</v>
      </c>
      <c r="BG32">
        <v>2</v>
      </c>
      <c r="BH32">
        <v>2</v>
      </c>
      <c r="BI32">
        <v>2</v>
      </c>
      <c r="BJ32">
        <v>2</v>
      </c>
      <c r="BK32">
        <v>2</v>
      </c>
      <c r="BL32">
        <v>2</v>
      </c>
    </row>
    <row r="33" spans="1:64">
      <c r="A33" s="1" t="s">
        <v>1160</v>
      </c>
      <c r="B33" s="1">
        <v>3.06</v>
      </c>
      <c r="C33" s="1">
        <v>3.06</v>
      </c>
      <c r="D33" s="1">
        <v>3.06</v>
      </c>
      <c r="E33" s="1">
        <v>3.06</v>
      </c>
      <c r="F33" s="1">
        <v>3.06</v>
      </c>
      <c r="G33" s="1">
        <v>3.06</v>
      </c>
      <c r="H33" s="1">
        <v>3.06</v>
      </c>
      <c r="I33" s="1">
        <v>3.06</v>
      </c>
      <c r="J33" s="1">
        <v>3.06</v>
      </c>
      <c r="K33" s="1">
        <v>3.06</v>
      </c>
      <c r="L33" s="1">
        <v>3.06</v>
      </c>
      <c r="M33" s="1">
        <v>3.05</v>
      </c>
      <c r="N33" s="1">
        <v>2.82</v>
      </c>
      <c r="O33" s="1">
        <v>2.46</v>
      </c>
      <c r="P33" s="1">
        <v>2.44</v>
      </c>
      <c r="Q33" s="1">
        <v>2.37</v>
      </c>
      <c r="R33" s="1">
        <v>2.4700000000000002</v>
      </c>
      <c r="S33" s="1">
        <v>2.44</v>
      </c>
      <c r="T33" s="1">
        <v>2.27</v>
      </c>
      <c r="U33" s="1">
        <v>2.17</v>
      </c>
      <c r="V33" s="1">
        <v>2.14</v>
      </c>
      <c r="W33" s="1">
        <v>2.11</v>
      </c>
      <c r="X33" s="1">
        <v>2.14</v>
      </c>
      <c r="Y33" s="1">
        <v>2.11</v>
      </c>
      <c r="Z33" s="1">
        <v>2.13</v>
      </c>
      <c r="AA33">
        <v>2.2000000000000002</v>
      </c>
      <c r="AB33">
        <v>2.1800000000000002</v>
      </c>
      <c r="AC33">
        <v>2.11</v>
      </c>
      <c r="AD33">
        <v>2.0099999999999998</v>
      </c>
      <c r="AE33">
        <v>1.95</v>
      </c>
      <c r="AF33">
        <v>1.81</v>
      </c>
      <c r="AG33">
        <v>1.73</v>
      </c>
      <c r="AH33">
        <v>1.63</v>
      </c>
      <c r="AI33">
        <v>1.62</v>
      </c>
      <c r="AJ33">
        <v>1.53</v>
      </c>
      <c r="AK33">
        <v>1.42</v>
      </c>
      <c r="AL33">
        <v>1.41</v>
      </c>
      <c r="AM33">
        <v>1.48</v>
      </c>
      <c r="AN33">
        <v>1.67</v>
      </c>
      <c r="AO33">
        <v>1.69</v>
      </c>
      <c r="AP33">
        <v>1.72</v>
      </c>
      <c r="AQ33">
        <v>1.79</v>
      </c>
      <c r="AR33">
        <v>1.79</v>
      </c>
      <c r="AS33">
        <v>1.74</v>
      </c>
      <c r="AT33">
        <v>1.69</v>
      </c>
      <c r="AU33">
        <v>1.66</v>
      </c>
      <c r="AV33">
        <v>1.59</v>
      </c>
      <c r="AW33">
        <v>1.51</v>
      </c>
      <c r="AX33">
        <v>1.42</v>
      </c>
      <c r="AY33">
        <v>1.45</v>
      </c>
      <c r="AZ33">
        <v>1.36</v>
      </c>
      <c r="BA33">
        <v>1.26</v>
      </c>
      <c r="BB33">
        <v>1.25</v>
      </c>
      <c r="BC33">
        <v>1.25</v>
      </c>
      <c r="BD33">
        <v>1.27</v>
      </c>
      <c r="BE33">
        <v>1.37</v>
      </c>
      <c r="BF33">
        <v>1.38</v>
      </c>
      <c r="BG33">
        <v>1.38</v>
      </c>
      <c r="BH33">
        <v>1.35</v>
      </c>
      <c r="BI33">
        <v>1.36</v>
      </c>
      <c r="BJ33">
        <v>1.38</v>
      </c>
      <c r="BK33">
        <v>1.34</v>
      </c>
      <c r="BL33">
        <v>1.38</v>
      </c>
    </row>
    <row r="34" spans="1:64">
      <c r="A34" s="1" t="s">
        <v>209</v>
      </c>
      <c r="B34" s="1">
        <v>4.76</v>
      </c>
      <c r="C34" s="1">
        <v>4.76</v>
      </c>
      <c r="D34" s="1">
        <v>4.76</v>
      </c>
      <c r="E34" s="1">
        <v>4.76</v>
      </c>
      <c r="F34" s="1">
        <v>4.76</v>
      </c>
      <c r="G34" s="1">
        <v>4.76</v>
      </c>
      <c r="H34" s="1">
        <v>6.36</v>
      </c>
      <c r="I34" s="1">
        <v>7.5</v>
      </c>
      <c r="J34" s="1">
        <v>7.5</v>
      </c>
      <c r="K34" s="1">
        <v>7.5</v>
      </c>
      <c r="L34" s="1">
        <v>7.5</v>
      </c>
      <c r="M34" s="1">
        <v>7.49</v>
      </c>
      <c r="N34" s="1">
        <v>7.59</v>
      </c>
      <c r="O34" s="1">
        <v>7.74</v>
      </c>
      <c r="P34" s="1">
        <v>8.1</v>
      </c>
      <c r="Q34" s="1">
        <v>8.3800000000000008</v>
      </c>
      <c r="R34" s="1">
        <v>8.9600000000000009</v>
      </c>
      <c r="S34" s="1">
        <v>8.74</v>
      </c>
      <c r="T34" s="1">
        <v>8.19</v>
      </c>
      <c r="U34" s="1">
        <v>8.1300000000000008</v>
      </c>
      <c r="V34" s="1">
        <v>7.86</v>
      </c>
      <c r="W34" s="1">
        <v>8.66</v>
      </c>
      <c r="X34" s="1">
        <v>9.4600000000000009</v>
      </c>
      <c r="Y34" s="1">
        <v>10.1</v>
      </c>
      <c r="Z34" s="1">
        <v>11.36</v>
      </c>
      <c r="AA34">
        <v>12.37</v>
      </c>
      <c r="AB34">
        <v>12.61</v>
      </c>
      <c r="AC34">
        <v>12.96</v>
      </c>
      <c r="AD34">
        <v>13.92</v>
      </c>
      <c r="AE34">
        <v>16.23</v>
      </c>
      <c r="AF34">
        <v>17.5</v>
      </c>
      <c r="AG34">
        <v>22.74</v>
      </c>
      <c r="AH34">
        <v>25.92</v>
      </c>
      <c r="AI34">
        <v>30.49</v>
      </c>
      <c r="AJ34">
        <v>31.37</v>
      </c>
      <c r="AK34">
        <v>32.43</v>
      </c>
      <c r="AL34">
        <v>35.43</v>
      </c>
      <c r="AM34">
        <v>36.31</v>
      </c>
      <c r="AN34">
        <v>41.26</v>
      </c>
      <c r="AO34">
        <v>43.06</v>
      </c>
      <c r="AP34">
        <v>44.94</v>
      </c>
      <c r="AQ34">
        <v>47.19</v>
      </c>
      <c r="AR34">
        <v>48.61</v>
      </c>
      <c r="AS34">
        <v>46.58</v>
      </c>
      <c r="AT34">
        <v>45.32</v>
      </c>
      <c r="AU34">
        <v>44.1</v>
      </c>
      <c r="AV34">
        <v>45.31</v>
      </c>
      <c r="AW34">
        <v>41.35</v>
      </c>
      <c r="AX34">
        <v>43.51</v>
      </c>
      <c r="AY34">
        <v>48.41</v>
      </c>
      <c r="AZ34">
        <v>45.73</v>
      </c>
      <c r="BA34">
        <v>46.67</v>
      </c>
      <c r="BB34">
        <v>53.44</v>
      </c>
      <c r="BC34">
        <v>58.6</v>
      </c>
      <c r="BD34">
        <v>61.03</v>
      </c>
      <c r="BE34">
        <v>64.150000000000006</v>
      </c>
      <c r="BF34">
        <v>67.2</v>
      </c>
      <c r="BG34">
        <v>65.12</v>
      </c>
      <c r="BH34">
        <v>68.39</v>
      </c>
      <c r="BI34">
        <v>70.42</v>
      </c>
      <c r="BJ34">
        <v>74.099999999999994</v>
      </c>
      <c r="BK34">
        <v>73.94</v>
      </c>
      <c r="BL34">
        <v>78.599999999999994</v>
      </c>
    </row>
    <row r="35" spans="1:64">
      <c r="A35" s="1" t="s">
        <v>1161</v>
      </c>
      <c r="B35" s="1">
        <v>0.71</v>
      </c>
      <c r="C35" s="1">
        <v>0.71</v>
      </c>
      <c r="D35" s="1">
        <v>0.71</v>
      </c>
      <c r="E35" s="1">
        <v>0.72</v>
      </c>
      <c r="F35" s="1">
        <v>0.72</v>
      </c>
      <c r="G35" s="1">
        <v>0.72</v>
      </c>
      <c r="H35" s="1">
        <v>0.72</v>
      </c>
      <c r="I35" s="1">
        <v>0.72</v>
      </c>
      <c r="J35" s="1">
        <v>0.72</v>
      </c>
      <c r="K35" s="1">
        <v>0.72</v>
      </c>
      <c r="L35" s="1">
        <v>0.72</v>
      </c>
      <c r="M35" s="1">
        <v>0.71</v>
      </c>
      <c r="N35" s="1">
        <v>0.77</v>
      </c>
      <c r="O35" s="1">
        <v>0.69</v>
      </c>
      <c r="P35" s="1">
        <v>0.68</v>
      </c>
      <c r="Q35" s="1">
        <v>0.74</v>
      </c>
      <c r="R35" s="1">
        <v>0.87</v>
      </c>
      <c r="S35" s="1">
        <v>0.84</v>
      </c>
      <c r="T35" s="1">
        <v>0.83</v>
      </c>
      <c r="U35" s="1">
        <v>0.82</v>
      </c>
      <c r="V35" s="1">
        <v>0.78</v>
      </c>
      <c r="W35" s="1">
        <v>0.84</v>
      </c>
      <c r="X35" s="1">
        <v>1.03</v>
      </c>
      <c r="Y35" s="1">
        <v>1.1000000000000001</v>
      </c>
      <c r="Z35" s="1">
        <v>1.3</v>
      </c>
      <c r="AA35">
        <v>1.9</v>
      </c>
      <c r="AB35">
        <v>1.88</v>
      </c>
      <c r="AC35">
        <v>1.68</v>
      </c>
      <c r="AD35">
        <v>1.83</v>
      </c>
      <c r="AE35">
        <v>2.0099999999999998</v>
      </c>
      <c r="AF35">
        <v>1.86</v>
      </c>
      <c r="AG35">
        <v>2.02</v>
      </c>
      <c r="AH35">
        <v>2.11</v>
      </c>
      <c r="AI35">
        <v>2.42</v>
      </c>
      <c r="AJ35">
        <v>2.68</v>
      </c>
      <c r="AK35">
        <v>2.77</v>
      </c>
      <c r="AL35">
        <v>3.32</v>
      </c>
      <c r="AM35">
        <v>3.65</v>
      </c>
      <c r="AN35">
        <v>4.2300000000000004</v>
      </c>
      <c r="AO35">
        <v>4.62</v>
      </c>
      <c r="AP35">
        <v>5.0999999999999996</v>
      </c>
      <c r="AQ35">
        <v>5.84</v>
      </c>
      <c r="AR35">
        <v>6.33</v>
      </c>
      <c r="AS35">
        <v>4.95</v>
      </c>
      <c r="AT35">
        <v>4.6900000000000004</v>
      </c>
      <c r="AU35">
        <v>5.12</v>
      </c>
      <c r="AV35">
        <v>5.83</v>
      </c>
      <c r="AW35">
        <v>6.14</v>
      </c>
      <c r="AX35">
        <v>6.83</v>
      </c>
      <c r="AY35">
        <v>7.16</v>
      </c>
      <c r="AZ35">
        <v>6.79</v>
      </c>
      <c r="BA35">
        <v>6.84</v>
      </c>
      <c r="BB35">
        <v>7.64</v>
      </c>
      <c r="BC35">
        <v>8.4</v>
      </c>
      <c r="BD35">
        <v>8.98</v>
      </c>
      <c r="BE35">
        <v>10.130000000000001</v>
      </c>
      <c r="BF35">
        <v>10.9</v>
      </c>
      <c r="BG35">
        <v>10.35</v>
      </c>
      <c r="BH35">
        <v>10.199999999999999</v>
      </c>
      <c r="BI35">
        <v>10.76</v>
      </c>
      <c r="BJ35">
        <v>11.46</v>
      </c>
      <c r="BK35">
        <v>11.09</v>
      </c>
      <c r="BL35">
        <v>12.37</v>
      </c>
    </row>
    <row r="36" spans="1:64">
      <c r="A36" s="1" t="s">
        <v>1162</v>
      </c>
      <c r="B36" s="1">
        <v>245.2</v>
      </c>
      <c r="C36" s="1">
        <v>245.26</v>
      </c>
      <c r="D36" s="1">
        <v>245.01</v>
      </c>
      <c r="E36" s="1">
        <v>245.02</v>
      </c>
      <c r="F36" s="1">
        <v>245.03</v>
      </c>
      <c r="G36" s="1">
        <v>245.06</v>
      </c>
      <c r="H36" s="1">
        <v>245.68</v>
      </c>
      <c r="I36" s="1">
        <v>246</v>
      </c>
      <c r="J36" s="1">
        <v>247.56</v>
      </c>
      <c r="K36" s="1">
        <v>259.95999999999998</v>
      </c>
      <c r="L36" s="1">
        <v>276.39999999999998</v>
      </c>
      <c r="M36" s="1">
        <v>275.36</v>
      </c>
      <c r="N36" s="1">
        <v>252.03</v>
      </c>
      <c r="O36" s="1">
        <v>222.89</v>
      </c>
      <c r="P36" s="1">
        <v>240.7</v>
      </c>
      <c r="Q36" s="1">
        <v>214.31</v>
      </c>
      <c r="R36" s="1">
        <v>238.95</v>
      </c>
      <c r="S36" s="1">
        <v>245.68</v>
      </c>
      <c r="T36" s="1">
        <v>225.66</v>
      </c>
      <c r="U36" s="1">
        <v>212.72</v>
      </c>
      <c r="V36" s="1">
        <v>211.28</v>
      </c>
      <c r="W36" s="1">
        <v>271.73</v>
      </c>
      <c r="X36" s="1">
        <v>328.61</v>
      </c>
      <c r="Y36" s="1">
        <v>381.07</v>
      </c>
      <c r="Z36" s="1">
        <v>436.96</v>
      </c>
      <c r="AA36">
        <v>449.26</v>
      </c>
      <c r="AB36">
        <v>346.31</v>
      </c>
      <c r="AC36">
        <v>300.54000000000002</v>
      </c>
      <c r="AD36">
        <v>297.85000000000002</v>
      </c>
      <c r="AE36">
        <v>319.01</v>
      </c>
      <c r="AF36">
        <v>272.26</v>
      </c>
      <c r="AG36">
        <v>282.11</v>
      </c>
      <c r="AH36">
        <v>264.69</v>
      </c>
      <c r="AI36">
        <v>283.16000000000003</v>
      </c>
      <c r="AJ36">
        <v>555.20000000000005</v>
      </c>
      <c r="AK36">
        <v>499.15</v>
      </c>
      <c r="AL36">
        <v>511.55</v>
      </c>
      <c r="AM36">
        <v>583.66999999999996</v>
      </c>
      <c r="AN36">
        <v>589.95000000000005</v>
      </c>
      <c r="AO36">
        <v>615.47</v>
      </c>
      <c r="AP36">
        <v>710.21</v>
      </c>
      <c r="AQ36">
        <v>732.4</v>
      </c>
      <c r="AR36">
        <v>693.71</v>
      </c>
      <c r="AS36">
        <v>579.9</v>
      </c>
      <c r="AT36">
        <v>527.34</v>
      </c>
      <c r="AU36">
        <v>527.26</v>
      </c>
      <c r="AV36">
        <v>522.42999999999995</v>
      </c>
      <c r="AW36">
        <v>478.63</v>
      </c>
      <c r="AX36">
        <v>446</v>
      </c>
      <c r="AY36">
        <v>470.29</v>
      </c>
      <c r="AZ36">
        <v>494.79</v>
      </c>
      <c r="BA36">
        <v>471.25</v>
      </c>
      <c r="BB36">
        <v>510.56</v>
      </c>
      <c r="BC36">
        <v>493.9</v>
      </c>
      <c r="BD36">
        <v>493.76</v>
      </c>
      <c r="BE36">
        <v>591.21</v>
      </c>
      <c r="BF36">
        <v>592.61</v>
      </c>
      <c r="BG36">
        <v>580.66</v>
      </c>
      <c r="BH36">
        <v>555.45000000000005</v>
      </c>
      <c r="BI36">
        <v>585.91</v>
      </c>
      <c r="BJ36">
        <v>575.59</v>
      </c>
      <c r="BK36">
        <v>554.53</v>
      </c>
      <c r="BL36">
        <v>623.76</v>
      </c>
    </row>
    <row r="37" spans="1:64">
      <c r="A37" s="1" t="s">
        <v>1163</v>
      </c>
      <c r="B37" s="1">
        <v>0.97</v>
      </c>
      <c r="C37" s="1">
        <v>1.01</v>
      </c>
      <c r="D37" s="1">
        <v>1.07</v>
      </c>
      <c r="E37" s="1">
        <v>1.08</v>
      </c>
      <c r="F37" s="1">
        <v>1.08</v>
      </c>
      <c r="G37" s="1">
        <v>1.08</v>
      </c>
      <c r="H37" s="1">
        <v>1.08</v>
      </c>
      <c r="I37" s="1">
        <v>1.08</v>
      </c>
      <c r="J37" s="1">
        <v>1.08</v>
      </c>
      <c r="K37" s="1">
        <v>1.08</v>
      </c>
      <c r="L37" s="1">
        <v>1.04</v>
      </c>
      <c r="M37" s="1">
        <v>1.01</v>
      </c>
      <c r="N37" s="1">
        <v>0.99</v>
      </c>
      <c r="O37" s="1">
        <v>1</v>
      </c>
      <c r="P37" s="1">
        <v>0.98</v>
      </c>
      <c r="Q37" s="1">
        <v>1.02</v>
      </c>
      <c r="R37" s="1">
        <v>0.99</v>
      </c>
      <c r="S37" s="1">
        <v>1.06</v>
      </c>
      <c r="T37" s="1">
        <v>1.1399999999999999</v>
      </c>
      <c r="U37" s="1">
        <v>1.17</v>
      </c>
      <c r="V37" s="1">
        <v>1.17</v>
      </c>
      <c r="W37" s="1">
        <v>1.2</v>
      </c>
      <c r="X37" s="1">
        <v>1.23</v>
      </c>
      <c r="Y37" s="1">
        <v>1.23</v>
      </c>
      <c r="Z37" s="1">
        <v>1.3</v>
      </c>
      <c r="AA37">
        <v>1.37</v>
      </c>
      <c r="AB37">
        <v>1.39</v>
      </c>
      <c r="AC37">
        <v>1.33</v>
      </c>
      <c r="AD37">
        <v>1.23</v>
      </c>
      <c r="AE37">
        <v>1.18</v>
      </c>
      <c r="AF37">
        <v>1.17</v>
      </c>
      <c r="AG37">
        <v>1.1499999999999999</v>
      </c>
      <c r="AH37">
        <v>1.21</v>
      </c>
      <c r="AI37">
        <v>1.29</v>
      </c>
      <c r="AJ37">
        <v>1.37</v>
      </c>
      <c r="AK37">
        <v>1.37</v>
      </c>
      <c r="AL37">
        <v>1.36</v>
      </c>
      <c r="AM37">
        <v>1.38</v>
      </c>
      <c r="AN37">
        <v>1.48</v>
      </c>
      <c r="AO37">
        <v>1.49</v>
      </c>
      <c r="AP37">
        <v>1.49</v>
      </c>
      <c r="AQ37">
        <v>1.55</v>
      </c>
      <c r="AR37">
        <v>1.57</v>
      </c>
      <c r="AS37">
        <v>1.4</v>
      </c>
      <c r="AT37">
        <v>1.3</v>
      </c>
      <c r="AU37">
        <v>1.21</v>
      </c>
      <c r="AV37">
        <v>1.1299999999999999</v>
      </c>
      <c r="AW37">
        <v>1.07</v>
      </c>
      <c r="AX37">
        <v>1.07</v>
      </c>
      <c r="AY37">
        <v>1.1399999999999999</v>
      </c>
      <c r="AZ37">
        <v>1.03</v>
      </c>
      <c r="BA37">
        <v>0.99</v>
      </c>
      <c r="BB37">
        <v>1</v>
      </c>
      <c r="BC37">
        <v>1.03</v>
      </c>
      <c r="BD37">
        <v>1.1000000000000001</v>
      </c>
      <c r="BE37">
        <v>1.28</v>
      </c>
      <c r="BF37">
        <v>1.33</v>
      </c>
      <c r="BG37">
        <v>1.3</v>
      </c>
      <c r="BH37">
        <v>1.3</v>
      </c>
      <c r="BI37">
        <v>1.33</v>
      </c>
      <c r="BJ37">
        <v>1.34</v>
      </c>
      <c r="BK37">
        <v>1.25</v>
      </c>
      <c r="BL37">
        <v>1.3</v>
      </c>
    </row>
    <row r="38" spans="1:64">
      <c r="A38" s="1" t="s">
        <v>1164</v>
      </c>
      <c r="B38" s="1"/>
      <c r="C38" s="1"/>
      <c r="D38" s="1"/>
      <c r="E38" s="1"/>
      <c r="F38" s="1"/>
      <c r="G38" s="1"/>
      <c r="H38" s="1"/>
      <c r="I38" s="1"/>
      <c r="J38" s="1"/>
      <c r="K38" s="1"/>
      <c r="L38" s="1"/>
      <c r="M38" s="1"/>
      <c r="N38" s="1"/>
      <c r="O38" s="1"/>
      <c r="P38" s="1"/>
      <c r="Q38" s="1"/>
      <c r="R38" s="1"/>
      <c r="S38" s="1"/>
      <c r="T38" s="1"/>
      <c r="U38" s="1"/>
      <c r="V38" s="1"/>
      <c r="W38" s="1"/>
      <c r="X38" s="1"/>
      <c r="Y38" s="1"/>
      <c r="Z38" s="1"/>
    </row>
    <row r="39" spans="1:64">
      <c r="A39" s="1" t="s">
        <v>1165</v>
      </c>
      <c r="B39" s="1">
        <v>4.37</v>
      </c>
      <c r="C39" s="1">
        <v>4.37</v>
      </c>
      <c r="D39" s="1">
        <v>4.37</v>
      </c>
      <c r="E39" s="1">
        <v>4.37</v>
      </c>
      <c r="F39" s="1">
        <v>4.37</v>
      </c>
      <c r="G39" s="1">
        <v>4.37</v>
      </c>
      <c r="H39" s="1">
        <v>4.37</v>
      </c>
      <c r="I39" s="1">
        <v>4.37</v>
      </c>
      <c r="J39" s="1">
        <v>4.37</v>
      </c>
      <c r="K39" s="1">
        <v>4.37</v>
      </c>
      <c r="L39" s="1">
        <v>4.37</v>
      </c>
      <c r="M39" s="1">
        <v>4.13</v>
      </c>
      <c r="N39" s="1">
        <v>3.82</v>
      </c>
      <c r="O39" s="1">
        <v>3.16</v>
      </c>
      <c r="P39" s="1">
        <v>2.98</v>
      </c>
      <c r="Q39" s="1">
        <v>2.58</v>
      </c>
      <c r="R39" s="1">
        <v>2.5</v>
      </c>
      <c r="S39" s="1">
        <v>2.4</v>
      </c>
      <c r="T39" s="1">
        <v>1.79</v>
      </c>
      <c r="U39" s="1">
        <v>1.66</v>
      </c>
      <c r="V39" s="1">
        <v>1.68</v>
      </c>
      <c r="W39" s="1">
        <v>1.96</v>
      </c>
      <c r="X39" s="1">
        <v>2.0299999999999998</v>
      </c>
      <c r="Y39" s="1">
        <v>2.1</v>
      </c>
      <c r="Z39" s="1">
        <v>2.35</v>
      </c>
      <c r="AA39">
        <v>2.46</v>
      </c>
      <c r="AB39">
        <v>1.8</v>
      </c>
      <c r="AC39">
        <v>1.49</v>
      </c>
      <c r="AD39">
        <v>1.46</v>
      </c>
      <c r="AE39">
        <v>1.64</v>
      </c>
      <c r="AF39">
        <v>1.39</v>
      </c>
      <c r="AG39">
        <v>1.43</v>
      </c>
      <c r="AH39">
        <v>1.41</v>
      </c>
      <c r="AI39">
        <v>1.48</v>
      </c>
      <c r="AJ39">
        <v>1.37</v>
      </c>
      <c r="AK39">
        <v>1.18</v>
      </c>
      <c r="AL39">
        <v>1.24</v>
      </c>
      <c r="AM39">
        <v>1.45</v>
      </c>
      <c r="AN39">
        <v>1.45</v>
      </c>
      <c r="AO39">
        <v>1.5</v>
      </c>
      <c r="AP39">
        <v>1.69</v>
      </c>
      <c r="AQ39">
        <v>1.69</v>
      </c>
      <c r="AR39">
        <v>1.56</v>
      </c>
      <c r="AS39">
        <v>1.35</v>
      </c>
      <c r="AT39">
        <v>1.24</v>
      </c>
      <c r="AU39">
        <v>1.25</v>
      </c>
      <c r="AV39">
        <v>1.25</v>
      </c>
      <c r="AW39">
        <v>1.2</v>
      </c>
      <c r="AX39">
        <v>1.08</v>
      </c>
      <c r="AY39">
        <v>1.0900000000000001</v>
      </c>
      <c r="AZ39">
        <v>1.04</v>
      </c>
      <c r="BA39">
        <v>0.89</v>
      </c>
      <c r="BB39">
        <v>0.94</v>
      </c>
      <c r="BC39">
        <v>0.93</v>
      </c>
      <c r="BD39">
        <v>0.92</v>
      </c>
      <c r="BE39">
        <v>0.96</v>
      </c>
      <c r="BF39">
        <v>0.99</v>
      </c>
      <c r="BG39">
        <v>0.98</v>
      </c>
      <c r="BH39">
        <v>0.98</v>
      </c>
      <c r="BI39">
        <v>0.99</v>
      </c>
      <c r="BJ39">
        <v>0.94</v>
      </c>
      <c r="BK39">
        <v>0.91</v>
      </c>
      <c r="BL39">
        <v>0.95</v>
      </c>
    </row>
    <row r="40" spans="1:64">
      <c r="A40" s="1" t="s">
        <v>1166</v>
      </c>
      <c r="B40" s="1"/>
      <c r="C40" s="1"/>
      <c r="D40" s="1"/>
      <c r="E40" s="1"/>
      <c r="F40" s="1"/>
      <c r="G40" s="1"/>
      <c r="H40" s="1"/>
      <c r="I40" s="1"/>
      <c r="J40" s="1"/>
      <c r="K40" s="1"/>
      <c r="L40" s="1"/>
      <c r="M40" s="1"/>
      <c r="N40" s="1"/>
      <c r="O40" s="1"/>
      <c r="P40" s="1"/>
      <c r="Q40" s="1"/>
      <c r="R40" s="1"/>
      <c r="S40" s="1"/>
      <c r="T40" s="1"/>
      <c r="U40" s="1"/>
      <c r="V40" s="1"/>
      <c r="W40" s="1"/>
      <c r="X40" s="1"/>
      <c r="Y40" s="1"/>
      <c r="Z40" s="1"/>
    </row>
    <row r="41" spans="1:64">
      <c r="A41" s="1" t="s">
        <v>1167</v>
      </c>
      <c r="B41" s="1">
        <v>0</v>
      </c>
      <c r="C41" s="1">
        <v>0</v>
      </c>
      <c r="D41" s="1">
        <v>0</v>
      </c>
      <c r="E41" s="1">
        <v>0</v>
      </c>
      <c r="F41" s="1">
        <v>0</v>
      </c>
      <c r="G41" s="1">
        <v>0</v>
      </c>
      <c r="H41" s="1">
        <v>0</v>
      </c>
      <c r="I41" s="1">
        <v>0.01</v>
      </c>
      <c r="J41" s="1">
        <v>0.01</v>
      </c>
      <c r="K41" s="1">
        <v>0.01</v>
      </c>
      <c r="L41" s="1">
        <v>0.01</v>
      </c>
      <c r="M41" s="1">
        <v>0.01</v>
      </c>
      <c r="N41" s="1">
        <v>0.02</v>
      </c>
      <c r="O41" s="1">
        <v>7.0000000000000007E-2</v>
      </c>
      <c r="P41" s="1">
        <v>0.59</v>
      </c>
      <c r="Q41" s="1">
        <v>4.91</v>
      </c>
      <c r="R41" s="1">
        <v>13.05</v>
      </c>
      <c r="S41" s="1">
        <v>21.54</v>
      </c>
      <c r="T41" s="1">
        <v>31.66</v>
      </c>
      <c r="U41" s="1">
        <v>37.25</v>
      </c>
      <c r="V41" s="1">
        <v>39</v>
      </c>
      <c r="W41" s="1">
        <v>39</v>
      </c>
      <c r="X41" s="1">
        <v>50.91</v>
      </c>
      <c r="Y41" s="1">
        <v>78.790000000000006</v>
      </c>
      <c r="Z41" s="1">
        <v>98.48</v>
      </c>
      <c r="AA41">
        <v>160.86000000000001</v>
      </c>
      <c r="AB41">
        <v>192.93</v>
      </c>
      <c r="AC41">
        <v>219.41</v>
      </c>
      <c r="AD41">
        <v>245.01</v>
      </c>
      <c r="AE41">
        <v>266.95</v>
      </c>
      <c r="AF41">
        <v>304.89999999999998</v>
      </c>
      <c r="AG41">
        <v>349.22</v>
      </c>
      <c r="AH41">
        <v>362.58</v>
      </c>
      <c r="AI41">
        <v>404.17</v>
      </c>
      <c r="AJ41">
        <v>420.18</v>
      </c>
      <c r="AK41">
        <v>396.77</v>
      </c>
      <c r="AL41">
        <v>412.27</v>
      </c>
      <c r="AM41">
        <v>419.3</v>
      </c>
      <c r="AN41">
        <v>460.29</v>
      </c>
      <c r="AO41">
        <v>508.78</v>
      </c>
      <c r="AP41">
        <v>539.59</v>
      </c>
      <c r="AQ41">
        <v>634.94000000000005</v>
      </c>
      <c r="AR41">
        <v>688.94</v>
      </c>
      <c r="AS41">
        <v>691.4</v>
      </c>
      <c r="AT41">
        <v>609.53</v>
      </c>
      <c r="AU41">
        <v>559.77</v>
      </c>
      <c r="AV41">
        <v>530.28</v>
      </c>
      <c r="AW41">
        <v>522.46</v>
      </c>
      <c r="AX41">
        <v>522.46</v>
      </c>
      <c r="AY41">
        <v>560.86</v>
      </c>
      <c r="AZ41">
        <v>510.25</v>
      </c>
      <c r="BA41">
        <v>483.67</v>
      </c>
      <c r="BB41">
        <v>486.47</v>
      </c>
      <c r="BC41">
        <v>495.27</v>
      </c>
      <c r="BD41">
        <v>570.35</v>
      </c>
      <c r="BE41">
        <v>654.12</v>
      </c>
      <c r="BF41">
        <v>676.96</v>
      </c>
      <c r="BG41">
        <v>648.83000000000004</v>
      </c>
      <c r="BH41">
        <v>641.28</v>
      </c>
      <c r="BI41">
        <v>702.9</v>
      </c>
      <c r="BJ41">
        <v>792.73</v>
      </c>
      <c r="BK41">
        <v>758.96</v>
      </c>
      <c r="BL41">
        <v>873.31</v>
      </c>
    </row>
    <row r="42" spans="1:64">
      <c r="A42" s="1" t="s">
        <v>145</v>
      </c>
      <c r="B42" s="1">
        <v>2.46</v>
      </c>
      <c r="C42" s="1">
        <v>2.46</v>
      </c>
      <c r="D42" s="1">
        <v>2.46</v>
      </c>
      <c r="E42" s="1">
        <v>2.46</v>
      </c>
      <c r="F42" s="1">
        <v>2.46</v>
      </c>
      <c r="G42" s="1">
        <v>2.46</v>
      </c>
      <c r="H42" s="1">
        <v>2.46</v>
      </c>
      <c r="I42" s="1">
        <v>2.46</v>
      </c>
      <c r="J42" s="1">
        <v>2.46</v>
      </c>
      <c r="K42" s="1">
        <v>2.46</v>
      </c>
      <c r="L42" s="1">
        <v>2.46</v>
      </c>
      <c r="M42" s="1">
        <v>2.46</v>
      </c>
      <c r="N42" s="1">
        <v>2.25</v>
      </c>
      <c r="O42" s="1">
        <v>1.99</v>
      </c>
      <c r="P42" s="1">
        <v>1.96</v>
      </c>
      <c r="Q42" s="1">
        <v>1.86</v>
      </c>
      <c r="R42" s="1">
        <v>1.94</v>
      </c>
      <c r="S42" s="1">
        <v>1.86</v>
      </c>
      <c r="T42" s="1">
        <v>1.68</v>
      </c>
      <c r="U42" s="1">
        <v>1.55</v>
      </c>
      <c r="V42" s="1">
        <v>1.5</v>
      </c>
      <c r="W42" s="1">
        <v>1.7</v>
      </c>
      <c r="X42" s="1">
        <v>1.89</v>
      </c>
      <c r="Y42" s="1">
        <v>1.98</v>
      </c>
      <c r="Z42" s="1">
        <v>2.3199999999999998</v>
      </c>
      <c r="AA42">
        <v>2.94</v>
      </c>
      <c r="AB42">
        <v>3.45</v>
      </c>
      <c r="AC42">
        <v>3.72</v>
      </c>
      <c r="AD42">
        <v>3.72</v>
      </c>
      <c r="AE42">
        <v>3.77</v>
      </c>
      <c r="AF42">
        <v>4.78</v>
      </c>
      <c r="AG42">
        <v>5.32</v>
      </c>
      <c r="AH42">
        <v>5.51</v>
      </c>
      <c r="AI42">
        <v>5.76</v>
      </c>
      <c r="AJ42">
        <v>8.6199999999999992</v>
      </c>
      <c r="AK42">
        <v>8.35</v>
      </c>
      <c r="AL42">
        <v>8.31</v>
      </c>
      <c r="AM42">
        <v>8.2899999999999991</v>
      </c>
      <c r="AN42">
        <v>8.2799999999999994</v>
      </c>
      <c r="AO42">
        <v>8.2799999999999994</v>
      </c>
      <c r="AP42">
        <v>8.2799999999999994</v>
      </c>
      <c r="AQ42">
        <v>8.2799999999999994</v>
      </c>
      <c r="AR42">
        <v>8.2799999999999994</v>
      </c>
      <c r="AS42">
        <v>8.2799999999999994</v>
      </c>
      <c r="AT42">
        <v>8.2799999999999994</v>
      </c>
      <c r="AU42">
        <v>8.19</v>
      </c>
      <c r="AV42">
        <v>7.97</v>
      </c>
      <c r="AW42">
        <v>7.61</v>
      </c>
      <c r="AX42">
        <v>6.95</v>
      </c>
      <c r="AY42">
        <v>6.83</v>
      </c>
      <c r="AZ42">
        <v>6.77</v>
      </c>
      <c r="BA42">
        <v>6.46</v>
      </c>
      <c r="BB42">
        <v>6.31</v>
      </c>
      <c r="BC42">
        <v>6.2</v>
      </c>
      <c r="BD42">
        <v>6.14</v>
      </c>
      <c r="BE42">
        <v>6.23</v>
      </c>
      <c r="BF42">
        <v>6.64</v>
      </c>
      <c r="BG42">
        <v>6.76</v>
      </c>
      <c r="BH42">
        <v>6.62</v>
      </c>
      <c r="BI42">
        <v>6.91</v>
      </c>
      <c r="BJ42">
        <v>6.9</v>
      </c>
      <c r="BK42">
        <v>6.45</v>
      </c>
      <c r="BL42">
        <v>6.74</v>
      </c>
    </row>
    <row r="43" spans="1:64">
      <c r="A43" s="1" t="s">
        <v>1168</v>
      </c>
      <c r="B43" s="1">
        <v>245.2</v>
      </c>
      <c r="C43" s="1">
        <v>245.26</v>
      </c>
      <c r="D43" s="1">
        <v>245.01</v>
      </c>
      <c r="E43" s="1">
        <v>245.02</v>
      </c>
      <c r="F43" s="1">
        <v>245.03</v>
      </c>
      <c r="G43" s="1">
        <v>245.06</v>
      </c>
      <c r="H43" s="1">
        <v>245.68</v>
      </c>
      <c r="I43" s="1">
        <v>246</v>
      </c>
      <c r="J43" s="1">
        <v>247.56</v>
      </c>
      <c r="K43" s="1">
        <v>259.95999999999998</v>
      </c>
      <c r="L43" s="1">
        <v>276.39999999999998</v>
      </c>
      <c r="M43" s="1">
        <v>275.36</v>
      </c>
      <c r="N43" s="1">
        <v>252.03</v>
      </c>
      <c r="O43" s="1">
        <v>222.89</v>
      </c>
      <c r="P43" s="1">
        <v>240.7</v>
      </c>
      <c r="Q43" s="1">
        <v>214.31</v>
      </c>
      <c r="R43" s="1">
        <v>238.95</v>
      </c>
      <c r="S43" s="1">
        <v>245.68</v>
      </c>
      <c r="T43" s="1">
        <v>225.66</v>
      </c>
      <c r="U43" s="1">
        <v>212.72</v>
      </c>
      <c r="V43" s="1">
        <v>211.28</v>
      </c>
      <c r="W43" s="1">
        <v>271.73</v>
      </c>
      <c r="X43" s="1">
        <v>328.61</v>
      </c>
      <c r="Y43" s="1">
        <v>381.07</v>
      </c>
      <c r="Z43" s="1">
        <v>436.96</v>
      </c>
      <c r="AA43">
        <v>449.26</v>
      </c>
      <c r="AB43">
        <v>346.31</v>
      </c>
      <c r="AC43">
        <v>300.54000000000002</v>
      </c>
      <c r="AD43">
        <v>297.85000000000002</v>
      </c>
      <c r="AE43">
        <v>319.01</v>
      </c>
      <c r="AF43">
        <v>272.26</v>
      </c>
      <c r="AG43">
        <v>282.11</v>
      </c>
      <c r="AH43">
        <v>264.69</v>
      </c>
      <c r="AI43">
        <v>283.16000000000003</v>
      </c>
      <c r="AJ43">
        <v>555.20000000000005</v>
      </c>
      <c r="AK43">
        <v>499.15</v>
      </c>
      <c r="AL43">
        <v>511.55</v>
      </c>
      <c r="AM43">
        <v>583.66999999999996</v>
      </c>
      <c r="AN43">
        <v>589.95000000000005</v>
      </c>
      <c r="AO43">
        <v>615.47</v>
      </c>
      <c r="AP43">
        <v>710.21</v>
      </c>
      <c r="AQ43">
        <v>732.4</v>
      </c>
      <c r="AR43">
        <v>693.71</v>
      </c>
      <c r="AS43">
        <v>579.9</v>
      </c>
      <c r="AT43">
        <v>527.34</v>
      </c>
      <c r="AU43">
        <v>527.26</v>
      </c>
      <c r="AV43">
        <v>522.42999999999995</v>
      </c>
      <c r="AW43">
        <v>478.63</v>
      </c>
      <c r="AX43">
        <v>446</v>
      </c>
      <c r="AY43">
        <v>470.29</v>
      </c>
      <c r="AZ43">
        <v>494.79</v>
      </c>
      <c r="BA43">
        <v>471.25</v>
      </c>
      <c r="BB43">
        <v>510.56</v>
      </c>
      <c r="BC43">
        <v>493.9</v>
      </c>
      <c r="BD43">
        <v>493.76</v>
      </c>
      <c r="BE43">
        <v>591.21</v>
      </c>
      <c r="BF43">
        <v>592.61</v>
      </c>
      <c r="BG43">
        <v>580.66</v>
      </c>
      <c r="BH43">
        <v>555.45000000000005</v>
      </c>
      <c r="BI43">
        <v>585.91</v>
      </c>
      <c r="BJ43">
        <v>575.59</v>
      </c>
      <c r="BK43">
        <v>554.53</v>
      </c>
      <c r="BL43">
        <v>623.76</v>
      </c>
    </row>
    <row r="44" spans="1:64">
      <c r="A44" s="1" t="s">
        <v>1169</v>
      </c>
      <c r="B44" s="1">
        <v>245.2</v>
      </c>
      <c r="C44" s="1">
        <v>245.26</v>
      </c>
      <c r="D44" s="1">
        <v>245.01</v>
      </c>
      <c r="E44" s="1">
        <v>245.02</v>
      </c>
      <c r="F44" s="1">
        <v>245.03</v>
      </c>
      <c r="G44" s="1">
        <v>245.06</v>
      </c>
      <c r="H44" s="1">
        <v>245.68</v>
      </c>
      <c r="I44" s="1">
        <v>246</v>
      </c>
      <c r="J44" s="1">
        <v>247.56</v>
      </c>
      <c r="K44" s="1">
        <v>259.95999999999998</v>
      </c>
      <c r="L44" s="1">
        <v>276.39999999999998</v>
      </c>
      <c r="M44" s="1">
        <v>275.36</v>
      </c>
      <c r="N44" s="1">
        <v>252.03</v>
      </c>
      <c r="O44" s="1">
        <v>222.89</v>
      </c>
      <c r="P44" s="1">
        <v>240.7</v>
      </c>
      <c r="Q44" s="1">
        <v>214.31</v>
      </c>
      <c r="R44" s="1">
        <v>238.95</v>
      </c>
      <c r="S44" s="1">
        <v>245.68</v>
      </c>
      <c r="T44" s="1">
        <v>225.66</v>
      </c>
      <c r="U44" s="1">
        <v>212.72</v>
      </c>
      <c r="V44" s="1">
        <v>211.28</v>
      </c>
      <c r="W44" s="1">
        <v>271.73</v>
      </c>
      <c r="X44" s="1">
        <v>328.61</v>
      </c>
      <c r="Y44" s="1">
        <v>381.07</v>
      </c>
      <c r="Z44" s="1">
        <v>436.96</v>
      </c>
      <c r="AA44">
        <v>449.26</v>
      </c>
      <c r="AB44">
        <v>346.31</v>
      </c>
      <c r="AC44">
        <v>300.54000000000002</v>
      </c>
      <c r="AD44">
        <v>297.85000000000002</v>
      </c>
      <c r="AE44">
        <v>319.01</v>
      </c>
      <c r="AF44">
        <v>272.26</v>
      </c>
      <c r="AG44">
        <v>282.11</v>
      </c>
      <c r="AH44">
        <v>264.69</v>
      </c>
      <c r="AI44">
        <v>283.16000000000003</v>
      </c>
      <c r="AJ44">
        <v>555.20000000000005</v>
      </c>
      <c r="AK44">
        <v>499.15</v>
      </c>
      <c r="AL44">
        <v>511.55</v>
      </c>
      <c r="AM44">
        <v>583.66999999999996</v>
      </c>
      <c r="AN44">
        <v>589.95000000000005</v>
      </c>
      <c r="AO44">
        <v>615.47</v>
      </c>
      <c r="AP44">
        <v>710.21</v>
      </c>
      <c r="AQ44">
        <v>732.4</v>
      </c>
      <c r="AR44">
        <v>693.71</v>
      </c>
      <c r="AS44">
        <v>579.9</v>
      </c>
      <c r="AT44">
        <v>527.34</v>
      </c>
      <c r="AU44">
        <v>527.26</v>
      </c>
      <c r="AV44">
        <v>522.42999999999995</v>
      </c>
      <c r="AW44">
        <v>478.63</v>
      </c>
      <c r="AX44">
        <v>446</v>
      </c>
      <c r="AY44">
        <v>470.29</v>
      </c>
      <c r="AZ44">
        <v>494.79</v>
      </c>
      <c r="BA44">
        <v>471.25</v>
      </c>
      <c r="BB44">
        <v>510.56</v>
      </c>
      <c r="BC44">
        <v>493.9</v>
      </c>
      <c r="BD44">
        <v>493.76</v>
      </c>
      <c r="BE44">
        <v>591.21</v>
      </c>
      <c r="BF44">
        <v>592.61</v>
      </c>
      <c r="BG44">
        <v>580.66</v>
      </c>
      <c r="BH44">
        <v>555.45000000000005</v>
      </c>
      <c r="BI44">
        <v>585.91</v>
      </c>
      <c r="BJ44">
        <v>575.59</v>
      </c>
      <c r="BK44">
        <v>554.53</v>
      </c>
      <c r="BL44">
        <v>623.76</v>
      </c>
    </row>
    <row r="45" spans="1:64">
      <c r="A45" s="1" t="s">
        <v>1170</v>
      </c>
      <c r="B45" s="1">
        <v>0</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v>0</v>
      </c>
      <c r="AB45">
        <v>0</v>
      </c>
      <c r="AC45">
        <v>0</v>
      </c>
      <c r="AD45">
        <v>0</v>
      </c>
      <c r="AE45">
        <v>0</v>
      </c>
      <c r="AF45">
        <v>0</v>
      </c>
      <c r="AG45">
        <v>0</v>
      </c>
      <c r="AH45">
        <v>0</v>
      </c>
      <c r="AI45">
        <v>0</v>
      </c>
      <c r="AJ45">
        <v>0.01</v>
      </c>
      <c r="AK45">
        <v>7.0000000000000007E-2</v>
      </c>
      <c r="AL45">
        <v>0.5</v>
      </c>
      <c r="AM45">
        <v>1.31</v>
      </c>
      <c r="AN45">
        <v>1.61</v>
      </c>
      <c r="AO45">
        <v>4.0199999999999996</v>
      </c>
      <c r="AP45">
        <v>21.82</v>
      </c>
      <c r="AQ45">
        <v>206.62</v>
      </c>
      <c r="AR45">
        <v>346.48</v>
      </c>
      <c r="AS45">
        <v>405.18</v>
      </c>
      <c r="AT45">
        <v>399.48</v>
      </c>
      <c r="AU45">
        <v>473.91</v>
      </c>
      <c r="AV45">
        <v>468.28</v>
      </c>
      <c r="AW45">
        <v>516.75</v>
      </c>
      <c r="AX45">
        <v>559.29</v>
      </c>
      <c r="AY45">
        <v>809.79</v>
      </c>
      <c r="AZ45">
        <v>905.91</v>
      </c>
      <c r="BA45">
        <v>919.49</v>
      </c>
      <c r="BB45">
        <v>919.76</v>
      </c>
      <c r="BC45">
        <v>919.57</v>
      </c>
      <c r="BD45">
        <v>925.23</v>
      </c>
      <c r="BE45">
        <v>925.98</v>
      </c>
      <c r="BF45">
        <v>1010.3</v>
      </c>
      <c r="BG45">
        <v>1464.42</v>
      </c>
      <c r="BH45">
        <v>1622.52</v>
      </c>
      <c r="BI45">
        <v>1647.76</v>
      </c>
      <c r="BJ45">
        <v>1851.12</v>
      </c>
      <c r="BK45">
        <v>1989.39</v>
      </c>
    </row>
    <row r="46" spans="1:64">
      <c r="A46" s="1" t="s">
        <v>1171</v>
      </c>
      <c r="B46" s="1">
        <v>245.2</v>
      </c>
      <c r="C46" s="1">
        <v>245.26</v>
      </c>
      <c r="D46" s="1">
        <v>245.01</v>
      </c>
      <c r="E46" s="1">
        <v>245.02</v>
      </c>
      <c r="F46" s="1">
        <v>245.03</v>
      </c>
      <c r="G46" s="1">
        <v>245.06</v>
      </c>
      <c r="H46" s="1">
        <v>245.68</v>
      </c>
      <c r="I46" s="1">
        <v>246</v>
      </c>
      <c r="J46" s="1">
        <v>247.56</v>
      </c>
      <c r="K46" s="1">
        <v>259.95999999999998</v>
      </c>
      <c r="L46" s="1">
        <v>276.39999999999998</v>
      </c>
      <c r="M46" s="1">
        <v>275.36</v>
      </c>
      <c r="N46" s="1">
        <v>252.03</v>
      </c>
      <c r="O46" s="1">
        <v>222.89</v>
      </c>
      <c r="P46" s="1">
        <v>240.7</v>
      </c>
      <c r="Q46" s="1">
        <v>214.31</v>
      </c>
      <c r="R46" s="1">
        <v>238.95</v>
      </c>
      <c r="S46" s="1">
        <v>245.68</v>
      </c>
      <c r="T46" s="1">
        <v>225.66</v>
      </c>
      <c r="U46" s="1">
        <v>212.72</v>
      </c>
      <c r="V46" s="1">
        <v>211.28</v>
      </c>
      <c r="W46" s="1">
        <v>271.73</v>
      </c>
      <c r="X46" s="1">
        <v>328.61</v>
      </c>
      <c r="Y46" s="1">
        <v>381.07</v>
      </c>
      <c r="Z46" s="1">
        <v>436.96</v>
      </c>
      <c r="AA46">
        <v>449.26</v>
      </c>
      <c r="AB46">
        <v>346.31</v>
      </c>
      <c r="AC46">
        <v>300.54000000000002</v>
      </c>
      <c r="AD46">
        <v>297.85000000000002</v>
      </c>
      <c r="AE46">
        <v>319.01</v>
      </c>
      <c r="AF46">
        <v>272.26</v>
      </c>
      <c r="AG46">
        <v>282.11</v>
      </c>
      <c r="AH46">
        <v>264.69</v>
      </c>
      <c r="AI46">
        <v>283.16000000000003</v>
      </c>
      <c r="AJ46">
        <v>555.20000000000005</v>
      </c>
      <c r="AK46">
        <v>499.15</v>
      </c>
      <c r="AL46">
        <v>511.55</v>
      </c>
      <c r="AM46">
        <v>583.66999999999996</v>
      </c>
      <c r="AN46">
        <v>589.95000000000005</v>
      </c>
      <c r="AO46">
        <v>615.47</v>
      </c>
      <c r="AP46">
        <v>710.21</v>
      </c>
      <c r="AQ46">
        <v>732.4</v>
      </c>
      <c r="AR46">
        <v>693.71</v>
      </c>
      <c r="AS46">
        <v>579.9</v>
      </c>
      <c r="AT46">
        <v>527.34</v>
      </c>
      <c r="AU46">
        <v>527.26</v>
      </c>
      <c r="AV46">
        <v>522.42999999999995</v>
      </c>
      <c r="AW46">
        <v>478.63</v>
      </c>
      <c r="AX46">
        <v>446</v>
      </c>
      <c r="AY46">
        <v>470.29</v>
      </c>
      <c r="AZ46">
        <v>494.79</v>
      </c>
      <c r="BA46">
        <v>471.25</v>
      </c>
      <c r="BB46">
        <v>510.56</v>
      </c>
      <c r="BC46">
        <v>493.9</v>
      </c>
      <c r="BD46">
        <v>493.76</v>
      </c>
      <c r="BE46">
        <v>591.21</v>
      </c>
      <c r="BF46">
        <v>592.61</v>
      </c>
      <c r="BG46">
        <v>580.66</v>
      </c>
      <c r="BH46">
        <v>555.45000000000005</v>
      </c>
      <c r="BI46">
        <v>585.91</v>
      </c>
      <c r="BJ46">
        <v>575.59</v>
      </c>
      <c r="BK46">
        <v>554.53</v>
      </c>
      <c r="BL46">
        <v>623.76</v>
      </c>
    </row>
    <row r="47" spans="1:64">
      <c r="A47" s="1" t="s">
        <v>241</v>
      </c>
      <c r="B47" s="1">
        <v>6.64</v>
      </c>
      <c r="C47" s="1">
        <v>6.7</v>
      </c>
      <c r="D47" s="1">
        <v>6.96</v>
      </c>
      <c r="E47" s="1">
        <v>9</v>
      </c>
      <c r="F47" s="1">
        <v>9</v>
      </c>
      <c r="G47" s="1">
        <v>10.5</v>
      </c>
      <c r="H47" s="1">
        <v>13.5</v>
      </c>
      <c r="I47" s="1">
        <v>14.51</v>
      </c>
      <c r="J47" s="1">
        <v>16.29</v>
      </c>
      <c r="K47" s="1">
        <v>17.32</v>
      </c>
      <c r="L47" s="1">
        <v>18.440000000000001</v>
      </c>
      <c r="M47" s="1">
        <v>19.93</v>
      </c>
      <c r="N47" s="1">
        <v>21.87</v>
      </c>
      <c r="O47" s="1">
        <v>23.57</v>
      </c>
      <c r="P47" s="1">
        <v>26.06</v>
      </c>
      <c r="Q47" s="1">
        <v>30.93</v>
      </c>
      <c r="R47" s="1">
        <v>34.700000000000003</v>
      </c>
      <c r="S47" s="1">
        <v>36.770000000000003</v>
      </c>
      <c r="T47" s="1">
        <v>39.1</v>
      </c>
      <c r="U47" s="1">
        <v>42.55</v>
      </c>
      <c r="V47" s="1">
        <v>47.28</v>
      </c>
      <c r="W47" s="1">
        <v>54.49</v>
      </c>
      <c r="X47" s="1">
        <v>64.09</v>
      </c>
      <c r="Y47" s="1">
        <v>78.86</v>
      </c>
      <c r="Z47" s="1">
        <v>100.82</v>
      </c>
      <c r="AA47">
        <v>142.31</v>
      </c>
      <c r="AB47">
        <v>194.26</v>
      </c>
      <c r="AC47">
        <v>242.61</v>
      </c>
      <c r="AD47">
        <v>299.17</v>
      </c>
      <c r="AE47">
        <v>382.57</v>
      </c>
      <c r="AF47">
        <v>502.26</v>
      </c>
      <c r="AG47">
        <v>627.15</v>
      </c>
      <c r="AH47">
        <v>680.39</v>
      </c>
      <c r="AI47">
        <v>786.35</v>
      </c>
      <c r="AJ47">
        <v>826.54</v>
      </c>
      <c r="AK47">
        <v>912.9</v>
      </c>
      <c r="AL47">
        <v>1036.6199999999999</v>
      </c>
      <c r="AM47">
        <v>1141.1199999999999</v>
      </c>
      <c r="AN47">
        <v>1426.42</v>
      </c>
      <c r="AO47">
        <v>1756.69</v>
      </c>
      <c r="AP47">
        <v>2087.92</v>
      </c>
      <c r="AQ47">
        <v>2299.89</v>
      </c>
      <c r="AR47">
        <v>2504.6799999999998</v>
      </c>
      <c r="AS47">
        <v>2877.54</v>
      </c>
      <c r="AT47">
        <v>2628.37</v>
      </c>
      <c r="AU47">
        <v>2321.13</v>
      </c>
      <c r="AV47">
        <v>2358.59</v>
      </c>
      <c r="AW47">
        <v>2077.81</v>
      </c>
      <c r="AX47">
        <v>1965.14</v>
      </c>
      <c r="AY47">
        <v>2157.6</v>
      </c>
      <c r="AZ47">
        <v>1899</v>
      </c>
      <c r="BA47">
        <v>1848.02</v>
      </c>
      <c r="BB47">
        <v>1798.01</v>
      </c>
      <c r="BC47">
        <v>1868.9</v>
      </c>
      <c r="BD47">
        <v>2001.11</v>
      </c>
      <c r="BE47">
        <v>2741.78</v>
      </c>
      <c r="BF47">
        <v>3055.26</v>
      </c>
      <c r="BG47">
        <v>2951.49</v>
      </c>
      <c r="BH47">
        <v>2955.7</v>
      </c>
      <c r="BI47">
        <v>3281.62</v>
      </c>
      <c r="BJ47">
        <v>3693.28</v>
      </c>
      <c r="BK47">
        <v>3744.24</v>
      </c>
      <c r="BL47">
        <v>4256.1899999999996</v>
      </c>
    </row>
    <row r="48" spans="1:64">
      <c r="A48" s="1" t="s">
        <v>1172</v>
      </c>
      <c r="B48" s="1">
        <v>245.19</v>
      </c>
      <c r="C48" s="1">
        <v>245.26</v>
      </c>
      <c r="D48" s="1">
        <v>245.01</v>
      </c>
      <c r="E48" s="1">
        <v>245.01</v>
      </c>
      <c r="F48" s="1">
        <v>245.03</v>
      </c>
      <c r="G48" s="1">
        <v>245.06</v>
      </c>
      <c r="H48" s="1">
        <v>245.68</v>
      </c>
      <c r="I48" s="1">
        <v>246</v>
      </c>
      <c r="J48" s="1">
        <v>247.56</v>
      </c>
      <c r="K48" s="1">
        <v>259.95999999999998</v>
      </c>
      <c r="L48" s="1">
        <v>276.39999999999998</v>
      </c>
      <c r="M48" s="1">
        <v>275.35000000000002</v>
      </c>
      <c r="N48" s="1">
        <v>252.03</v>
      </c>
      <c r="O48" s="1">
        <v>222.89</v>
      </c>
      <c r="P48" s="1">
        <v>240.7</v>
      </c>
      <c r="Q48" s="1">
        <v>214.31</v>
      </c>
      <c r="R48" s="1">
        <v>238.95</v>
      </c>
      <c r="S48" s="1">
        <v>245.68</v>
      </c>
      <c r="T48" s="1">
        <v>225.65</v>
      </c>
      <c r="U48" s="1">
        <v>212.72</v>
      </c>
      <c r="V48" s="1">
        <v>211.28</v>
      </c>
      <c r="W48" s="1">
        <v>271.73</v>
      </c>
      <c r="X48" s="1">
        <v>328.6</v>
      </c>
      <c r="Y48" s="1">
        <v>381.06</v>
      </c>
      <c r="Z48" s="1">
        <v>436.95</v>
      </c>
      <c r="AA48">
        <v>449.26</v>
      </c>
      <c r="AB48">
        <v>346.3</v>
      </c>
      <c r="AC48">
        <v>300.52999999999997</v>
      </c>
      <c r="AD48">
        <v>297.85000000000002</v>
      </c>
      <c r="AE48">
        <v>319.01</v>
      </c>
      <c r="AF48">
        <v>272.26</v>
      </c>
      <c r="AG48">
        <v>282.10000000000002</v>
      </c>
      <c r="AH48">
        <v>264.69</v>
      </c>
      <c r="AI48">
        <v>283.16000000000003</v>
      </c>
      <c r="AJ48">
        <v>416.4</v>
      </c>
      <c r="AK48">
        <v>374.36</v>
      </c>
      <c r="AL48">
        <v>383.66</v>
      </c>
      <c r="AM48">
        <v>437.75</v>
      </c>
      <c r="AN48">
        <v>442.46</v>
      </c>
      <c r="AO48">
        <v>461.79</v>
      </c>
      <c r="AP48">
        <v>532.66</v>
      </c>
      <c r="AQ48">
        <v>549.29999999999995</v>
      </c>
      <c r="AR48">
        <v>520.28</v>
      </c>
      <c r="AS48">
        <v>434.92</v>
      </c>
      <c r="AT48">
        <v>395.5</v>
      </c>
      <c r="AU48">
        <v>395.44</v>
      </c>
      <c r="AV48">
        <v>391.82</v>
      </c>
      <c r="AW48">
        <v>358.98</v>
      </c>
      <c r="AX48">
        <v>334.5</v>
      </c>
      <c r="AY48">
        <v>352.72</v>
      </c>
      <c r="AZ48">
        <v>371.1</v>
      </c>
      <c r="BA48">
        <v>353.44</v>
      </c>
      <c r="BB48">
        <v>382.92</v>
      </c>
      <c r="BC48">
        <v>370.42</v>
      </c>
      <c r="BD48">
        <v>370.32</v>
      </c>
      <c r="BE48">
        <v>443.41</v>
      </c>
      <c r="BF48">
        <v>444.45</v>
      </c>
      <c r="BG48">
        <v>435.49</v>
      </c>
      <c r="BH48">
        <v>416.58</v>
      </c>
      <c r="BI48">
        <v>439.46</v>
      </c>
      <c r="BJ48">
        <v>430.72</v>
      </c>
      <c r="BK48">
        <v>415.96</v>
      </c>
      <c r="BL48">
        <v>467.18</v>
      </c>
    </row>
    <row r="49" spans="1:64">
      <c r="A49" s="1" t="s">
        <v>1173</v>
      </c>
      <c r="B49" s="1">
        <v>28.75</v>
      </c>
      <c r="C49" s="1">
        <v>28.75</v>
      </c>
      <c r="D49" s="1">
        <v>28.75</v>
      </c>
      <c r="E49" s="1">
        <v>28.75</v>
      </c>
      <c r="F49" s="1">
        <v>28.75</v>
      </c>
      <c r="G49" s="1">
        <v>28.75</v>
      </c>
      <c r="H49" s="1">
        <v>28.75</v>
      </c>
      <c r="I49" s="1">
        <v>28.75</v>
      </c>
      <c r="J49" s="1">
        <v>28.75</v>
      </c>
      <c r="K49" s="1">
        <v>28.75</v>
      </c>
      <c r="L49" s="1">
        <v>28.75</v>
      </c>
      <c r="M49" s="1">
        <v>28.36</v>
      </c>
      <c r="N49" s="1">
        <v>27.05</v>
      </c>
      <c r="O49" s="1">
        <v>24.52</v>
      </c>
      <c r="P49" s="1">
        <v>25.41</v>
      </c>
      <c r="Q49" s="1">
        <v>25.54</v>
      </c>
      <c r="R49" s="1">
        <v>30.23</v>
      </c>
      <c r="S49" s="1">
        <v>34.049999999999997</v>
      </c>
      <c r="T49" s="1">
        <v>35.5</v>
      </c>
      <c r="U49" s="1">
        <v>37.43</v>
      </c>
      <c r="V49" s="1">
        <v>40.17</v>
      </c>
      <c r="W49" s="1">
        <v>48.69</v>
      </c>
      <c r="X49" s="1">
        <v>58.29</v>
      </c>
      <c r="Y49" s="1">
        <v>71.69</v>
      </c>
      <c r="Z49" s="1">
        <v>84.88</v>
      </c>
      <c r="AA49">
        <v>91.63</v>
      </c>
      <c r="AB49">
        <v>80.14</v>
      </c>
      <c r="AC49">
        <v>72.47</v>
      </c>
      <c r="AD49">
        <v>72.069999999999993</v>
      </c>
      <c r="AE49">
        <v>77.98</v>
      </c>
      <c r="AF49">
        <v>70.03</v>
      </c>
      <c r="AG49">
        <v>71.41</v>
      </c>
      <c r="AH49">
        <v>68.02</v>
      </c>
      <c r="AI49">
        <v>80.430000000000007</v>
      </c>
      <c r="AJ49">
        <v>81.89</v>
      </c>
      <c r="AK49">
        <v>76.849999999999994</v>
      </c>
      <c r="AL49">
        <v>82.59</v>
      </c>
      <c r="AM49">
        <v>93.18</v>
      </c>
      <c r="AN49">
        <v>98.16</v>
      </c>
      <c r="AO49">
        <v>102.7</v>
      </c>
      <c r="AP49">
        <v>115.88</v>
      </c>
      <c r="AQ49">
        <v>123.21</v>
      </c>
      <c r="AR49">
        <v>117.26</v>
      </c>
      <c r="AS49">
        <v>97.79</v>
      </c>
      <c r="AT49">
        <v>88.75</v>
      </c>
      <c r="AU49">
        <v>88.65</v>
      </c>
      <c r="AV49">
        <v>87.93</v>
      </c>
      <c r="AW49">
        <v>80.62</v>
      </c>
      <c r="AX49">
        <v>75.34</v>
      </c>
      <c r="AY49">
        <v>80.040000000000006</v>
      </c>
      <c r="AZ49">
        <v>83.28</v>
      </c>
      <c r="BA49">
        <v>79.28</v>
      </c>
      <c r="BB49">
        <v>86.32</v>
      </c>
      <c r="BC49">
        <v>83.07</v>
      </c>
      <c r="BD49">
        <v>83.03</v>
      </c>
      <c r="BE49">
        <v>99.39</v>
      </c>
      <c r="BF49">
        <v>99.69</v>
      </c>
      <c r="BG49">
        <v>97.81</v>
      </c>
      <c r="BH49">
        <v>93.41</v>
      </c>
      <c r="BI49">
        <v>98.5</v>
      </c>
      <c r="BJ49">
        <v>96.8</v>
      </c>
      <c r="BK49">
        <v>93.22</v>
      </c>
      <c r="BL49">
        <v>105.53</v>
      </c>
    </row>
    <row r="50" spans="1:64">
      <c r="A50" s="1" t="s">
        <v>1174</v>
      </c>
      <c r="B50" s="1">
        <v>5.62</v>
      </c>
      <c r="C50" s="1">
        <v>5.95</v>
      </c>
      <c r="D50" s="1">
        <v>6.63</v>
      </c>
      <c r="E50" s="1">
        <v>6.63</v>
      </c>
      <c r="F50" s="1">
        <v>6.63</v>
      </c>
      <c r="G50" s="1">
        <v>6.63</v>
      </c>
      <c r="H50" s="1">
        <v>6.63</v>
      </c>
      <c r="I50" s="1">
        <v>6.63</v>
      </c>
      <c r="J50" s="1">
        <v>6.63</v>
      </c>
      <c r="K50" s="1">
        <v>6.63</v>
      </c>
      <c r="L50" s="1">
        <v>6.63</v>
      </c>
      <c r="M50" s="1">
        <v>6.63</v>
      </c>
      <c r="N50" s="1">
        <v>6.63</v>
      </c>
      <c r="O50" s="1">
        <v>6.65</v>
      </c>
      <c r="P50" s="1">
        <v>7.93</v>
      </c>
      <c r="Q50" s="1">
        <v>8.57</v>
      </c>
      <c r="R50" s="1">
        <v>8.57</v>
      </c>
      <c r="S50" s="1">
        <v>8.57</v>
      </c>
      <c r="T50" s="1">
        <v>8.57</v>
      </c>
      <c r="U50" s="1">
        <v>8.57</v>
      </c>
      <c r="V50" s="1">
        <v>8.57</v>
      </c>
      <c r="W50" s="1">
        <v>21.76</v>
      </c>
      <c r="X50" s="1">
        <v>37.409999999999997</v>
      </c>
      <c r="Y50" s="1">
        <v>41.09</v>
      </c>
      <c r="Z50" s="1">
        <v>44.53</v>
      </c>
      <c r="AA50">
        <v>50.45</v>
      </c>
      <c r="AB50">
        <v>55.99</v>
      </c>
      <c r="AC50">
        <v>62.78</v>
      </c>
      <c r="AD50">
        <v>75.8</v>
      </c>
      <c r="AE50">
        <v>81.5</v>
      </c>
      <c r="AF50">
        <v>91.58</v>
      </c>
      <c r="AG50">
        <v>122.43</v>
      </c>
      <c r="AH50">
        <v>134.51</v>
      </c>
      <c r="AI50">
        <v>142.16999999999999</v>
      </c>
      <c r="AJ50">
        <v>157.07</v>
      </c>
      <c r="AK50">
        <v>179.73</v>
      </c>
      <c r="AL50">
        <v>207.69</v>
      </c>
      <c r="AM50">
        <v>232.6</v>
      </c>
      <c r="AN50">
        <v>257.23</v>
      </c>
      <c r="AO50">
        <v>285.68</v>
      </c>
      <c r="AP50">
        <v>308.19</v>
      </c>
      <c r="AQ50">
        <v>328.87</v>
      </c>
      <c r="AR50">
        <v>359.82</v>
      </c>
      <c r="AS50">
        <v>398.66</v>
      </c>
      <c r="AT50">
        <v>437.94</v>
      </c>
      <c r="AU50">
        <v>477.79</v>
      </c>
      <c r="AV50">
        <v>511.3</v>
      </c>
      <c r="AW50">
        <v>516.62</v>
      </c>
      <c r="AX50">
        <v>526.24</v>
      </c>
      <c r="AY50">
        <v>573.29</v>
      </c>
      <c r="AZ50">
        <v>525.83000000000004</v>
      </c>
      <c r="BA50">
        <v>505.66</v>
      </c>
      <c r="BB50">
        <v>502.9</v>
      </c>
      <c r="BC50">
        <v>499.77</v>
      </c>
      <c r="BD50">
        <v>538.32000000000005</v>
      </c>
      <c r="BE50">
        <v>534.57000000000005</v>
      </c>
      <c r="BF50">
        <v>544.74</v>
      </c>
      <c r="BG50">
        <v>567.51</v>
      </c>
      <c r="BH50">
        <v>576.97</v>
      </c>
      <c r="BI50">
        <v>587.29</v>
      </c>
      <c r="BJ50">
        <v>584.9</v>
      </c>
      <c r="BK50">
        <v>620.78</v>
      </c>
      <c r="BL50">
        <v>647.14</v>
      </c>
    </row>
    <row r="51" spans="1:64">
      <c r="A51" s="1" t="s">
        <v>1175</v>
      </c>
      <c r="B51" s="1"/>
      <c r="C51" s="1"/>
      <c r="D51" s="1"/>
      <c r="E51" s="1"/>
      <c r="F51" s="1"/>
      <c r="G51" s="1"/>
      <c r="H51" s="1"/>
      <c r="I51" s="1"/>
      <c r="J51" s="1"/>
      <c r="K51" s="1"/>
      <c r="L51" s="1"/>
      <c r="M51" s="1"/>
      <c r="N51" s="1"/>
      <c r="O51" s="1"/>
      <c r="P51" s="1"/>
      <c r="Q51" s="1"/>
      <c r="R51" s="1"/>
      <c r="S51" s="1"/>
      <c r="T51" s="1"/>
      <c r="U51" s="1"/>
      <c r="V51" s="1"/>
      <c r="W51" s="1"/>
      <c r="X51" s="1"/>
      <c r="Y51" s="1"/>
      <c r="Z51" s="1"/>
    </row>
    <row r="52" spans="1:64">
      <c r="A52" s="1" t="s">
        <v>255</v>
      </c>
      <c r="B52" s="1">
        <v>1</v>
      </c>
      <c r="C52" s="1">
        <v>1</v>
      </c>
      <c r="D52" s="1">
        <v>1</v>
      </c>
      <c r="E52" s="1">
        <v>1</v>
      </c>
      <c r="F52" s="1">
        <v>1</v>
      </c>
      <c r="G52" s="1">
        <v>1</v>
      </c>
      <c r="H52" s="1">
        <v>1</v>
      </c>
      <c r="I52" s="1">
        <v>1</v>
      </c>
      <c r="J52" s="1">
        <v>1</v>
      </c>
      <c r="K52" s="1">
        <v>1</v>
      </c>
      <c r="L52" s="1">
        <v>1</v>
      </c>
      <c r="M52" s="1">
        <v>1</v>
      </c>
      <c r="N52" s="1">
        <v>0.92</v>
      </c>
      <c r="O52" s="1">
        <v>0.84</v>
      </c>
      <c r="P52" s="1">
        <v>0.82</v>
      </c>
      <c r="Q52" s="1"/>
      <c r="R52" s="1"/>
      <c r="S52" s="1"/>
      <c r="T52" s="1"/>
      <c r="U52" s="1"/>
      <c r="V52" s="1"/>
      <c r="W52" s="1"/>
      <c r="X52" s="1"/>
      <c r="Y52" s="1"/>
      <c r="Z52" s="1"/>
    </row>
    <row r="53" spans="1:64">
      <c r="A53" s="1" t="s">
        <v>1176</v>
      </c>
      <c r="B53" s="1"/>
      <c r="C53" s="1"/>
      <c r="D53" s="1"/>
      <c r="E53" s="1"/>
      <c r="F53" s="1"/>
      <c r="G53" s="1"/>
      <c r="H53" s="1"/>
      <c r="I53" s="1"/>
      <c r="J53" s="1"/>
      <c r="K53" s="1"/>
      <c r="L53" s="1"/>
      <c r="M53" s="1"/>
      <c r="N53" s="1"/>
      <c r="O53" s="1"/>
      <c r="P53" s="1"/>
      <c r="Q53" s="1"/>
      <c r="R53" s="1"/>
      <c r="S53" s="1"/>
      <c r="T53" s="1"/>
      <c r="U53" s="1"/>
      <c r="V53" s="1"/>
      <c r="W53" s="1"/>
      <c r="X53" s="1"/>
      <c r="Y53" s="1"/>
      <c r="Z53" s="1"/>
      <c r="BA53">
        <v>1.79</v>
      </c>
      <c r="BB53">
        <v>1.79</v>
      </c>
      <c r="BC53">
        <v>1.79</v>
      </c>
      <c r="BD53">
        <v>1.79</v>
      </c>
      <c r="BE53">
        <v>1.79</v>
      </c>
      <c r="BF53">
        <v>1.79</v>
      </c>
      <c r="BG53">
        <v>1.79</v>
      </c>
      <c r="BH53">
        <v>1.79</v>
      </c>
      <c r="BI53">
        <v>1.79</v>
      </c>
      <c r="BJ53">
        <v>1.79</v>
      </c>
      <c r="BK53">
        <v>1.79</v>
      </c>
      <c r="BL53">
        <v>1.79</v>
      </c>
    </row>
    <row r="54" spans="1:64">
      <c r="A54" s="1" t="s">
        <v>1177</v>
      </c>
      <c r="B54" s="1">
        <v>0.71</v>
      </c>
      <c r="C54" s="1">
        <v>0.71</v>
      </c>
      <c r="D54" s="1">
        <v>0.71</v>
      </c>
      <c r="E54" s="1">
        <v>0.71</v>
      </c>
      <c r="F54" s="1">
        <v>0.71</v>
      </c>
      <c r="G54" s="1">
        <v>0.71</v>
      </c>
      <c r="H54" s="1">
        <v>0.71</v>
      </c>
      <c r="I54" s="1">
        <v>0.73</v>
      </c>
      <c r="J54" s="1">
        <v>0.83</v>
      </c>
      <c r="K54" s="1">
        <v>0.83</v>
      </c>
      <c r="L54" s="1">
        <v>0.83</v>
      </c>
      <c r="M54" s="1">
        <v>0.83</v>
      </c>
      <c r="N54" s="1">
        <v>0.8</v>
      </c>
      <c r="O54" s="1">
        <v>0.82</v>
      </c>
      <c r="P54" s="1">
        <v>0.84</v>
      </c>
      <c r="Q54" s="1">
        <v>0.83</v>
      </c>
      <c r="R54" s="1">
        <v>0.83</v>
      </c>
      <c r="S54" s="1">
        <v>0.83</v>
      </c>
      <c r="T54" s="1">
        <v>0.83</v>
      </c>
      <c r="U54" s="1">
        <v>0.83</v>
      </c>
      <c r="V54" s="1">
        <v>0.83</v>
      </c>
      <c r="W54" s="1">
        <v>0.83</v>
      </c>
      <c r="X54" s="1">
        <v>0.83</v>
      </c>
      <c r="Y54" s="1">
        <v>0.83</v>
      </c>
      <c r="Z54" s="1">
        <v>0.83</v>
      </c>
      <c r="AA54">
        <v>0.83</v>
      </c>
      <c r="AB54">
        <v>0.83</v>
      </c>
      <c r="AC54">
        <v>0.83</v>
      </c>
      <c r="AD54">
        <v>0.83</v>
      </c>
      <c r="AE54">
        <v>0.83</v>
      </c>
      <c r="AF54">
        <v>0.83</v>
      </c>
      <c r="AG54">
        <v>0.83</v>
      </c>
      <c r="AH54">
        <v>0.83</v>
      </c>
      <c r="AI54">
        <v>0.83</v>
      </c>
      <c r="AJ54">
        <v>0.83</v>
      </c>
      <c r="AK54">
        <v>0.83</v>
      </c>
      <c r="AL54">
        <v>0.83</v>
      </c>
      <c r="AM54">
        <v>0.83</v>
      </c>
      <c r="AN54">
        <v>0.83</v>
      </c>
      <c r="AO54">
        <v>0.83</v>
      </c>
      <c r="AP54">
        <v>0.83</v>
      </c>
      <c r="AQ54">
        <v>0.83</v>
      </c>
      <c r="AR54">
        <v>0.83</v>
      </c>
      <c r="AS54">
        <v>0.83</v>
      </c>
      <c r="AT54">
        <v>0.83</v>
      </c>
      <c r="AU54">
        <v>0.83</v>
      </c>
      <c r="AV54">
        <v>0.83</v>
      </c>
      <c r="AW54">
        <v>0.83</v>
      </c>
      <c r="AX54">
        <v>0.83</v>
      </c>
      <c r="AY54">
        <v>0.83</v>
      </c>
      <c r="AZ54">
        <v>0.83</v>
      </c>
      <c r="BA54">
        <v>0.83</v>
      </c>
      <c r="BB54">
        <v>0.83</v>
      </c>
      <c r="BC54">
        <v>0.83</v>
      </c>
      <c r="BD54">
        <v>0.83</v>
      </c>
      <c r="BE54">
        <v>0.83</v>
      </c>
      <c r="BF54">
        <v>0.83</v>
      </c>
      <c r="BG54">
        <v>0.83</v>
      </c>
      <c r="BH54">
        <v>0.83</v>
      </c>
      <c r="BI54">
        <v>0.83</v>
      </c>
      <c r="BJ54">
        <v>0.83</v>
      </c>
      <c r="BK54">
        <v>0.83</v>
      </c>
    </row>
    <row r="55" spans="1:64">
      <c r="A55" s="1" t="s">
        <v>1178</v>
      </c>
      <c r="B55" s="1">
        <v>0.36</v>
      </c>
      <c r="C55" s="1">
        <v>0.36</v>
      </c>
      <c r="D55" s="1">
        <v>0.36</v>
      </c>
      <c r="E55" s="1">
        <v>0.36</v>
      </c>
      <c r="F55" s="1">
        <v>0.36</v>
      </c>
      <c r="G55" s="1">
        <v>0.36</v>
      </c>
      <c r="H55" s="1">
        <v>0.36</v>
      </c>
      <c r="I55" s="1">
        <v>0.36</v>
      </c>
      <c r="J55" s="1">
        <v>0.42</v>
      </c>
      <c r="K55" s="1">
        <v>0.42</v>
      </c>
      <c r="L55" s="1">
        <v>0.42</v>
      </c>
      <c r="M55" s="1">
        <v>0.41</v>
      </c>
      <c r="N55" s="1">
        <v>0.38</v>
      </c>
      <c r="O55" s="1">
        <v>0.35</v>
      </c>
      <c r="P55" s="1">
        <v>0.36</v>
      </c>
      <c r="Q55" s="1">
        <v>0.37</v>
      </c>
      <c r="R55" s="1">
        <v>0.41</v>
      </c>
      <c r="S55" s="1">
        <v>0.41</v>
      </c>
      <c r="T55" s="1">
        <v>0.37</v>
      </c>
      <c r="U55" s="1">
        <v>0.35</v>
      </c>
      <c r="V55" s="1">
        <v>0.35</v>
      </c>
      <c r="W55" s="1">
        <v>0.42</v>
      </c>
      <c r="X55" s="1">
        <v>0.48</v>
      </c>
      <c r="Y55" s="1">
        <v>0.53</v>
      </c>
      <c r="Z55" s="1">
        <v>0.59</v>
      </c>
      <c r="AA55">
        <v>0.61</v>
      </c>
      <c r="AB55">
        <v>0.52</v>
      </c>
      <c r="AC55">
        <v>0.48</v>
      </c>
      <c r="AD55">
        <v>0.47</v>
      </c>
      <c r="AE55">
        <v>0.49</v>
      </c>
      <c r="AF55">
        <v>0.46</v>
      </c>
      <c r="AG55">
        <v>0.46</v>
      </c>
      <c r="AH55">
        <v>0.45</v>
      </c>
      <c r="AI55">
        <v>0.5</v>
      </c>
      <c r="AJ55">
        <v>0.49</v>
      </c>
      <c r="AK55">
        <v>0.45</v>
      </c>
      <c r="AL55">
        <v>0.47</v>
      </c>
      <c r="AM55">
        <v>0.51</v>
      </c>
      <c r="AN55">
        <v>0.52</v>
      </c>
      <c r="AO55">
        <v>0.54</v>
      </c>
      <c r="AP55">
        <v>0.62</v>
      </c>
      <c r="AQ55">
        <v>0.64</v>
      </c>
      <c r="AR55">
        <v>0.61</v>
      </c>
      <c r="AS55">
        <v>0.52</v>
      </c>
      <c r="AT55">
        <v>0.47</v>
      </c>
      <c r="AU55">
        <v>0.46</v>
      </c>
      <c r="AV55">
        <v>0.46</v>
      </c>
      <c r="AW55">
        <v>0.43</v>
      </c>
      <c r="AX55">
        <v>0.68</v>
      </c>
      <c r="AY55">
        <v>0.72</v>
      </c>
      <c r="AZ55">
        <v>0.75</v>
      </c>
      <c r="BA55">
        <v>0.72</v>
      </c>
      <c r="BB55">
        <v>0.78</v>
      </c>
      <c r="BC55">
        <v>0.75</v>
      </c>
      <c r="BD55">
        <v>0.75</v>
      </c>
      <c r="BE55">
        <v>0.9</v>
      </c>
      <c r="BF55">
        <v>0.9</v>
      </c>
      <c r="BG55">
        <v>0.89</v>
      </c>
      <c r="BH55">
        <v>0.85</v>
      </c>
      <c r="BI55">
        <v>0.89</v>
      </c>
      <c r="BJ55">
        <v>0.88</v>
      </c>
      <c r="BK55">
        <v>0.85</v>
      </c>
      <c r="BL55">
        <v>0.95</v>
      </c>
    </row>
    <row r="56" spans="1:64">
      <c r="A56" s="1" t="s">
        <v>1179</v>
      </c>
      <c r="B56" s="1"/>
      <c r="C56" s="1"/>
      <c r="D56" s="1"/>
      <c r="E56" s="1"/>
      <c r="F56" s="1"/>
      <c r="G56" s="1"/>
      <c r="H56" s="1"/>
      <c r="I56" s="1"/>
      <c r="J56" s="1"/>
      <c r="K56" s="1"/>
      <c r="L56" s="1"/>
      <c r="M56" s="1"/>
      <c r="N56" s="1"/>
      <c r="O56" s="1"/>
      <c r="P56" s="1"/>
      <c r="Q56" s="1"/>
      <c r="R56" s="1"/>
      <c r="S56" s="1"/>
      <c r="T56" s="1"/>
      <c r="U56" s="1"/>
      <c r="V56" s="1"/>
      <c r="W56" s="1"/>
      <c r="X56" s="1"/>
      <c r="Y56" s="1"/>
      <c r="Z56" s="1"/>
      <c r="AI56">
        <v>29.15</v>
      </c>
      <c r="AJ56">
        <v>28.79</v>
      </c>
      <c r="AK56">
        <v>26.54</v>
      </c>
      <c r="AL56">
        <v>27.14</v>
      </c>
      <c r="AM56">
        <v>31.7</v>
      </c>
      <c r="AN56">
        <v>32.28</v>
      </c>
      <c r="AO56">
        <v>34.57</v>
      </c>
      <c r="AP56">
        <v>38.6</v>
      </c>
      <c r="AQ56">
        <v>38.04</v>
      </c>
      <c r="AR56">
        <v>32.74</v>
      </c>
      <c r="AS56">
        <v>28.21</v>
      </c>
      <c r="AT56">
        <v>25.7</v>
      </c>
      <c r="AU56">
        <v>23.96</v>
      </c>
      <c r="AV56">
        <v>22.6</v>
      </c>
      <c r="AW56">
        <v>20.29</v>
      </c>
      <c r="AX56">
        <v>17.07</v>
      </c>
      <c r="AY56">
        <v>19.059999999999999</v>
      </c>
      <c r="AZ56">
        <v>19.100000000000001</v>
      </c>
      <c r="BA56">
        <v>17.7</v>
      </c>
      <c r="BB56">
        <v>19.579999999999998</v>
      </c>
      <c r="BC56">
        <v>19.57</v>
      </c>
      <c r="BD56">
        <v>20.76</v>
      </c>
      <c r="BE56">
        <v>24.6</v>
      </c>
      <c r="BF56">
        <v>24.44</v>
      </c>
      <c r="BG56">
        <v>23.38</v>
      </c>
      <c r="BH56">
        <v>21.73</v>
      </c>
      <c r="BI56">
        <v>22.93</v>
      </c>
      <c r="BJ56">
        <v>23.21</v>
      </c>
      <c r="BK56">
        <v>21.68</v>
      </c>
      <c r="BL56">
        <v>23.36</v>
      </c>
    </row>
    <row r="57" spans="1:64">
      <c r="A57" s="1" t="s">
        <v>1180</v>
      </c>
      <c r="B57" s="1">
        <v>4.2</v>
      </c>
      <c r="C57" s="1">
        <v>4.03</v>
      </c>
      <c r="D57" s="1">
        <v>4</v>
      </c>
      <c r="E57" s="1">
        <v>4</v>
      </c>
      <c r="F57" s="1">
        <v>4</v>
      </c>
      <c r="G57" s="1">
        <v>4</v>
      </c>
      <c r="H57" s="1">
        <v>4</v>
      </c>
      <c r="I57" s="1">
        <v>4</v>
      </c>
      <c r="J57" s="1">
        <v>4</v>
      </c>
      <c r="K57" s="1">
        <v>3.94</v>
      </c>
      <c r="L57" s="1">
        <v>3.66</v>
      </c>
      <c r="M57" s="1">
        <v>3.51</v>
      </c>
      <c r="N57" s="1">
        <v>3.19</v>
      </c>
      <c r="O57" s="1">
        <v>2.67</v>
      </c>
      <c r="P57" s="1">
        <v>2.59</v>
      </c>
      <c r="Q57" s="1">
        <v>2.46</v>
      </c>
      <c r="R57" s="1">
        <v>2.52</v>
      </c>
      <c r="S57" s="1">
        <v>2.3199999999999998</v>
      </c>
      <c r="T57" s="1">
        <v>2.0099999999999998</v>
      </c>
      <c r="U57" s="1">
        <v>1.83</v>
      </c>
      <c r="V57" s="1">
        <v>1.82</v>
      </c>
      <c r="W57" s="1">
        <v>2.2599999999999998</v>
      </c>
      <c r="X57" s="1">
        <v>2.4300000000000002</v>
      </c>
      <c r="Y57" s="1">
        <v>2.5499999999999998</v>
      </c>
      <c r="Z57" s="1">
        <v>2.85</v>
      </c>
      <c r="AA57">
        <v>2.94</v>
      </c>
      <c r="AB57">
        <v>2.17</v>
      </c>
      <c r="AC57">
        <v>1.8</v>
      </c>
      <c r="AD57">
        <v>1.76</v>
      </c>
      <c r="AE57">
        <v>1.88</v>
      </c>
      <c r="AF57">
        <v>1.62</v>
      </c>
      <c r="AG57">
        <v>1.66</v>
      </c>
      <c r="AH57">
        <v>1.56</v>
      </c>
      <c r="AI57">
        <v>1.65</v>
      </c>
      <c r="AJ57">
        <v>1.62</v>
      </c>
      <c r="AK57">
        <v>1.43</v>
      </c>
      <c r="AL57">
        <v>1.5</v>
      </c>
      <c r="AM57">
        <v>1.73</v>
      </c>
      <c r="AN57">
        <v>1.76</v>
      </c>
      <c r="AO57">
        <v>0.94</v>
      </c>
      <c r="AP57">
        <v>1.08</v>
      </c>
      <c r="AQ57">
        <v>1.1200000000000001</v>
      </c>
      <c r="AR57">
        <v>1.06</v>
      </c>
      <c r="AS57">
        <v>0.88</v>
      </c>
      <c r="AT57">
        <v>0.8</v>
      </c>
      <c r="AU57">
        <v>0.8</v>
      </c>
      <c r="AV57">
        <v>0.8</v>
      </c>
      <c r="AW57">
        <v>0.73</v>
      </c>
      <c r="AX57">
        <v>0.68</v>
      </c>
      <c r="AY57">
        <v>0.72</v>
      </c>
      <c r="AZ57">
        <v>0.75</v>
      </c>
      <c r="BA57">
        <v>0.72</v>
      </c>
      <c r="BB57">
        <v>0.78</v>
      </c>
      <c r="BC57">
        <v>0.75</v>
      </c>
      <c r="BD57">
        <v>0.75</v>
      </c>
      <c r="BE57">
        <v>0.9</v>
      </c>
      <c r="BF57">
        <v>0.9</v>
      </c>
      <c r="BG57">
        <v>0.89</v>
      </c>
      <c r="BH57">
        <v>0.85</v>
      </c>
      <c r="BI57">
        <v>0.89</v>
      </c>
      <c r="BJ57">
        <v>0.88</v>
      </c>
      <c r="BK57">
        <v>0.85</v>
      </c>
      <c r="BL57">
        <v>0.95</v>
      </c>
    </row>
    <row r="58" spans="1:64">
      <c r="A58" s="1" t="s">
        <v>1181</v>
      </c>
      <c r="B58" s="1">
        <v>214.39</v>
      </c>
      <c r="C58" s="1">
        <v>214.39</v>
      </c>
      <c r="D58" s="1">
        <v>214.39</v>
      </c>
      <c r="E58" s="1">
        <v>214.39</v>
      </c>
      <c r="F58" s="1">
        <v>214.39</v>
      </c>
      <c r="G58" s="1">
        <v>214.39</v>
      </c>
      <c r="H58" s="1">
        <v>214.39</v>
      </c>
      <c r="I58" s="1">
        <v>214.39</v>
      </c>
      <c r="J58" s="1">
        <v>214.39</v>
      </c>
      <c r="K58" s="1">
        <v>214.39</v>
      </c>
      <c r="L58" s="1">
        <v>214.39</v>
      </c>
      <c r="M58" s="1">
        <v>213.78</v>
      </c>
      <c r="N58" s="1">
        <v>197.47</v>
      </c>
      <c r="O58" s="1">
        <v>179.94</v>
      </c>
      <c r="P58" s="1">
        <v>177.72</v>
      </c>
      <c r="Q58" s="1">
        <v>177.72</v>
      </c>
      <c r="R58" s="1">
        <v>177.72</v>
      </c>
      <c r="S58" s="1">
        <v>177.72</v>
      </c>
      <c r="T58" s="1">
        <v>177.72</v>
      </c>
      <c r="U58" s="1">
        <v>177.72</v>
      </c>
      <c r="V58" s="1">
        <v>177.72</v>
      </c>
      <c r="W58" s="1">
        <v>177.72</v>
      </c>
      <c r="X58" s="1">
        <v>177.72</v>
      </c>
      <c r="Y58" s="1">
        <v>177.72</v>
      </c>
      <c r="Z58" s="1">
        <v>177.72</v>
      </c>
      <c r="AA58">
        <v>177.72</v>
      </c>
      <c r="AB58">
        <v>177.72</v>
      </c>
      <c r="AC58">
        <v>177.72</v>
      </c>
      <c r="AD58">
        <v>177.72</v>
      </c>
      <c r="AE58">
        <v>177.72</v>
      </c>
      <c r="AF58">
        <v>177.72</v>
      </c>
      <c r="AG58">
        <v>177.72</v>
      </c>
      <c r="AH58">
        <v>177.72</v>
      </c>
      <c r="AI58">
        <v>177.72</v>
      </c>
      <c r="AJ58">
        <v>177.72</v>
      </c>
      <c r="AK58">
        <v>177.72</v>
      </c>
      <c r="AL58">
        <v>177.72</v>
      </c>
      <c r="AM58">
        <v>177.72</v>
      </c>
      <c r="AN58">
        <v>177.72</v>
      </c>
      <c r="AO58">
        <v>177.72</v>
      </c>
      <c r="AP58">
        <v>177.72</v>
      </c>
      <c r="AQ58">
        <v>177.72</v>
      </c>
      <c r="AR58">
        <v>177.72</v>
      </c>
      <c r="AS58">
        <v>177.72</v>
      </c>
      <c r="AT58">
        <v>177.72</v>
      </c>
      <c r="AU58">
        <v>177.72</v>
      </c>
      <c r="AV58">
        <v>177.72</v>
      </c>
      <c r="AW58">
        <v>177.72</v>
      </c>
      <c r="AX58">
        <v>177.72</v>
      </c>
      <c r="AY58">
        <v>177.72</v>
      </c>
      <c r="AZ58">
        <v>177.72</v>
      </c>
      <c r="BA58">
        <v>177.72</v>
      </c>
      <c r="BB58">
        <v>177.72</v>
      </c>
      <c r="BC58">
        <v>177.72</v>
      </c>
      <c r="BD58">
        <v>177.72</v>
      </c>
      <c r="BE58">
        <v>177.72</v>
      </c>
      <c r="BF58">
        <v>177.72</v>
      </c>
      <c r="BG58">
        <v>177.72</v>
      </c>
      <c r="BH58">
        <v>177.72</v>
      </c>
      <c r="BI58">
        <v>177.72</v>
      </c>
      <c r="BJ58">
        <v>177.72</v>
      </c>
      <c r="BK58">
        <v>177.72</v>
      </c>
      <c r="BL58">
        <v>177.72</v>
      </c>
    </row>
    <row r="59" spans="1:64">
      <c r="A59" s="1" t="s">
        <v>1182</v>
      </c>
      <c r="B59" s="1">
        <v>1.71</v>
      </c>
      <c r="C59" s="1">
        <v>1.71</v>
      </c>
      <c r="D59" s="1">
        <v>1.71</v>
      </c>
      <c r="E59" s="1">
        <v>1.71</v>
      </c>
      <c r="F59" s="1">
        <v>1.71</v>
      </c>
      <c r="G59" s="1">
        <v>1.71</v>
      </c>
      <c r="H59" s="1">
        <v>1.71</v>
      </c>
      <c r="I59" s="1">
        <v>1.76</v>
      </c>
      <c r="J59" s="1">
        <v>2</v>
      </c>
      <c r="K59" s="1">
        <v>2</v>
      </c>
      <c r="L59" s="1">
        <v>2</v>
      </c>
      <c r="M59" s="1">
        <v>1.97</v>
      </c>
      <c r="N59" s="1">
        <v>1.92</v>
      </c>
      <c r="O59" s="1">
        <v>1.96</v>
      </c>
      <c r="P59" s="1">
        <v>2.0499999999999998</v>
      </c>
      <c r="Q59" s="1">
        <v>2.17</v>
      </c>
      <c r="R59" s="1">
        <v>2.61</v>
      </c>
      <c r="S59" s="1">
        <v>2.7</v>
      </c>
      <c r="T59" s="1">
        <v>2.7</v>
      </c>
      <c r="U59" s="1">
        <v>2.7</v>
      </c>
      <c r="V59" s="1">
        <v>2.7</v>
      </c>
      <c r="W59" s="1">
        <v>2.7</v>
      </c>
      <c r="X59" s="1">
        <v>2.7</v>
      </c>
      <c r="Y59" s="1">
        <v>2.7</v>
      </c>
      <c r="Z59" s="1">
        <v>2.7</v>
      </c>
      <c r="AA59">
        <v>2.7</v>
      </c>
      <c r="AB59">
        <v>2.7</v>
      </c>
      <c r="AC59">
        <v>2.7</v>
      </c>
      <c r="AD59">
        <v>2.7</v>
      </c>
      <c r="AE59">
        <v>2.7</v>
      </c>
      <c r="AF59">
        <v>2.7</v>
      </c>
      <c r="AG59">
        <v>2.7</v>
      </c>
      <c r="AH59">
        <v>2.7</v>
      </c>
      <c r="AI59">
        <v>2.7</v>
      </c>
      <c r="AJ59">
        <v>2.7</v>
      </c>
      <c r="AK59">
        <v>2.7</v>
      </c>
      <c r="AL59">
        <v>2.7</v>
      </c>
      <c r="AM59">
        <v>2.7</v>
      </c>
      <c r="AN59">
        <v>2.7</v>
      </c>
      <c r="AO59">
        <v>2.7</v>
      </c>
      <c r="AP59">
        <v>2.7</v>
      </c>
      <c r="AQ59">
        <v>2.7</v>
      </c>
      <c r="AR59">
        <v>2.7</v>
      </c>
      <c r="AS59">
        <v>2.7</v>
      </c>
      <c r="AT59">
        <v>2.7</v>
      </c>
      <c r="AU59">
        <v>2.7</v>
      </c>
      <c r="AV59">
        <v>2.7</v>
      </c>
      <c r="AW59">
        <v>2.7</v>
      </c>
      <c r="AX59">
        <v>2.7</v>
      </c>
      <c r="AY59">
        <v>2.7</v>
      </c>
      <c r="AZ59">
        <v>2.7</v>
      </c>
      <c r="BA59">
        <v>2.7</v>
      </c>
      <c r="BB59">
        <v>2.7</v>
      </c>
      <c r="BC59">
        <v>2.7</v>
      </c>
      <c r="BD59">
        <v>2.7</v>
      </c>
      <c r="BE59">
        <v>2.7</v>
      </c>
      <c r="BF59">
        <v>2.7</v>
      </c>
      <c r="BG59">
        <v>2.7</v>
      </c>
      <c r="BH59">
        <v>2.7</v>
      </c>
      <c r="BI59">
        <v>2.7</v>
      </c>
      <c r="BJ59">
        <v>2.7</v>
      </c>
      <c r="BK59">
        <v>2.7</v>
      </c>
      <c r="BL59">
        <v>2.7</v>
      </c>
    </row>
    <row r="60" spans="1:64">
      <c r="A60" s="1" t="s">
        <v>1183</v>
      </c>
      <c r="B60" s="1">
        <v>6.91</v>
      </c>
      <c r="C60" s="1">
        <v>6.91</v>
      </c>
      <c r="D60" s="1">
        <v>6.91</v>
      </c>
      <c r="E60" s="1">
        <v>6.91</v>
      </c>
      <c r="F60" s="1">
        <v>6.91</v>
      </c>
      <c r="G60" s="1">
        <v>6.91</v>
      </c>
      <c r="H60" s="1">
        <v>6.91</v>
      </c>
      <c r="I60" s="1">
        <v>6.96</v>
      </c>
      <c r="J60" s="1">
        <v>7.5</v>
      </c>
      <c r="K60" s="1">
        <v>7.5</v>
      </c>
      <c r="L60" s="1">
        <v>7.5</v>
      </c>
      <c r="M60" s="1">
        <v>7.43</v>
      </c>
      <c r="N60" s="1">
        <v>6.95</v>
      </c>
      <c r="O60" s="1">
        <v>6.05</v>
      </c>
      <c r="P60" s="1">
        <v>6.09</v>
      </c>
      <c r="Q60" s="1">
        <v>5.75</v>
      </c>
      <c r="R60" s="1">
        <v>6.05</v>
      </c>
      <c r="S60" s="1">
        <v>6</v>
      </c>
      <c r="T60" s="1">
        <v>5.51</v>
      </c>
      <c r="U60" s="1">
        <v>5.26</v>
      </c>
      <c r="V60" s="1">
        <v>5.64</v>
      </c>
      <c r="W60" s="1">
        <v>7.12</v>
      </c>
      <c r="X60" s="1">
        <v>8.33</v>
      </c>
      <c r="Y60" s="1">
        <v>9.14</v>
      </c>
      <c r="Z60" s="1">
        <v>10.36</v>
      </c>
      <c r="AA60">
        <v>10.6</v>
      </c>
      <c r="AB60">
        <v>8.09</v>
      </c>
      <c r="AC60">
        <v>6.84</v>
      </c>
      <c r="AD60">
        <v>6.73</v>
      </c>
      <c r="AE60">
        <v>7.31</v>
      </c>
      <c r="AF60">
        <v>6.19</v>
      </c>
      <c r="AG60">
        <v>6.4</v>
      </c>
      <c r="AH60">
        <v>6.04</v>
      </c>
      <c r="AI60">
        <v>6.48</v>
      </c>
      <c r="AJ60">
        <v>6.36</v>
      </c>
      <c r="AK60">
        <v>5.6</v>
      </c>
      <c r="AL60">
        <v>5.8</v>
      </c>
      <c r="AM60">
        <v>6.6</v>
      </c>
      <c r="AN60">
        <v>6.7</v>
      </c>
      <c r="AO60">
        <v>6.98</v>
      </c>
      <c r="AP60">
        <v>8.08</v>
      </c>
      <c r="AQ60">
        <v>8.32</v>
      </c>
      <c r="AR60">
        <v>7.89</v>
      </c>
      <c r="AS60">
        <v>6.59</v>
      </c>
      <c r="AT60">
        <v>5.99</v>
      </c>
      <c r="AU60">
        <v>6</v>
      </c>
      <c r="AV60">
        <v>5.95</v>
      </c>
      <c r="AW60">
        <v>5.44</v>
      </c>
      <c r="AX60">
        <v>5.0999999999999996</v>
      </c>
      <c r="AY60">
        <v>5.36</v>
      </c>
      <c r="AZ60">
        <v>5.62</v>
      </c>
      <c r="BA60">
        <v>5.37</v>
      </c>
      <c r="BB60">
        <v>5.79</v>
      </c>
      <c r="BC60">
        <v>5.62</v>
      </c>
      <c r="BD60">
        <v>5.61</v>
      </c>
      <c r="BE60">
        <v>6.73</v>
      </c>
      <c r="BF60">
        <v>6.73</v>
      </c>
      <c r="BG60">
        <v>6.6</v>
      </c>
      <c r="BH60">
        <v>6.31</v>
      </c>
      <c r="BI60">
        <v>6.67</v>
      </c>
      <c r="BJ60">
        <v>6.54</v>
      </c>
      <c r="BK60">
        <v>6.29</v>
      </c>
      <c r="BL60">
        <v>7.08</v>
      </c>
    </row>
    <row r="61" spans="1:64">
      <c r="A61" s="1" t="s">
        <v>1184</v>
      </c>
      <c r="B61" s="1">
        <v>1</v>
      </c>
      <c r="C61" s="1">
        <v>1</v>
      </c>
      <c r="D61" s="1">
        <v>1</v>
      </c>
      <c r="E61" s="1">
        <v>1</v>
      </c>
      <c r="F61" s="1">
        <v>1</v>
      </c>
      <c r="G61" s="1">
        <v>1</v>
      </c>
      <c r="H61" s="1">
        <v>1</v>
      </c>
      <c r="I61" s="1">
        <v>1</v>
      </c>
      <c r="J61" s="1">
        <v>1</v>
      </c>
      <c r="K61" s="1">
        <v>1</v>
      </c>
      <c r="L61" s="1">
        <v>1</v>
      </c>
      <c r="M61" s="1">
        <v>1</v>
      </c>
      <c r="N61" s="1">
        <v>1</v>
      </c>
      <c r="O61" s="1">
        <v>1</v>
      </c>
      <c r="P61" s="1">
        <v>1</v>
      </c>
      <c r="Q61" s="1">
        <v>1</v>
      </c>
      <c r="R61" s="1">
        <v>1</v>
      </c>
      <c r="S61" s="1">
        <v>1</v>
      </c>
      <c r="T61" s="1">
        <v>1</v>
      </c>
      <c r="U61" s="1">
        <v>1</v>
      </c>
      <c r="V61" s="1">
        <v>1</v>
      </c>
      <c r="W61" s="1">
        <v>1</v>
      </c>
      <c r="X61" s="1">
        <v>1</v>
      </c>
      <c r="Y61" s="1">
        <v>1</v>
      </c>
      <c r="Z61" s="1">
        <v>1</v>
      </c>
      <c r="AA61">
        <v>3.11</v>
      </c>
      <c r="AB61">
        <v>2.9</v>
      </c>
      <c r="AC61">
        <v>3.84</v>
      </c>
      <c r="AD61">
        <v>6.11</v>
      </c>
      <c r="AE61">
        <v>6.34</v>
      </c>
      <c r="AF61">
        <v>8.5299999999999994</v>
      </c>
      <c r="AG61">
        <v>12.58</v>
      </c>
      <c r="AH61">
        <v>12.5</v>
      </c>
      <c r="AI61">
        <v>12.5</v>
      </c>
      <c r="AJ61">
        <v>12.62</v>
      </c>
      <c r="AK61">
        <v>12.87</v>
      </c>
      <c r="AL61">
        <v>12.9</v>
      </c>
      <c r="AM61">
        <v>14.01</v>
      </c>
      <c r="AN61">
        <v>14.7</v>
      </c>
      <c r="AO61">
        <v>15.83</v>
      </c>
      <c r="AP61">
        <v>16.18</v>
      </c>
      <c r="AQ61">
        <v>16.690000000000001</v>
      </c>
      <c r="AR61">
        <v>17.59</v>
      </c>
      <c r="AS61">
        <v>29.37</v>
      </c>
      <c r="AT61">
        <v>41.93</v>
      </c>
      <c r="AU61">
        <v>30.28</v>
      </c>
      <c r="AV61">
        <v>33.299999999999997</v>
      </c>
      <c r="AW61">
        <v>33.17</v>
      </c>
      <c r="AX61">
        <v>34.53</v>
      </c>
      <c r="AY61">
        <v>35.97</v>
      </c>
      <c r="AZ61">
        <v>36.82</v>
      </c>
      <c r="BA61">
        <v>38.090000000000003</v>
      </c>
      <c r="BB61">
        <v>39.32</v>
      </c>
      <c r="BC61">
        <v>41.79</v>
      </c>
      <c r="BD61">
        <v>43.55</v>
      </c>
      <c r="BE61">
        <v>45.05</v>
      </c>
      <c r="BF61">
        <v>46.06</v>
      </c>
      <c r="BG61">
        <v>47.53</v>
      </c>
      <c r="BH61">
        <v>49.51</v>
      </c>
      <c r="BI61">
        <v>51.29</v>
      </c>
      <c r="BJ61">
        <v>56.52</v>
      </c>
      <c r="BK61">
        <v>57.22</v>
      </c>
      <c r="BL61">
        <v>55.14</v>
      </c>
    </row>
    <row r="62" spans="1:64">
      <c r="A62" s="1" t="s">
        <v>294</v>
      </c>
      <c r="B62" s="1">
        <v>4.9400000000000004</v>
      </c>
      <c r="C62" s="1">
        <v>4.9400000000000004</v>
      </c>
      <c r="D62" s="1">
        <v>4.9400000000000004</v>
      </c>
      <c r="E62" s="1">
        <v>4.9400000000000004</v>
      </c>
      <c r="F62" s="1">
        <v>4.9400000000000004</v>
      </c>
      <c r="G62" s="1">
        <v>4.9400000000000004</v>
      </c>
      <c r="H62" s="1">
        <v>4.9400000000000004</v>
      </c>
      <c r="I62" s="1">
        <v>4.9400000000000004</v>
      </c>
      <c r="J62" s="1">
        <v>4.9400000000000004</v>
      </c>
      <c r="K62" s="1">
        <v>4.9400000000000004</v>
      </c>
      <c r="L62" s="1">
        <v>4.9400000000000004</v>
      </c>
      <c r="M62" s="1">
        <v>4.91</v>
      </c>
      <c r="N62" s="1">
        <v>4.4800000000000004</v>
      </c>
      <c r="O62" s="1">
        <v>3.96</v>
      </c>
      <c r="P62" s="1">
        <v>4.18</v>
      </c>
      <c r="Q62" s="1">
        <v>3.95</v>
      </c>
      <c r="R62" s="1">
        <v>4.16</v>
      </c>
      <c r="S62" s="1">
        <v>4.1500000000000004</v>
      </c>
      <c r="T62" s="1">
        <v>3.97</v>
      </c>
      <c r="U62" s="1">
        <v>3.85</v>
      </c>
      <c r="V62" s="1">
        <v>3.84</v>
      </c>
      <c r="W62" s="1">
        <v>4.32</v>
      </c>
      <c r="X62" s="1">
        <v>4.59</v>
      </c>
      <c r="Y62" s="1">
        <v>4.79</v>
      </c>
      <c r="Z62" s="1">
        <v>4.9800000000000004</v>
      </c>
      <c r="AA62">
        <v>5.03</v>
      </c>
      <c r="AB62">
        <v>4.7</v>
      </c>
      <c r="AC62">
        <v>4.8499999999999996</v>
      </c>
      <c r="AD62">
        <v>5.91</v>
      </c>
      <c r="AE62">
        <v>7.61</v>
      </c>
      <c r="AF62">
        <v>8.9600000000000009</v>
      </c>
      <c r="AG62">
        <v>18.47</v>
      </c>
      <c r="AH62">
        <v>21.84</v>
      </c>
      <c r="AI62">
        <v>23.35</v>
      </c>
      <c r="AJ62">
        <v>35.06</v>
      </c>
      <c r="AK62">
        <v>47.66</v>
      </c>
      <c r="AL62">
        <v>54.75</v>
      </c>
      <c r="AM62">
        <v>57.71</v>
      </c>
      <c r="AN62">
        <v>58.74</v>
      </c>
      <c r="AO62">
        <v>66.569999999999993</v>
      </c>
      <c r="AP62">
        <v>75.260000000000005</v>
      </c>
      <c r="AQ62">
        <v>77.22</v>
      </c>
      <c r="AR62">
        <v>79.680000000000007</v>
      </c>
      <c r="AS62">
        <v>77.39</v>
      </c>
      <c r="AT62">
        <v>72.06</v>
      </c>
      <c r="AU62">
        <v>73.28</v>
      </c>
      <c r="AV62">
        <v>72.650000000000006</v>
      </c>
      <c r="AW62">
        <v>69.290000000000006</v>
      </c>
      <c r="AX62">
        <v>64.58</v>
      </c>
      <c r="AY62">
        <v>72.650000000000006</v>
      </c>
      <c r="AZ62">
        <v>74.39</v>
      </c>
      <c r="BA62">
        <v>72.94</v>
      </c>
      <c r="BB62">
        <v>77.540000000000006</v>
      </c>
      <c r="BC62">
        <v>79.37</v>
      </c>
      <c r="BD62">
        <v>80.58</v>
      </c>
      <c r="BE62">
        <v>100.69</v>
      </c>
      <c r="BF62">
        <v>109.44</v>
      </c>
      <c r="BG62">
        <v>110.97</v>
      </c>
      <c r="BH62">
        <v>116.59</v>
      </c>
      <c r="BI62">
        <v>119.35</v>
      </c>
      <c r="BJ62">
        <v>126.78</v>
      </c>
      <c r="BK62">
        <v>135.06</v>
      </c>
      <c r="BL62">
        <v>141.99</v>
      </c>
    </row>
    <row r="63" spans="1:64">
      <c r="A63" s="1" t="s">
        <v>1185</v>
      </c>
      <c r="B63" s="1"/>
      <c r="C63" s="1"/>
      <c r="D63" s="1"/>
      <c r="E63" s="1"/>
      <c r="F63" s="1"/>
      <c r="G63" s="1"/>
      <c r="H63" s="1"/>
      <c r="I63" s="1"/>
      <c r="J63" s="1"/>
      <c r="K63" s="1"/>
      <c r="L63" s="1"/>
      <c r="M63" s="1"/>
      <c r="N63" s="1"/>
      <c r="O63" s="1"/>
      <c r="P63" s="1"/>
      <c r="Q63" s="1"/>
      <c r="R63" s="1"/>
      <c r="S63" s="1"/>
      <c r="T63" s="1"/>
      <c r="U63" s="1"/>
      <c r="V63" s="1"/>
      <c r="W63" s="1"/>
      <c r="X63" s="1"/>
      <c r="Y63" s="1"/>
      <c r="Z63" s="1"/>
    </row>
    <row r="64" spans="1:64">
      <c r="A64" s="1" t="s">
        <v>1186</v>
      </c>
      <c r="B64" s="1"/>
      <c r="C64" s="1"/>
      <c r="D64" s="1"/>
      <c r="E64" s="1"/>
      <c r="F64" s="1"/>
      <c r="G64" s="1"/>
      <c r="H64" s="1"/>
      <c r="I64" s="1"/>
      <c r="J64" s="1"/>
      <c r="K64" s="1"/>
      <c r="L64" s="1"/>
      <c r="M64" s="1"/>
      <c r="N64" s="1"/>
      <c r="O64" s="1"/>
      <c r="P64" s="1"/>
      <c r="Q64" s="1"/>
      <c r="R64" s="1"/>
      <c r="S64" s="1"/>
      <c r="T64" s="1"/>
      <c r="U64" s="1"/>
      <c r="V64" s="1"/>
      <c r="W64" s="1"/>
      <c r="X64" s="1"/>
      <c r="Y64" s="1"/>
      <c r="Z64" s="1"/>
    </row>
    <row r="65" spans="1:64">
      <c r="A65" s="1" t="s">
        <v>1187</v>
      </c>
      <c r="B65" s="1"/>
      <c r="C65" s="1"/>
      <c r="D65" s="1"/>
      <c r="E65" s="1"/>
      <c r="F65" s="1"/>
      <c r="G65" s="1"/>
      <c r="H65" s="1"/>
      <c r="I65" s="1"/>
      <c r="J65" s="1"/>
      <c r="K65" s="1"/>
      <c r="L65" s="1"/>
      <c r="M65" s="1"/>
      <c r="N65" s="1"/>
      <c r="O65" s="1"/>
      <c r="P65" s="1"/>
      <c r="Q65" s="1"/>
      <c r="R65" s="1"/>
      <c r="S65" s="1"/>
      <c r="T65" s="1"/>
      <c r="U65" s="1"/>
      <c r="V65" s="1"/>
      <c r="W65" s="1"/>
      <c r="X65" s="1"/>
      <c r="Y65" s="1"/>
      <c r="Z65" s="1"/>
    </row>
    <row r="66" spans="1:64">
      <c r="A66" s="1" t="s">
        <v>1188</v>
      </c>
      <c r="B66" s="1"/>
      <c r="C66" s="1"/>
      <c r="D66" s="1"/>
      <c r="E66" s="1"/>
      <c r="F66" s="1"/>
      <c r="G66" s="1"/>
      <c r="H66" s="1"/>
      <c r="I66" s="1"/>
      <c r="J66" s="1"/>
      <c r="K66" s="1"/>
      <c r="L66" s="1"/>
      <c r="M66" s="1"/>
      <c r="N66" s="1"/>
      <c r="O66" s="1"/>
      <c r="P66" s="1"/>
      <c r="Q66" s="1"/>
      <c r="R66" s="1"/>
      <c r="S66" s="1"/>
      <c r="T66" s="1"/>
      <c r="U66" s="1"/>
      <c r="V66" s="1"/>
      <c r="W66" s="1"/>
      <c r="X66" s="1"/>
      <c r="Y66" s="1"/>
      <c r="Z66" s="1"/>
    </row>
    <row r="67" spans="1:64">
      <c r="A67" s="1" t="s">
        <v>1189</v>
      </c>
      <c r="B67" s="1"/>
      <c r="C67" s="1"/>
      <c r="D67" s="1"/>
      <c r="E67" s="1"/>
      <c r="F67" s="1"/>
      <c r="G67" s="1"/>
      <c r="H67" s="1"/>
      <c r="I67" s="1"/>
      <c r="J67" s="1"/>
      <c r="K67" s="1"/>
      <c r="L67" s="1"/>
      <c r="M67" s="1"/>
      <c r="N67" s="1"/>
      <c r="O67" s="1"/>
      <c r="P67" s="1"/>
      <c r="Q67" s="1"/>
      <c r="R67" s="1"/>
      <c r="S67" s="1"/>
      <c r="T67" s="1"/>
      <c r="U67" s="1"/>
      <c r="V67" s="1"/>
      <c r="W67" s="1"/>
      <c r="X67" s="1"/>
      <c r="Y67" s="1"/>
      <c r="Z67" s="1"/>
    </row>
    <row r="68" spans="1:64">
      <c r="A68" s="1" t="s">
        <v>286</v>
      </c>
      <c r="B68" s="1">
        <v>15</v>
      </c>
      <c r="C68" s="1">
        <v>16.5</v>
      </c>
      <c r="D68" s="1">
        <v>18</v>
      </c>
      <c r="E68" s="1">
        <v>18</v>
      </c>
      <c r="F68" s="1">
        <v>18</v>
      </c>
      <c r="G68" s="1">
        <v>18</v>
      </c>
      <c r="H68" s="1">
        <v>18</v>
      </c>
      <c r="I68" s="1">
        <v>18</v>
      </c>
      <c r="J68" s="1">
        <v>18</v>
      </c>
      <c r="K68" s="1">
        <v>18</v>
      </c>
      <c r="L68" s="1">
        <v>20.92</v>
      </c>
      <c r="M68" s="1">
        <v>25</v>
      </c>
      <c r="N68" s="1">
        <v>25</v>
      </c>
      <c r="O68" s="1">
        <v>25</v>
      </c>
      <c r="P68" s="1">
        <v>25</v>
      </c>
      <c r="Q68" s="1">
        <v>25</v>
      </c>
      <c r="R68" s="1">
        <v>25</v>
      </c>
      <c r="S68" s="1">
        <v>25</v>
      </c>
      <c r="T68" s="1">
        <v>25</v>
      </c>
      <c r="U68" s="1">
        <v>25</v>
      </c>
      <c r="V68" s="1">
        <v>25</v>
      </c>
      <c r="W68" s="1">
        <v>25</v>
      </c>
      <c r="X68" s="1">
        <v>30.03</v>
      </c>
      <c r="Y68" s="1">
        <v>44.12</v>
      </c>
      <c r="Z68" s="1">
        <v>62.54</v>
      </c>
      <c r="AA68">
        <v>69.56</v>
      </c>
      <c r="AB68">
        <v>122.78</v>
      </c>
      <c r="AC68">
        <v>170.46</v>
      </c>
      <c r="AD68">
        <v>301.61</v>
      </c>
      <c r="AE68">
        <v>526.35</v>
      </c>
      <c r="AF68">
        <v>767.75</v>
      </c>
      <c r="AG68">
        <v>1046.25</v>
      </c>
      <c r="AH68">
        <v>1533.96</v>
      </c>
      <c r="AI68">
        <v>1919.11</v>
      </c>
      <c r="AJ68">
        <v>2196.73</v>
      </c>
      <c r="AK68">
        <v>2564.4899999999998</v>
      </c>
      <c r="AL68">
        <v>3189.47</v>
      </c>
      <c r="AM68">
        <v>3998.27</v>
      </c>
      <c r="AN68">
        <v>5446.57</v>
      </c>
      <c r="AO68">
        <v>11786.8</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row>
    <row r="69" spans="1:64">
      <c r="A69" s="1" t="s">
        <v>232</v>
      </c>
      <c r="B69" s="1">
        <v>0.35</v>
      </c>
      <c r="C69" s="1">
        <v>0.35</v>
      </c>
      <c r="D69" s="1">
        <v>0.4</v>
      </c>
      <c r="E69" s="1">
        <v>0.43</v>
      </c>
      <c r="F69" s="1">
        <v>0.43</v>
      </c>
      <c r="G69" s="1">
        <v>0.43</v>
      </c>
      <c r="H69" s="1">
        <v>0.43</v>
      </c>
      <c r="I69" s="1">
        <v>0.43</v>
      </c>
      <c r="J69" s="1">
        <v>0.43</v>
      </c>
      <c r="K69" s="1">
        <v>0.43</v>
      </c>
      <c r="L69" s="1">
        <v>0.43</v>
      </c>
      <c r="M69" s="1">
        <v>0.43</v>
      </c>
      <c r="N69" s="1">
        <v>0.43</v>
      </c>
      <c r="O69" s="1">
        <v>0.4</v>
      </c>
      <c r="P69" s="1">
        <v>0.39</v>
      </c>
      <c r="Q69" s="1">
        <v>0.39</v>
      </c>
      <c r="R69" s="1">
        <v>0.39</v>
      </c>
      <c r="S69" s="1">
        <v>0.39</v>
      </c>
      <c r="T69" s="1">
        <v>0.39</v>
      </c>
      <c r="U69" s="1">
        <v>0.7</v>
      </c>
      <c r="V69" s="1">
        <v>0.7</v>
      </c>
      <c r="W69" s="1">
        <v>0.7</v>
      </c>
      <c r="X69" s="1">
        <v>0.7</v>
      </c>
      <c r="Y69" s="1">
        <v>0.7</v>
      </c>
      <c r="Z69" s="1">
        <v>0.7</v>
      </c>
      <c r="AA69">
        <v>0.7</v>
      </c>
      <c r="AB69">
        <v>0.7</v>
      </c>
      <c r="AC69">
        <v>0.7</v>
      </c>
      <c r="AD69">
        <v>0.7</v>
      </c>
      <c r="AE69">
        <v>0.87</v>
      </c>
      <c r="AF69">
        <v>1.55</v>
      </c>
      <c r="AG69">
        <v>3.14</v>
      </c>
      <c r="AH69">
        <v>3.32</v>
      </c>
      <c r="AI69">
        <v>3.35</v>
      </c>
      <c r="AJ69">
        <v>3.39</v>
      </c>
      <c r="AK69">
        <v>3.39</v>
      </c>
      <c r="AL69">
        <v>3.39</v>
      </c>
      <c r="AM69">
        <v>3.39</v>
      </c>
      <c r="AN69">
        <v>3.39</v>
      </c>
      <c r="AO69">
        <v>3.4</v>
      </c>
      <c r="AP69">
        <v>3.47</v>
      </c>
      <c r="AQ69">
        <v>3.97</v>
      </c>
      <c r="AR69">
        <v>4.5</v>
      </c>
      <c r="AS69">
        <v>5.85</v>
      </c>
      <c r="AT69">
        <v>6.2</v>
      </c>
      <c r="AU69">
        <v>5.78</v>
      </c>
      <c r="AV69">
        <v>5.73</v>
      </c>
      <c r="AW69">
        <v>5.64</v>
      </c>
      <c r="AX69">
        <v>5.43</v>
      </c>
      <c r="AY69">
        <v>5.54</v>
      </c>
      <c r="AZ69">
        <v>5.62</v>
      </c>
      <c r="BA69">
        <v>5.93</v>
      </c>
      <c r="BB69">
        <v>6.06</v>
      </c>
      <c r="BC69">
        <v>6.87</v>
      </c>
      <c r="BD69">
        <v>7.08</v>
      </c>
      <c r="BE69">
        <v>7.69</v>
      </c>
      <c r="BF69">
        <v>10.029999999999999</v>
      </c>
      <c r="BG69">
        <v>17.78</v>
      </c>
      <c r="BH69">
        <v>17.77</v>
      </c>
      <c r="BI69">
        <v>16.77</v>
      </c>
      <c r="BJ69">
        <v>15.76</v>
      </c>
      <c r="BK69">
        <v>15.64</v>
      </c>
      <c r="BL69">
        <v>19.16</v>
      </c>
    </row>
    <row r="70" spans="1:64">
      <c r="A70" s="1" t="s">
        <v>291</v>
      </c>
      <c r="B70" s="1"/>
      <c r="C70" s="1"/>
      <c r="D70" s="1"/>
      <c r="E70" s="1"/>
      <c r="F70" s="1"/>
      <c r="G70" s="1"/>
      <c r="H70" s="1"/>
      <c r="I70" s="1"/>
      <c r="J70" s="1"/>
      <c r="K70" s="1"/>
      <c r="L70" s="1"/>
      <c r="M70" s="1"/>
      <c r="N70" s="1"/>
      <c r="O70" s="1"/>
      <c r="P70" s="1"/>
      <c r="Q70" s="1"/>
      <c r="R70" s="1"/>
      <c r="S70" s="1"/>
      <c r="T70" s="1"/>
      <c r="U70" s="1"/>
      <c r="V70" s="1"/>
      <c r="W70" s="1"/>
      <c r="X70" s="1"/>
      <c r="Y70" s="1"/>
      <c r="Z70" s="1"/>
      <c r="AO70">
        <v>0.94</v>
      </c>
      <c r="AP70">
        <v>1.08</v>
      </c>
      <c r="AQ70">
        <v>1.1200000000000001</v>
      </c>
      <c r="AR70">
        <v>1.06</v>
      </c>
      <c r="AS70">
        <v>0.88</v>
      </c>
      <c r="AT70">
        <v>0.8</v>
      </c>
      <c r="AU70">
        <v>0.8</v>
      </c>
      <c r="AV70">
        <v>0.8</v>
      </c>
      <c r="AW70">
        <v>0.73</v>
      </c>
      <c r="AX70">
        <v>0.68</v>
      </c>
      <c r="AY70">
        <v>0.72</v>
      </c>
      <c r="AZ70">
        <v>0.75</v>
      </c>
      <c r="BA70">
        <v>0.72</v>
      </c>
      <c r="BB70">
        <v>0.78</v>
      </c>
      <c r="BC70">
        <v>0.75</v>
      </c>
      <c r="BD70">
        <v>0.75</v>
      </c>
      <c r="BE70">
        <v>0.9</v>
      </c>
      <c r="BF70">
        <v>0.9</v>
      </c>
      <c r="BG70">
        <v>0.89</v>
      </c>
      <c r="BH70">
        <v>0.85</v>
      </c>
      <c r="BI70">
        <v>0.89</v>
      </c>
      <c r="BJ70">
        <v>0.88</v>
      </c>
      <c r="BK70">
        <v>0.85</v>
      </c>
      <c r="BL70">
        <v>0.95</v>
      </c>
    </row>
    <row r="71" spans="1:64">
      <c r="A71" s="1" t="s">
        <v>1190</v>
      </c>
      <c r="B71" s="1">
        <v>2.4900000000000002</v>
      </c>
      <c r="C71" s="1">
        <v>2.4900000000000002</v>
      </c>
      <c r="D71" s="1">
        <v>2.4900000000000002</v>
      </c>
      <c r="E71" s="1">
        <v>2.4900000000000002</v>
      </c>
      <c r="F71" s="1">
        <v>2.5</v>
      </c>
      <c r="G71" s="1">
        <v>2.5</v>
      </c>
      <c r="H71" s="1">
        <v>2.5</v>
      </c>
      <c r="I71" s="1">
        <v>2.5</v>
      </c>
      <c r="J71" s="1">
        <v>2.5</v>
      </c>
      <c r="K71" s="1">
        <v>2.5</v>
      </c>
      <c r="L71" s="1">
        <v>2.5</v>
      </c>
      <c r="M71" s="1">
        <v>2.5</v>
      </c>
      <c r="N71" s="1">
        <v>2.2999999999999998</v>
      </c>
      <c r="O71" s="1">
        <v>2.1</v>
      </c>
      <c r="P71" s="1">
        <v>2.0699999999999998</v>
      </c>
      <c r="Q71" s="1">
        <v>2.0699999999999998</v>
      </c>
      <c r="R71" s="1">
        <v>2.0699999999999998</v>
      </c>
      <c r="S71" s="1">
        <v>2.0699999999999998</v>
      </c>
      <c r="T71" s="1">
        <v>2.0699999999999998</v>
      </c>
      <c r="U71" s="1">
        <v>2.0699999999999998</v>
      </c>
      <c r="V71" s="1">
        <v>2.0699999999999998</v>
      </c>
      <c r="W71" s="1">
        <v>2.0699999999999998</v>
      </c>
      <c r="X71" s="1">
        <v>2.0699999999999998</v>
      </c>
      <c r="Y71" s="1">
        <v>2.0699999999999998</v>
      </c>
      <c r="Z71" s="1">
        <v>2.0699999999999998</v>
      </c>
      <c r="AA71">
        <v>2.0699999999999998</v>
      </c>
      <c r="AB71">
        <v>2.0699999999999998</v>
      </c>
      <c r="AC71">
        <v>2.0699999999999998</v>
      </c>
      <c r="AD71">
        <v>2.0699999999999998</v>
      </c>
      <c r="AE71">
        <v>2.0699999999999998</v>
      </c>
      <c r="AF71">
        <v>2.0699999999999998</v>
      </c>
      <c r="AG71">
        <v>2.0699999999999998</v>
      </c>
      <c r="AH71">
        <v>2.8</v>
      </c>
      <c r="AI71">
        <v>5</v>
      </c>
      <c r="AJ71">
        <v>5.47</v>
      </c>
      <c r="AK71">
        <v>6.16</v>
      </c>
      <c r="AL71">
        <v>6.36</v>
      </c>
      <c r="AM71">
        <v>6.76</v>
      </c>
      <c r="AN71">
        <v>7.36</v>
      </c>
      <c r="AO71">
        <v>8.15</v>
      </c>
      <c r="AP71">
        <v>9.6300000000000008</v>
      </c>
      <c r="AQ71">
        <v>11.31</v>
      </c>
      <c r="AR71">
        <v>13.96</v>
      </c>
      <c r="AS71">
        <v>13.88</v>
      </c>
      <c r="AT71">
        <v>13.79</v>
      </c>
      <c r="AU71">
        <v>15.37</v>
      </c>
      <c r="AV71">
        <v>15.38</v>
      </c>
      <c r="AW71">
        <v>15.38</v>
      </c>
      <c r="AX71">
        <v>15.38</v>
      </c>
      <c r="AY71">
        <v>15.38</v>
      </c>
      <c r="AZ71">
        <v>15.38</v>
      </c>
      <c r="BA71">
        <v>15.38</v>
      </c>
      <c r="BB71">
        <v>15.38</v>
      </c>
      <c r="BC71">
        <v>15.38</v>
      </c>
      <c r="BD71">
        <v>15.38</v>
      </c>
      <c r="BE71">
        <v>15.38</v>
      </c>
      <c r="BF71">
        <v>15.35</v>
      </c>
      <c r="BG71">
        <v>15.08</v>
      </c>
      <c r="BH71">
        <v>15.08</v>
      </c>
      <c r="BI71">
        <v>15.08</v>
      </c>
      <c r="BJ71">
        <v>15.08</v>
      </c>
      <c r="BK71">
        <v>15.08</v>
      </c>
      <c r="BL71">
        <v>15.08</v>
      </c>
    </row>
    <row r="72" spans="1:64">
      <c r="A72" s="1" t="s">
        <v>1191</v>
      </c>
      <c r="B72" s="1">
        <v>60</v>
      </c>
      <c r="C72" s="1">
        <v>60</v>
      </c>
      <c r="D72" s="1">
        <v>60</v>
      </c>
      <c r="E72" s="1">
        <v>60</v>
      </c>
      <c r="F72" s="1">
        <v>60</v>
      </c>
      <c r="G72" s="1">
        <v>60</v>
      </c>
      <c r="H72" s="1">
        <v>60</v>
      </c>
      <c r="I72" s="1">
        <v>61.67</v>
      </c>
      <c r="J72" s="1">
        <v>70</v>
      </c>
      <c r="K72" s="1">
        <v>70</v>
      </c>
      <c r="L72" s="1">
        <v>70</v>
      </c>
      <c r="M72" s="1">
        <v>69.47</v>
      </c>
      <c r="N72" s="1">
        <v>64.27</v>
      </c>
      <c r="O72" s="1">
        <v>58.26</v>
      </c>
      <c r="P72" s="1">
        <v>57.69</v>
      </c>
      <c r="Q72" s="1">
        <v>57.41</v>
      </c>
      <c r="R72" s="1">
        <v>66.900000000000006</v>
      </c>
      <c r="S72" s="1">
        <v>75.959999999999994</v>
      </c>
      <c r="T72" s="1">
        <v>76.67</v>
      </c>
      <c r="U72" s="1">
        <v>67.12</v>
      </c>
      <c r="V72" s="1">
        <v>71.7</v>
      </c>
      <c r="W72" s="1">
        <v>92.32</v>
      </c>
      <c r="X72" s="1">
        <v>109.86</v>
      </c>
      <c r="Y72" s="1">
        <v>143.43</v>
      </c>
      <c r="Z72" s="1">
        <v>160.76</v>
      </c>
      <c r="AA72">
        <v>170.04</v>
      </c>
      <c r="AB72">
        <v>140.05000000000001</v>
      </c>
      <c r="AC72">
        <v>123.48</v>
      </c>
      <c r="AD72">
        <v>116.49</v>
      </c>
      <c r="AE72">
        <v>118.38</v>
      </c>
      <c r="AF72">
        <v>101.93</v>
      </c>
      <c r="AG72">
        <v>103.91</v>
      </c>
      <c r="AH72">
        <v>102.38</v>
      </c>
      <c r="AI72">
        <v>127.26</v>
      </c>
      <c r="AJ72">
        <v>133.96</v>
      </c>
      <c r="AK72">
        <v>124.69</v>
      </c>
      <c r="AL72">
        <v>126.66</v>
      </c>
      <c r="AM72">
        <v>146.41</v>
      </c>
      <c r="AN72">
        <v>149.4</v>
      </c>
      <c r="AO72">
        <v>0.94</v>
      </c>
      <c r="AP72">
        <v>1.08</v>
      </c>
      <c r="AQ72">
        <v>1.1200000000000001</v>
      </c>
      <c r="AR72">
        <v>1.06</v>
      </c>
      <c r="AS72">
        <v>0.88</v>
      </c>
      <c r="AT72">
        <v>0.8</v>
      </c>
      <c r="AU72">
        <v>0.8</v>
      </c>
      <c r="AV72">
        <v>0.8</v>
      </c>
      <c r="AW72">
        <v>0.73</v>
      </c>
      <c r="AX72">
        <v>0.68</v>
      </c>
      <c r="AY72">
        <v>0.72</v>
      </c>
      <c r="AZ72">
        <v>0.75</v>
      </c>
      <c r="BA72">
        <v>0.72</v>
      </c>
      <c r="BB72">
        <v>0.78</v>
      </c>
      <c r="BC72">
        <v>0.75</v>
      </c>
      <c r="BD72">
        <v>0.75</v>
      </c>
      <c r="BE72">
        <v>0.9</v>
      </c>
      <c r="BF72">
        <v>0.9</v>
      </c>
      <c r="BG72">
        <v>0.89</v>
      </c>
      <c r="BH72">
        <v>0.85</v>
      </c>
      <c r="BI72">
        <v>0.89</v>
      </c>
      <c r="BJ72">
        <v>0.88</v>
      </c>
      <c r="BK72">
        <v>0.85</v>
      </c>
      <c r="BL72">
        <v>0.95</v>
      </c>
    </row>
    <row r="73" spans="1:64">
      <c r="A73" s="1" t="s">
        <v>1192</v>
      </c>
      <c r="B73" s="1"/>
      <c r="C73" s="1"/>
      <c r="D73" s="1"/>
      <c r="E73" s="1"/>
      <c r="F73" s="1"/>
      <c r="G73" s="1"/>
      <c r="H73" s="1"/>
      <c r="I73" s="1"/>
      <c r="J73" s="1"/>
      <c r="K73" s="1"/>
      <c r="L73" s="1"/>
      <c r="M73" s="1"/>
      <c r="N73" s="1"/>
      <c r="O73" s="1"/>
      <c r="P73" s="1"/>
      <c r="Q73" s="1"/>
      <c r="R73" s="1"/>
      <c r="S73" s="1"/>
      <c r="T73" s="1"/>
      <c r="U73" s="1"/>
      <c r="V73" s="1"/>
      <c r="W73" s="1"/>
      <c r="X73" s="1"/>
      <c r="Y73" s="1"/>
      <c r="Z73" s="1"/>
      <c r="AI73">
        <v>13.22</v>
      </c>
      <c r="AJ73">
        <v>12.99</v>
      </c>
      <c r="AK73">
        <v>11.46</v>
      </c>
      <c r="AL73">
        <v>12.04</v>
      </c>
      <c r="AM73">
        <v>13.88</v>
      </c>
      <c r="AN73">
        <v>14.07</v>
      </c>
      <c r="AO73">
        <v>14.68</v>
      </c>
      <c r="AP73">
        <v>16.97</v>
      </c>
      <c r="AQ73">
        <v>17.48</v>
      </c>
      <c r="AR73">
        <v>16.61</v>
      </c>
      <c r="AS73">
        <v>13.86</v>
      </c>
      <c r="AT73">
        <v>12.6</v>
      </c>
      <c r="AU73">
        <v>12.58</v>
      </c>
      <c r="AV73">
        <v>12.47</v>
      </c>
      <c r="AW73">
        <v>11.43</v>
      </c>
      <c r="AX73">
        <v>10.69</v>
      </c>
      <c r="AY73">
        <v>11.26</v>
      </c>
      <c r="AZ73">
        <v>11.81</v>
      </c>
      <c r="BA73">
        <v>0.72</v>
      </c>
      <c r="BB73">
        <v>0.78</v>
      </c>
      <c r="BC73">
        <v>0.75</v>
      </c>
      <c r="BD73">
        <v>0.75</v>
      </c>
      <c r="BE73">
        <v>0.9</v>
      </c>
      <c r="BF73">
        <v>0.9</v>
      </c>
      <c r="BG73">
        <v>0.89</v>
      </c>
      <c r="BH73">
        <v>0.85</v>
      </c>
      <c r="BI73">
        <v>0.89</v>
      </c>
      <c r="BJ73">
        <v>0.88</v>
      </c>
      <c r="BK73">
        <v>0.85</v>
      </c>
      <c r="BL73">
        <v>0.95</v>
      </c>
    </row>
    <row r="74" spans="1:64">
      <c r="A74" s="1" t="s">
        <v>246</v>
      </c>
      <c r="B74" s="1">
        <v>2.48</v>
      </c>
      <c r="C74" s="1">
        <v>2.48</v>
      </c>
      <c r="D74" s="1">
        <v>2.48</v>
      </c>
      <c r="E74" s="1">
        <v>2.48</v>
      </c>
      <c r="F74" s="1">
        <v>2.5</v>
      </c>
      <c r="G74" s="1">
        <v>2.5</v>
      </c>
      <c r="H74" s="1">
        <v>2.5</v>
      </c>
      <c r="I74" s="1">
        <v>2.5</v>
      </c>
      <c r="J74" s="1">
        <v>2.5</v>
      </c>
      <c r="K74" s="1">
        <v>2.5</v>
      </c>
      <c r="L74" s="1">
        <v>2.5</v>
      </c>
      <c r="M74" s="1">
        <v>2.4900000000000002</v>
      </c>
      <c r="N74" s="1">
        <v>2.2999999999999998</v>
      </c>
      <c r="O74" s="1">
        <v>2.1</v>
      </c>
      <c r="P74" s="1">
        <v>2.0699999999999998</v>
      </c>
      <c r="Q74" s="1">
        <v>2.0699999999999998</v>
      </c>
      <c r="R74" s="1">
        <v>2.0699999999999998</v>
      </c>
      <c r="S74" s="1">
        <v>2.0699999999999998</v>
      </c>
      <c r="T74" s="1">
        <v>2.0699999999999998</v>
      </c>
      <c r="U74" s="1">
        <v>2.0699999999999998</v>
      </c>
      <c r="V74" s="1">
        <v>2.0699999999999998</v>
      </c>
      <c r="W74" s="1">
        <v>2.0699999999999998</v>
      </c>
      <c r="X74" s="1">
        <v>2.0699999999999998</v>
      </c>
      <c r="Y74" s="1">
        <v>2.0699999999999998</v>
      </c>
      <c r="Z74" s="1">
        <v>2.0699999999999998</v>
      </c>
      <c r="AA74">
        <v>2.0699999999999998</v>
      </c>
      <c r="AB74">
        <v>2.0699999999999998</v>
      </c>
      <c r="AC74">
        <v>2.0699999999999998</v>
      </c>
      <c r="AD74">
        <v>2.0699999999999998</v>
      </c>
      <c r="AE74">
        <v>2.0699999999999998</v>
      </c>
      <c r="AF74">
        <v>2.0699999999999998</v>
      </c>
      <c r="AG74">
        <v>2.0699999999999998</v>
      </c>
      <c r="AH74">
        <v>2.8</v>
      </c>
      <c r="AI74">
        <v>5</v>
      </c>
      <c r="AJ74">
        <v>5.47</v>
      </c>
      <c r="AK74">
        <v>6.16</v>
      </c>
      <c r="AL74">
        <v>6.35</v>
      </c>
      <c r="AM74">
        <v>6.71</v>
      </c>
      <c r="AN74">
        <v>7.12</v>
      </c>
      <c r="AO74">
        <v>7.94</v>
      </c>
      <c r="AP74">
        <v>8.2200000000000006</v>
      </c>
      <c r="AQ74">
        <v>8.4600000000000009</v>
      </c>
      <c r="AR74">
        <v>8.57</v>
      </c>
      <c r="AS74">
        <v>8.6</v>
      </c>
      <c r="AT74">
        <v>8.64</v>
      </c>
      <c r="AU74">
        <v>8.67</v>
      </c>
      <c r="AV74">
        <v>8.6999999999999993</v>
      </c>
      <c r="AW74">
        <v>8.9700000000000006</v>
      </c>
      <c r="AX74">
        <v>9.6</v>
      </c>
      <c r="AY74">
        <v>11.78</v>
      </c>
      <c r="AZ74">
        <v>14.41</v>
      </c>
      <c r="BA74">
        <v>16.899999999999999</v>
      </c>
      <c r="BB74">
        <v>17.7</v>
      </c>
      <c r="BC74">
        <v>18.63</v>
      </c>
      <c r="BD74">
        <v>19.59</v>
      </c>
      <c r="BE74">
        <v>20.58</v>
      </c>
      <c r="BF74">
        <v>21.73</v>
      </c>
      <c r="BG74">
        <v>23.87</v>
      </c>
      <c r="BH74">
        <v>27.43</v>
      </c>
      <c r="BI74">
        <v>29.07</v>
      </c>
      <c r="BJ74">
        <v>34.93</v>
      </c>
      <c r="BK74">
        <v>43.73</v>
      </c>
    </row>
    <row r="75" spans="1:64">
      <c r="A75" s="1" t="s">
        <v>1193</v>
      </c>
      <c r="B75" s="1"/>
      <c r="C75" s="1"/>
      <c r="D75" s="1"/>
      <c r="E75" s="1"/>
      <c r="F75" s="1"/>
      <c r="G75" s="1"/>
      <c r="H75" s="1"/>
      <c r="I75" s="1"/>
      <c r="J75" s="1"/>
      <c r="K75" s="1"/>
      <c r="L75" s="1"/>
      <c r="M75" s="1"/>
      <c r="N75" s="1"/>
      <c r="O75" s="1"/>
      <c r="P75" s="1"/>
      <c r="Q75" s="1"/>
      <c r="R75" s="1"/>
      <c r="S75" s="1"/>
      <c r="T75" s="1"/>
      <c r="U75" s="1"/>
      <c r="V75" s="1"/>
      <c r="W75" s="1"/>
      <c r="X75" s="1"/>
      <c r="Y75" s="1"/>
      <c r="Z75" s="1"/>
    </row>
    <row r="76" spans="1:64">
      <c r="A76" s="1" t="s">
        <v>1194</v>
      </c>
      <c r="B76" s="1"/>
      <c r="C76" s="1"/>
      <c r="D76" s="1"/>
      <c r="E76" s="1"/>
      <c r="F76" s="1"/>
      <c r="G76" s="1"/>
      <c r="H76" s="1"/>
      <c r="I76" s="1"/>
      <c r="J76" s="1"/>
      <c r="K76" s="1"/>
      <c r="L76" s="1"/>
      <c r="M76" s="1"/>
      <c r="N76" s="1"/>
      <c r="O76" s="1"/>
      <c r="P76" s="1"/>
      <c r="Q76" s="1"/>
      <c r="R76" s="1"/>
      <c r="S76" s="1"/>
      <c r="T76" s="1"/>
      <c r="U76" s="1"/>
      <c r="V76" s="1"/>
      <c r="W76" s="1"/>
      <c r="X76" s="1"/>
      <c r="Y76" s="1"/>
      <c r="Z76" s="1"/>
    </row>
    <row r="77" spans="1:64">
      <c r="A77" s="1" t="s">
        <v>1195</v>
      </c>
      <c r="B77" s="1">
        <v>3.2</v>
      </c>
      <c r="C77" s="1">
        <v>3.2</v>
      </c>
      <c r="D77" s="1">
        <v>3.2</v>
      </c>
      <c r="E77" s="1">
        <v>3.2</v>
      </c>
      <c r="F77" s="1">
        <v>3.2</v>
      </c>
      <c r="G77" s="1">
        <v>3.2</v>
      </c>
      <c r="H77" s="1">
        <v>3.2</v>
      </c>
      <c r="I77" s="1">
        <v>3.45</v>
      </c>
      <c r="J77" s="1">
        <v>4.2</v>
      </c>
      <c r="K77" s="1">
        <v>4.2</v>
      </c>
      <c r="L77" s="1">
        <v>4.2</v>
      </c>
      <c r="M77" s="1">
        <v>4.18</v>
      </c>
      <c r="N77" s="1">
        <v>4.1500000000000004</v>
      </c>
      <c r="O77" s="1">
        <v>3.82</v>
      </c>
      <c r="P77" s="1">
        <v>3.77</v>
      </c>
      <c r="Q77" s="1">
        <v>3.68</v>
      </c>
      <c r="R77" s="1">
        <v>3.86</v>
      </c>
      <c r="S77" s="1">
        <v>4.03</v>
      </c>
      <c r="T77" s="1">
        <v>4.12</v>
      </c>
      <c r="U77" s="1">
        <v>3.9</v>
      </c>
      <c r="V77" s="1">
        <v>3.73</v>
      </c>
      <c r="W77" s="1">
        <v>4.32</v>
      </c>
      <c r="X77" s="1">
        <v>4.82</v>
      </c>
      <c r="Y77" s="1">
        <v>5.57</v>
      </c>
      <c r="Z77" s="1">
        <v>6.01</v>
      </c>
      <c r="AA77">
        <v>6.2</v>
      </c>
      <c r="AB77">
        <v>5.07</v>
      </c>
      <c r="AC77">
        <v>4.4000000000000004</v>
      </c>
      <c r="AD77">
        <v>4.18</v>
      </c>
      <c r="AE77">
        <v>4.29</v>
      </c>
      <c r="AF77">
        <v>3.82</v>
      </c>
      <c r="AG77">
        <v>4.04</v>
      </c>
      <c r="AH77">
        <v>4.4800000000000004</v>
      </c>
      <c r="AI77">
        <v>5.71</v>
      </c>
      <c r="AJ77">
        <v>5.22</v>
      </c>
      <c r="AK77">
        <v>4.37</v>
      </c>
      <c r="AL77">
        <v>4.59</v>
      </c>
      <c r="AM77">
        <v>5.19</v>
      </c>
      <c r="AN77">
        <v>5.34</v>
      </c>
      <c r="AO77">
        <v>0.94</v>
      </c>
      <c r="AP77">
        <v>1.08</v>
      </c>
      <c r="AQ77">
        <v>1.1200000000000001</v>
      </c>
      <c r="AR77">
        <v>1.06</v>
      </c>
      <c r="AS77">
        <v>0.88</v>
      </c>
      <c r="AT77">
        <v>0.8</v>
      </c>
      <c r="AU77">
        <v>0.8</v>
      </c>
      <c r="AV77">
        <v>0.8</v>
      </c>
      <c r="AW77">
        <v>0.73</v>
      </c>
      <c r="AX77">
        <v>0.68</v>
      </c>
      <c r="AY77">
        <v>0.72</v>
      </c>
      <c r="AZ77">
        <v>0.75</v>
      </c>
      <c r="BA77">
        <v>0.72</v>
      </c>
      <c r="BB77">
        <v>0.78</v>
      </c>
      <c r="BC77">
        <v>0.75</v>
      </c>
      <c r="BD77">
        <v>0.75</v>
      </c>
      <c r="BE77">
        <v>0.9</v>
      </c>
      <c r="BF77">
        <v>0.9</v>
      </c>
      <c r="BG77">
        <v>0.89</v>
      </c>
      <c r="BH77">
        <v>0.85</v>
      </c>
      <c r="BI77">
        <v>0.89</v>
      </c>
      <c r="BJ77">
        <v>0.88</v>
      </c>
      <c r="BK77">
        <v>0.85</v>
      </c>
      <c r="BL77">
        <v>0.95</v>
      </c>
    </row>
    <row r="78" spans="1:64">
      <c r="A78" s="1" t="s">
        <v>1196</v>
      </c>
      <c r="B78" s="1">
        <v>0.79</v>
      </c>
      <c r="C78" s="1">
        <v>0.79</v>
      </c>
      <c r="D78" s="1">
        <v>0.79</v>
      </c>
      <c r="E78" s="1">
        <v>0.79</v>
      </c>
      <c r="F78" s="1">
        <v>0.79</v>
      </c>
      <c r="G78" s="1">
        <v>0.79</v>
      </c>
      <c r="H78" s="1">
        <v>0.79</v>
      </c>
      <c r="I78" s="1">
        <v>0.81</v>
      </c>
      <c r="J78" s="1">
        <v>0.87</v>
      </c>
      <c r="K78" s="1">
        <v>0.87</v>
      </c>
      <c r="L78" s="1">
        <v>0.87</v>
      </c>
      <c r="M78" s="1">
        <v>0.86</v>
      </c>
      <c r="N78" s="1">
        <v>0.83</v>
      </c>
      <c r="O78" s="1">
        <v>0.79</v>
      </c>
      <c r="P78" s="1">
        <v>0.81</v>
      </c>
      <c r="Q78" s="1">
        <v>0.82</v>
      </c>
      <c r="R78" s="1">
        <v>0.9</v>
      </c>
      <c r="S78" s="1">
        <v>0.92</v>
      </c>
      <c r="T78" s="1">
        <v>0.85</v>
      </c>
      <c r="U78" s="1">
        <v>0.84</v>
      </c>
      <c r="V78" s="1">
        <v>0.82</v>
      </c>
      <c r="W78" s="1">
        <v>0.85</v>
      </c>
      <c r="X78" s="1">
        <v>0.93</v>
      </c>
      <c r="Y78" s="1">
        <v>1.02</v>
      </c>
      <c r="Z78" s="1">
        <v>1.08</v>
      </c>
      <c r="AA78">
        <v>1.1499999999999999</v>
      </c>
      <c r="AB78">
        <v>1.1299999999999999</v>
      </c>
      <c r="AC78">
        <v>1.24</v>
      </c>
      <c r="AD78">
        <v>1.43</v>
      </c>
      <c r="AE78">
        <v>1.48</v>
      </c>
      <c r="AF78">
        <v>1.48</v>
      </c>
      <c r="AG78">
        <v>1.48</v>
      </c>
      <c r="AH78">
        <v>1.5</v>
      </c>
      <c r="AI78">
        <v>1.54</v>
      </c>
      <c r="AJ78">
        <v>1.46</v>
      </c>
      <c r="AK78">
        <v>1.41</v>
      </c>
      <c r="AL78">
        <v>1.4</v>
      </c>
      <c r="AM78">
        <v>1.44</v>
      </c>
      <c r="AN78">
        <v>1.99</v>
      </c>
      <c r="AO78">
        <v>1.97</v>
      </c>
      <c r="AP78">
        <v>2.13</v>
      </c>
      <c r="AQ78">
        <v>2.2799999999999998</v>
      </c>
      <c r="AR78">
        <v>2.19</v>
      </c>
      <c r="AS78">
        <v>1.9</v>
      </c>
      <c r="AT78">
        <v>1.73</v>
      </c>
      <c r="AU78">
        <v>1.69</v>
      </c>
      <c r="AV78">
        <v>1.73</v>
      </c>
      <c r="AW78">
        <v>1.61</v>
      </c>
      <c r="AX78">
        <v>1.59</v>
      </c>
      <c r="AY78">
        <v>1.96</v>
      </c>
      <c r="AZ78">
        <v>1.92</v>
      </c>
      <c r="BA78">
        <v>1.79</v>
      </c>
      <c r="BB78">
        <v>1.79</v>
      </c>
      <c r="BC78">
        <v>1.84</v>
      </c>
      <c r="BD78">
        <v>1.89</v>
      </c>
      <c r="BE78">
        <v>2.1</v>
      </c>
      <c r="BF78">
        <v>2.09</v>
      </c>
      <c r="BG78">
        <v>2.0699999999999998</v>
      </c>
      <c r="BH78">
        <v>2.09</v>
      </c>
      <c r="BI78">
        <v>2.16</v>
      </c>
      <c r="BJ78">
        <v>2.17</v>
      </c>
      <c r="BK78">
        <v>2.0699999999999998</v>
      </c>
      <c r="BL78">
        <v>2.2000000000000002</v>
      </c>
    </row>
    <row r="79" spans="1:64">
      <c r="A79" s="1" t="s">
        <v>1197</v>
      </c>
      <c r="B79" s="1">
        <v>4.9400000000000004</v>
      </c>
      <c r="C79" s="1">
        <v>4.9400000000000004</v>
      </c>
      <c r="D79" s="1">
        <v>4.9400000000000004</v>
      </c>
      <c r="E79" s="1">
        <v>4.9400000000000004</v>
      </c>
      <c r="F79" s="1">
        <v>4.9400000000000004</v>
      </c>
      <c r="G79" s="1">
        <v>4.9400000000000004</v>
      </c>
      <c r="H79" s="1">
        <v>4.9400000000000004</v>
      </c>
      <c r="I79" s="1">
        <v>4.9400000000000004</v>
      </c>
      <c r="J79" s="1">
        <v>4.9400000000000004</v>
      </c>
      <c r="K79" s="1">
        <v>5.19</v>
      </c>
      <c r="L79" s="1">
        <v>5.55</v>
      </c>
      <c r="M79" s="1">
        <v>5.54</v>
      </c>
      <c r="N79" s="1">
        <v>5.04</v>
      </c>
      <c r="O79" s="1">
        <v>4.45</v>
      </c>
      <c r="P79" s="1">
        <v>4.8099999999999996</v>
      </c>
      <c r="Q79" s="1">
        <v>4.29</v>
      </c>
      <c r="R79" s="1">
        <v>4.8</v>
      </c>
      <c r="S79" s="1">
        <v>4.91</v>
      </c>
      <c r="T79" s="1">
        <v>4.51</v>
      </c>
      <c r="U79" s="1">
        <v>4.25</v>
      </c>
      <c r="V79" s="1">
        <v>4.2300000000000004</v>
      </c>
      <c r="W79" s="1">
        <v>5.43</v>
      </c>
      <c r="X79" s="1">
        <v>6.57</v>
      </c>
      <c r="Y79" s="1">
        <v>7.62</v>
      </c>
      <c r="Z79" s="1">
        <v>8.74</v>
      </c>
      <c r="AA79">
        <v>8.99</v>
      </c>
      <c r="AB79">
        <v>6.93</v>
      </c>
      <c r="AC79">
        <v>6.01</v>
      </c>
      <c r="AD79">
        <v>5.96</v>
      </c>
      <c r="AE79">
        <v>6.38</v>
      </c>
      <c r="AF79">
        <v>5.45</v>
      </c>
      <c r="AG79">
        <v>5.64</v>
      </c>
      <c r="AH79">
        <v>5.29</v>
      </c>
      <c r="AI79">
        <v>5.66</v>
      </c>
      <c r="AJ79">
        <v>5.55</v>
      </c>
      <c r="AK79">
        <v>4.99</v>
      </c>
      <c r="AL79">
        <v>5.12</v>
      </c>
      <c r="AM79">
        <v>5.84</v>
      </c>
      <c r="AN79">
        <v>5.9</v>
      </c>
      <c r="AO79">
        <v>0.94</v>
      </c>
      <c r="AP79">
        <v>1.08</v>
      </c>
      <c r="AQ79">
        <v>1.1200000000000001</v>
      </c>
      <c r="AR79">
        <v>1.06</v>
      </c>
      <c r="AS79">
        <v>0.88</v>
      </c>
      <c r="AT79">
        <v>0.8</v>
      </c>
      <c r="AU79">
        <v>0.8</v>
      </c>
      <c r="AV79">
        <v>0.8</v>
      </c>
      <c r="AW79">
        <v>0.73</v>
      </c>
      <c r="AX79">
        <v>0.68</v>
      </c>
      <c r="AY79">
        <v>0.72</v>
      </c>
      <c r="AZ79">
        <v>0.75</v>
      </c>
      <c r="BA79">
        <v>0.72</v>
      </c>
      <c r="BB79">
        <v>0.78</v>
      </c>
      <c r="BC79">
        <v>0.75</v>
      </c>
      <c r="BD79">
        <v>0.75</v>
      </c>
      <c r="BE79">
        <v>0.9</v>
      </c>
      <c r="BF79">
        <v>0.9</v>
      </c>
      <c r="BG79">
        <v>0.89</v>
      </c>
      <c r="BH79">
        <v>0.85</v>
      </c>
      <c r="BI79">
        <v>0.89</v>
      </c>
      <c r="BJ79">
        <v>0.88</v>
      </c>
      <c r="BK79">
        <v>0.85</v>
      </c>
      <c r="BL79">
        <v>0.95</v>
      </c>
    </row>
    <row r="80" spans="1:64">
      <c r="A80" s="1" t="s">
        <v>1198</v>
      </c>
      <c r="B80" s="1">
        <v>6.91</v>
      </c>
      <c r="C80" s="1">
        <v>6.91</v>
      </c>
      <c r="D80" s="1">
        <v>6.91</v>
      </c>
      <c r="E80" s="1">
        <v>6.91</v>
      </c>
      <c r="F80" s="1">
        <v>6.91</v>
      </c>
      <c r="G80" s="1">
        <v>6.91</v>
      </c>
      <c r="H80" s="1">
        <v>6.91</v>
      </c>
      <c r="I80" s="1">
        <v>6.96</v>
      </c>
      <c r="J80" s="1">
        <v>7.5</v>
      </c>
      <c r="K80" s="1">
        <v>7.5</v>
      </c>
      <c r="L80" s="1">
        <v>7.5</v>
      </c>
      <c r="M80" s="1">
        <v>7.43</v>
      </c>
      <c r="N80" s="1">
        <v>6.95</v>
      </c>
      <c r="O80" s="1">
        <v>6.05</v>
      </c>
      <c r="P80" s="1">
        <v>6.09</v>
      </c>
      <c r="Q80" s="1">
        <v>5.75</v>
      </c>
      <c r="R80" s="1">
        <v>6.05</v>
      </c>
      <c r="S80" s="1">
        <v>6</v>
      </c>
      <c r="T80" s="1">
        <v>5.51</v>
      </c>
      <c r="U80" s="1">
        <v>5.26</v>
      </c>
      <c r="V80" s="1">
        <v>5.64</v>
      </c>
      <c r="W80" s="1">
        <v>7.12</v>
      </c>
      <c r="X80" s="1">
        <v>8.33</v>
      </c>
      <c r="Y80" s="1">
        <v>9.14</v>
      </c>
      <c r="Z80" s="1">
        <v>10.36</v>
      </c>
      <c r="AA80">
        <v>10.6</v>
      </c>
      <c r="AB80">
        <v>8.09</v>
      </c>
      <c r="AC80">
        <v>6.84</v>
      </c>
      <c r="AD80">
        <v>6.73</v>
      </c>
      <c r="AE80">
        <v>7.31</v>
      </c>
      <c r="AF80">
        <v>6.19</v>
      </c>
      <c r="AG80">
        <v>6.4</v>
      </c>
      <c r="AH80">
        <v>6.04</v>
      </c>
      <c r="AI80">
        <v>6.48</v>
      </c>
      <c r="AJ80">
        <v>6.36</v>
      </c>
      <c r="AK80">
        <v>5.6</v>
      </c>
      <c r="AL80">
        <v>5.8</v>
      </c>
      <c r="AM80">
        <v>6.6</v>
      </c>
      <c r="AN80">
        <v>6.7</v>
      </c>
      <c r="AO80">
        <v>6.98</v>
      </c>
      <c r="AP80">
        <v>8.08</v>
      </c>
      <c r="AQ80">
        <v>8.32</v>
      </c>
      <c r="AR80">
        <v>7.89</v>
      </c>
      <c r="AS80">
        <v>6.59</v>
      </c>
      <c r="AT80">
        <v>5.99</v>
      </c>
      <c r="AU80">
        <v>6</v>
      </c>
      <c r="AV80">
        <v>5.95</v>
      </c>
      <c r="AW80">
        <v>5.44</v>
      </c>
      <c r="AX80">
        <v>5.0999999999999996</v>
      </c>
      <c r="AY80">
        <v>5.36</v>
      </c>
      <c r="AZ80">
        <v>5.62</v>
      </c>
      <c r="BA80">
        <v>5.37</v>
      </c>
      <c r="BB80">
        <v>5.79</v>
      </c>
      <c r="BC80">
        <v>5.62</v>
      </c>
      <c r="BD80">
        <v>5.61</v>
      </c>
      <c r="BE80">
        <v>6.73</v>
      </c>
      <c r="BF80">
        <v>6.73</v>
      </c>
      <c r="BG80">
        <v>6.6</v>
      </c>
      <c r="BH80">
        <v>6.31</v>
      </c>
      <c r="BI80">
        <v>6.67</v>
      </c>
      <c r="BJ80">
        <v>6.54</v>
      </c>
      <c r="BK80">
        <v>6.29</v>
      </c>
      <c r="BL80">
        <v>7.08</v>
      </c>
    </row>
    <row r="81" spans="1:64">
      <c r="A81" s="1" t="s">
        <v>1199</v>
      </c>
      <c r="B81" s="1">
        <v>1</v>
      </c>
      <c r="C81" s="1">
        <v>1</v>
      </c>
      <c r="D81" s="1">
        <v>1</v>
      </c>
      <c r="E81" s="1">
        <v>1</v>
      </c>
      <c r="F81" s="1">
        <v>1</v>
      </c>
      <c r="G81" s="1">
        <v>1</v>
      </c>
      <c r="H81" s="1">
        <v>1</v>
      </c>
      <c r="I81" s="1">
        <v>1</v>
      </c>
      <c r="J81" s="1">
        <v>1</v>
      </c>
      <c r="K81" s="1">
        <v>1</v>
      </c>
      <c r="L81" s="1">
        <v>1</v>
      </c>
      <c r="M81" s="1">
        <v>1</v>
      </c>
      <c r="N81" s="1">
        <v>1</v>
      </c>
      <c r="O81" s="1">
        <v>1</v>
      </c>
      <c r="P81" s="1">
        <v>1</v>
      </c>
      <c r="Q81" s="1">
        <v>1</v>
      </c>
      <c r="R81" s="1">
        <v>1</v>
      </c>
      <c r="S81" s="1">
        <v>1</v>
      </c>
      <c r="T81" s="1">
        <v>1</v>
      </c>
      <c r="U81" s="1">
        <v>1</v>
      </c>
      <c r="V81" s="1">
        <v>1</v>
      </c>
      <c r="W81" s="1">
        <v>1</v>
      </c>
      <c r="X81" s="1">
        <v>1</v>
      </c>
      <c r="Y81" s="1">
        <v>1</v>
      </c>
      <c r="Z81" s="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row>
    <row r="82" spans="1:64">
      <c r="A82" s="1" t="s">
        <v>1200</v>
      </c>
      <c r="B82" s="1">
        <v>245.2</v>
      </c>
      <c r="C82" s="1">
        <v>245.26</v>
      </c>
      <c r="D82" s="1">
        <v>245.01</v>
      </c>
      <c r="E82" s="1">
        <v>245.02</v>
      </c>
      <c r="F82" s="1">
        <v>245.03</v>
      </c>
      <c r="G82" s="1">
        <v>245.06</v>
      </c>
      <c r="H82" s="1">
        <v>245.68</v>
      </c>
      <c r="I82" s="1">
        <v>246</v>
      </c>
      <c r="J82" s="1">
        <v>247.56</v>
      </c>
      <c r="K82" s="1">
        <v>259.95999999999998</v>
      </c>
      <c r="L82" s="1">
        <v>276.39999999999998</v>
      </c>
      <c r="M82" s="1">
        <v>275.36</v>
      </c>
      <c r="N82" s="1">
        <v>252.03</v>
      </c>
      <c r="O82" s="1">
        <v>222.89</v>
      </c>
      <c r="P82" s="1">
        <v>240.7</v>
      </c>
      <c r="Q82" s="1">
        <v>214.31</v>
      </c>
      <c r="R82" s="1">
        <v>238.95</v>
      </c>
      <c r="S82" s="1">
        <v>245.68</v>
      </c>
      <c r="T82" s="1">
        <v>225.66</v>
      </c>
      <c r="U82" s="1">
        <v>212.72</v>
      </c>
      <c r="V82" s="1">
        <v>211.28</v>
      </c>
      <c r="W82" s="1">
        <v>271.73</v>
      </c>
      <c r="X82" s="1">
        <v>328.61</v>
      </c>
      <c r="Y82" s="1">
        <v>381.07</v>
      </c>
      <c r="Z82" s="1">
        <v>436.96</v>
      </c>
      <c r="AA82">
        <v>449.26</v>
      </c>
      <c r="AB82">
        <v>346.31</v>
      </c>
      <c r="AC82">
        <v>300.54000000000002</v>
      </c>
      <c r="AD82">
        <v>297.85000000000002</v>
      </c>
      <c r="AE82">
        <v>319.01</v>
      </c>
      <c r="AF82">
        <v>272.26</v>
      </c>
      <c r="AG82">
        <v>282.11</v>
      </c>
      <c r="AH82">
        <v>264.69</v>
      </c>
      <c r="AI82">
        <v>283.16000000000003</v>
      </c>
      <c r="AJ82">
        <v>555.20000000000005</v>
      </c>
      <c r="AK82">
        <v>499.15</v>
      </c>
      <c r="AL82">
        <v>511.55</v>
      </c>
      <c r="AM82">
        <v>583.66999999999996</v>
      </c>
      <c r="AN82">
        <v>589.95000000000005</v>
      </c>
      <c r="AO82">
        <v>615.47</v>
      </c>
      <c r="AP82">
        <v>710.21</v>
      </c>
      <c r="AQ82">
        <v>732.4</v>
      </c>
      <c r="AR82">
        <v>693.71</v>
      </c>
      <c r="AS82">
        <v>579.9</v>
      </c>
      <c r="AT82">
        <v>527.34</v>
      </c>
      <c r="AU82">
        <v>527.26</v>
      </c>
      <c r="AV82">
        <v>522.42999999999995</v>
      </c>
      <c r="AW82">
        <v>478.63</v>
      </c>
      <c r="AX82">
        <v>446</v>
      </c>
      <c r="AY82">
        <v>470.29</v>
      </c>
      <c r="AZ82">
        <v>494.79</v>
      </c>
      <c r="BA82">
        <v>471.25</v>
      </c>
      <c r="BB82">
        <v>510.56</v>
      </c>
      <c r="BC82">
        <v>493.9</v>
      </c>
      <c r="BD82">
        <v>493.76</v>
      </c>
      <c r="BE82">
        <v>591.21</v>
      </c>
      <c r="BF82">
        <v>592.61</v>
      </c>
      <c r="BG82">
        <v>580.66</v>
      </c>
      <c r="BH82">
        <v>555.45000000000005</v>
      </c>
      <c r="BI82">
        <v>585.91</v>
      </c>
      <c r="BJ82">
        <v>575.59</v>
      </c>
      <c r="BK82">
        <v>554.53</v>
      </c>
      <c r="BL82">
        <v>623.76</v>
      </c>
    </row>
    <row r="83" spans="1:64">
      <c r="A83" s="1" t="s">
        <v>1201</v>
      </c>
      <c r="B83" s="1">
        <v>0.36</v>
      </c>
      <c r="C83" s="1">
        <v>0.36</v>
      </c>
      <c r="D83" s="1">
        <v>0.36</v>
      </c>
      <c r="E83" s="1">
        <v>0.36</v>
      </c>
      <c r="F83" s="1">
        <v>0.36</v>
      </c>
      <c r="G83" s="1">
        <v>0.36</v>
      </c>
      <c r="H83" s="1">
        <v>0.36</v>
      </c>
      <c r="I83" s="1">
        <v>0.36</v>
      </c>
      <c r="J83" s="1">
        <v>0.42</v>
      </c>
      <c r="K83" s="1">
        <v>0.42</v>
      </c>
      <c r="L83" s="1">
        <v>0.42</v>
      </c>
      <c r="M83" s="1">
        <v>0.41</v>
      </c>
      <c r="N83" s="1">
        <v>0.4</v>
      </c>
      <c r="O83" s="1">
        <v>0.41</v>
      </c>
      <c r="P83" s="1">
        <v>0.43</v>
      </c>
      <c r="Q83" s="1">
        <v>0.45</v>
      </c>
      <c r="R83" s="1">
        <v>0.56000000000000005</v>
      </c>
      <c r="S83" s="1">
        <v>0.56999999999999995</v>
      </c>
      <c r="T83" s="1">
        <v>0.52</v>
      </c>
      <c r="U83" s="1">
        <v>0.47</v>
      </c>
      <c r="V83" s="1">
        <v>0.43</v>
      </c>
      <c r="W83" s="1">
        <v>0.5</v>
      </c>
      <c r="X83" s="1">
        <v>0.56999999999999995</v>
      </c>
      <c r="Y83" s="1">
        <v>0.66</v>
      </c>
      <c r="Z83" s="1">
        <v>0.75</v>
      </c>
      <c r="AA83">
        <v>0.78</v>
      </c>
      <c r="AB83">
        <v>0.68</v>
      </c>
      <c r="AC83">
        <v>0.61</v>
      </c>
      <c r="AD83">
        <v>0.56000000000000005</v>
      </c>
      <c r="AE83">
        <v>0.61</v>
      </c>
      <c r="AF83">
        <v>0.56000000000000005</v>
      </c>
      <c r="AG83">
        <v>0.56999999999999995</v>
      </c>
      <c r="AH83">
        <v>0.56999999999999995</v>
      </c>
      <c r="AI83">
        <v>0.67</v>
      </c>
      <c r="AJ83">
        <v>0.65</v>
      </c>
      <c r="AK83">
        <v>0.63</v>
      </c>
      <c r="AL83">
        <v>0.64</v>
      </c>
      <c r="AM83">
        <v>0.61</v>
      </c>
      <c r="AN83">
        <v>0.6</v>
      </c>
      <c r="AO83">
        <v>0.62</v>
      </c>
      <c r="AP83">
        <v>0.66</v>
      </c>
      <c r="AQ83">
        <v>0.69</v>
      </c>
      <c r="AR83">
        <v>0.67</v>
      </c>
      <c r="AS83">
        <v>0.61</v>
      </c>
      <c r="AT83">
        <v>0.55000000000000004</v>
      </c>
      <c r="AU83">
        <v>0.55000000000000004</v>
      </c>
      <c r="AV83">
        <v>0.54</v>
      </c>
      <c r="AW83">
        <v>0.5</v>
      </c>
      <c r="AX83">
        <v>0.54</v>
      </c>
      <c r="AY83">
        <v>0.64</v>
      </c>
      <c r="AZ83">
        <v>0.65</v>
      </c>
      <c r="BA83">
        <v>0.62</v>
      </c>
      <c r="BB83">
        <v>0.63</v>
      </c>
      <c r="BC83">
        <v>0.64</v>
      </c>
      <c r="BD83">
        <v>0.61</v>
      </c>
      <c r="BE83">
        <v>0.65</v>
      </c>
      <c r="BF83">
        <v>0.74</v>
      </c>
      <c r="BG83">
        <v>0.78</v>
      </c>
      <c r="BH83">
        <v>0.75</v>
      </c>
      <c r="BI83">
        <v>0.78</v>
      </c>
      <c r="BJ83">
        <v>0.78</v>
      </c>
      <c r="BK83">
        <v>0.73</v>
      </c>
      <c r="BL83">
        <v>0.81</v>
      </c>
    </row>
    <row r="84" spans="1:64">
      <c r="A84" s="1" t="s">
        <v>270</v>
      </c>
      <c r="B84" s="1"/>
      <c r="C84" s="1"/>
      <c r="D84" s="1"/>
      <c r="E84" s="1"/>
      <c r="F84" s="1"/>
      <c r="G84" s="1"/>
      <c r="H84" s="1"/>
      <c r="I84" s="1"/>
      <c r="J84" s="1"/>
      <c r="K84" s="1"/>
      <c r="L84" s="1"/>
      <c r="M84" s="1"/>
      <c r="N84" s="1"/>
      <c r="O84" s="1"/>
      <c r="P84" s="1"/>
      <c r="Q84" s="1"/>
      <c r="R84" s="1"/>
      <c r="S84" s="1"/>
      <c r="T84" s="1"/>
      <c r="U84" s="1"/>
      <c r="V84" s="1"/>
      <c r="W84" s="1"/>
      <c r="X84" s="1"/>
      <c r="Y84" s="1"/>
      <c r="Z84" s="1"/>
      <c r="AL84">
        <v>1.26</v>
      </c>
      <c r="AM84">
        <v>1.3</v>
      </c>
      <c r="AN84">
        <v>1.39</v>
      </c>
      <c r="AO84">
        <v>2.02</v>
      </c>
      <c r="AP84">
        <v>1.98</v>
      </c>
      <c r="AQ84">
        <v>2.0699999999999998</v>
      </c>
      <c r="AR84">
        <v>2.2000000000000002</v>
      </c>
      <c r="AS84">
        <v>2.15</v>
      </c>
      <c r="AT84">
        <v>1.92</v>
      </c>
      <c r="AU84">
        <v>1.81</v>
      </c>
      <c r="AV84">
        <v>1.78</v>
      </c>
      <c r="AW84">
        <v>1.67</v>
      </c>
      <c r="AX84">
        <v>1.49</v>
      </c>
      <c r="AY84">
        <v>1.67</v>
      </c>
      <c r="AZ84">
        <v>1.78</v>
      </c>
      <c r="BA84">
        <v>1.69</v>
      </c>
      <c r="BB84">
        <v>1.65</v>
      </c>
      <c r="BC84">
        <v>1.66</v>
      </c>
      <c r="BD84">
        <v>1.77</v>
      </c>
      <c r="BE84">
        <v>2.27</v>
      </c>
      <c r="BF84">
        <v>2.37</v>
      </c>
      <c r="BG84">
        <v>2.5099999999999998</v>
      </c>
      <c r="BH84">
        <v>2.5299999999999998</v>
      </c>
      <c r="BI84">
        <v>2.82</v>
      </c>
      <c r="BJ84">
        <v>3.11</v>
      </c>
      <c r="BK84">
        <v>3.22</v>
      </c>
      <c r="BL84">
        <v>2.92</v>
      </c>
    </row>
    <row r="85" spans="1:64">
      <c r="A85" s="1" t="s">
        <v>1202</v>
      </c>
      <c r="B85" s="1">
        <v>0</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v>0.01</v>
      </c>
      <c r="AB85">
        <v>0.01</v>
      </c>
      <c r="AC85">
        <v>0.02</v>
      </c>
      <c r="AD85">
        <v>0.02</v>
      </c>
      <c r="AE85">
        <v>0.03</v>
      </c>
      <c r="AF85">
        <v>0.03</v>
      </c>
      <c r="AG85">
        <v>0.04</v>
      </c>
      <c r="AH85">
        <v>0.04</v>
      </c>
      <c r="AI85">
        <v>0.06</v>
      </c>
      <c r="AJ85">
        <v>0.1</v>
      </c>
      <c r="AK85">
        <v>0.12</v>
      </c>
      <c r="AL85">
        <v>0.16</v>
      </c>
      <c r="AM85">
        <v>0.2</v>
      </c>
      <c r="AN85">
        <v>0.23</v>
      </c>
      <c r="AO85">
        <v>0.27</v>
      </c>
      <c r="AP85">
        <v>0.54</v>
      </c>
      <c r="AQ85">
        <v>0.72</v>
      </c>
      <c r="AR85">
        <v>0.79</v>
      </c>
      <c r="AS85">
        <v>0.87</v>
      </c>
      <c r="AT85">
        <v>0.9</v>
      </c>
      <c r="AU85">
        <v>0.91</v>
      </c>
      <c r="AV85">
        <v>0.92</v>
      </c>
      <c r="AW85">
        <v>0.93</v>
      </c>
      <c r="AX85">
        <v>1.05</v>
      </c>
      <c r="AY85">
        <v>1.4</v>
      </c>
      <c r="AZ85">
        <v>1.43</v>
      </c>
      <c r="BA85">
        <v>1.52</v>
      </c>
      <c r="BB85">
        <v>1.82</v>
      </c>
      <c r="BC85">
        <v>1.98</v>
      </c>
      <c r="BD85">
        <v>2.9</v>
      </c>
      <c r="BE85">
        <v>3.71</v>
      </c>
      <c r="BF85">
        <v>3.91</v>
      </c>
      <c r="BG85">
        <v>4.3499999999999996</v>
      </c>
      <c r="BH85">
        <v>4.59</v>
      </c>
      <c r="BI85">
        <v>5.22</v>
      </c>
      <c r="BJ85">
        <v>5.6</v>
      </c>
      <c r="BK85">
        <v>5.81</v>
      </c>
      <c r="BL85">
        <v>8.27</v>
      </c>
    </row>
    <row r="86" spans="1:64">
      <c r="A86" s="1" t="s">
        <v>1203</v>
      </c>
      <c r="B86" s="1">
        <v>0.36</v>
      </c>
      <c r="C86" s="1">
        <v>0.36</v>
      </c>
      <c r="D86" s="1">
        <v>0.36</v>
      </c>
      <c r="E86" s="1">
        <v>0.36</v>
      </c>
      <c r="F86" s="1">
        <v>0.36</v>
      </c>
      <c r="G86" s="1">
        <v>0.36</v>
      </c>
      <c r="H86" s="1">
        <v>0.36</v>
      </c>
      <c r="I86" s="1">
        <v>0.36</v>
      </c>
      <c r="J86" s="1">
        <v>0.42</v>
      </c>
      <c r="K86" s="1">
        <v>0.42</v>
      </c>
      <c r="L86" s="1">
        <v>0.42</v>
      </c>
      <c r="M86" s="1">
        <v>0.41</v>
      </c>
      <c r="N86" s="1">
        <v>0.4</v>
      </c>
      <c r="O86" s="1">
        <v>0.41</v>
      </c>
      <c r="P86" s="1">
        <v>0.43</v>
      </c>
      <c r="Q86" s="1">
        <v>0.45</v>
      </c>
      <c r="R86" s="1">
        <v>0.56000000000000005</v>
      </c>
      <c r="S86" s="1">
        <v>0.56999999999999995</v>
      </c>
      <c r="T86" s="1">
        <v>0.52</v>
      </c>
      <c r="U86" s="1">
        <v>0.47</v>
      </c>
      <c r="V86" s="1">
        <v>0.43</v>
      </c>
      <c r="W86" s="1">
        <v>0.5</v>
      </c>
      <c r="X86" s="1">
        <v>0.56999999999999995</v>
      </c>
      <c r="Y86" s="1">
        <v>0.66</v>
      </c>
      <c r="Z86" s="1">
        <v>0.75</v>
      </c>
      <c r="AA86">
        <v>0.78</v>
      </c>
      <c r="AB86">
        <v>0.68</v>
      </c>
      <c r="AC86">
        <v>0.61</v>
      </c>
      <c r="AD86">
        <v>0.56000000000000005</v>
      </c>
      <c r="AE86">
        <v>0.61</v>
      </c>
      <c r="AF86">
        <v>0.56000000000000005</v>
      </c>
      <c r="AG86">
        <v>0.56999999999999995</v>
      </c>
      <c r="AH86">
        <v>0.56999999999999995</v>
      </c>
      <c r="AI86">
        <v>0.67</v>
      </c>
      <c r="AJ86">
        <v>0.65</v>
      </c>
      <c r="AK86">
        <v>0.63</v>
      </c>
      <c r="AL86">
        <v>0.64</v>
      </c>
      <c r="AM86">
        <v>0.61</v>
      </c>
      <c r="AN86">
        <v>0.6</v>
      </c>
      <c r="AO86">
        <v>0.62</v>
      </c>
      <c r="AP86">
        <v>0.66</v>
      </c>
      <c r="AQ86">
        <v>0.69</v>
      </c>
      <c r="AR86">
        <v>0.67</v>
      </c>
      <c r="AS86">
        <v>0.61</v>
      </c>
      <c r="AT86">
        <v>0.55000000000000004</v>
      </c>
      <c r="AU86">
        <v>0.55000000000000004</v>
      </c>
      <c r="AV86">
        <v>0.54</v>
      </c>
      <c r="AW86">
        <v>0.5</v>
      </c>
      <c r="AX86">
        <v>0.54</v>
      </c>
      <c r="AY86">
        <v>0.64</v>
      </c>
      <c r="AZ86">
        <v>0.65</v>
      </c>
      <c r="BA86">
        <v>0.62</v>
      </c>
      <c r="BB86">
        <v>0.63</v>
      </c>
      <c r="BC86">
        <v>0.64</v>
      </c>
      <c r="BD86">
        <v>0.61</v>
      </c>
      <c r="BE86">
        <v>0.65</v>
      </c>
      <c r="BF86">
        <v>0.74</v>
      </c>
      <c r="BG86">
        <v>0.78</v>
      </c>
      <c r="BH86">
        <v>0.75</v>
      </c>
      <c r="BI86">
        <v>0.78</v>
      </c>
      <c r="BJ86">
        <v>0.78</v>
      </c>
      <c r="BK86">
        <v>0.73</v>
      </c>
      <c r="BL86">
        <v>0.81</v>
      </c>
    </row>
    <row r="87" spans="1:64">
      <c r="A87" s="1" t="s">
        <v>1204</v>
      </c>
      <c r="B87" s="1">
        <v>24.69</v>
      </c>
      <c r="C87" s="1">
        <v>24.69</v>
      </c>
      <c r="D87" s="1">
        <v>24.69</v>
      </c>
      <c r="E87" s="1">
        <v>24.69</v>
      </c>
      <c r="F87" s="1">
        <v>24.69</v>
      </c>
      <c r="G87" s="1">
        <v>24.69</v>
      </c>
      <c r="H87" s="1">
        <v>24.69</v>
      </c>
      <c r="I87" s="1">
        <v>24.69</v>
      </c>
      <c r="J87" s="1">
        <v>24.69</v>
      </c>
      <c r="K87" s="1">
        <v>24.69</v>
      </c>
      <c r="L87" s="1">
        <v>24.69</v>
      </c>
      <c r="M87" s="1">
        <v>24.61</v>
      </c>
      <c r="N87" s="1">
        <v>22.74</v>
      </c>
      <c r="O87" s="1">
        <v>20.72</v>
      </c>
      <c r="P87" s="1">
        <v>20.56</v>
      </c>
      <c r="Q87" s="1">
        <v>20.67</v>
      </c>
      <c r="R87" s="1">
        <v>21.38</v>
      </c>
      <c r="S87" s="1">
        <v>21.14</v>
      </c>
      <c r="T87" s="1">
        <v>19.72</v>
      </c>
      <c r="U87" s="1">
        <v>19.11</v>
      </c>
      <c r="V87" s="1">
        <v>18.97</v>
      </c>
      <c r="W87" s="1">
        <v>20.95</v>
      </c>
      <c r="X87" s="1">
        <v>22.37</v>
      </c>
      <c r="Y87" s="1">
        <v>23.1</v>
      </c>
      <c r="Z87" s="1">
        <v>24.09</v>
      </c>
      <c r="AA87">
        <v>24.33</v>
      </c>
      <c r="AB87">
        <v>333.45</v>
      </c>
      <c r="AC87">
        <v>428.4</v>
      </c>
      <c r="AD87">
        <v>474.4</v>
      </c>
      <c r="AE87">
        <v>591.65</v>
      </c>
      <c r="AF87">
        <v>660.17</v>
      </c>
      <c r="AG87">
        <v>753.86</v>
      </c>
      <c r="AH87">
        <v>902</v>
      </c>
      <c r="AI87">
        <v>955.49</v>
      </c>
      <c r="AJ87">
        <v>976.64</v>
      </c>
      <c r="AK87">
        <v>991.41</v>
      </c>
      <c r="AL87">
        <v>1004.02</v>
      </c>
      <c r="AM87">
        <v>1095.33</v>
      </c>
      <c r="AN87">
        <v>1236.83</v>
      </c>
      <c r="AO87">
        <v>1387.4</v>
      </c>
      <c r="AP87">
        <v>1746.87</v>
      </c>
      <c r="AQ87">
        <v>1950.56</v>
      </c>
      <c r="AR87">
        <v>1975.84</v>
      </c>
      <c r="AS87">
        <v>1984.93</v>
      </c>
      <c r="AT87">
        <v>2243.9299999999998</v>
      </c>
      <c r="AU87">
        <v>3644.33</v>
      </c>
      <c r="AV87">
        <v>5148.75</v>
      </c>
      <c r="AW87">
        <v>4197.75</v>
      </c>
      <c r="AX87">
        <v>4601.6899999999996</v>
      </c>
      <c r="AY87">
        <v>4801.08</v>
      </c>
      <c r="AZ87">
        <v>5726.07</v>
      </c>
      <c r="BA87">
        <v>6658.03</v>
      </c>
      <c r="BB87">
        <v>6985.83</v>
      </c>
      <c r="BC87">
        <v>6907.88</v>
      </c>
      <c r="BD87">
        <v>7014.12</v>
      </c>
      <c r="BE87">
        <v>7485.52</v>
      </c>
      <c r="BF87">
        <v>8967.93</v>
      </c>
      <c r="BG87">
        <v>9088.32</v>
      </c>
      <c r="BH87">
        <v>9011.1299999999992</v>
      </c>
      <c r="BI87">
        <v>9183.8799999999992</v>
      </c>
      <c r="BJ87">
        <v>9565.08</v>
      </c>
    </row>
    <row r="88" spans="1:64">
      <c r="A88" s="1" t="s">
        <v>217</v>
      </c>
      <c r="B88" s="1">
        <v>1.79</v>
      </c>
      <c r="C88" s="1">
        <v>1.79</v>
      </c>
      <c r="D88" s="1">
        <v>1.79</v>
      </c>
      <c r="E88" s="1">
        <v>1.79</v>
      </c>
      <c r="F88" s="1">
        <v>1.79</v>
      </c>
      <c r="G88" s="1">
        <v>1.79</v>
      </c>
      <c r="H88" s="1">
        <v>1.79</v>
      </c>
      <c r="I88" s="1">
        <v>1.84</v>
      </c>
      <c r="J88" s="1">
        <v>2.08</v>
      </c>
      <c r="K88" s="1">
        <v>2.08</v>
      </c>
      <c r="L88" s="1">
        <v>2.08</v>
      </c>
      <c r="M88" s="1">
        <v>2.0499999999999998</v>
      </c>
      <c r="N88" s="1">
        <v>2</v>
      </c>
      <c r="O88" s="1">
        <v>1.7</v>
      </c>
      <c r="P88" s="1">
        <v>1.71</v>
      </c>
      <c r="Q88" s="1">
        <v>1.81</v>
      </c>
      <c r="R88" s="1">
        <v>2.23</v>
      </c>
      <c r="S88" s="1">
        <v>2.29</v>
      </c>
      <c r="T88" s="1">
        <v>2.09</v>
      </c>
      <c r="U88" s="1">
        <v>1.89</v>
      </c>
      <c r="V88" s="1">
        <v>1.72</v>
      </c>
      <c r="W88" s="1">
        <v>1.99</v>
      </c>
      <c r="X88" s="1">
        <v>2.29</v>
      </c>
      <c r="Y88" s="1">
        <v>2.64</v>
      </c>
      <c r="Z88" s="1">
        <v>3.58</v>
      </c>
      <c r="AA88">
        <v>3.89</v>
      </c>
      <c r="AB88">
        <v>6.92</v>
      </c>
      <c r="AC88">
        <v>7.07</v>
      </c>
      <c r="AD88">
        <v>6.71</v>
      </c>
      <c r="AE88">
        <v>7.58</v>
      </c>
      <c r="AF88">
        <v>7.88</v>
      </c>
      <c r="AG88">
        <v>8.73</v>
      </c>
      <c r="AH88">
        <v>8.9</v>
      </c>
      <c r="AI88">
        <v>9.11</v>
      </c>
      <c r="AJ88">
        <v>9.58</v>
      </c>
      <c r="AK88">
        <v>9.5399999999999991</v>
      </c>
      <c r="AL88">
        <v>9.8000000000000007</v>
      </c>
      <c r="AM88">
        <v>10.199999999999999</v>
      </c>
      <c r="AN88">
        <v>10.64</v>
      </c>
      <c r="AO88">
        <v>11.4</v>
      </c>
      <c r="AP88">
        <v>12.79</v>
      </c>
      <c r="AQ88">
        <v>15.69</v>
      </c>
      <c r="AR88">
        <v>19.920000000000002</v>
      </c>
      <c r="AS88">
        <v>28.53</v>
      </c>
      <c r="AT88">
        <v>30.03</v>
      </c>
      <c r="AU88">
        <v>28.58</v>
      </c>
      <c r="AV88">
        <v>28.07</v>
      </c>
      <c r="AW88">
        <v>24.87</v>
      </c>
      <c r="AX88">
        <v>22.19</v>
      </c>
      <c r="AY88">
        <v>26.64</v>
      </c>
      <c r="AZ88">
        <v>28.01</v>
      </c>
      <c r="BA88">
        <v>29.46</v>
      </c>
      <c r="BB88">
        <v>32.08</v>
      </c>
      <c r="BC88">
        <v>35.96</v>
      </c>
      <c r="BD88">
        <v>41.73</v>
      </c>
      <c r="BE88">
        <v>42.51</v>
      </c>
      <c r="BF88">
        <v>43.37</v>
      </c>
      <c r="BG88">
        <v>46.61</v>
      </c>
      <c r="BH88">
        <v>48.15</v>
      </c>
      <c r="BI88">
        <v>50.06</v>
      </c>
      <c r="BJ88">
        <v>51.5</v>
      </c>
      <c r="BK88">
        <v>51.48</v>
      </c>
      <c r="BL88">
        <v>53.19</v>
      </c>
    </row>
    <row r="89" spans="1:64">
      <c r="A89" s="1" t="s">
        <v>1205</v>
      </c>
      <c r="B89" s="1">
        <v>245.2</v>
      </c>
      <c r="C89" s="1">
        <v>245.26</v>
      </c>
      <c r="D89" s="1">
        <v>245.01</v>
      </c>
      <c r="E89" s="1">
        <v>245.02</v>
      </c>
      <c r="F89" s="1">
        <v>245.03</v>
      </c>
      <c r="G89" s="1">
        <v>245.06</v>
      </c>
      <c r="H89" s="1">
        <v>245.68</v>
      </c>
      <c r="I89" s="1">
        <v>246</v>
      </c>
      <c r="J89" s="1">
        <v>247.56</v>
      </c>
      <c r="K89" s="1">
        <v>259.95999999999998</v>
      </c>
      <c r="L89" s="1">
        <v>276.39999999999998</v>
      </c>
      <c r="M89" s="1">
        <v>275.36</v>
      </c>
      <c r="N89" s="1">
        <v>252.03</v>
      </c>
      <c r="O89" s="1">
        <v>222.89</v>
      </c>
      <c r="P89" s="1">
        <v>240.7</v>
      </c>
      <c r="Q89" s="1">
        <v>214.31</v>
      </c>
      <c r="R89" s="1">
        <v>238.95</v>
      </c>
      <c r="S89" s="1">
        <v>245.68</v>
      </c>
      <c r="T89" s="1">
        <v>225.66</v>
      </c>
      <c r="U89" s="1">
        <v>212.72</v>
      </c>
      <c r="V89" s="1">
        <v>211.28</v>
      </c>
      <c r="W89" s="1">
        <v>271.73</v>
      </c>
      <c r="X89" s="1">
        <v>328.61</v>
      </c>
      <c r="Y89" s="1">
        <v>381.07</v>
      </c>
      <c r="Z89" s="1">
        <v>436.96</v>
      </c>
      <c r="AA89">
        <v>449.26</v>
      </c>
      <c r="AB89">
        <v>346.31</v>
      </c>
      <c r="AC89">
        <v>300.54000000000002</v>
      </c>
      <c r="AD89">
        <v>297.85000000000002</v>
      </c>
      <c r="AE89">
        <v>319.01</v>
      </c>
      <c r="AF89">
        <v>272.26</v>
      </c>
      <c r="AG89">
        <v>282.11</v>
      </c>
      <c r="AH89">
        <v>264.69</v>
      </c>
      <c r="AI89">
        <v>283.16000000000003</v>
      </c>
      <c r="AJ89">
        <v>555.20000000000005</v>
      </c>
      <c r="AK89">
        <v>499.15</v>
      </c>
      <c r="AL89">
        <v>511.55</v>
      </c>
      <c r="AM89">
        <v>583.66999999999996</v>
      </c>
      <c r="AN89">
        <v>589.95000000000005</v>
      </c>
      <c r="AO89">
        <v>615.47</v>
      </c>
      <c r="AP89">
        <v>710.21</v>
      </c>
      <c r="AQ89">
        <v>732.4</v>
      </c>
      <c r="AR89">
        <v>693.71</v>
      </c>
      <c r="AS89">
        <v>579.9</v>
      </c>
      <c r="AT89">
        <v>527.34</v>
      </c>
      <c r="AU89">
        <v>527.26</v>
      </c>
      <c r="AV89">
        <v>522.42999999999995</v>
      </c>
      <c r="AW89">
        <v>478.63</v>
      </c>
      <c r="AX89">
        <v>446</v>
      </c>
      <c r="AY89">
        <v>470.29</v>
      </c>
      <c r="AZ89">
        <v>494.79</v>
      </c>
      <c r="BA89">
        <v>471.25</v>
      </c>
      <c r="BB89">
        <v>510.56</v>
      </c>
      <c r="BC89">
        <v>493.9</v>
      </c>
      <c r="BD89">
        <v>493.76</v>
      </c>
      <c r="BE89">
        <v>591.21</v>
      </c>
      <c r="BF89">
        <v>592.61</v>
      </c>
      <c r="BG89">
        <v>580.66</v>
      </c>
      <c r="BH89">
        <v>555.45000000000005</v>
      </c>
      <c r="BI89">
        <v>585.91</v>
      </c>
      <c r="BJ89">
        <v>575.59</v>
      </c>
      <c r="BK89">
        <v>554.53</v>
      </c>
      <c r="BL89">
        <v>623.76</v>
      </c>
    </row>
    <row r="90" spans="1:64">
      <c r="A90" s="1" t="s">
        <v>1206</v>
      </c>
      <c r="B90" s="1">
        <v>245.2</v>
      </c>
      <c r="C90" s="1">
        <v>245.26</v>
      </c>
      <c r="D90" s="1">
        <v>245.01</v>
      </c>
      <c r="E90" s="1">
        <v>245.02</v>
      </c>
      <c r="F90" s="1">
        <v>245.03</v>
      </c>
      <c r="G90" s="1">
        <v>245.06</v>
      </c>
      <c r="H90" s="1">
        <v>245.68</v>
      </c>
      <c r="I90" s="1">
        <v>246</v>
      </c>
      <c r="J90" s="1">
        <v>247.56</v>
      </c>
      <c r="K90" s="1">
        <v>259.95999999999998</v>
      </c>
      <c r="L90" s="1">
        <v>276.39999999999998</v>
      </c>
      <c r="M90" s="1">
        <v>275.36</v>
      </c>
      <c r="N90" s="1">
        <v>252.03</v>
      </c>
      <c r="O90" s="1">
        <v>222.89</v>
      </c>
      <c r="P90" s="1">
        <v>240.7</v>
      </c>
      <c r="Q90" s="1">
        <v>214.31</v>
      </c>
      <c r="R90" s="1">
        <v>238.95</v>
      </c>
      <c r="S90" s="1">
        <v>245.68</v>
      </c>
      <c r="T90" s="1">
        <v>225.66</v>
      </c>
      <c r="U90" s="1">
        <v>212.72</v>
      </c>
      <c r="V90" s="1">
        <v>211.28</v>
      </c>
      <c r="W90" s="1">
        <v>271.73</v>
      </c>
      <c r="X90" s="1">
        <v>328.61</v>
      </c>
      <c r="Y90" s="1">
        <v>381.07</v>
      </c>
      <c r="Z90" s="1">
        <v>436.96</v>
      </c>
      <c r="AA90">
        <v>449.26</v>
      </c>
      <c r="AB90">
        <v>346.31</v>
      </c>
      <c r="AC90">
        <v>300.54000000000002</v>
      </c>
      <c r="AD90">
        <v>297.85000000000002</v>
      </c>
      <c r="AE90">
        <v>319.01</v>
      </c>
      <c r="AF90">
        <v>272.26</v>
      </c>
      <c r="AG90">
        <v>282.11</v>
      </c>
      <c r="AH90">
        <v>264.69</v>
      </c>
      <c r="AI90">
        <v>283.16000000000003</v>
      </c>
      <c r="AJ90">
        <v>555.20000000000005</v>
      </c>
      <c r="AK90">
        <v>499.15</v>
      </c>
      <c r="AL90">
        <v>511.55</v>
      </c>
      <c r="AM90">
        <v>583.66999999999996</v>
      </c>
      <c r="AN90">
        <v>589.95000000000005</v>
      </c>
      <c r="AO90">
        <v>615.47</v>
      </c>
      <c r="AP90">
        <v>710.21</v>
      </c>
      <c r="AQ90">
        <v>732.4</v>
      </c>
      <c r="AR90">
        <v>693.71</v>
      </c>
      <c r="AS90">
        <v>579.9</v>
      </c>
      <c r="AT90">
        <v>527.34</v>
      </c>
      <c r="AU90">
        <v>527.26</v>
      </c>
      <c r="AV90">
        <v>522.42999999999995</v>
      </c>
      <c r="AW90">
        <v>478.63</v>
      </c>
      <c r="AX90">
        <v>446</v>
      </c>
      <c r="AY90">
        <v>470.29</v>
      </c>
      <c r="AZ90">
        <v>494.79</v>
      </c>
      <c r="BA90">
        <v>471.25</v>
      </c>
      <c r="BB90">
        <v>510.56</v>
      </c>
      <c r="BC90">
        <v>493.9</v>
      </c>
      <c r="BD90">
        <v>493.76</v>
      </c>
      <c r="BE90">
        <v>591.21</v>
      </c>
      <c r="BF90">
        <v>592.61</v>
      </c>
      <c r="BG90">
        <v>580.66</v>
      </c>
      <c r="BH90">
        <v>555.45000000000005</v>
      </c>
      <c r="BI90">
        <v>585.91</v>
      </c>
      <c r="BJ90">
        <v>575.59</v>
      </c>
      <c r="BK90">
        <v>554.53</v>
      </c>
      <c r="BL90">
        <v>623.76</v>
      </c>
    </row>
    <row r="91" spans="1:64">
      <c r="A91" s="1" t="s">
        <v>1207</v>
      </c>
      <c r="B91" s="1">
        <v>30</v>
      </c>
      <c r="C91" s="1">
        <v>30</v>
      </c>
      <c r="D91" s="1">
        <v>30</v>
      </c>
      <c r="E91" s="1">
        <v>30</v>
      </c>
      <c r="F91" s="1">
        <v>30</v>
      </c>
      <c r="G91" s="1">
        <v>30</v>
      </c>
      <c r="H91" s="1">
        <v>30</v>
      </c>
      <c r="I91" s="1">
        <v>30</v>
      </c>
      <c r="J91" s="1">
        <v>30</v>
      </c>
      <c r="K91" s="1">
        <v>30</v>
      </c>
      <c r="L91" s="1">
        <v>30</v>
      </c>
      <c r="M91" s="1">
        <v>30</v>
      </c>
      <c r="N91" s="1">
        <v>30</v>
      </c>
      <c r="O91" s="1">
        <v>29.63</v>
      </c>
      <c r="P91" s="1">
        <v>30</v>
      </c>
      <c r="Q91" s="1">
        <v>32.049999999999997</v>
      </c>
      <c r="R91" s="1">
        <v>36.520000000000003</v>
      </c>
      <c r="S91" s="1">
        <v>36.840000000000003</v>
      </c>
      <c r="T91" s="1">
        <v>36.75</v>
      </c>
      <c r="U91" s="1">
        <v>37.04</v>
      </c>
      <c r="V91" s="1">
        <v>42.62</v>
      </c>
      <c r="W91" s="1">
        <v>55.41</v>
      </c>
      <c r="X91" s="1">
        <v>66.8</v>
      </c>
      <c r="Y91" s="1">
        <v>88.06</v>
      </c>
      <c r="Z91" s="1">
        <v>112.72</v>
      </c>
      <c r="AA91">
        <v>138.12</v>
      </c>
      <c r="AB91">
        <v>139.97999999999999</v>
      </c>
      <c r="AC91">
        <v>135.43</v>
      </c>
      <c r="AD91">
        <v>141.86000000000001</v>
      </c>
      <c r="AE91">
        <v>162.41999999999999</v>
      </c>
      <c r="AF91">
        <v>158.51</v>
      </c>
      <c r="AG91">
        <v>182.27</v>
      </c>
      <c r="AH91">
        <v>190.62</v>
      </c>
      <c r="AI91">
        <v>229.25</v>
      </c>
      <c r="AJ91">
        <v>242.6</v>
      </c>
      <c r="AK91">
        <v>231.66</v>
      </c>
      <c r="AL91">
        <v>240.71</v>
      </c>
      <c r="AM91">
        <v>273.06</v>
      </c>
      <c r="AN91">
        <v>295.52999999999997</v>
      </c>
      <c r="AO91">
        <v>305.64999999999998</v>
      </c>
      <c r="AP91">
        <v>365.4</v>
      </c>
      <c r="AQ91">
        <v>1.1200000000000001</v>
      </c>
      <c r="AR91">
        <v>1.06</v>
      </c>
      <c r="AS91">
        <v>0.88</v>
      </c>
      <c r="AT91">
        <v>0.8</v>
      </c>
      <c r="AU91">
        <v>0.8</v>
      </c>
      <c r="AV91">
        <v>0.8</v>
      </c>
      <c r="AW91">
        <v>0.73</v>
      </c>
      <c r="AX91">
        <v>0.68</v>
      </c>
      <c r="AY91">
        <v>0.72</v>
      </c>
      <c r="AZ91">
        <v>0.75</v>
      </c>
      <c r="BA91">
        <v>0.72</v>
      </c>
      <c r="BB91">
        <v>0.78</v>
      </c>
      <c r="BC91">
        <v>0.75</v>
      </c>
      <c r="BD91">
        <v>0.75</v>
      </c>
      <c r="BE91">
        <v>0.9</v>
      </c>
      <c r="BF91">
        <v>0.9</v>
      </c>
      <c r="BG91">
        <v>0.89</v>
      </c>
      <c r="BH91">
        <v>0.85</v>
      </c>
      <c r="BI91">
        <v>0.89</v>
      </c>
      <c r="BJ91">
        <v>0.88</v>
      </c>
      <c r="BK91">
        <v>0.85</v>
      </c>
      <c r="BL91">
        <v>0.95</v>
      </c>
    </row>
    <row r="92" spans="1:64">
      <c r="A92" s="1" t="s">
        <v>1208</v>
      </c>
      <c r="B92" s="1">
        <v>1.71</v>
      </c>
      <c r="C92" s="1">
        <v>1.71</v>
      </c>
      <c r="D92" s="1">
        <v>1.71</v>
      </c>
      <c r="E92" s="1">
        <v>1.71</v>
      </c>
      <c r="F92" s="1">
        <v>1.71</v>
      </c>
      <c r="G92" s="1">
        <v>1.71</v>
      </c>
      <c r="H92" s="1">
        <v>1.71</v>
      </c>
      <c r="I92" s="1">
        <v>1.76</v>
      </c>
      <c r="J92" s="1">
        <v>2</v>
      </c>
      <c r="K92" s="1">
        <v>2</v>
      </c>
      <c r="L92" s="1">
        <v>2</v>
      </c>
      <c r="M92" s="1">
        <v>1.97</v>
      </c>
      <c r="N92" s="1">
        <v>1.92</v>
      </c>
      <c r="O92" s="1">
        <v>1.96</v>
      </c>
      <c r="P92" s="1">
        <v>2.0499999999999998</v>
      </c>
      <c r="Q92" s="1">
        <v>2.17</v>
      </c>
      <c r="R92" s="1">
        <v>2.61</v>
      </c>
      <c r="S92" s="1">
        <v>2.7</v>
      </c>
      <c r="T92" s="1">
        <v>2.7</v>
      </c>
      <c r="U92" s="1">
        <v>2.7</v>
      </c>
      <c r="V92" s="1">
        <v>2.7</v>
      </c>
      <c r="W92" s="1">
        <v>2.7</v>
      </c>
      <c r="X92" s="1">
        <v>2.7</v>
      </c>
      <c r="Y92" s="1">
        <v>2.7</v>
      </c>
      <c r="Z92" s="1">
        <v>2.7</v>
      </c>
      <c r="AA92">
        <v>2.7</v>
      </c>
      <c r="AB92">
        <v>2.7</v>
      </c>
      <c r="AC92">
        <v>2.7</v>
      </c>
      <c r="AD92">
        <v>2.7</v>
      </c>
      <c r="AE92">
        <v>2.7</v>
      </c>
      <c r="AF92">
        <v>2.7</v>
      </c>
      <c r="AG92">
        <v>2.7</v>
      </c>
      <c r="AH92">
        <v>2.7</v>
      </c>
      <c r="AI92">
        <v>2.7</v>
      </c>
      <c r="AJ92">
        <v>2.7</v>
      </c>
      <c r="AK92">
        <v>2.7</v>
      </c>
      <c r="AL92">
        <v>2.7</v>
      </c>
      <c r="AM92">
        <v>2.7</v>
      </c>
      <c r="AN92">
        <v>2.7</v>
      </c>
      <c r="AO92">
        <v>2.7</v>
      </c>
      <c r="AP92">
        <v>2.7</v>
      </c>
      <c r="AQ92">
        <v>2.7</v>
      </c>
      <c r="AR92">
        <v>2.7</v>
      </c>
      <c r="AS92">
        <v>2.7</v>
      </c>
      <c r="AT92">
        <v>2.7</v>
      </c>
      <c r="AU92">
        <v>2.7</v>
      </c>
      <c r="AV92">
        <v>2.7</v>
      </c>
      <c r="AW92">
        <v>2.7</v>
      </c>
      <c r="AX92">
        <v>2.7</v>
      </c>
      <c r="AY92">
        <v>2.7</v>
      </c>
      <c r="AZ92">
        <v>2.7</v>
      </c>
      <c r="BA92">
        <v>2.7</v>
      </c>
      <c r="BB92">
        <v>2.7</v>
      </c>
      <c r="BC92">
        <v>2.7</v>
      </c>
      <c r="BD92">
        <v>2.7</v>
      </c>
      <c r="BE92">
        <v>2.7</v>
      </c>
      <c r="BF92">
        <v>2.7</v>
      </c>
      <c r="BG92">
        <v>2.7</v>
      </c>
      <c r="BH92">
        <v>2.7</v>
      </c>
      <c r="BI92">
        <v>2.7</v>
      </c>
      <c r="BJ92">
        <v>2.7</v>
      </c>
      <c r="BK92">
        <v>2.7</v>
      </c>
      <c r="BL92">
        <v>2.7</v>
      </c>
    </row>
    <row r="93" spans="1:64">
      <c r="A93" s="1" t="s">
        <v>1209</v>
      </c>
      <c r="B93" s="1">
        <v>6.91</v>
      </c>
      <c r="C93" s="1">
        <v>6.91</v>
      </c>
      <c r="D93" s="1">
        <v>6.91</v>
      </c>
      <c r="E93" s="1">
        <v>6.91</v>
      </c>
      <c r="F93" s="1">
        <v>6.91</v>
      </c>
      <c r="G93" s="1">
        <v>6.91</v>
      </c>
      <c r="H93" s="1">
        <v>6.91</v>
      </c>
      <c r="I93" s="1">
        <v>7.01</v>
      </c>
      <c r="J93" s="1">
        <v>7.5</v>
      </c>
      <c r="K93" s="1">
        <v>7.5</v>
      </c>
      <c r="L93" s="1">
        <v>7.5</v>
      </c>
      <c r="M93" s="1">
        <v>7.42</v>
      </c>
      <c r="N93" s="1">
        <v>6.95</v>
      </c>
      <c r="O93" s="1">
        <v>6.05</v>
      </c>
      <c r="P93" s="1">
        <v>6.09</v>
      </c>
      <c r="Q93" s="1">
        <v>5.75</v>
      </c>
      <c r="R93" s="1">
        <v>6.05</v>
      </c>
      <c r="S93" s="1">
        <v>6</v>
      </c>
      <c r="T93" s="1">
        <v>5.51</v>
      </c>
      <c r="U93" s="1">
        <v>5.26</v>
      </c>
      <c r="V93" s="1">
        <v>5.64</v>
      </c>
      <c r="W93" s="1">
        <v>7.12</v>
      </c>
      <c r="X93" s="1">
        <v>8.33</v>
      </c>
      <c r="Y93" s="1">
        <v>9.14</v>
      </c>
      <c r="Z93" s="1">
        <v>10.36</v>
      </c>
      <c r="AA93">
        <v>10.6</v>
      </c>
      <c r="AB93">
        <v>8.09</v>
      </c>
      <c r="AC93">
        <v>6.84</v>
      </c>
      <c r="AD93">
        <v>6.73</v>
      </c>
      <c r="AE93">
        <v>7.31</v>
      </c>
      <c r="AF93">
        <v>6.19</v>
      </c>
      <c r="AG93">
        <v>6.4</v>
      </c>
      <c r="AH93">
        <v>6.04</v>
      </c>
      <c r="AI93">
        <v>6.48</v>
      </c>
      <c r="AJ93">
        <v>6.36</v>
      </c>
      <c r="AK93">
        <v>5.6</v>
      </c>
      <c r="AL93">
        <v>5.8</v>
      </c>
      <c r="AM93">
        <v>6.6</v>
      </c>
      <c r="AN93">
        <v>6.7</v>
      </c>
      <c r="AO93">
        <v>6.98</v>
      </c>
      <c r="AP93">
        <v>8.08</v>
      </c>
      <c r="AQ93">
        <v>8.32</v>
      </c>
      <c r="AR93">
        <v>7.89</v>
      </c>
      <c r="AS93">
        <v>6.59</v>
      </c>
      <c r="AT93">
        <v>5.99</v>
      </c>
      <c r="AU93">
        <v>6</v>
      </c>
      <c r="AV93">
        <v>5.95</v>
      </c>
      <c r="AW93">
        <v>5.44</v>
      </c>
      <c r="AX93">
        <v>5.0999999999999996</v>
      </c>
      <c r="AY93">
        <v>5.36</v>
      </c>
      <c r="AZ93">
        <v>5.62</v>
      </c>
      <c r="BA93">
        <v>5.37</v>
      </c>
      <c r="BB93">
        <v>5.79</v>
      </c>
      <c r="BC93">
        <v>5.62</v>
      </c>
      <c r="BD93">
        <v>5.61</v>
      </c>
      <c r="BE93">
        <v>6.73</v>
      </c>
      <c r="BF93">
        <v>6.73</v>
      </c>
      <c r="BG93">
        <v>6.6</v>
      </c>
      <c r="BH93">
        <v>6.31</v>
      </c>
      <c r="BI93">
        <v>6.67</v>
      </c>
      <c r="BJ93">
        <v>6.54</v>
      </c>
      <c r="BK93">
        <v>6.29</v>
      </c>
      <c r="BL93">
        <v>7.08</v>
      </c>
    </row>
    <row r="94" spans="1:64">
      <c r="A94" s="1" t="s">
        <v>1210</v>
      </c>
      <c r="B94" s="1">
        <v>1</v>
      </c>
      <c r="C94" s="1">
        <v>1</v>
      </c>
      <c r="D94" s="1">
        <v>1</v>
      </c>
      <c r="E94" s="1">
        <v>1</v>
      </c>
      <c r="F94" s="1">
        <v>1</v>
      </c>
      <c r="G94" s="1">
        <v>1</v>
      </c>
      <c r="H94" s="1">
        <v>1</v>
      </c>
      <c r="I94" s="1">
        <v>1</v>
      </c>
      <c r="J94" s="1">
        <v>1</v>
      </c>
      <c r="K94" s="1">
        <v>1</v>
      </c>
      <c r="L94" s="1">
        <v>1</v>
      </c>
      <c r="M94" s="1">
        <v>1</v>
      </c>
      <c r="N94" s="1">
        <v>1</v>
      </c>
      <c r="O94" s="1">
        <v>1</v>
      </c>
      <c r="P94" s="1">
        <v>1</v>
      </c>
      <c r="Q94" s="1">
        <v>1</v>
      </c>
      <c r="R94" s="1">
        <v>1</v>
      </c>
      <c r="S94" s="1">
        <v>1</v>
      </c>
      <c r="T94" s="1">
        <v>1</v>
      </c>
      <c r="U94" s="1">
        <v>1</v>
      </c>
      <c r="V94" s="1">
        <v>1</v>
      </c>
      <c r="W94" s="1">
        <v>1</v>
      </c>
      <c r="X94" s="1">
        <v>1</v>
      </c>
      <c r="Y94" s="1">
        <v>1</v>
      </c>
      <c r="Z94" s="1">
        <v>1</v>
      </c>
      <c r="AA94">
        <v>1</v>
      </c>
      <c r="AB94">
        <v>1.88</v>
      </c>
      <c r="AC94">
        <v>2.5</v>
      </c>
      <c r="AD94">
        <v>2.62</v>
      </c>
      <c r="AE94">
        <v>2.82</v>
      </c>
      <c r="AF94">
        <v>4.49</v>
      </c>
      <c r="AG94">
        <v>5.03</v>
      </c>
      <c r="AH94">
        <v>5.17</v>
      </c>
      <c r="AI94">
        <v>5.64</v>
      </c>
      <c r="AJ94">
        <v>5.75</v>
      </c>
      <c r="AK94">
        <v>5.81</v>
      </c>
      <c r="AL94">
        <v>6.05</v>
      </c>
      <c r="AM94">
        <v>6.07</v>
      </c>
      <c r="AN94">
        <v>6.39</v>
      </c>
      <c r="AO94">
        <v>7.39</v>
      </c>
      <c r="AP94">
        <v>7.76</v>
      </c>
      <c r="AQ94">
        <v>7.86</v>
      </c>
      <c r="AR94">
        <v>7.82</v>
      </c>
      <c r="AS94">
        <v>7.94</v>
      </c>
      <c r="AT94">
        <v>7.95</v>
      </c>
      <c r="AU94">
        <v>7.63</v>
      </c>
      <c r="AV94">
        <v>7.6</v>
      </c>
      <c r="AW94">
        <v>7.67</v>
      </c>
      <c r="AX94">
        <v>7.56</v>
      </c>
      <c r="AY94">
        <v>8.16</v>
      </c>
      <c r="AZ94">
        <v>8.06</v>
      </c>
      <c r="BA94">
        <v>7.79</v>
      </c>
      <c r="BB94">
        <v>7.83</v>
      </c>
      <c r="BC94">
        <v>7.86</v>
      </c>
      <c r="BD94">
        <v>7.73</v>
      </c>
      <c r="BE94">
        <v>7.65</v>
      </c>
      <c r="BF94">
        <v>7.6</v>
      </c>
      <c r="BG94">
        <v>7.35</v>
      </c>
      <c r="BH94">
        <v>7.52</v>
      </c>
      <c r="BI94">
        <v>7.7</v>
      </c>
      <c r="BJ94">
        <v>7.72</v>
      </c>
      <c r="BK94">
        <v>7.73</v>
      </c>
      <c r="BL94">
        <v>7.75</v>
      </c>
    </row>
    <row r="95" spans="1:64">
      <c r="A95" s="1" t="s">
        <v>1211</v>
      </c>
      <c r="B95" s="1"/>
      <c r="C95" s="1"/>
      <c r="D95" s="1"/>
      <c r="E95" s="1"/>
      <c r="F95" s="1"/>
      <c r="G95" s="1"/>
      <c r="H95" s="1"/>
      <c r="I95" s="1"/>
      <c r="J95" s="1"/>
      <c r="K95" s="1"/>
      <c r="L95" s="1"/>
      <c r="M95" s="1"/>
      <c r="N95" s="1"/>
      <c r="O95" s="1"/>
      <c r="P95" s="1"/>
      <c r="Q95" s="1"/>
      <c r="R95" s="1"/>
      <c r="S95" s="1"/>
      <c r="T95" s="1"/>
      <c r="U95" s="1"/>
      <c r="V95" s="1"/>
      <c r="W95" s="1"/>
      <c r="X95" s="1"/>
      <c r="Y95" s="1"/>
      <c r="Z95" s="1"/>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row>
    <row r="96" spans="1:64">
      <c r="A96" s="1" t="s">
        <v>1212</v>
      </c>
      <c r="B96" s="1">
        <v>1.71</v>
      </c>
      <c r="C96" s="1">
        <v>1.71</v>
      </c>
      <c r="D96" s="1">
        <v>1.71</v>
      </c>
      <c r="E96" s="1">
        <v>1.71</v>
      </c>
      <c r="F96" s="1">
        <v>1.71</v>
      </c>
      <c r="G96" s="1">
        <v>1.71</v>
      </c>
      <c r="H96" s="1">
        <v>1.71</v>
      </c>
      <c r="I96" s="1">
        <v>1.74</v>
      </c>
      <c r="J96" s="1">
        <v>2</v>
      </c>
      <c r="K96" s="1">
        <v>2</v>
      </c>
      <c r="L96" s="1">
        <v>2</v>
      </c>
      <c r="M96" s="1">
        <v>1.99</v>
      </c>
      <c r="N96" s="1">
        <v>2.09</v>
      </c>
      <c r="O96" s="1">
        <v>2.11</v>
      </c>
      <c r="P96" s="1">
        <v>2.23</v>
      </c>
      <c r="Q96" s="1">
        <v>2.36</v>
      </c>
      <c r="R96" s="1">
        <v>2.5499999999999998</v>
      </c>
      <c r="S96" s="1">
        <v>2.5499999999999998</v>
      </c>
      <c r="T96" s="1">
        <v>2.5499999999999998</v>
      </c>
      <c r="U96" s="1">
        <v>2.5499999999999998</v>
      </c>
      <c r="V96" s="1">
        <v>2.5499999999999998</v>
      </c>
      <c r="W96" s="1">
        <v>2.81</v>
      </c>
      <c r="X96" s="1">
        <v>3</v>
      </c>
      <c r="Y96" s="1">
        <v>3</v>
      </c>
      <c r="Z96" s="1">
        <v>3.83</v>
      </c>
      <c r="AA96">
        <v>4.25</v>
      </c>
      <c r="AB96">
        <v>4.2699999999999996</v>
      </c>
      <c r="AC96">
        <v>9.76</v>
      </c>
      <c r="AD96">
        <v>10</v>
      </c>
      <c r="AE96">
        <v>27.16</v>
      </c>
      <c r="AF96">
        <v>39.53</v>
      </c>
      <c r="AG96">
        <v>111.81</v>
      </c>
      <c r="AH96">
        <v>125</v>
      </c>
      <c r="AI96">
        <v>126.73</v>
      </c>
      <c r="AJ96">
        <v>138.29</v>
      </c>
      <c r="AK96">
        <v>141.99</v>
      </c>
      <c r="AL96">
        <v>140.38</v>
      </c>
      <c r="AM96">
        <v>142.4</v>
      </c>
      <c r="AN96">
        <v>150.52000000000001</v>
      </c>
      <c r="AO96">
        <v>178</v>
      </c>
      <c r="AP96">
        <v>182.43</v>
      </c>
      <c r="AQ96">
        <v>187.32</v>
      </c>
      <c r="AR96">
        <v>190.67</v>
      </c>
      <c r="AS96">
        <v>193.88</v>
      </c>
      <c r="AT96">
        <v>198.31</v>
      </c>
      <c r="AU96">
        <v>199.88</v>
      </c>
      <c r="AV96">
        <v>200.19</v>
      </c>
      <c r="AW96">
        <v>202.35</v>
      </c>
      <c r="AX96">
        <v>203.63</v>
      </c>
      <c r="AY96">
        <v>203.95</v>
      </c>
      <c r="AZ96">
        <v>203.64</v>
      </c>
      <c r="BA96">
        <v>204.02</v>
      </c>
      <c r="BB96">
        <v>204.36</v>
      </c>
      <c r="BC96">
        <v>205.39</v>
      </c>
      <c r="BD96">
        <v>206.45</v>
      </c>
      <c r="BE96">
        <v>206.5</v>
      </c>
      <c r="BF96">
        <v>206.5</v>
      </c>
      <c r="BG96">
        <v>206.5</v>
      </c>
      <c r="BH96">
        <v>207.72</v>
      </c>
      <c r="BI96">
        <v>208.5</v>
      </c>
      <c r="BJ96">
        <v>208.5</v>
      </c>
      <c r="BK96">
        <v>208.5</v>
      </c>
    </row>
    <row r="97" spans="1:64">
      <c r="A97" s="1" t="s">
        <v>1213</v>
      </c>
      <c r="B97" s="1"/>
      <c r="C97" s="1"/>
      <c r="D97" s="1"/>
      <c r="E97" s="1"/>
      <c r="F97" s="1"/>
      <c r="G97" s="1"/>
      <c r="H97" s="1"/>
      <c r="I97" s="1"/>
      <c r="J97" s="1"/>
      <c r="K97" s="1"/>
      <c r="L97" s="1"/>
      <c r="M97" s="1"/>
      <c r="N97" s="1"/>
      <c r="O97" s="1"/>
      <c r="P97" s="1"/>
      <c r="Q97" s="1"/>
      <c r="R97" s="1"/>
      <c r="S97" s="1"/>
      <c r="T97" s="1"/>
      <c r="U97" s="1"/>
      <c r="V97" s="1"/>
      <c r="W97" s="1"/>
      <c r="X97" s="1"/>
      <c r="Y97" s="1"/>
      <c r="Z97" s="1"/>
    </row>
    <row r="98" spans="1:64">
      <c r="A98" s="1" t="s">
        <v>1214</v>
      </c>
      <c r="B98" s="1">
        <v>5.71</v>
      </c>
      <c r="C98" s="1">
        <v>5.71</v>
      </c>
      <c r="D98" s="1">
        <v>5.71</v>
      </c>
      <c r="E98" s="1">
        <v>5.71</v>
      </c>
      <c r="F98" s="1">
        <v>5.71</v>
      </c>
      <c r="G98" s="1">
        <v>5.71</v>
      </c>
      <c r="H98" s="1">
        <v>5.71</v>
      </c>
      <c r="I98" s="1">
        <v>5.74</v>
      </c>
      <c r="J98" s="1">
        <v>6.06</v>
      </c>
      <c r="K98" s="1">
        <v>6.06</v>
      </c>
      <c r="L98" s="1">
        <v>6.06</v>
      </c>
      <c r="M98" s="1">
        <v>5.98</v>
      </c>
      <c r="N98" s="1">
        <v>5.64</v>
      </c>
      <c r="O98" s="1">
        <v>5.15</v>
      </c>
      <c r="P98" s="1">
        <v>5.03</v>
      </c>
      <c r="Q98" s="1">
        <v>4.9400000000000004</v>
      </c>
      <c r="R98" s="1">
        <v>4.9000000000000004</v>
      </c>
      <c r="S98" s="1">
        <v>4.66</v>
      </c>
      <c r="T98" s="1">
        <v>4.68</v>
      </c>
      <c r="U98" s="1">
        <v>5</v>
      </c>
      <c r="V98" s="1">
        <v>4.9800000000000004</v>
      </c>
      <c r="W98" s="1">
        <v>5.59</v>
      </c>
      <c r="X98" s="1">
        <v>6.07</v>
      </c>
      <c r="Y98" s="1">
        <v>7.27</v>
      </c>
      <c r="Z98" s="1">
        <v>7.82</v>
      </c>
      <c r="AA98">
        <v>7.79</v>
      </c>
      <c r="AB98">
        <v>7.8</v>
      </c>
      <c r="AC98">
        <v>7.8</v>
      </c>
      <c r="AD98">
        <v>7.81</v>
      </c>
      <c r="AE98">
        <v>7.8</v>
      </c>
      <c r="AF98">
        <v>7.79</v>
      </c>
      <c r="AG98">
        <v>7.77</v>
      </c>
      <c r="AH98">
        <v>7.74</v>
      </c>
      <c r="AI98">
        <v>7.74</v>
      </c>
      <c r="AJ98">
        <v>7.73</v>
      </c>
      <c r="AK98">
        <v>7.74</v>
      </c>
      <c r="AL98">
        <v>7.73</v>
      </c>
      <c r="AM98">
        <v>7.74</v>
      </c>
      <c r="AN98">
        <v>7.75</v>
      </c>
      <c r="AO98">
        <v>7.76</v>
      </c>
      <c r="AP98">
        <v>7.79</v>
      </c>
      <c r="AQ98">
        <v>7.8</v>
      </c>
      <c r="AR98">
        <v>7.8</v>
      </c>
      <c r="AS98">
        <v>7.79</v>
      </c>
      <c r="AT98">
        <v>7.79</v>
      </c>
      <c r="AU98">
        <v>7.78</v>
      </c>
      <c r="AV98">
        <v>7.77</v>
      </c>
      <c r="AW98">
        <v>7.8</v>
      </c>
      <c r="AX98">
        <v>7.79</v>
      </c>
      <c r="AY98">
        <v>7.75</v>
      </c>
      <c r="AZ98">
        <v>7.77</v>
      </c>
      <c r="BA98">
        <v>7.78</v>
      </c>
      <c r="BB98">
        <v>7.76</v>
      </c>
      <c r="BC98">
        <v>7.76</v>
      </c>
      <c r="BD98">
        <v>7.75</v>
      </c>
      <c r="BE98">
        <v>7.75</v>
      </c>
      <c r="BF98">
        <v>7.76</v>
      </c>
      <c r="BG98">
        <v>7.79</v>
      </c>
      <c r="BH98">
        <v>7.84</v>
      </c>
      <c r="BI98">
        <v>7.84</v>
      </c>
      <c r="BJ98">
        <v>7.76</v>
      </c>
      <c r="BK98">
        <v>7.77</v>
      </c>
      <c r="BL98">
        <v>7.83</v>
      </c>
    </row>
    <row r="99" spans="1:64">
      <c r="A99" s="1" t="s">
        <v>287</v>
      </c>
      <c r="B99" s="1">
        <v>2</v>
      </c>
      <c r="C99" s="1">
        <v>2</v>
      </c>
      <c r="D99" s="1">
        <v>2</v>
      </c>
      <c r="E99" s="1">
        <v>2</v>
      </c>
      <c r="F99" s="1">
        <v>2</v>
      </c>
      <c r="G99" s="1">
        <v>2</v>
      </c>
      <c r="H99" s="1">
        <v>2</v>
      </c>
      <c r="I99" s="1">
        <v>2</v>
      </c>
      <c r="J99" s="1">
        <v>2</v>
      </c>
      <c r="K99" s="1">
        <v>2</v>
      </c>
      <c r="L99" s="1">
        <v>2</v>
      </c>
      <c r="M99" s="1">
        <v>2</v>
      </c>
      <c r="N99" s="1">
        <v>2</v>
      </c>
      <c r="O99" s="1">
        <v>2</v>
      </c>
      <c r="P99" s="1">
        <v>2</v>
      </c>
      <c r="Q99" s="1">
        <v>2</v>
      </c>
      <c r="R99" s="1">
        <v>2</v>
      </c>
      <c r="S99" s="1">
        <v>2</v>
      </c>
      <c r="T99" s="1">
        <v>2</v>
      </c>
      <c r="U99" s="1">
        <v>2</v>
      </c>
      <c r="V99" s="1">
        <v>2</v>
      </c>
      <c r="W99" s="1">
        <v>2</v>
      </c>
      <c r="X99" s="1">
        <v>2</v>
      </c>
      <c r="Y99" s="1">
        <v>2</v>
      </c>
      <c r="Z99" s="1">
        <v>2</v>
      </c>
      <c r="AA99">
        <v>2</v>
      </c>
      <c r="AB99">
        <v>2</v>
      </c>
      <c r="AC99">
        <v>2</v>
      </c>
      <c r="AD99">
        <v>2</v>
      </c>
      <c r="AE99">
        <v>2</v>
      </c>
      <c r="AP99">
        <v>14.84</v>
      </c>
      <c r="AQ99">
        <v>15.48</v>
      </c>
      <c r="AR99">
        <v>16.440000000000001</v>
      </c>
      <c r="AS99">
        <v>17.350000000000001</v>
      </c>
      <c r="AT99">
        <v>18.21</v>
      </c>
      <c r="AU99">
        <v>18.829999999999998</v>
      </c>
      <c r="AV99">
        <v>18.899999999999999</v>
      </c>
      <c r="AW99">
        <v>18.899999999999999</v>
      </c>
      <c r="AX99">
        <v>18.899999999999999</v>
      </c>
      <c r="AY99">
        <v>18.899999999999999</v>
      </c>
      <c r="AZ99">
        <v>18.899999999999999</v>
      </c>
      <c r="BA99">
        <v>18.920000000000002</v>
      </c>
      <c r="BB99">
        <v>19.5</v>
      </c>
      <c r="BC99">
        <v>20.350000000000001</v>
      </c>
      <c r="BD99">
        <v>20.99</v>
      </c>
      <c r="BE99">
        <v>21.95</v>
      </c>
      <c r="BF99">
        <v>22.84</v>
      </c>
      <c r="BG99">
        <v>23.49</v>
      </c>
      <c r="BH99">
        <v>23.9</v>
      </c>
      <c r="BI99">
        <v>24.51</v>
      </c>
      <c r="BJ99">
        <v>24.58</v>
      </c>
      <c r="BK99">
        <v>24.02</v>
      </c>
      <c r="BL99">
        <v>24.49</v>
      </c>
    </row>
    <row r="100" spans="1:64">
      <c r="A100" s="1" t="s">
        <v>1215</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64">
      <c r="A101" s="1" t="s">
        <v>1216</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H101">
        <v>0.26</v>
      </c>
      <c r="AI101">
        <v>3.58</v>
      </c>
      <c r="AJ101">
        <v>6</v>
      </c>
      <c r="AK101">
        <v>5.23</v>
      </c>
      <c r="AL101">
        <v>5.43</v>
      </c>
      <c r="AM101">
        <v>6.16</v>
      </c>
      <c r="AN101">
        <v>6.36</v>
      </c>
      <c r="AO101">
        <v>7.11</v>
      </c>
      <c r="AP101">
        <v>8.2799999999999994</v>
      </c>
      <c r="AQ101">
        <v>8.34</v>
      </c>
      <c r="AR101">
        <v>7.87</v>
      </c>
      <c r="AS101">
        <v>6.7</v>
      </c>
      <c r="AT101">
        <v>6.03</v>
      </c>
      <c r="AU101">
        <v>5.95</v>
      </c>
      <c r="AV101">
        <v>5.84</v>
      </c>
      <c r="AW101">
        <v>5.36</v>
      </c>
      <c r="AX101">
        <v>4.9400000000000004</v>
      </c>
      <c r="AY101">
        <v>5.28</v>
      </c>
      <c r="AZ101">
        <v>5.5</v>
      </c>
      <c r="BA101">
        <v>5.34</v>
      </c>
      <c r="BB101">
        <v>5.85</v>
      </c>
      <c r="BC101">
        <v>5.7</v>
      </c>
      <c r="BD101">
        <v>5.75</v>
      </c>
      <c r="BE101">
        <v>6.86</v>
      </c>
      <c r="BF101">
        <v>6.81</v>
      </c>
      <c r="BG101">
        <v>6.62</v>
      </c>
      <c r="BH101">
        <v>6.28</v>
      </c>
      <c r="BI101">
        <v>6.62</v>
      </c>
      <c r="BJ101">
        <v>6.61</v>
      </c>
      <c r="BK101">
        <v>6.36</v>
      </c>
      <c r="BL101">
        <v>7.16</v>
      </c>
    </row>
    <row r="102" spans="1:64">
      <c r="A102" s="1" t="s">
        <v>1217</v>
      </c>
      <c r="B102" s="1">
        <v>5</v>
      </c>
      <c r="C102" s="1">
        <v>5</v>
      </c>
      <c r="D102" s="1">
        <v>5</v>
      </c>
      <c r="E102" s="1">
        <v>5</v>
      </c>
      <c r="F102" s="1">
        <v>5</v>
      </c>
      <c r="G102" s="1">
        <v>5</v>
      </c>
      <c r="H102" s="1">
        <v>5</v>
      </c>
      <c r="I102" s="1">
        <v>5</v>
      </c>
      <c r="J102" s="1">
        <v>5</v>
      </c>
      <c r="K102" s="1">
        <v>5</v>
      </c>
      <c r="L102" s="1">
        <v>5</v>
      </c>
      <c r="M102" s="1">
        <v>5</v>
      </c>
      <c r="N102" s="1">
        <v>5</v>
      </c>
      <c r="O102" s="1">
        <v>5</v>
      </c>
      <c r="P102" s="1">
        <v>5</v>
      </c>
      <c r="Q102" s="1">
        <v>5</v>
      </c>
      <c r="R102" s="1">
        <v>5</v>
      </c>
      <c r="S102" s="1">
        <v>5</v>
      </c>
      <c r="T102" s="1">
        <v>5</v>
      </c>
      <c r="U102" s="1">
        <v>5</v>
      </c>
      <c r="V102" s="1">
        <v>5</v>
      </c>
      <c r="W102" s="1">
        <v>5</v>
      </c>
      <c r="X102" s="1">
        <v>5</v>
      </c>
      <c r="Y102" s="1">
        <v>5</v>
      </c>
      <c r="Z102" s="1">
        <v>5</v>
      </c>
      <c r="AA102">
        <v>5</v>
      </c>
      <c r="AB102">
        <v>5</v>
      </c>
      <c r="AC102">
        <v>5</v>
      </c>
      <c r="AD102">
        <v>5</v>
      </c>
      <c r="AE102">
        <v>5</v>
      </c>
      <c r="AF102">
        <v>5</v>
      </c>
      <c r="AG102">
        <v>6.03</v>
      </c>
      <c r="AH102">
        <v>9.8000000000000007</v>
      </c>
      <c r="AI102">
        <v>12.82</v>
      </c>
      <c r="AJ102">
        <v>15.04</v>
      </c>
      <c r="AK102">
        <v>15.11</v>
      </c>
      <c r="AL102">
        <v>15.7</v>
      </c>
      <c r="AM102">
        <v>16.649999999999999</v>
      </c>
      <c r="AN102">
        <v>16.77</v>
      </c>
      <c r="AO102">
        <v>16.940000000000001</v>
      </c>
      <c r="AP102">
        <v>21.17</v>
      </c>
      <c r="AQ102">
        <v>24.43</v>
      </c>
      <c r="AR102">
        <v>29.25</v>
      </c>
      <c r="AS102">
        <v>42.37</v>
      </c>
      <c r="AT102">
        <v>38.35</v>
      </c>
      <c r="AU102">
        <v>40.450000000000003</v>
      </c>
      <c r="AV102">
        <v>40.409999999999997</v>
      </c>
      <c r="AW102">
        <v>36.86</v>
      </c>
      <c r="AX102">
        <v>39.11</v>
      </c>
      <c r="AY102">
        <v>41.2</v>
      </c>
      <c r="AZ102">
        <v>39.799999999999997</v>
      </c>
      <c r="BA102">
        <v>40.520000000000003</v>
      </c>
      <c r="BB102">
        <v>41.95</v>
      </c>
      <c r="BC102">
        <v>43.46</v>
      </c>
      <c r="BD102">
        <v>45.22</v>
      </c>
      <c r="BE102">
        <v>50.71</v>
      </c>
      <c r="BF102">
        <v>63.34</v>
      </c>
      <c r="BG102">
        <v>64.77</v>
      </c>
      <c r="BH102">
        <v>68.03</v>
      </c>
      <c r="BI102">
        <v>88.81</v>
      </c>
      <c r="BJ102">
        <v>93.51</v>
      </c>
      <c r="BK102">
        <v>89.23</v>
      </c>
      <c r="BL102">
        <v>115.63</v>
      </c>
    </row>
    <row r="103" spans="1:64">
      <c r="A103" s="1" t="s">
        <v>1218</v>
      </c>
      <c r="B103" s="1"/>
      <c r="C103" s="1"/>
      <c r="D103" s="1"/>
      <c r="E103" s="1"/>
      <c r="F103" s="1"/>
      <c r="G103" s="1"/>
      <c r="H103" s="1"/>
      <c r="I103" s="1"/>
      <c r="J103" s="1">
        <v>60</v>
      </c>
      <c r="K103" s="1">
        <v>60</v>
      </c>
      <c r="L103" s="1">
        <v>60</v>
      </c>
      <c r="M103" s="1">
        <v>59.82</v>
      </c>
      <c r="N103" s="1">
        <v>55.26</v>
      </c>
      <c r="O103" s="1">
        <v>48.97</v>
      </c>
      <c r="P103" s="1">
        <v>46.75</v>
      </c>
      <c r="Q103" s="1">
        <v>43.97</v>
      </c>
      <c r="R103" s="1">
        <v>41.58</v>
      </c>
      <c r="S103" s="1">
        <v>40.96</v>
      </c>
      <c r="T103" s="1">
        <v>37.909999999999997</v>
      </c>
      <c r="U103" s="1">
        <v>35.58</v>
      </c>
      <c r="V103" s="1">
        <v>32.53</v>
      </c>
      <c r="W103" s="1">
        <v>34.31</v>
      </c>
      <c r="X103" s="1">
        <v>36.630000000000003</v>
      </c>
      <c r="Y103" s="1">
        <v>42.67</v>
      </c>
      <c r="Z103" s="1">
        <v>48.04</v>
      </c>
      <c r="AA103">
        <v>50.12</v>
      </c>
      <c r="AB103">
        <v>45.83</v>
      </c>
      <c r="AC103">
        <v>46.97</v>
      </c>
      <c r="AD103">
        <v>50.41</v>
      </c>
      <c r="AE103">
        <v>59.07</v>
      </c>
      <c r="AF103">
        <v>63.21</v>
      </c>
      <c r="AG103">
        <v>74.739999999999995</v>
      </c>
      <c r="AH103">
        <v>78.989999999999995</v>
      </c>
      <c r="AI103">
        <v>91.93</v>
      </c>
      <c r="AJ103">
        <v>105.16</v>
      </c>
      <c r="AK103">
        <v>125.68</v>
      </c>
      <c r="AL103">
        <v>152.65</v>
      </c>
      <c r="AM103">
        <v>186.79</v>
      </c>
      <c r="AN103">
        <v>214.4</v>
      </c>
      <c r="AO103">
        <v>237.15</v>
      </c>
      <c r="AP103">
        <v>282.18</v>
      </c>
      <c r="AQ103">
        <v>286.49</v>
      </c>
      <c r="AR103">
        <v>257.89</v>
      </c>
      <c r="AS103">
        <v>224.31</v>
      </c>
      <c r="AT103">
        <v>202.75</v>
      </c>
      <c r="AU103">
        <v>199.58</v>
      </c>
      <c r="AV103">
        <v>210.39</v>
      </c>
      <c r="AW103">
        <v>183.63</v>
      </c>
      <c r="AX103">
        <v>172.11</v>
      </c>
      <c r="AY103">
        <v>202.34</v>
      </c>
      <c r="AZ103">
        <v>207.94</v>
      </c>
      <c r="BA103">
        <v>201.06</v>
      </c>
      <c r="BB103">
        <v>225.1</v>
      </c>
      <c r="BC103">
        <v>223.7</v>
      </c>
      <c r="BD103">
        <v>232.6</v>
      </c>
      <c r="BE103">
        <v>279.33</v>
      </c>
      <c r="BF103">
        <v>281.52</v>
      </c>
      <c r="BG103">
        <v>274.43</v>
      </c>
      <c r="BH103">
        <v>270.20999999999998</v>
      </c>
      <c r="BI103">
        <v>290.66000000000003</v>
      </c>
      <c r="BJ103">
        <v>308</v>
      </c>
      <c r="BK103">
        <v>303.14</v>
      </c>
      <c r="BL103">
        <v>372.6</v>
      </c>
    </row>
    <row r="104" spans="1:64">
      <c r="A104" s="1" t="s">
        <v>1219</v>
      </c>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64">
      <c r="A105" s="1" t="s">
        <v>1220</v>
      </c>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64">
      <c r="A106" s="1" t="s">
        <v>1221</v>
      </c>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64">
      <c r="A107" s="1" t="s">
        <v>1222</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64">
      <c r="A108" s="1" t="s">
        <v>301</v>
      </c>
      <c r="B108" s="1"/>
      <c r="C108" s="1"/>
      <c r="D108" s="1"/>
      <c r="E108" s="1"/>
      <c r="F108" s="1"/>
      <c r="G108" s="1"/>
      <c r="H108" s="1"/>
      <c r="I108" s="1">
        <v>149.58000000000001</v>
      </c>
      <c r="J108" s="1">
        <v>296.29000000000002</v>
      </c>
      <c r="K108" s="1">
        <v>326</v>
      </c>
      <c r="L108" s="1">
        <v>362.83</v>
      </c>
      <c r="M108" s="1">
        <v>391.88</v>
      </c>
      <c r="N108" s="1">
        <v>415</v>
      </c>
      <c r="O108" s="1">
        <v>415</v>
      </c>
      <c r="P108" s="1">
        <v>415</v>
      </c>
      <c r="Q108" s="1">
        <v>415</v>
      </c>
      <c r="R108" s="1">
        <v>415</v>
      </c>
      <c r="S108" s="1">
        <v>415</v>
      </c>
      <c r="T108" s="1">
        <v>442.05</v>
      </c>
      <c r="U108" s="1">
        <v>623.05999999999995</v>
      </c>
      <c r="V108" s="1">
        <v>626.99</v>
      </c>
      <c r="W108" s="1">
        <v>631.76</v>
      </c>
      <c r="X108" s="1">
        <v>661.42</v>
      </c>
      <c r="Y108" s="1">
        <v>909.26</v>
      </c>
      <c r="Z108" s="1">
        <v>1025.94</v>
      </c>
      <c r="AA108">
        <v>1110.58</v>
      </c>
      <c r="AB108">
        <v>1282.56</v>
      </c>
      <c r="AC108">
        <v>1643.85</v>
      </c>
      <c r="AD108">
        <v>1685.7</v>
      </c>
      <c r="AE108">
        <v>1770.06</v>
      </c>
      <c r="AF108">
        <v>1842.81</v>
      </c>
      <c r="AG108">
        <v>1950.32</v>
      </c>
      <c r="AH108">
        <v>2029.92</v>
      </c>
      <c r="AI108">
        <v>2087.1</v>
      </c>
      <c r="AJ108">
        <v>2160.75</v>
      </c>
      <c r="AK108">
        <v>2248.61</v>
      </c>
      <c r="AL108">
        <v>2342.3000000000002</v>
      </c>
      <c r="AM108">
        <v>2909.38</v>
      </c>
      <c r="AN108">
        <v>10013.620000000001</v>
      </c>
      <c r="AO108">
        <v>7855.15</v>
      </c>
      <c r="AP108">
        <v>8421.7800000000007</v>
      </c>
      <c r="AQ108">
        <v>10260.85</v>
      </c>
      <c r="AR108">
        <v>9311.19</v>
      </c>
      <c r="AS108">
        <v>8577.1299999999992</v>
      </c>
      <c r="AT108">
        <v>8938.85</v>
      </c>
      <c r="AU108">
        <v>9704.74</v>
      </c>
      <c r="AV108">
        <v>9159.32</v>
      </c>
      <c r="AW108">
        <v>9141</v>
      </c>
      <c r="AX108">
        <v>9698.9599999999991</v>
      </c>
      <c r="AY108">
        <v>10389.94</v>
      </c>
      <c r="AZ108">
        <v>9090.43</v>
      </c>
      <c r="BA108">
        <v>8770.43</v>
      </c>
      <c r="BB108">
        <v>9386.6299999999992</v>
      </c>
      <c r="BC108">
        <v>10461.24</v>
      </c>
      <c r="BD108">
        <v>11865.21</v>
      </c>
      <c r="BE108">
        <v>13389.41</v>
      </c>
      <c r="BF108">
        <v>13308.33</v>
      </c>
      <c r="BG108">
        <v>13380.83</v>
      </c>
      <c r="BH108">
        <v>14236.94</v>
      </c>
      <c r="BI108">
        <v>14147.67</v>
      </c>
      <c r="BJ108">
        <v>14582.2</v>
      </c>
      <c r="BK108">
        <v>14308.14</v>
      </c>
      <c r="BL108">
        <v>14849.85</v>
      </c>
    </row>
    <row r="109" spans="1:64">
      <c r="A109" s="1" t="s">
        <v>1223</v>
      </c>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64">
      <c r="A110" s="1" t="s">
        <v>1224</v>
      </c>
      <c r="B110" s="1">
        <v>0.36</v>
      </c>
      <c r="C110" s="1">
        <v>0.36</v>
      </c>
      <c r="D110" s="1">
        <v>0.36</v>
      </c>
      <c r="E110" s="1">
        <v>0.36</v>
      </c>
      <c r="F110" s="1">
        <v>0.36</v>
      </c>
      <c r="G110" s="1">
        <v>0.36</v>
      </c>
      <c r="H110" s="1">
        <v>0.36</v>
      </c>
      <c r="I110" s="1">
        <v>0.36</v>
      </c>
      <c r="J110" s="1">
        <v>0.42</v>
      </c>
      <c r="K110" s="1">
        <v>0.42</v>
      </c>
      <c r="L110" s="1">
        <v>0.42</v>
      </c>
      <c r="M110" s="1">
        <v>0.41</v>
      </c>
      <c r="N110" s="1">
        <v>0.4</v>
      </c>
      <c r="O110" s="1">
        <v>0.41</v>
      </c>
      <c r="P110" s="1">
        <v>0.43</v>
      </c>
      <c r="Q110" s="1">
        <v>0.45</v>
      </c>
      <c r="R110" s="1">
        <v>0.56000000000000005</v>
      </c>
      <c r="S110" s="1">
        <v>0.56999999999999995</v>
      </c>
      <c r="T110" s="1">
        <v>0.52</v>
      </c>
      <c r="U110" s="1">
        <v>0.47</v>
      </c>
      <c r="V110" s="1">
        <v>0.43</v>
      </c>
      <c r="W110" s="1">
        <v>0.5</v>
      </c>
      <c r="X110" s="1">
        <v>0.56999999999999995</v>
      </c>
      <c r="Y110" s="1">
        <v>0.66</v>
      </c>
      <c r="Z110" s="1">
        <v>0.75</v>
      </c>
      <c r="AA110">
        <v>0.78</v>
      </c>
      <c r="AB110">
        <v>0.68</v>
      </c>
      <c r="AC110">
        <v>0.61</v>
      </c>
      <c r="AD110">
        <v>0.56000000000000005</v>
      </c>
      <c r="AE110">
        <v>0.61</v>
      </c>
      <c r="AF110">
        <v>0.56000000000000005</v>
      </c>
      <c r="AG110">
        <v>0.56999999999999995</v>
      </c>
      <c r="AH110">
        <v>0.56999999999999995</v>
      </c>
      <c r="AI110">
        <v>0.67</v>
      </c>
      <c r="AJ110">
        <v>0.65</v>
      </c>
      <c r="AK110">
        <v>0.63</v>
      </c>
      <c r="AL110">
        <v>0.64</v>
      </c>
      <c r="AM110">
        <v>0.61</v>
      </c>
      <c r="AN110">
        <v>0.6</v>
      </c>
      <c r="AO110">
        <v>0.62</v>
      </c>
      <c r="AP110">
        <v>0.66</v>
      </c>
      <c r="AQ110">
        <v>0.69</v>
      </c>
      <c r="AR110">
        <v>0.67</v>
      </c>
      <c r="AS110">
        <v>0.61</v>
      </c>
      <c r="AT110">
        <v>0.55000000000000004</v>
      </c>
      <c r="AU110">
        <v>0.55000000000000004</v>
      </c>
      <c r="AV110">
        <v>0.54</v>
      </c>
      <c r="AW110">
        <v>0.5</v>
      </c>
      <c r="AX110">
        <v>0.54</v>
      </c>
      <c r="AY110">
        <v>0.64</v>
      </c>
      <c r="AZ110">
        <v>0.65</v>
      </c>
      <c r="BA110">
        <v>0.62</v>
      </c>
      <c r="BB110">
        <v>0.63</v>
      </c>
      <c r="BC110">
        <v>0.64</v>
      </c>
      <c r="BD110">
        <v>0.61</v>
      </c>
      <c r="BE110">
        <v>0.65</v>
      </c>
      <c r="BF110">
        <v>0.74</v>
      </c>
      <c r="BG110">
        <v>0.78</v>
      </c>
      <c r="BH110">
        <v>0.75</v>
      </c>
      <c r="BI110">
        <v>0.78</v>
      </c>
      <c r="BJ110">
        <v>0.78</v>
      </c>
      <c r="BK110">
        <v>0.73</v>
      </c>
      <c r="BL110">
        <v>0.81</v>
      </c>
    </row>
    <row r="111" spans="1:64">
      <c r="A111" s="1" t="s">
        <v>189</v>
      </c>
      <c r="B111" s="1">
        <v>4.76</v>
      </c>
      <c r="C111" s="1">
        <v>4.76</v>
      </c>
      <c r="D111" s="1">
        <v>4.76</v>
      </c>
      <c r="E111" s="1">
        <v>4.76</v>
      </c>
      <c r="F111" s="1">
        <v>4.76</v>
      </c>
      <c r="G111" s="1">
        <v>4.76</v>
      </c>
      <c r="H111" s="1">
        <v>6.36</v>
      </c>
      <c r="I111" s="1">
        <v>7.5</v>
      </c>
      <c r="J111" s="1">
        <v>7.5</v>
      </c>
      <c r="K111" s="1">
        <v>7.5</v>
      </c>
      <c r="L111" s="1">
        <v>7.5</v>
      </c>
      <c r="M111" s="1">
        <v>7.49</v>
      </c>
      <c r="N111" s="1">
        <v>7.59</v>
      </c>
      <c r="O111" s="1">
        <v>7.74</v>
      </c>
      <c r="P111" s="1">
        <v>8.1</v>
      </c>
      <c r="Q111" s="1">
        <v>8.3800000000000008</v>
      </c>
      <c r="R111" s="1">
        <v>8.9600000000000009</v>
      </c>
      <c r="S111" s="1">
        <v>8.74</v>
      </c>
      <c r="T111" s="1">
        <v>8.19</v>
      </c>
      <c r="U111" s="1">
        <v>8.1300000000000008</v>
      </c>
      <c r="V111" s="1">
        <v>7.86</v>
      </c>
      <c r="W111" s="1">
        <v>8.66</v>
      </c>
      <c r="X111" s="1">
        <v>9.4600000000000009</v>
      </c>
      <c r="Y111" s="1">
        <v>10.1</v>
      </c>
      <c r="Z111" s="1">
        <v>11.36</v>
      </c>
      <c r="AA111">
        <v>12.37</v>
      </c>
      <c r="AB111">
        <v>12.61</v>
      </c>
      <c r="AC111">
        <v>12.96</v>
      </c>
      <c r="AD111">
        <v>13.92</v>
      </c>
      <c r="AE111">
        <v>16.23</v>
      </c>
      <c r="AF111">
        <v>17.5</v>
      </c>
      <c r="AG111">
        <v>22.74</v>
      </c>
      <c r="AH111">
        <v>25.92</v>
      </c>
      <c r="AI111">
        <v>30.49</v>
      </c>
      <c r="AJ111">
        <v>31.37</v>
      </c>
      <c r="AK111">
        <v>32.43</v>
      </c>
      <c r="AL111">
        <v>35.43</v>
      </c>
      <c r="AM111">
        <v>36.31</v>
      </c>
      <c r="AN111">
        <v>41.26</v>
      </c>
      <c r="AO111">
        <v>43.06</v>
      </c>
      <c r="AP111">
        <v>44.94</v>
      </c>
      <c r="AQ111">
        <v>47.19</v>
      </c>
      <c r="AR111">
        <v>48.61</v>
      </c>
      <c r="AS111">
        <v>46.58</v>
      </c>
      <c r="AT111">
        <v>45.32</v>
      </c>
      <c r="AU111">
        <v>44.1</v>
      </c>
      <c r="AV111">
        <v>45.31</v>
      </c>
      <c r="AW111">
        <v>41.35</v>
      </c>
      <c r="AX111">
        <v>43.51</v>
      </c>
      <c r="AY111">
        <v>48.41</v>
      </c>
      <c r="AZ111">
        <v>45.73</v>
      </c>
      <c r="BA111">
        <v>46.67</v>
      </c>
      <c r="BB111">
        <v>53.44</v>
      </c>
      <c r="BC111">
        <v>58.6</v>
      </c>
      <c r="BD111">
        <v>61.03</v>
      </c>
      <c r="BE111">
        <v>64.150000000000006</v>
      </c>
      <c r="BF111">
        <v>67.2</v>
      </c>
      <c r="BG111">
        <v>65.12</v>
      </c>
      <c r="BH111">
        <v>68.39</v>
      </c>
      <c r="BI111">
        <v>70.42</v>
      </c>
      <c r="BJ111">
        <v>74.099999999999994</v>
      </c>
      <c r="BK111">
        <v>73.92</v>
      </c>
      <c r="BL111">
        <v>78.599999999999994</v>
      </c>
    </row>
    <row r="112" spans="1:64">
      <c r="A112" s="1" t="s">
        <v>1225</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64">
      <c r="A113" s="1" t="s">
        <v>1226</v>
      </c>
      <c r="B113" s="1">
        <v>0.36</v>
      </c>
      <c r="C113" s="1">
        <v>0.36</v>
      </c>
      <c r="D113" s="1">
        <v>0.36</v>
      </c>
      <c r="E113" s="1">
        <v>0.36</v>
      </c>
      <c r="F113" s="1">
        <v>0.36</v>
      </c>
      <c r="G113" s="1">
        <v>0.36</v>
      </c>
      <c r="H113" s="1">
        <v>0.36</v>
      </c>
      <c r="I113" s="1">
        <v>0.36</v>
      </c>
      <c r="J113" s="1">
        <v>0.42</v>
      </c>
      <c r="K113" s="1">
        <v>0.42</v>
      </c>
      <c r="L113" s="1">
        <v>0.42</v>
      </c>
      <c r="M113" s="1">
        <v>0.41</v>
      </c>
      <c r="N113" s="1">
        <v>0.4</v>
      </c>
      <c r="O113" s="1">
        <v>0.41</v>
      </c>
      <c r="P113" s="1">
        <v>0.43</v>
      </c>
      <c r="Q113" s="1">
        <v>0.45</v>
      </c>
      <c r="R113" s="1">
        <v>0.56000000000000005</v>
      </c>
      <c r="S113" s="1">
        <v>0.56999999999999995</v>
      </c>
      <c r="T113" s="1">
        <v>0.52</v>
      </c>
      <c r="U113" s="1">
        <v>0.49</v>
      </c>
      <c r="V113" s="1">
        <v>0.49</v>
      </c>
      <c r="W113" s="1">
        <v>0.62</v>
      </c>
      <c r="X113" s="1">
        <v>0.7</v>
      </c>
      <c r="Y113" s="1">
        <v>0.8</v>
      </c>
      <c r="Z113" s="1">
        <v>0.92</v>
      </c>
      <c r="AA113">
        <v>0.95</v>
      </c>
      <c r="AB113">
        <v>0.74</v>
      </c>
      <c r="AC113">
        <v>0.67</v>
      </c>
      <c r="AD113">
        <v>0.66</v>
      </c>
      <c r="AE113">
        <v>0.71</v>
      </c>
      <c r="AF113">
        <v>0.6</v>
      </c>
      <c r="AG113">
        <v>0.62</v>
      </c>
      <c r="AH113">
        <v>0.59</v>
      </c>
      <c r="AI113">
        <v>0.68</v>
      </c>
      <c r="AJ113">
        <v>0.67</v>
      </c>
      <c r="AK113">
        <v>0.62</v>
      </c>
      <c r="AL113">
        <v>0.63</v>
      </c>
      <c r="AM113">
        <v>0.66</v>
      </c>
      <c r="AN113">
        <v>0.7</v>
      </c>
      <c r="AO113">
        <v>0.94</v>
      </c>
      <c r="AP113">
        <v>1.08</v>
      </c>
      <c r="AQ113">
        <v>1.1200000000000001</v>
      </c>
      <c r="AR113">
        <v>1.06</v>
      </c>
      <c r="AS113">
        <v>0.88</v>
      </c>
      <c r="AT113">
        <v>0.8</v>
      </c>
      <c r="AU113">
        <v>0.8</v>
      </c>
      <c r="AV113">
        <v>0.8</v>
      </c>
      <c r="AW113">
        <v>0.73</v>
      </c>
      <c r="AX113">
        <v>0.68</v>
      </c>
      <c r="AY113">
        <v>0.72</v>
      </c>
      <c r="AZ113">
        <v>0.75</v>
      </c>
      <c r="BA113">
        <v>0.72</v>
      </c>
      <c r="BB113">
        <v>0.78</v>
      </c>
      <c r="BC113">
        <v>0.75</v>
      </c>
      <c r="BD113">
        <v>0.75</v>
      </c>
      <c r="BE113">
        <v>0.9</v>
      </c>
      <c r="BF113">
        <v>0.9</v>
      </c>
      <c r="BG113">
        <v>0.89</v>
      </c>
      <c r="BH113">
        <v>0.85</v>
      </c>
      <c r="BI113">
        <v>0.89</v>
      </c>
      <c r="BJ113">
        <v>0.88</v>
      </c>
      <c r="BK113">
        <v>0.85</v>
      </c>
      <c r="BL113">
        <v>0.95</v>
      </c>
    </row>
    <row r="114" spans="1:64">
      <c r="A114" s="1" t="s">
        <v>252</v>
      </c>
      <c r="B114" s="1">
        <v>75.75</v>
      </c>
      <c r="C114" s="1">
        <v>75.75</v>
      </c>
      <c r="D114" s="1">
        <v>75.75</v>
      </c>
      <c r="E114" s="1">
        <v>75.75</v>
      </c>
      <c r="F114" s="1">
        <v>75.75</v>
      </c>
      <c r="G114" s="1">
        <v>75.75</v>
      </c>
      <c r="H114" s="1">
        <v>75.75</v>
      </c>
      <c r="I114" s="1">
        <v>75.75</v>
      </c>
      <c r="J114" s="1">
        <v>75.75</v>
      </c>
      <c r="K114" s="1">
        <v>75.75</v>
      </c>
      <c r="L114" s="1">
        <v>75.75</v>
      </c>
      <c r="M114" s="1">
        <v>75.75</v>
      </c>
      <c r="N114" s="1">
        <v>75.75</v>
      </c>
      <c r="O114" s="1">
        <v>68.89</v>
      </c>
      <c r="P114" s="1">
        <v>67.64</v>
      </c>
      <c r="Q114" s="1">
        <v>67.650000000000006</v>
      </c>
      <c r="R114" s="1">
        <v>70.239999999999995</v>
      </c>
      <c r="S114" s="1">
        <v>70.63</v>
      </c>
      <c r="T114" s="1">
        <v>70.489999999999995</v>
      </c>
      <c r="U114" s="1">
        <v>70.489999999999995</v>
      </c>
      <c r="V114" s="1">
        <v>70.63</v>
      </c>
      <c r="W114" s="1">
        <v>78.349999999999994</v>
      </c>
      <c r="X114" s="1">
        <v>83.62</v>
      </c>
      <c r="Y114" s="1">
        <v>86.38</v>
      </c>
      <c r="Z114" s="1">
        <v>90.05</v>
      </c>
      <c r="AA114">
        <v>91.07</v>
      </c>
      <c r="AB114">
        <v>78.78</v>
      </c>
      <c r="AC114">
        <v>71.48</v>
      </c>
      <c r="AD114">
        <v>68.7</v>
      </c>
      <c r="AE114">
        <v>72.03</v>
      </c>
      <c r="AF114">
        <v>68.11</v>
      </c>
      <c r="AG114">
        <v>67.52</v>
      </c>
      <c r="AH114">
        <v>65.569999999999993</v>
      </c>
      <c r="AI114">
        <v>1268.08</v>
      </c>
      <c r="AJ114">
        <v>1749.17</v>
      </c>
      <c r="AK114">
        <v>1748.35</v>
      </c>
      <c r="AL114">
        <v>1751.19</v>
      </c>
      <c r="AM114">
        <v>1753.35</v>
      </c>
      <c r="AN114">
        <v>1752.29</v>
      </c>
      <c r="AO114">
        <v>1753.35</v>
      </c>
      <c r="AP114">
        <v>1764.86</v>
      </c>
      <c r="AQ114">
        <v>1753.99</v>
      </c>
      <c r="AR114">
        <v>6907.03</v>
      </c>
      <c r="AS114">
        <v>8193.89</v>
      </c>
      <c r="AT114">
        <v>8613.99</v>
      </c>
      <c r="AU114">
        <v>8963.9599999999991</v>
      </c>
      <c r="AV114">
        <v>9170.94</v>
      </c>
      <c r="AW114">
        <v>9281.15</v>
      </c>
      <c r="AX114">
        <v>9428.5300000000007</v>
      </c>
      <c r="AY114">
        <v>9864.2999999999993</v>
      </c>
      <c r="AZ114">
        <v>10254.18</v>
      </c>
      <c r="BA114">
        <v>10616.31</v>
      </c>
      <c r="BB114">
        <v>12175.55</v>
      </c>
      <c r="BC114">
        <v>18414.45</v>
      </c>
      <c r="BD114">
        <v>25941.66</v>
      </c>
      <c r="BE114">
        <v>29011.49</v>
      </c>
      <c r="BF114">
        <v>30914.85</v>
      </c>
      <c r="BG114">
        <v>33226.300000000003</v>
      </c>
      <c r="BH114">
        <v>40864.33</v>
      </c>
      <c r="BI114">
        <v>42000</v>
      </c>
      <c r="BJ114">
        <v>42000</v>
      </c>
      <c r="BK114">
        <v>42000</v>
      </c>
    </row>
    <row r="115" spans="1:64">
      <c r="A115" s="1" t="s">
        <v>1227</v>
      </c>
      <c r="B115" s="1">
        <v>0.36</v>
      </c>
      <c r="C115" s="1">
        <v>0.36</v>
      </c>
      <c r="D115" s="1">
        <v>0.36</v>
      </c>
      <c r="E115" s="1">
        <v>0.36</v>
      </c>
      <c r="F115" s="1">
        <v>0.36</v>
      </c>
      <c r="G115" s="1">
        <v>0.36</v>
      </c>
      <c r="H115" s="1">
        <v>0.36</v>
      </c>
      <c r="I115" s="1">
        <v>0.36</v>
      </c>
      <c r="J115" s="1">
        <v>0.36</v>
      </c>
      <c r="K115" s="1">
        <v>0.36</v>
      </c>
      <c r="L115" s="1">
        <v>0.36</v>
      </c>
      <c r="M115" s="1">
        <v>935.62</v>
      </c>
      <c r="N115" s="1">
        <v>2144.5700000000002</v>
      </c>
      <c r="O115" s="1">
        <v>1950.84</v>
      </c>
      <c r="P115" s="1">
        <v>1902.27</v>
      </c>
      <c r="Q115" s="1">
        <v>1902.27</v>
      </c>
      <c r="R115" s="1">
        <v>1902.27</v>
      </c>
      <c r="S115" s="1">
        <v>1902.27</v>
      </c>
      <c r="T115" s="1">
        <v>1902.27</v>
      </c>
      <c r="U115" s="1">
        <v>1902.27</v>
      </c>
      <c r="V115" s="1">
        <v>1902.27</v>
      </c>
      <c r="W115" s="1">
        <v>1902.27</v>
      </c>
      <c r="X115" s="1">
        <v>1922.93</v>
      </c>
      <c r="Y115" s="1">
        <v>2002.39</v>
      </c>
      <c r="Z115" s="1">
        <v>2002.39</v>
      </c>
      <c r="AA115">
        <v>2002.39</v>
      </c>
      <c r="AB115">
        <v>2002.39</v>
      </c>
      <c r="AC115">
        <v>2002.39</v>
      </c>
      <c r="AD115">
        <v>2002.39</v>
      </c>
      <c r="AE115">
        <v>2002.39</v>
      </c>
      <c r="AF115">
        <v>2002.39</v>
      </c>
      <c r="AG115">
        <v>2002.39</v>
      </c>
      <c r="AH115">
        <v>2002.39</v>
      </c>
      <c r="AI115">
        <v>2002.39</v>
      </c>
      <c r="AJ115">
        <v>2002.39</v>
      </c>
      <c r="AK115">
        <v>2002.39</v>
      </c>
      <c r="AL115">
        <v>2002.39</v>
      </c>
      <c r="AM115">
        <v>2002.39</v>
      </c>
      <c r="AN115">
        <v>2002.39</v>
      </c>
      <c r="AO115">
        <v>2002.39</v>
      </c>
      <c r="AP115">
        <v>2002.4</v>
      </c>
      <c r="AQ115">
        <v>2002.4</v>
      </c>
      <c r="AR115">
        <v>2002.37</v>
      </c>
      <c r="AT115">
        <v>1453.42</v>
      </c>
      <c r="AU115">
        <v>1472</v>
      </c>
      <c r="AV115">
        <v>1467.42</v>
      </c>
      <c r="AW115">
        <v>1254.57</v>
      </c>
      <c r="AX115">
        <v>1193.08</v>
      </c>
      <c r="AY115">
        <v>1170</v>
      </c>
      <c r="AZ115">
        <v>1170</v>
      </c>
      <c r="BA115">
        <v>1170</v>
      </c>
      <c r="BB115">
        <v>1166.17</v>
      </c>
      <c r="BC115">
        <v>1166</v>
      </c>
      <c r="BD115">
        <v>1166</v>
      </c>
      <c r="BE115">
        <v>1167.33</v>
      </c>
      <c r="BF115">
        <v>1182</v>
      </c>
      <c r="BG115">
        <v>1184</v>
      </c>
      <c r="BH115">
        <v>1182.75</v>
      </c>
      <c r="BI115">
        <v>1182</v>
      </c>
      <c r="BJ115">
        <v>1192</v>
      </c>
      <c r="BK115">
        <v>1450</v>
      </c>
    </row>
    <row r="116" spans="1:64">
      <c r="A116" s="1" t="s">
        <v>1228</v>
      </c>
      <c r="B116" s="1">
        <v>0.36</v>
      </c>
      <c r="C116" s="1">
        <v>0.4</v>
      </c>
      <c r="D116" s="1">
        <v>0.43</v>
      </c>
      <c r="E116" s="1">
        <v>0.43</v>
      </c>
      <c r="F116" s="1">
        <v>0.43</v>
      </c>
      <c r="G116" s="1">
        <v>0.43</v>
      </c>
      <c r="H116" s="1">
        <v>0.43</v>
      </c>
      <c r="I116" s="1">
        <v>0.44</v>
      </c>
      <c r="J116" s="1">
        <v>0.62</v>
      </c>
      <c r="K116" s="1">
        <v>0.88</v>
      </c>
      <c r="L116" s="1">
        <v>0.88</v>
      </c>
      <c r="M116" s="1">
        <v>0.88</v>
      </c>
      <c r="N116" s="1">
        <v>0.88</v>
      </c>
      <c r="O116" s="1">
        <v>0.9</v>
      </c>
      <c r="P116" s="1">
        <v>1</v>
      </c>
      <c r="Q116" s="1">
        <v>1.54</v>
      </c>
      <c r="R116" s="1">
        <v>1.82</v>
      </c>
      <c r="S116" s="1">
        <v>1.99</v>
      </c>
      <c r="T116" s="1">
        <v>2.71</v>
      </c>
      <c r="U116" s="1">
        <v>3.53</v>
      </c>
      <c r="V116" s="1">
        <v>4.8</v>
      </c>
      <c r="W116" s="1">
        <v>7.22</v>
      </c>
      <c r="X116" s="1">
        <v>12.35</v>
      </c>
      <c r="Y116" s="1">
        <v>24.84</v>
      </c>
      <c r="Z116" s="1">
        <v>31.69</v>
      </c>
      <c r="AA116">
        <v>41.51</v>
      </c>
      <c r="AB116">
        <v>41.1</v>
      </c>
      <c r="AC116">
        <v>38.68</v>
      </c>
      <c r="AD116">
        <v>43.01</v>
      </c>
      <c r="AE116">
        <v>57.04</v>
      </c>
      <c r="AF116">
        <v>58.28</v>
      </c>
      <c r="AG116">
        <v>59</v>
      </c>
      <c r="AH116">
        <v>57.55</v>
      </c>
      <c r="AI116">
        <v>67.599999999999994</v>
      </c>
      <c r="AJ116">
        <v>69.94</v>
      </c>
      <c r="AK116">
        <v>64.69</v>
      </c>
      <c r="AL116">
        <v>66.5</v>
      </c>
      <c r="AM116">
        <v>70.900000000000006</v>
      </c>
      <c r="AN116">
        <v>70.959999999999994</v>
      </c>
      <c r="AO116">
        <v>72.34</v>
      </c>
      <c r="AP116">
        <v>78.62</v>
      </c>
      <c r="AQ116">
        <v>97.42</v>
      </c>
      <c r="AR116">
        <v>91.66</v>
      </c>
      <c r="AS116">
        <v>76.709999999999994</v>
      </c>
      <c r="AT116">
        <v>70.19</v>
      </c>
      <c r="AU116">
        <v>62.98</v>
      </c>
      <c r="AV116">
        <v>70.180000000000007</v>
      </c>
      <c r="AW116">
        <v>64.06</v>
      </c>
      <c r="AX116">
        <v>87.95</v>
      </c>
      <c r="AY116">
        <v>123.64</v>
      </c>
      <c r="AZ116">
        <v>122.24</v>
      </c>
      <c r="BA116">
        <v>115.95</v>
      </c>
      <c r="BB116">
        <v>125.08</v>
      </c>
      <c r="BC116">
        <v>122.18</v>
      </c>
      <c r="BD116">
        <v>116.77</v>
      </c>
      <c r="BE116">
        <v>131.91999999999999</v>
      </c>
      <c r="BF116">
        <v>120.81</v>
      </c>
      <c r="BG116">
        <v>106.84</v>
      </c>
      <c r="BH116">
        <v>108.3</v>
      </c>
      <c r="BI116">
        <v>122.61</v>
      </c>
      <c r="BJ116">
        <v>135.41999999999999</v>
      </c>
      <c r="BK116">
        <v>126.99</v>
      </c>
      <c r="BL116">
        <v>135.28</v>
      </c>
    </row>
    <row r="117" spans="1:64">
      <c r="A117" s="1" t="s">
        <v>1229</v>
      </c>
      <c r="B117" s="1">
        <v>0</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0.01</v>
      </c>
      <c r="W117" s="1">
        <v>0.01</v>
      </c>
      <c r="X117" s="1">
        <v>0.02</v>
      </c>
      <c r="Y117" s="1">
        <v>0.06</v>
      </c>
      <c r="Z117" s="1">
        <v>0.28999999999999998</v>
      </c>
      <c r="AA117">
        <v>1.18</v>
      </c>
      <c r="AB117">
        <v>1.49</v>
      </c>
      <c r="AC117">
        <v>1.59</v>
      </c>
      <c r="AD117">
        <v>1.6</v>
      </c>
      <c r="AE117">
        <v>1.92</v>
      </c>
      <c r="AF117">
        <v>2.02</v>
      </c>
      <c r="AG117">
        <v>2.2799999999999998</v>
      </c>
      <c r="AH117">
        <v>2.46</v>
      </c>
      <c r="AI117">
        <v>2.83</v>
      </c>
      <c r="AJ117">
        <v>3.01</v>
      </c>
      <c r="AK117">
        <v>3.01</v>
      </c>
      <c r="AL117">
        <v>3.19</v>
      </c>
      <c r="AM117">
        <v>3.45</v>
      </c>
      <c r="AN117">
        <v>3.8</v>
      </c>
      <c r="AO117">
        <v>4.1399999999999997</v>
      </c>
      <c r="AP117">
        <v>4.08</v>
      </c>
      <c r="AQ117">
        <v>4.21</v>
      </c>
      <c r="AR117">
        <v>4.74</v>
      </c>
      <c r="AS117">
        <v>4.55</v>
      </c>
      <c r="AT117">
        <v>4.4800000000000004</v>
      </c>
      <c r="AU117">
        <v>4.49</v>
      </c>
      <c r="AV117">
        <v>4.46</v>
      </c>
      <c r="AW117">
        <v>4.1100000000000003</v>
      </c>
      <c r="AX117">
        <v>3.59</v>
      </c>
      <c r="AY117">
        <v>3.93</v>
      </c>
      <c r="AZ117">
        <v>3.74</v>
      </c>
      <c r="BA117">
        <v>3.58</v>
      </c>
      <c r="BB117">
        <v>3.86</v>
      </c>
      <c r="BC117">
        <v>3.61</v>
      </c>
      <c r="BD117">
        <v>3.58</v>
      </c>
      <c r="BE117">
        <v>3.89</v>
      </c>
      <c r="BF117">
        <v>3.84</v>
      </c>
      <c r="BG117">
        <v>3.6</v>
      </c>
      <c r="BH117">
        <v>3.59</v>
      </c>
      <c r="BI117">
        <v>3.56</v>
      </c>
      <c r="BJ117">
        <v>3.44</v>
      </c>
      <c r="BK117">
        <v>3.23</v>
      </c>
      <c r="BL117">
        <v>3.36</v>
      </c>
    </row>
    <row r="118" spans="1:64">
      <c r="A118" s="1" t="s">
        <v>1230</v>
      </c>
      <c r="B118" s="1">
        <v>623.99</v>
      </c>
      <c r="C118" s="1">
        <v>625</v>
      </c>
      <c r="D118" s="1">
        <v>625</v>
      </c>
      <c r="E118" s="1">
        <v>625</v>
      </c>
      <c r="F118" s="1">
        <v>625</v>
      </c>
      <c r="G118" s="1">
        <v>625</v>
      </c>
      <c r="H118" s="1">
        <v>625</v>
      </c>
      <c r="I118" s="1">
        <v>625</v>
      </c>
      <c r="J118" s="1">
        <v>625</v>
      </c>
      <c r="K118" s="1">
        <v>625</v>
      </c>
      <c r="L118" s="1">
        <v>625</v>
      </c>
      <c r="M118" s="1">
        <v>620.36</v>
      </c>
      <c r="N118" s="1">
        <v>583.22</v>
      </c>
      <c r="O118" s="1">
        <v>583</v>
      </c>
      <c r="P118" s="1">
        <v>650.34</v>
      </c>
      <c r="Q118" s="1">
        <v>652.85</v>
      </c>
      <c r="R118" s="1">
        <v>832.33</v>
      </c>
      <c r="S118" s="1">
        <v>882.39</v>
      </c>
      <c r="T118" s="1">
        <v>848.66</v>
      </c>
      <c r="U118" s="1">
        <v>830.86</v>
      </c>
      <c r="V118" s="1">
        <v>856.45</v>
      </c>
      <c r="W118" s="1">
        <v>1136.76</v>
      </c>
      <c r="X118" s="1">
        <v>1352.51</v>
      </c>
      <c r="Y118" s="1">
        <v>1518.85</v>
      </c>
      <c r="Z118" s="1">
        <v>1756.96</v>
      </c>
      <c r="AA118">
        <v>1909.44</v>
      </c>
      <c r="AB118">
        <v>1490.81</v>
      </c>
      <c r="AC118">
        <v>1296.07</v>
      </c>
      <c r="AD118">
        <v>1301.6300000000001</v>
      </c>
      <c r="AE118">
        <v>1372.09</v>
      </c>
      <c r="AF118">
        <v>1198.0999999999999</v>
      </c>
      <c r="AG118">
        <v>1240.6099999999999</v>
      </c>
      <c r="AH118">
        <v>1232.4100000000001</v>
      </c>
      <c r="AI118">
        <v>1573.67</v>
      </c>
      <c r="AJ118">
        <v>1612.44</v>
      </c>
      <c r="AK118">
        <v>1628.93</v>
      </c>
      <c r="AL118">
        <v>1542.95</v>
      </c>
      <c r="AM118">
        <v>1703.1</v>
      </c>
      <c r="AN118">
        <v>1736.21</v>
      </c>
      <c r="AO118">
        <v>0.94</v>
      </c>
      <c r="AP118">
        <v>1.08</v>
      </c>
      <c r="AQ118">
        <v>1.1200000000000001</v>
      </c>
      <c r="AR118">
        <v>1.06</v>
      </c>
      <c r="AS118">
        <v>0.88</v>
      </c>
      <c r="AT118">
        <v>0.8</v>
      </c>
      <c r="AU118">
        <v>0.8</v>
      </c>
      <c r="AV118">
        <v>0.8</v>
      </c>
      <c r="AW118">
        <v>0.73</v>
      </c>
      <c r="AX118">
        <v>0.68</v>
      </c>
      <c r="AY118">
        <v>0.72</v>
      </c>
      <c r="AZ118">
        <v>0.75</v>
      </c>
      <c r="BA118">
        <v>0.72</v>
      </c>
      <c r="BB118">
        <v>0.78</v>
      </c>
      <c r="BC118">
        <v>0.75</v>
      </c>
      <c r="BD118">
        <v>0.75</v>
      </c>
      <c r="BE118">
        <v>0.9</v>
      </c>
      <c r="BF118">
        <v>0.9</v>
      </c>
      <c r="BG118">
        <v>0.89</v>
      </c>
      <c r="BH118">
        <v>0.85</v>
      </c>
      <c r="BI118">
        <v>0.89</v>
      </c>
      <c r="BJ118">
        <v>0.88</v>
      </c>
      <c r="BK118">
        <v>0.85</v>
      </c>
      <c r="BL118">
        <v>0.95</v>
      </c>
    </row>
    <row r="119" spans="1:64">
      <c r="A119" s="1" t="s">
        <v>1231</v>
      </c>
      <c r="B119" s="1">
        <v>0.71</v>
      </c>
      <c r="C119" s="1">
        <v>0.71</v>
      </c>
      <c r="D119" s="1">
        <v>0.71</v>
      </c>
      <c r="E119" s="1">
        <v>0.71</v>
      </c>
      <c r="F119" s="1">
        <v>0.71</v>
      </c>
      <c r="G119" s="1">
        <v>0.71</v>
      </c>
      <c r="H119" s="1">
        <v>0.71</v>
      </c>
      <c r="I119" s="1">
        <v>0.72</v>
      </c>
      <c r="J119" s="1">
        <v>0.83</v>
      </c>
      <c r="K119" s="1">
        <v>0.83</v>
      </c>
      <c r="L119" s="1">
        <v>0.83</v>
      </c>
      <c r="M119" s="1">
        <v>0.83</v>
      </c>
      <c r="N119" s="1">
        <v>0.77</v>
      </c>
      <c r="O119" s="1">
        <v>0.91</v>
      </c>
      <c r="P119" s="1">
        <v>0.91</v>
      </c>
      <c r="Q119" s="1">
        <v>0.91</v>
      </c>
      <c r="R119" s="1">
        <v>0.91</v>
      </c>
      <c r="S119" s="1">
        <v>0.91</v>
      </c>
      <c r="T119" s="1">
        <v>1.41</v>
      </c>
      <c r="U119" s="1">
        <v>1.76</v>
      </c>
      <c r="V119" s="1">
        <v>1.78</v>
      </c>
      <c r="W119" s="1">
        <v>1.78</v>
      </c>
      <c r="X119" s="1">
        <v>1.78</v>
      </c>
      <c r="Y119" s="1">
        <v>1.93</v>
      </c>
      <c r="Z119" s="1">
        <v>3.94</v>
      </c>
      <c r="AA119">
        <v>5.56</v>
      </c>
      <c r="AB119">
        <v>5.48</v>
      </c>
      <c r="AC119">
        <v>5.49</v>
      </c>
      <c r="AD119">
        <v>5.49</v>
      </c>
      <c r="AE119">
        <v>5.74</v>
      </c>
      <c r="AF119">
        <v>7.18</v>
      </c>
      <c r="AG119">
        <v>12.12</v>
      </c>
      <c r="AH119">
        <v>22.96</v>
      </c>
      <c r="AI119">
        <v>24.95</v>
      </c>
      <c r="AJ119">
        <v>33.090000000000003</v>
      </c>
      <c r="AK119">
        <v>35.14</v>
      </c>
      <c r="AL119">
        <v>37.119999999999997</v>
      </c>
      <c r="AM119">
        <v>35.4</v>
      </c>
      <c r="AN119">
        <v>36.549999999999997</v>
      </c>
      <c r="AO119">
        <v>39.04</v>
      </c>
      <c r="AP119">
        <v>42.99</v>
      </c>
      <c r="AQ119">
        <v>46</v>
      </c>
      <c r="AR119">
        <v>48.42</v>
      </c>
      <c r="AS119">
        <v>57.74</v>
      </c>
      <c r="AT119">
        <v>61.2</v>
      </c>
      <c r="AU119">
        <v>62.28</v>
      </c>
      <c r="AV119">
        <v>65.739999999999995</v>
      </c>
      <c r="AW119">
        <v>69.19</v>
      </c>
      <c r="AX119">
        <v>72.760000000000005</v>
      </c>
      <c r="AY119">
        <v>87.89</v>
      </c>
      <c r="AZ119">
        <v>87.2</v>
      </c>
      <c r="BA119">
        <v>85.89</v>
      </c>
      <c r="BB119">
        <v>88.75</v>
      </c>
      <c r="BC119">
        <v>100.4</v>
      </c>
      <c r="BD119">
        <v>110.93</v>
      </c>
      <c r="BE119">
        <v>116.97</v>
      </c>
      <c r="BF119">
        <v>125.1</v>
      </c>
      <c r="BG119">
        <v>127.96</v>
      </c>
      <c r="BH119">
        <v>128.87</v>
      </c>
      <c r="BI119">
        <v>133.31</v>
      </c>
      <c r="BJ119">
        <v>142.4</v>
      </c>
      <c r="BK119">
        <v>150.79</v>
      </c>
      <c r="BL119">
        <v>153.43</v>
      </c>
    </row>
    <row r="120" spans="1:64">
      <c r="A120" s="1" t="s">
        <v>1232</v>
      </c>
      <c r="B120" s="1">
        <v>0.36</v>
      </c>
      <c r="C120" s="1">
        <v>0.36</v>
      </c>
      <c r="D120" s="1">
        <v>0.36</v>
      </c>
      <c r="E120" s="1">
        <v>0.36</v>
      </c>
      <c r="F120" s="1">
        <v>0.36</v>
      </c>
      <c r="G120" s="1">
        <v>0.36</v>
      </c>
      <c r="H120" s="1">
        <v>0.36</v>
      </c>
      <c r="I120" s="1">
        <v>0.36</v>
      </c>
      <c r="J120" s="1">
        <v>0.36</v>
      </c>
      <c r="K120" s="1">
        <v>0.36</v>
      </c>
      <c r="L120" s="1">
        <v>0.36</v>
      </c>
      <c r="M120" s="1">
        <v>0.36</v>
      </c>
      <c r="N120" s="1">
        <v>0.36</v>
      </c>
      <c r="O120" s="1">
        <v>0.33</v>
      </c>
      <c r="P120" s="1">
        <v>0.32</v>
      </c>
      <c r="Q120" s="1">
        <v>0.32</v>
      </c>
      <c r="R120" s="1">
        <v>0.33</v>
      </c>
      <c r="S120" s="1">
        <v>0.33</v>
      </c>
      <c r="T120" s="1">
        <v>0.31</v>
      </c>
      <c r="U120" s="1">
        <v>0.3</v>
      </c>
      <c r="V120" s="1">
        <v>0.3</v>
      </c>
      <c r="W120" s="1">
        <v>0.33</v>
      </c>
      <c r="X120" s="1">
        <v>0.35</v>
      </c>
      <c r="Y120" s="1">
        <v>0.36</v>
      </c>
      <c r="Z120" s="1">
        <v>0.38</v>
      </c>
      <c r="AA120">
        <v>0.39</v>
      </c>
      <c r="AB120">
        <v>0.35</v>
      </c>
      <c r="AC120">
        <v>0.34</v>
      </c>
      <c r="AD120">
        <v>0.37</v>
      </c>
      <c r="AE120">
        <v>0.56999999999999995</v>
      </c>
      <c r="AF120">
        <v>0.66</v>
      </c>
      <c r="AG120">
        <v>0.68</v>
      </c>
      <c r="AH120">
        <v>0.68</v>
      </c>
      <c r="AI120">
        <v>0.69</v>
      </c>
      <c r="AJ120">
        <v>0.7</v>
      </c>
      <c r="AK120">
        <v>0.7</v>
      </c>
      <c r="AL120">
        <v>0.71</v>
      </c>
      <c r="AM120">
        <v>0.71</v>
      </c>
      <c r="AN120">
        <v>0.71</v>
      </c>
      <c r="AO120">
        <v>0.71</v>
      </c>
      <c r="AP120">
        <v>0.71</v>
      </c>
      <c r="AQ120">
        <v>0.71</v>
      </c>
      <c r="AR120">
        <v>0.71</v>
      </c>
      <c r="AS120">
        <v>0.71</v>
      </c>
      <c r="AT120">
        <v>0.71</v>
      </c>
      <c r="AU120">
        <v>0.71</v>
      </c>
      <c r="AV120">
        <v>0.71</v>
      </c>
      <c r="AW120">
        <v>0.71</v>
      </c>
      <c r="AX120">
        <v>0.71</v>
      </c>
      <c r="AY120">
        <v>0.71</v>
      </c>
      <c r="AZ120">
        <v>0.71</v>
      </c>
      <c r="BA120">
        <v>0.71</v>
      </c>
      <c r="BB120">
        <v>0.71</v>
      </c>
      <c r="BC120">
        <v>0.71</v>
      </c>
      <c r="BD120">
        <v>0.71</v>
      </c>
      <c r="BE120">
        <v>0.71</v>
      </c>
      <c r="BF120">
        <v>0.71</v>
      </c>
      <c r="BG120">
        <v>0.71</v>
      </c>
      <c r="BH120">
        <v>0.71</v>
      </c>
      <c r="BI120">
        <v>0.71</v>
      </c>
      <c r="BJ120">
        <v>0.71</v>
      </c>
      <c r="BK120">
        <v>0.71</v>
      </c>
      <c r="BL120">
        <v>0.71</v>
      </c>
    </row>
    <row r="121" spans="1:64">
      <c r="A121" s="1" t="s">
        <v>1233</v>
      </c>
      <c r="B121" s="1">
        <v>360</v>
      </c>
      <c r="C121" s="1">
        <v>360</v>
      </c>
      <c r="D121" s="1">
        <v>360</v>
      </c>
      <c r="E121" s="1">
        <v>360</v>
      </c>
      <c r="F121" s="1">
        <v>360</v>
      </c>
      <c r="G121" s="1">
        <v>360</v>
      </c>
      <c r="H121" s="1">
        <v>360</v>
      </c>
      <c r="I121" s="1">
        <v>360</v>
      </c>
      <c r="J121" s="1">
        <v>360</v>
      </c>
      <c r="K121" s="1">
        <v>360</v>
      </c>
      <c r="L121" s="1">
        <v>360</v>
      </c>
      <c r="M121" s="1">
        <v>350.68</v>
      </c>
      <c r="N121" s="1">
        <v>303.17</v>
      </c>
      <c r="O121" s="1">
        <v>271.7</v>
      </c>
      <c r="P121" s="1">
        <v>292.08</v>
      </c>
      <c r="Q121" s="1">
        <v>296.79000000000002</v>
      </c>
      <c r="R121" s="1">
        <v>296.55</v>
      </c>
      <c r="S121" s="1">
        <v>268.51</v>
      </c>
      <c r="T121" s="1">
        <v>210.44</v>
      </c>
      <c r="U121" s="1">
        <v>219.14</v>
      </c>
      <c r="V121" s="1">
        <v>226.74</v>
      </c>
      <c r="W121" s="1">
        <v>220.54</v>
      </c>
      <c r="X121" s="1">
        <v>249.08</v>
      </c>
      <c r="Y121" s="1">
        <v>237.51</v>
      </c>
      <c r="Z121" s="1">
        <v>237.52</v>
      </c>
      <c r="AA121">
        <v>238.54</v>
      </c>
      <c r="AB121">
        <v>168.52</v>
      </c>
      <c r="AC121">
        <v>144.63999999999999</v>
      </c>
      <c r="AD121">
        <v>128.15</v>
      </c>
      <c r="AE121">
        <v>137.96</v>
      </c>
      <c r="AF121">
        <v>144.79</v>
      </c>
      <c r="AG121">
        <v>134.71</v>
      </c>
      <c r="AH121">
        <v>126.65</v>
      </c>
      <c r="AI121">
        <v>111.2</v>
      </c>
      <c r="AJ121">
        <v>102.21</v>
      </c>
      <c r="AK121">
        <v>94.06</v>
      </c>
      <c r="AL121">
        <v>108.78</v>
      </c>
      <c r="AM121">
        <v>120.99</v>
      </c>
      <c r="AN121">
        <v>130.91</v>
      </c>
      <c r="AO121">
        <v>113.91</v>
      </c>
      <c r="AP121">
        <v>107.77</v>
      </c>
      <c r="AQ121">
        <v>121.53</v>
      </c>
      <c r="AR121">
        <v>125.39</v>
      </c>
      <c r="AS121">
        <v>115.93</v>
      </c>
      <c r="AT121">
        <v>108.19</v>
      </c>
      <c r="AU121">
        <v>110.22</v>
      </c>
      <c r="AV121">
        <v>116.3</v>
      </c>
      <c r="AW121">
        <v>117.75</v>
      </c>
      <c r="AX121">
        <v>103.36</v>
      </c>
      <c r="AY121">
        <v>93.57</v>
      </c>
      <c r="AZ121">
        <v>87.78</v>
      </c>
      <c r="BA121">
        <v>79.81</v>
      </c>
      <c r="BB121">
        <v>79.790000000000006</v>
      </c>
      <c r="BC121">
        <v>97.6</v>
      </c>
      <c r="BD121">
        <v>105.94</v>
      </c>
      <c r="BE121">
        <v>121.04</v>
      </c>
      <c r="BF121">
        <v>108.79</v>
      </c>
      <c r="BG121">
        <v>112.17</v>
      </c>
      <c r="BH121">
        <v>110.42</v>
      </c>
      <c r="BI121">
        <v>109.01</v>
      </c>
      <c r="BJ121">
        <v>106.77</v>
      </c>
      <c r="BK121">
        <v>109.75</v>
      </c>
      <c r="BL121">
        <v>131.5</v>
      </c>
    </row>
    <row r="122" spans="1:64">
      <c r="A122" s="1" t="s">
        <v>1234</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J122">
        <v>35.54</v>
      </c>
      <c r="AK122">
        <v>60.95</v>
      </c>
      <c r="AL122">
        <v>67.3</v>
      </c>
      <c r="AM122">
        <v>75.44</v>
      </c>
      <c r="AN122">
        <v>78.3</v>
      </c>
      <c r="AO122">
        <v>119.52</v>
      </c>
      <c r="AP122">
        <v>142.13</v>
      </c>
      <c r="AQ122">
        <v>146.74</v>
      </c>
      <c r="AR122">
        <v>153.28</v>
      </c>
      <c r="AS122">
        <v>149.58000000000001</v>
      </c>
      <c r="AT122">
        <v>136.04</v>
      </c>
      <c r="AU122">
        <v>132.88</v>
      </c>
      <c r="AV122">
        <v>126.09</v>
      </c>
      <c r="AW122">
        <v>122.55</v>
      </c>
      <c r="AX122">
        <v>120.3</v>
      </c>
      <c r="AY122">
        <v>147.5</v>
      </c>
      <c r="AZ122">
        <v>147.36000000000001</v>
      </c>
      <c r="BA122">
        <v>146.62</v>
      </c>
      <c r="BB122">
        <v>149.11000000000001</v>
      </c>
      <c r="BC122">
        <v>152.13</v>
      </c>
      <c r="BD122">
        <v>179.19</v>
      </c>
      <c r="BE122">
        <v>221.73</v>
      </c>
      <c r="BF122">
        <v>342.16</v>
      </c>
      <c r="BG122">
        <v>326</v>
      </c>
      <c r="BH122">
        <v>344.71</v>
      </c>
      <c r="BI122">
        <v>382.75</v>
      </c>
      <c r="BJ122">
        <v>412.95</v>
      </c>
      <c r="BK122">
        <v>425.91</v>
      </c>
      <c r="BL122">
        <v>460.17</v>
      </c>
    </row>
    <row r="123" spans="1:64">
      <c r="A123" s="1" t="s">
        <v>226</v>
      </c>
      <c r="B123" s="1">
        <v>7.14</v>
      </c>
      <c r="C123" s="1">
        <v>7.14</v>
      </c>
      <c r="D123" s="1">
        <v>7.14</v>
      </c>
      <c r="E123" s="1">
        <v>7.14</v>
      </c>
      <c r="F123" s="1">
        <v>7.14</v>
      </c>
      <c r="G123" s="1">
        <v>7.14</v>
      </c>
      <c r="H123" s="1">
        <v>7.14</v>
      </c>
      <c r="I123" s="1">
        <v>7.14</v>
      </c>
      <c r="J123" s="1">
        <v>7.14</v>
      </c>
      <c r="K123" s="1">
        <v>7.14</v>
      </c>
      <c r="L123" s="1">
        <v>7.14</v>
      </c>
      <c r="M123" s="1">
        <v>7.14</v>
      </c>
      <c r="N123" s="1">
        <v>7.14</v>
      </c>
      <c r="O123" s="1">
        <v>7</v>
      </c>
      <c r="P123" s="1">
        <v>7.14</v>
      </c>
      <c r="Q123" s="1">
        <v>7.34</v>
      </c>
      <c r="R123" s="1">
        <v>8.3699999999999992</v>
      </c>
      <c r="S123" s="1">
        <v>8.2799999999999994</v>
      </c>
      <c r="T123" s="1">
        <v>7.73</v>
      </c>
      <c r="U123" s="1">
        <v>7.48</v>
      </c>
      <c r="V123" s="1">
        <v>7.42</v>
      </c>
      <c r="W123" s="1">
        <v>9.0500000000000007</v>
      </c>
      <c r="X123" s="1">
        <v>10.92</v>
      </c>
      <c r="Y123" s="1">
        <v>13.31</v>
      </c>
      <c r="Z123" s="1">
        <v>14.41</v>
      </c>
      <c r="AA123">
        <v>16.43</v>
      </c>
      <c r="AB123">
        <v>16.23</v>
      </c>
      <c r="AC123">
        <v>16.45</v>
      </c>
      <c r="AD123">
        <v>17.75</v>
      </c>
      <c r="AE123">
        <v>20.57</v>
      </c>
      <c r="AF123">
        <v>22.91</v>
      </c>
      <c r="AG123">
        <v>27.51</v>
      </c>
      <c r="AH123">
        <v>32.22</v>
      </c>
      <c r="AI123">
        <v>58</v>
      </c>
      <c r="AJ123">
        <v>56.05</v>
      </c>
      <c r="AK123">
        <v>51.43</v>
      </c>
      <c r="AL123">
        <v>57.11</v>
      </c>
      <c r="AM123">
        <v>58.73</v>
      </c>
      <c r="AN123">
        <v>60.37</v>
      </c>
      <c r="AO123">
        <v>70.33</v>
      </c>
      <c r="AP123">
        <v>76.180000000000007</v>
      </c>
      <c r="AQ123">
        <v>78.56</v>
      </c>
      <c r="AR123">
        <v>78.75</v>
      </c>
      <c r="AS123">
        <v>75.94</v>
      </c>
      <c r="AT123">
        <v>79.17</v>
      </c>
      <c r="AU123">
        <v>75.55</v>
      </c>
      <c r="AV123">
        <v>72.099999999999994</v>
      </c>
      <c r="AW123">
        <v>67.319999999999993</v>
      </c>
      <c r="AX123">
        <v>69.180000000000007</v>
      </c>
      <c r="AY123">
        <v>77.349999999999994</v>
      </c>
      <c r="AZ123">
        <v>79.23</v>
      </c>
      <c r="BA123">
        <v>88.81</v>
      </c>
      <c r="BB123">
        <v>84.53</v>
      </c>
      <c r="BC123">
        <v>86.12</v>
      </c>
      <c r="BD123">
        <v>87.92</v>
      </c>
      <c r="BE123">
        <v>98.18</v>
      </c>
      <c r="BF123">
        <v>101.5</v>
      </c>
      <c r="BG123">
        <v>103.41</v>
      </c>
      <c r="BH123">
        <v>101.3</v>
      </c>
      <c r="BI123">
        <v>101.99</v>
      </c>
      <c r="BJ123">
        <v>106.45</v>
      </c>
      <c r="BK123">
        <v>109.64</v>
      </c>
      <c r="BL123">
        <v>117.87</v>
      </c>
    </row>
    <row r="124" spans="1:64">
      <c r="A124" s="1" t="s">
        <v>1235</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J124">
        <v>10.84</v>
      </c>
      <c r="AK124">
        <v>10.82</v>
      </c>
      <c r="AL124">
        <v>12.81</v>
      </c>
      <c r="AM124">
        <v>17.36</v>
      </c>
      <c r="AN124">
        <v>20.84</v>
      </c>
      <c r="AO124">
        <v>39.01</v>
      </c>
      <c r="AP124">
        <v>47.7</v>
      </c>
      <c r="AQ124">
        <v>48.38</v>
      </c>
      <c r="AR124">
        <v>46.94</v>
      </c>
      <c r="AS124">
        <v>43.65</v>
      </c>
      <c r="AT124">
        <v>42.65</v>
      </c>
      <c r="AU124">
        <v>41.01</v>
      </c>
      <c r="AV124">
        <v>40.15</v>
      </c>
      <c r="AW124">
        <v>37.32</v>
      </c>
      <c r="AX124">
        <v>36.57</v>
      </c>
      <c r="AY124">
        <v>42.9</v>
      </c>
      <c r="AZ124">
        <v>45.96</v>
      </c>
      <c r="BA124">
        <v>46.14</v>
      </c>
      <c r="BB124">
        <v>47</v>
      </c>
      <c r="BC124">
        <v>48.44</v>
      </c>
      <c r="BD124">
        <v>53.65</v>
      </c>
      <c r="BE124">
        <v>64.459999999999994</v>
      </c>
      <c r="BF124">
        <v>69.91</v>
      </c>
      <c r="BG124">
        <v>68.87</v>
      </c>
      <c r="BH124">
        <v>68.84</v>
      </c>
      <c r="BI124">
        <v>69.790000000000006</v>
      </c>
      <c r="BJ124">
        <v>77.349999999999994</v>
      </c>
      <c r="BK124">
        <v>84.64</v>
      </c>
    </row>
    <row r="125" spans="1:64">
      <c r="A125" s="1" t="s">
        <v>1236</v>
      </c>
      <c r="B125" s="1">
        <v>35</v>
      </c>
      <c r="C125" s="1">
        <v>35</v>
      </c>
      <c r="D125" s="1">
        <v>35</v>
      </c>
      <c r="E125" s="1">
        <v>35</v>
      </c>
      <c r="F125" s="1">
        <v>35</v>
      </c>
      <c r="G125" s="1">
        <v>35</v>
      </c>
      <c r="H125" s="1">
        <v>35</v>
      </c>
      <c r="I125" s="1">
        <v>35</v>
      </c>
      <c r="J125" s="1">
        <v>35</v>
      </c>
      <c r="K125" s="1">
        <v>43.56</v>
      </c>
      <c r="L125" s="1">
        <v>55.54</v>
      </c>
      <c r="M125" s="1">
        <v>75.819999999999993</v>
      </c>
      <c r="N125" s="1">
        <v>162.25</v>
      </c>
      <c r="O125" s="1">
        <v>244.92</v>
      </c>
      <c r="P125" s="1"/>
      <c r="Q125" s="1"/>
      <c r="R125" s="1"/>
      <c r="S125" s="1"/>
      <c r="T125" s="1"/>
      <c r="U125" s="1"/>
      <c r="V125" s="1"/>
      <c r="W125" s="1"/>
      <c r="X125" s="1"/>
      <c r="Y125" s="1"/>
      <c r="Z125" s="1"/>
      <c r="AF125">
        <v>426.25</v>
      </c>
      <c r="AG125">
        <v>718.33</v>
      </c>
      <c r="AH125">
        <v>1266.58</v>
      </c>
      <c r="AI125">
        <v>2689</v>
      </c>
      <c r="AJ125">
        <v>2545.25</v>
      </c>
      <c r="AK125">
        <v>2450.83</v>
      </c>
      <c r="AL125">
        <v>2624.08</v>
      </c>
      <c r="AM125">
        <v>2946.25</v>
      </c>
      <c r="AN125">
        <v>3744.42</v>
      </c>
      <c r="AO125">
        <v>3807.83</v>
      </c>
      <c r="AP125">
        <v>3840.75</v>
      </c>
      <c r="AQ125">
        <v>3916.33</v>
      </c>
      <c r="AR125">
        <v>3912.08</v>
      </c>
      <c r="AS125">
        <v>3973.33</v>
      </c>
      <c r="AT125">
        <v>4016.25</v>
      </c>
      <c r="AU125">
        <v>4092.5</v>
      </c>
      <c r="AV125">
        <v>4103.25</v>
      </c>
      <c r="AW125">
        <v>4056.17</v>
      </c>
      <c r="AX125">
        <v>4054.17</v>
      </c>
      <c r="AY125">
        <v>4139.33</v>
      </c>
      <c r="AZ125">
        <v>4184.92</v>
      </c>
      <c r="BA125">
        <v>4058.5</v>
      </c>
      <c r="BB125">
        <v>4033</v>
      </c>
      <c r="BC125">
        <v>4027.25</v>
      </c>
      <c r="BD125">
        <v>4037.5</v>
      </c>
      <c r="BE125">
        <v>4067.75</v>
      </c>
      <c r="BF125">
        <v>4058.69</v>
      </c>
      <c r="BG125">
        <v>4050.58</v>
      </c>
      <c r="BH125">
        <v>4051.17</v>
      </c>
      <c r="BI125">
        <v>4061.15</v>
      </c>
      <c r="BJ125">
        <v>4092.78</v>
      </c>
      <c r="BK125">
        <v>4098.72</v>
      </c>
      <c r="BL125">
        <v>4102.04</v>
      </c>
    </row>
    <row r="126" spans="1:64">
      <c r="A126" s="1" t="s">
        <v>1237</v>
      </c>
      <c r="B126" s="1">
        <v>0.89</v>
      </c>
      <c r="C126" s="1">
        <v>0.89</v>
      </c>
      <c r="D126" s="1">
        <v>0.89</v>
      </c>
      <c r="E126" s="1">
        <v>0.89</v>
      </c>
      <c r="F126" s="1">
        <v>0.89</v>
      </c>
      <c r="G126" s="1">
        <v>0.89</v>
      </c>
      <c r="H126" s="1">
        <v>0.89</v>
      </c>
      <c r="I126" s="1">
        <v>0.89</v>
      </c>
      <c r="J126" s="1">
        <v>0.89</v>
      </c>
      <c r="K126" s="1">
        <v>0.89</v>
      </c>
      <c r="L126" s="1">
        <v>0.89</v>
      </c>
      <c r="M126" s="1">
        <v>0.88</v>
      </c>
      <c r="N126" s="1">
        <v>0.84</v>
      </c>
      <c r="O126" s="1">
        <v>0.7</v>
      </c>
      <c r="P126" s="1">
        <v>0.7</v>
      </c>
      <c r="Q126" s="1">
        <v>0.76</v>
      </c>
      <c r="R126" s="1">
        <v>0.82</v>
      </c>
      <c r="S126" s="1">
        <v>0.9</v>
      </c>
      <c r="T126" s="1">
        <v>0.87</v>
      </c>
      <c r="U126" s="1">
        <v>0.89</v>
      </c>
      <c r="V126" s="1">
        <v>0.88</v>
      </c>
      <c r="W126" s="1">
        <v>0.87</v>
      </c>
      <c r="X126" s="1">
        <v>0.99</v>
      </c>
      <c r="Y126" s="1">
        <v>1.1100000000000001</v>
      </c>
      <c r="Z126" s="1">
        <v>1.1399999999999999</v>
      </c>
      <c r="AA126">
        <v>1.43</v>
      </c>
      <c r="AB126">
        <v>1.5</v>
      </c>
      <c r="AC126">
        <v>1.43</v>
      </c>
      <c r="AD126">
        <v>1.28</v>
      </c>
      <c r="AE126">
        <v>1.26</v>
      </c>
      <c r="AF126">
        <v>1.28</v>
      </c>
      <c r="AG126">
        <v>1.28</v>
      </c>
      <c r="AH126">
        <v>1.36</v>
      </c>
      <c r="AI126">
        <v>1.47</v>
      </c>
      <c r="AJ126">
        <v>1.37</v>
      </c>
      <c r="AK126">
        <v>1.35</v>
      </c>
      <c r="AL126">
        <v>1.28</v>
      </c>
      <c r="AM126">
        <v>1.35</v>
      </c>
      <c r="AN126">
        <v>1.59</v>
      </c>
      <c r="AO126">
        <v>1.55</v>
      </c>
      <c r="AP126">
        <v>1.72</v>
      </c>
      <c r="AQ126">
        <v>1.93</v>
      </c>
      <c r="AR126">
        <v>1.84</v>
      </c>
      <c r="AS126">
        <v>1.54</v>
      </c>
      <c r="AT126">
        <v>1.36</v>
      </c>
      <c r="AU126">
        <v>1.31</v>
      </c>
      <c r="AV126">
        <v>1.33</v>
      </c>
      <c r="AW126">
        <v>1.2</v>
      </c>
      <c r="AX126">
        <v>1.19</v>
      </c>
      <c r="AY126">
        <v>1.28</v>
      </c>
      <c r="AZ126">
        <v>1.0900000000000001</v>
      </c>
      <c r="BA126">
        <v>0.97</v>
      </c>
      <c r="BB126">
        <v>0.97</v>
      </c>
      <c r="BC126">
        <v>1.04</v>
      </c>
      <c r="BD126">
        <v>1.1100000000000001</v>
      </c>
      <c r="BE126">
        <v>1.33</v>
      </c>
      <c r="BF126">
        <v>1.35</v>
      </c>
      <c r="BG126">
        <v>1.3</v>
      </c>
      <c r="BH126">
        <v>1.34</v>
      </c>
      <c r="BI126">
        <v>1.44</v>
      </c>
      <c r="BJ126">
        <v>1.45</v>
      </c>
      <c r="BK126">
        <v>1.33</v>
      </c>
      <c r="BL126">
        <v>1.44</v>
      </c>
    </row>
    <row r="127" spans="1:64">
      <c r="A127" s="1" t="s">
        <v>1238</v>
      </c>
      <c r="B127" s="1">
        <v>1.71</v>
      </c>
      <c r="C127" s="1">
        <v>1.71</v>
      </c>
      <c r="D127" s="1">
        <v>1.71</v>
      </c>
      <c r="E127" s="1">
        <v>1.71</v>
      </c>
      <c r="F127" s="1">
        <v>1.71</v>
      </c>
      <c r="G127" s="1">
        <v>1.71</v>
      </c>
      <c r="H127" s="1">
        <v>1.71</v>
      </c>
      <c r="I127" s="1">
        <v>1.76</v>
      </c>
      <c r="J127" s="1">
        <v>2</v>
      </c>
      <c r="K127" s="1">
        <v>2</v>
      </c>
      <c r="L127" s="1">
        <v>2</v>
      </c>
      <c r="M127" s="1">
        <v>1.97</v>
      </c>
      <c r="N127" s="1">
        <v>1.92</v>
      </c>
      <c r="O127" s="1">
        <v>1.96</v>
      </c>
      <c r="P127" s="1">
        <v>2.0499999999999998</v>
      </c>
      <c r="Q127" s="1">
        <v>2.17</v>
      </c>
      <c r="R127" s="1">
        <v>2.61</v>
      </c>
      <c r="S127" s="1">
        <v>2.7</v>
      </c>
      <c r="T127" s="1">
        <v>2.7</v>
      </c>
      <c r="U127" s="1">
        <v>2.7</v>
      </c>
      <c r="V127" s="1">
        <v>2.7</v>
      </c>
      <c r="W127" s="1">
        <v>2.7</v>
      </c>
      <c r="X127" s="1">
        <v>2.7</v>
      </c>
      <c r="Y127" s="1">
        <v>2.7</v>
      </c>
      <c r="Z127" s="1">
        <v>2.7</v>
      </c>
      <c r="AA127">
        <v>2.7</v>
      </c>
      <c r="AB127">
        <v>2.7</v>
      </c>
      <c r="AC127">
        <v>2.7</v>
      </c>
      <c r="AD127">
        <v>2.7</v>
      </c>
      <c r="AE127">
        <v>2.7</v>
      </c>
      <c r="AF127">
        <v>2.7</v>
      </c>
      <c r="AG127">
        <v>2.7</v>
      </c>
      <c r="AH127">
        <v>2.7</v>
      </c>
      <c r="AI127">
        <v>2.7</v>
      </c>
      <c r="AJ127">
        <v>2.7</v>
      </c>
      <c r="AK127">
        <v>2.7</v>
      </c>
      <c r="AL127">
        <v>2.7</v>
      </c>
      <c r="AM127">
        <v>2.7</v>
      </c>
      <c r="AN127">
        <v>2.7</v>
      </c>
      <c r="AO127">
        <v>2.7</v>
      </c>
      <c r="AP127">
        <v>2.7</v>
      </c>
      <c r="AQ127">
        <v>2.7</v>
      </c>
      <c r="AR127">
        <v>2.7</v>
      </c>
      <c r="AS127">
        <v>2.7</v>
      </c>
      <c r="AT127">
        <v>2.7</v>
      </c>
      <c r="AU127">
        <v>2.7</v>
      </c>
      <c r="AV127">
        <v>2.7</v>
      </c>
      <c r="AW127">
        <v>2.7</v>
      </c>
      <c r="AX127">
        <v>2.7</v>
      </c>
      <c r="AY127">
        <v>2.7</v>
      </c>
      <c r="AZ127">
        <v>2.7</v>
      </c>
      <c r="BA127">
        <v>2.7</v>
      </c>
      <c r="BB127">
        <v>2.7</v>
      </c>
      <c r="BC127">
        <v>2.7</v>
      </c>
      <c r="BD127">
        <v>2.7</v>
      </c>
      <c r="BE127">
        <v>2.7</v>
      </c>
      <c r="BF127">
        <v>2.7</v>
      </c>
      <c r="BG127">
        <v>2.7</v>
      </c>
      <c r="BH127">
        <v>2.7</v>
      </c>
      <c r="BI127">
        <v>2.7</v>
      </c>
      <c r="BJ127">
        <v>2.7</v>
      </c>
      <c r="BK127">
        <v>2.7</v>
      </c>
      <c r="BL127">
        <v>2.7</v>
      </c>
    </row>
    <row r="128" spans="1:64">
      <c r="A128" s="1" t="s">
        <v>1239</v>
      </c>
      <c r="B128" s="1">
        <v>63.13</v>
      </c>
      <c r="C128" s="1">
        <v>124.79</v>
      </c>
      <c r="D128" s="1">
        <v>130</v>
      </c>
      <c r="E128" s="1">
        <v>130</v>
      </c>
      <c r="F128" s="1">
        <v>213.85</v>
      </c>
      <c r="G128" s="1">
        <v>266.27</v>
      </c>
      <c r="H128" s="1">
        <v>271.13</v>
      </c>
      <c r="I128" s="1">
        <v>270.51</v>
      </c>
      <c r="J128" s="1">
        <v>276.64</v>
      </c>
      <c r="K128" s="1">
        <v>288.24</v>
      </c>
      <c r="L128" s="1">
        <v>310.56</v>
      </c>
      <c r="M128" s="1">
        <v>347.15</v>
      </c>
      <c r="N128" s="1">
        <v>392.89</v>
      </c>
      <c r="O128" s="1">
        <v>398.32</v>
      </c>
      <c r="P128" s="1">
        <v>404.47</v>
      </c>
      <c r="Q128" s="1">
        <v>484</v>
      </c>
      <c r="R128" s="1">
        <v>484</v>
      </c>
      <c r="S128" s="1">
        <v>484</v>
      </c>
      <c r="T128" s="1">
        <v>484</v>
      </c>
      <c r="U128" s="1">
        <v>484</v>
      </c>
      <c r="V128" s="1">
        <v>607.72</v>
      </c>
      <c r="W128" s="1">
        <v>681.03</v>
      </c>
      <c r="X128" s="1">
        <v>731.17</v>
      </c>
      <c r="Y128" s="1">
        <v>775.75</v>
      </c>
      <c r="Z128" s="1">
        <v>805.97</v>
      </c>
      <c r="AA128">
        <v>870.02</v>
      </c>
      <c r="AB128">
        <v>881.46</v>
      </c>
      <c r="AC128">
        <v>822.56</v>
      </c>
      <c r="AD128">
        <v>731.46</v>
      </c>
      <c r="AE128">
        <v>671.46</v>
      </c>
      <c r="AF128">
        <v>707.77</v>
      </c>
      <c r="AG128">
        <v>733.33</v>
      </c>
      <c r="AH128">
        <v>780.67</v>
      </c>
      <c r="AI128">
        <v>802.54</v>
      </c>
      <c r="AJ128">
        <v>803.77</v>
      </c>
      <c r="AK128">
        <v>771.25</v>
      </c>
      <c r="AL128">
        <v>804.46</v>
      </c>
      <c r="AM128">
        <v>949.89</v>
      </c>
      <c r="AN128">
        <v>1403.18</v>
      </c>
      <c r="AO128">
        <v>1189.44</v>
      </c>
      <c r="AP128">
        <v>1130.3599999999999</v>
      </c>
      <c r="AQ128">
        <v>1290.79</v>
      </c>
      <c r="AR128">
        <v>1251.5999999999999</v>
      </c>
      <c r="AS128">
        <v>1191.6500000000001</v>
      </c>
      <c r="AT128">
        <v>1146.25</v>
      </c>
      <c r="AU128">
        <v>1024.33</v>
      </c>
      <c r="AV128">
        <v>955.34</v>
      </c>
      <c r="AW128">
        <v>929.38</v>
      </c>
      <c r="AX128">
        <v>1100.1300000000001</v>
      </c>
      <c r="AY128">
        <v>1277.25</v>
      </c>
      <c r="AZ128">
        <v>1156.46</v>
      </c>
      <c r="BA128">
        <v>1108.23</v>
      </c>
      <c r="BB128">
        <v>1126.81</v>
      </c>
      <c r="BC128">
        <v>1094.98</v>
      </c>
      <c r="BD128">
        <v>1052.8399999999999</v>
      </c>
      <c r="BE128">
        <v>1130.95</v>
      </c>
      <c r="BF128">
        <v>1160.77</v>
      </c>
      <c r="BG128">
        <v>1131</v>
      </c>
      <c r="BH128">
        <v>1100.1600000000001</v>
      </c>
      <c r="BI128">
        <v>1165.3599999999999</v>
      </c>
      <c r="BJ128">
        <v>1180.27</v>
      </c>
      <c r="BK128">
        <v>1143.95</v>
      </c>
      <c r="BL128">
        <v>1291.45</v>
      </c>
    </row>
    <row r="129" spans="1:64">
      <c r="A129" s="1" t="s">
        <v>1240</v>
      </c>
      <c r="B129" s="1">
        <v>0.36</v>
      </c>
      <c r="C129" s="1">
        <v>0.36</v>
      </c>
      <c r="D129" s="1">
        <v>0.36</v>
      </c>
      <c r="E129" s="1">
        <v>0.36</v>
      </c>
      <c r="F129" s="1">
        <v>0.36</v>
      </c>
      <c r="G129" s="1">
        <v>0.36</v>
      </c>
      <c r="H129" s="1">
        <v>0.36</v>
      </c>
      <c r="I129" s="1">
        <v>0.36</v>
      </c>
      <c r="J129" s="1">
        <v>0.36</v>
      </c>
      <c r="K129" s="1">
        <v>0.36</v>
      </c>
      <c r="L129" s="1">
        <v>0.36</v>
      </c>
      <c r="M129" s="1">
        <v>0.36</v>
      </c>
      <c r="N129" s="1">
        <v>0.33</v>
      </c>
      <c r="O129" s="1">
        <v>0.3</v>
      </c>
      <c r="P129" s="1">
        <v>0.28999999999999998</v>
      </c>
      <c r="Q129" s="1">
        <v>0.28999999999999998</v>
      </c>
      <c r="R129" s="1">
        <v>0.28999999999999998</v>
      </c>
      <c r="S129" s="1">
        <v>0.28999999999999998</v>
      </c>
      <c r="T129" s="1">
        <v>0.28000000000000003</v>
      </c>
      <c r="U129" s="1">
        <v>0.28000000000000003</v>
      </c>
      <c r="V129" s="1">
        <v>0.27</v>
      </c>
      <c r="W129" s="1">
        <v>0.28000000000000003</v>
      </c>
      <c r="X129" s="1">
        <v>0.28999999999999998</v>
      </c>
      <c r="Y129" s="1">
        <v>0.28999999999999998</v>
      </c>
      <c r="Z129" s="1">
        <v>0.3</v>
      </c>
      <c r="AA129">
        <v>0.3</v>
      </c>
      <c r="AB129">
        <v>0.28999999999999998</v>
      </c>
      <c r="AC129">
        <v>0.28000000000000003</v>
      </c>
      <c r="AD129">
        <v>0.28000000000000003</v>
      </c>
      <c r="AE129">
        <v>0.28999999999999998</v>
      </c>
      <c r="AF129">
        <v>0.28999999999999998</v>
      </c>
      <c r="AG129">
        <v>0.28000000000000003</v>
      </c>
      <c r="AH129">
        <v>0.28999999999999998</v>
      </c>
      <c r="AI129">
        <v>0.3</v>
      </c>
      <c r="AJ129">
        <v>0.3</v>
      </c>
      <c r="AK129">
        <v>0.3</v>
      </c>
      <c r="AL129">
        <v>0.3</v>
      </c>
      <c r="AM129">
        <v>0.3</v>
      </c>
      <c r="AN129">
        <v>0.3</v>
      </c>
      <c r="AO129">
        <v>0.3</v>
      </c>
      <c r="AP129">
        <v>0.31</v>
      </c>
      <c r="AQ129">
        <v>0.31</v>
      </c>
      <c r="AR129">
        <v>0.3</v>
      </c>
      <c r="AS129">
        <v>0.3</v>
      </c>
      <c r="AT129">
        <v>0.28999999999999998</v>
      </c>
      <c r="AU129">
        <v>0.28999999999999998</v>
      </c>
      <c r="AV129">
        <v>0.28999999999999998</v>
      </c>
      <c r="AW129">
        <v>0.28000000000000003</v>
      </c>
      <c r="AX129">
        <v>0.27</v>
      </c>
      <c r="AY129">
        <v>0.28999999999999998</v>
      </c>
      <c r="AZ129">
        <v>0.28999999999999998</v>
      </c>
      <c r="BA129">
        <v>0.28000000000000003</v>
      </c>
      <c r="BB129">
        <v>0.28000000000000003</v>
      </c>
      <c r="BC129">
        <v>0.28000000000000003</v>
      </c>
      <c r="BD129">
        <v>0.28000000000000003</v>
      </c>
      <c r="BE129">
        <v>0.3</v>
      </c>
      <c r="BF129">
        <v>0.3</v>
      </c>
      <c r="BG129">
        <v>0.3</v>
      </c>
      <c r="BH129">
        <v>0.3</v>
      </c>
      <c r="BI129">
        <v>0.3</v>
      </c>
      <c r="BJ129">
        <v>0.31</v>
      </c>
      <c r="BK129">
        <v>0.3</v>
      </c>
      <c r="BL129">
        <v>0.31</v>
      </c>
    </row>
    <row r="130" spans="1:64">
      <c r="A130" s="1" t="s">
        <v>1241</v>
      </c>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64">
      <c r="A131" s="1" t="s">
        <v>1242</v>
      </c>
      <c r="B131" s="1">
        <v>80</v>
      </c>
      <c r="C131" s="1">
        <v>80</v>
      </c>
      <c r="D131" s="1">
        <v>80</v>
      </c>
      <c r="E131" s="1">
        <v>80</v>
      </c>
      <c r="F131" s="1">
        <v>240</v>
      </c>
      <c r="G131" s="1">
        <v>240</v>
      </c>
      <c r="H131" s="1">
        <v>240</v>
      </c>
      <c r="I131" s="1">
        <v>240</v>
      </c>
      <c r="J131" s="1">
        <v>240</v>
      </c>
      <c r="K131" s="1">
        <v>240</v>
      </c>
      <c r="L131" s="1">
        <v>240</v>
      </c>
      <c r="M131" s="1">
        <v>240</v>
      </c>
      <c r="N131" s="1">
        <v>510</v>
      </c>
      <c r="O131" s="1">
        <v>600</v>
      </c>
      <c r="P131" s="1">
        <v>600</v>
      </c>
      <c r="Q131" s="1">
        <v>725</v>
      </c>
      <c r="R131" s="1">
        <v>429.17</v>
      </c>
      <c r="S131" s="1">
        <v>200</v>
      </c>
      <c r="T131" s="1">
        <v>333.33</v>
      </c>
      <c r="U131" s="1">
        <v>367.5</v>
      </c>
      <c r="V131" s="1">
        <v>10</v>
      </c>
      <c r="W131" s="1">
        <v>21.67</v>
      </c>
      <c r="X131" s="1">
        <v>35</v>
      </c>
      <c r="Y131" s="1">
        <v>35</v>
      </c>
      <c r="Z131" s="1">
        <v>35</v>
      </c>
      <c r="AA131">
        <v>55</v>
      </c>
      <c r="AB131">
        <v>95</v>
      </c>
      <c r="AC131">
        <v>187.5</v>
      </c>
      <c r="AD131">
        <v>400.37</v>
      </c>
      <c r="AE131">
        <v>591.5</v>
      </c>
      <c r="AF131">
        <v>707.75</v>
      </c>
      <c r="AG131">
        <v>702.08</v>
      </c>
      <c r="AH131">
        <v>716.08</v>
      </c>
      <c r="AI131">
        <v>716.25</v>
      </c>
      <c r="AJ131">
        <v>717.67</v>
      </c>
      <c r="AK131">
        <v>804.69</v>
      </c>
      <c r="AL131">
        <v>921.02</v>
      </c>
      <c r="AM131">
        <v>1259.98</v>
      </c>
      <c r="AN131">
        <v>3298.33</v>
      </c>
      <c r="AO131">
        <v>7102.03</v>
      </c>
      <c r="AP131">
        <v>7887.64</v>
      </c>
      <c r="AQ131">
        <v>8954.58</v>
      </c>
      <c r="AR131">
        <v>10056.33</v>
      </c>
      <c r="AS131">
        <v>10569.04</v>
      </c>
      <c r="AT131">
        <v>10585.38</v>
      </c>
      <c r="AU131">
        <v>10655.17</v>
      </c>
      <c r="AV131">
        <v>10153.620000000001</v>
      </c>
      <c r="AW131">
        <v>9602.73</v>
      </c>
      <c r="AX131">
        <v>8740.18</v>
      </c>
      <c r="AY131">
        <v>8511.35</v>
      </c>
      <c r="AZ131">
        <v>8254.16</v>
      </c>
      <c r="BA131">
        <v>8029.26</v>
      </c>
      <c r="BB131">
        <v>8006.58</v>
      </c>
      <c r="BC131">
        <v>7833.23</v>
      </c>
      <c r="BD131">
        <v>8042.42</v>
      </c>
      <c r="BE131">
        <v>8127.61</v>
      </c>
      <c r="BF131">
        <v>8124.37</v>
      </c>
      <c r="BG131">
        <v>8244.84</v>
      </c>
      <c r="BH131">
        <v>8401.33</v>
      </c>
      <c r="BI131">
        <v>8679.41</v>
      </c>
      <c r="BJ131">
        <v>9045.7900000000009</v>
      </c>
      <c r="BK131">
        <v>9697.92</v>
      </c>
      <c r="BL131">
        <v>14035.23</v>
      </c>
    </row>
    <row r="132" spans="1:64">
      <c r="A132" s="1" t="s">
        <v>1243</v>
      </c>
      <c r="B132" s="1">
        <v>3.17</v>
      </c>
      <c r="C132" s="1">
        <v>3.08</v>
      </c>
      <c r="D132" s="1">
        <v>3.01</v>
      </c>
      <c r="E132" s="1">
        <v>3.1</v>
      </c>
      <c r="F132" s="1">
        <v>3.07</v>
      </c>
      <c r="G132" s="1">
        <v>3.07</v>
      </c>
      <c r="H132" s="1">
        <v>3.13</v>
      </c>
      <c r="I132" s="1">
        <v>3.2</v>
      </c>
      <c r="J132" s="1">
        <v>3.16</v>
      </c>
      <c r="K132" s="1">
        <v>3.25</v>
      </c>
      <c r="L132" s="1">
        <v>3.27</v>
      </c>
      <c r="M132" s="1">
        <v>3.23</v>
      </c>
      <c r="N132" s="1">
        <v>3.05</v>
      </c>
      <c r="O132" s="1">
        <v>2.61</v>
      </c>
      <c r="P132" s="1">
        <v>2.33</v>
      </c>
      <c r="Q132" s="1">
        <v>2.2999999999999998</v>
      </c>
      <c r="R132" s="1">
        <v>2.87</v>
      </c>
      <c r="S132" s="1">
        <v>3.07</v>
      </c>
      <c r="T132" s="1">
        <v>2.96</v>
      </c>
      <c r="U132" s="1">
        <v>3.24</v>
      </c>
      <c r="V132" s="1">
        <v>3.44</v>
      </c>
      <c r="W132" s="1">
        <v>4.3099999999999996</v>
      </c>
      <c r="X132" s="1">
        <v>4.74</v>
      </c>
      <c r="Y132" s="1">
        <v>4.53</v>
      </c>
      <c r="Z132" s="1">
        <v>6.51</v>
      </c>
      <c r="AA132">
        <v>16.420000000000002</v>
      </c>
      <c r="AB132">
        <v>38.369999999999997</v>
      </c>
      <c r="AC132">
        <v>224.6</v>
      </c>
      <c r="AD132">
        <v>409.23</v>
      </c>
      <c r="AE132">
        <v>496.69</v>
      </c>
      <c r="AF132">
        <v>695.09</v>
      </c>
      <c r="AG132">
        <v>928.23</v>
      </c>
      <c r="AH132">
        <v>1712.79</v>
      </c>
      <c r="AI132">
        <v>1741.36</v>
      </c>
      <c r="AJ132">
        <v>1680.07</v>
      </c>
      <c r="AK132">
        <v>1621.41</v>
      </c>
      <c r="AL132">
        <v>1571.44</v>
      </c>
      <c r="AM132">
        <v>1539.45</v>
      </c>
      <c r="AN132">
        <v>1516.13</v>
      </c>
      <c r="AO132">
        <v>1507.5</v>
      </c>
      <c r="AP132">
        <v>1507.5</v>
      </c>
      <c r="AQ132">
        <v>1507.5</v>
      </c>
      <c r="AR132">
        <v>1507.5</v>
      </c>
      <c r="AS132">
        <v>1507.5</v>
      </c>
      <c r="AT132">
        <v>1507.5</v>
      </c>
      <c r="AU132">
        <v>1507.5</v>
      </c>
      <c r="AV132">
        <v>1507.5</v>
      </c>
      <c r="AW132">
        <v>1507.5</v>
      </c>
      <c r="AX132">
        <v>1507.5</v>
      </c>
      <c r="AY132">
        <v>1507.5</v>
      </c>
      <c r="AZ132">
        <v>1507.5</v>
      </c>
      <c r="BA132">
        <v>1507.5</v>
      </c>
      <c r="BB132">
        <v>1507.5</v>
      </c>
      <c r="BC132">
        <v>1507.5</v>
      </c>
      <c r="BD132">
        <v>1507.5</v>
      </c>
      <c r="BE132">
        <v>1507.5</v>
      </c>
      <c r="BF132">
        <v>1507.5</v>
      </c>
      <c r="BG132">
        <v>1507.5</v>
      </c>
      <c r="BH132">
        <v>1507.5</v>
      </c>
      <c r="BI132">
        <v>1507.5</v>
      </c>
      <c r="BJ132">
        <v>1507.5</v>
      </c>
      <c r="BK132">
        <v>1507.5</v>
      </c>
      <c r="BL132">
        <v>1507.5</v>
      </c>
    </row>
    <row r="133" spans="1:64">
      <c r="A133" s="1" t="s">
        <v>1244</v>
      </c>
      <c r="B133" s="1">
        <v>1</v>
      </c>
      <c r="C133" s="1">
        <v>1</v>
      </c>
      <c r="D133" s="1">
        <v>1</v>
      </c>
      <c r="E133" s="1">
        <v>1</v>
      </c>
      <c r="F133" s="1">
        <v>1</v>
      </c>
      <c r="G133" s="1">
        <v>1</v>
      </c>
      <c r="H133" s="1">
        <v>1</v>
      </c>
      <c r="I133" s="1">
        <v>1</v>
      </c>
      <c r="J133" s="1">
        <v>1</v>
      </c>
      <c r="K133" s="1">
        <v>1</v>
      </c>
      <c r="L133" s="1">
        <v>1</v>
      </c>
      <c r="M133" s="1">
        <v>1</v>
      </c>
      <c r="N133" s="1">
        <v>1</v>
      </c>
      <c r="O133" s="1">
        <v>1</v>
      </c>
      <c r="P133" s="1">
        <v>23.72</v>
      </c>
      <c r="Q133" s="1">
        <v>46.44</v>
      </c>
      <c r="R133" s="1">
        <v>46.44</v>
      </c>
      <c r="S133" s="1">
        <v>46.44</v>
      </c>
      <c r="T133" s="1">
        <v>46.44</v>
      </c>
      <c r="U133" s="1">
        <v>46.44</v>
      </c>
      <c r="V133" s="1">
        <v>46.44</v>
      </c>
      <c r="W133" s="1">
        <v>46.44</v>
      </c>
      <c r="X133" s="1">
        <v>46.44</v>
      </c>
      <c r="Y133" s="1">
        <v>46.44</v>
      </c>
      <c r="Z133" s="1">
        <v>46.44</v>
      </c>
      <c r="AA133">
        <v>46.44</v>
      </c>
      <c r="AB133">
        <v>46.44</v>
      </c>
      <c r="AC133">
        <v>46.44</v>
      </c>
      <c r="AD133">
        <v>46.44</v>
      </c>
      <c r="AE133">
        <v>46.44</v>
      </c>
      <c r="AF133">
        <v>46.44</v>
      </c>
      <c r="AG133">
        <v>46.44</v>
      </c>
      <c r="AH133">
        <v>46.44</v>
      </c>
      <c r="AI133">
        <v>46.44</v>
      </c>
      <c r="AJ133">
        <v>46.44</v>
      </c>
      <c r="AK133">
        <v>49.84</v>
      </c>
      <c r="AL133">
        <v>46.84</v>
      </c>
      <c r="AM133">
        <v>50.57</v>
      </c>
      <c r="AN133">
        <v>41.51</v>
      </c>
      <c r="AO133">
        <v>41.9</v>
      </c>
      <c r="AP133">
        <v>40.9</v>
      </c>
      <c r="AQ133">
        <v>48.59</v>
      </c>
      <c r="AR133">
        <v>61.75</v>
      </c>
      <c r="AS133">
        <v>59.38</v>
      </c>
      <c r="AT133">
        <v>54.91</v>
      </c>
      <c r="AU133">
        <v>57.1</v>
      </c>
      <c r="AV133">
        <v>58.01</v>
      </c>
      <c r="AW133">
        <v>61.27</v>
      </c>
      <c r="AX133">
        <v>63.21</v>
      </c>
      <c r="AY133">
        <v>68.290000000000006</v>
      </c>
      <c r="AZ133">
        <v>71.400000000000006</v>
      </c>
      <c r="BA133">
        <v>72.23</v>
      </c>
      <c r="BB133">
        <v>73.510000000000005</v>
      </c>
      <c r="BC133">
        <v>77.52</v>
      </c>
      <c r="BD133">
        <v>83.89</v>
      </c>
      <c r="BE133">
        <v>86.19</v>
      </c>
      <c r="BF133">
        <v>94.43</v>
      </c>
      <c r="BG133">
        <v>112.71</v>
      </c>
      <c r="BH133">
        <v>144.06</v>
      </c>
      <c r="BI133">
        <v>186.43</v>
      </c>
      <c r="BJ133">
        <v>191.52</v>
      </c>
    </row>
    <row r="134" spans="1:64">
      <c r="A134" s="1" t="s">
        <v>1245</v>
      </c>
      <c r="B134" s="1">
        <v>0.36</v>
      </c>
      <c r="C134" s="1">
        <v>0.36</v>
      </c>
      <c r="D134" s="1">
        <v>0.36</v>
      </c>
      <c r="E134" s="1">
        <v>0.36</v>
      </c>
      <c r="F134" s="1">
        <v>0.36</v>
      </c>
      <c r="G134" s="1">
        <v>0.36</v>
      </c>
      <c r="H134" s="1">
        <v>0.36</v>
      </c>
      <c r="I134" s="1">
        <v>0.36</v>
      </c>
      <c r="J134" s="1">
        <v>0.36</v>
      </c>
      <c r="K134" s="1">
        <v>0.36</v>
      </c>
      <c r="L134" s="1">
        <v>0.36</v>
      </c>
      <c r="M134" s="1">
        <v>0.36</v>
      </c>
      <c r="N134" s="1">
        <v>0.33</v>
      </c>
      <c r="O134" s="1">
        <v>0.3</v>
      </c>
      <c r="P134" s="1">
        <v>0.3</v>
      </c>
      <c r="Q134" s="1">
        <v>0.3</v>
      </c>
      <c r="R134" s="1">
        <v>0.3</v>
      </c>
      <c r="S134" s="1">
        <v>0.3</v>
      </c>
      <c r="T134" s="1">
        <v>0.3</v>
      </c>
      <c r="U134" s="1">
        <v>0.3</v>
      </c>
      <c r="V134" s="1">
        <v>0.3</v>
      </c>
      <c r="W134" s="1">
        <v>0.3</v>
      </c>
      <c r="X134" s="1">
        <v>0.3</v>
      </c>
      <c r="Y134" s="1">
        <v>0.3</v>
      </c>
      <c r="Z134" s="1">
        <v>0.3</v>
      </c>
      <c r="AA134">
        <v>0.3</v>
      </c>
      <c r="AB134">
        <v>0.32</v>
      </c>
      <c r="AC134">
        <v>0.3</v>
      </c>
      <c r="AD134">
        <v>0.28999999999999998</v>
      </c>
      <c r="AE134">
        <v>0.3</v>
      </c>
      <c r="AF134">
        <v>0.28000000000000003</v>
      </c>
      <c r="AG134">
        <v>0.28000000000000003</v>
      </c>
      <c r="AH134">
        <v>0.28000000000000003</v>
      </c>
      <c r="AI134">
        <v>0.3</v>
      </c>
      <c r="AJ134">
        <v>0.35</v>
      </c>
      <c r="AK134">
        <v>0.42</v>
      </c>
      <c r="AL134">
        <v>0.44</v>
      </c>
      <c r="AM134">
        <v>0.46</v>
      </c>
      <c r="AN134">
        <v>0.47</v>
      </c>
      <c r="AO134">
        <v>0.46</v>
      </c>
      <c r="AP134">
        <v>0.51</v>
      </c>
      <c r="AQ134">
        <v>0.61</v>
      </c>
      <c r="AR134">
        <v>1.27</v>
      </c>
      <c r="AS134">
        <v>1.29</v>
      </c>
      <c r="AT134">
        <v>1.3</v>
      </c>
      <c r="AU134">
        <v>1.31</v>
      </c>
      <c r="AV134">
        <v>1.31</v>
      </c>
      <c r="AW134">
        <v>1.26</v>
      </c>
      <c r="AX134">
        <v>1.22</v>
      </c>
      <c r="AY134">
        <v>1.25</v>
      </c>
      <c r="AZ134">
        <v>1.27</v>
      </c>
      <c r="BA134">
        <v>1.22</v>
      </c>
      <c r="BB134">
        <v>1.26</v>
      </c>
      <c r="BC134">
        <v>1.27</v>
      </c>
      <c r="BD134">
        <v>1.27</v>
      </c>
      <c r="BE134">
        <v>1.38</v>
      </c>
      <c r="BF134">
        <v>1.39</v>
      </c>
      <c r="BG134">
        <v>1.39</v>
      </c>
      <c r="BH134">
        <v>1.36</v>
      </c>
      <c r="BI134">
        <v>1.4</v>
      </c>
      <c r="BJ134">
        <v>1.39</v>
      </c>
      <c r="BK134">
        <v>4.51</v>
      </c>
      <c r="BL134">
        <v>4.8099999999999996</v>
      </c>
    </row>
    <row r="135" spans="1:64">
      <c r="A135" s="1" t="s">
        <v>1246</v>
      </c>
      <c r="B135" s="1">
        <v>1.71</v>
      </c>
      <c r="C135" s="1">
        <v>1.71</v>
      </c>
      <c r="D135" s="1">
        <v>1.71</v>
      </c>
      <c r="E135" s="1">
        <v>1.71</v>
      </c>
      <c r="F135" s="1">
        <v>1.71</v>
      </c>
      <c r="G135" s="1">
        <v>1.71</v>
      </c>
      <c r="H135" s="1">
        <v>1.71</v>
      </c>
      <c r="I135" s="1">
        <v>1.76</v>
      </c>
      <c r="J135" s="1">
        <v>2</v>
      </c>
      <c r="K135" s="1">
        <v>2</v>
      </c>
      <c r="L135" s="1">
        <v>2</v>
      </c>
      <c r="M135" s="1">
        <v>1.97</v>
      </c>
      <c r="N135" s="1">
        <v>1.92</v>
      </c>
      <c r="O135" s="1">
        <v>1.96</v>
      </c>
      <c r="P135" s="1">
        <v>2.0499999999999998</v>
      </c>
      <c r="Q135" s="1">
        <v>2.17</v>
      </c>
      <c r="R135" s="1">
        <v>2.61</v>
      </c>
      <c r="S135" s="1">
        <v>2.7</v>
      </c>
      <c r="T135" s="1">
        <v>2.7</v>
      </c>
      <c r="U135" s="1">
        <v>2.7</v>
      </c>
      <c r="V135" s="1">
        <v>2.7</v>
      </c>
      <c r="W135" s="1">
        <v>2.7</v>
      </c>
      <c r="X135" s="1">
        <v>2.7</v>
      </c>
      <c r="Y135" s="1">
        <v>2.7</v>
      </c>
      <c r="Z135" s="1">
        <v>2.7</v>
      </c>
      <c r="AA135">
        <v>2.7</v>
      </c>
      <c r="AB135">
        <v>2.7</v>
      </c>
      <c r="AC135">
        <v>2.7</v>
      </c>
      <c r="AD135">
        <v>2.7</v>
      </c>
      <c r="AE135">
        <v>2.7</v>
      </c>
      <c r="AF135">
        <v>2.7</v>
      </c>
      <c r="AG135">
        <v>2.7</v>
      </c>
      <c r="AH135">
        <v>2.7</v>
      </c>
      <c r="AI135">
        <v>2.7</v>
      </c>
      <c r="AJ135">
        <v>2.7</v>
      </c>
      <c r="AK135">
        <v>2.7</v>
      </c>
      <c r="AL135">
        <v>2.7</v>
      </c>
      <c r="AM135">
        <v>2.7</v>
      </c>
      <c r="AN135">
        <v>2.7</v>
      </c>
      <c r="AO135">
        <v>2.7</v>
      </c>
      <c r="AP135">
        <v>2.7</v>
      </c>
      <c r="AQ135">
        <v>2.7</v>
      </c>
      <c r="AR135">
        <v>2.7</v>
      </c>
      <c r="AS135">
        <v>2.7</v>
      </c>
      <c r="AT135">
        <v>2.7</v>
      </c>
      <c r="AU135">
        <v>2.7</v>
      </c>
      <c r="AV135">
        <v>2.7</v>
      </c>
      <c r="AW135">
        <v>2.7</v>
      </c>
      <c r="AX135">
        <v>2.7</v>
      </c>
      <c r="AY135">
        <v>2.7</v>
      </c>
      <c r="AZ135">
        <v>2.7</v>
      </c>
      <c r="BA135">
        <v>2.7</v>
      </c>
      <c r="BB135">
        <v>2.7</v>
      </c>
      <c r="BC135">
        <v>2.7</v>
      </c>
      <c r="BD135">
        <v>2.7</v>
      </c>
      <c r="BE135">
        <v>2.7</v>
      </c>
      <c r="BF135">
        <v>2.7</v>
      </c>
      <c r="BG135">
        <v>2.7</v>
      </c>
      <c r="BH135">
        <v>2.7</v>
      </c>
      <c r="BI135">
        <v>2.7</v>
      </c>
      <c r="BJ135">
        <v>2.7</v>
      </c>
      <c r="BK135">
        <v>2.7</v>
      </c>
      <c r="BL135">
        <v>2.7</v>
      </c>
    </row>
    <row r="136" spans="1:64">
      <c r="A136" s="1" t="s">
        <v>1247</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64">
      <c r="A137" s="1" t="s">
        <v>1248</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64">
      <c r="A138" s="1" t="s">
        <v>1249</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64">
      <c r="A139" s="1" t="s">
        <v>1250</v>
      </c>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P139">
        <v>1.69</v>
      </c>
      <c r="AQ139">
        <v>1.69</v>
      </c>
      <c r="AR139">
        <v>1.56</v>
      </c>
      <c r="AS139">
        <v>1.35</v>
      </c>
      <c r="AT139">
        <v>1.24</v>
      </c>
      <c r="AU139">
        <v>1.25</v>
      </c>
      <c r="AV139">
        <v>1.25</v>
      </c>
      <c r="AW139">
        <v>1.2</v>
      </c>
      <c r="AX139">
        <v>1.08</v>
      </c>
      <c r="AY139">
        <v>1.0900000000000001</v>
      </c>
      <c r="AZ139">
        <v>1.04</v>
      </c>
      <c r="BA139">
        <v>0.89</v>
      </c>
      <c r="BB139">
        <v>0.94</v>
      </c>
      <c r="BC139">
        <v>0.93</v>
      </c>
      <c r="BD139">
        <v>0.92</v>
      </c>
      <c r="BE139">
        <v>0.96</v>
      </c>
      <c r="BF139">
        <v>0.99</v>
      </c>
      <c r="BG139">
        <v>0.98</v>
      </c>
      <c r="BH139">
        <v>0.98</v>
      </c>
      <c r="BI139">
        <v>0.99</v>
      </c>
      <c r="BJ139">
        <v>0.94</v>
      </c>
      <c r="BK139">
        <v>0.91</v>
      </c>
      <c r="BL139">
        <v>0.95</v>
      </c>
    </row>
    <row r="140" spans="1:64">
      <c r="A140" s="1" t="s">
        <v>1251</v>
      </c>
      <c r="B140" s="1">
        <v>4.76</v>
      </c>
      <c r="C140" s="1">
        <v>4.76</v>
      </c>
      <c r="D140" s="1">
        <v>4.76</v>
      </c>
      <c r="E140" s="1">
        <v>4.76</v>
      </c>
      <c r="F140" s="1">
        <v>4.76</v>
      </c>
      <c r="G140" s="1">
        <v>4.76</v>
      </c>
      <c r="H140" s="1">
        <v>4.76</v>
      </c>
      <c r="I140" s="1">
        <v>4.8600000000000003</v>
      </c>
      <c r="J140" s="1">
        <v>5.95</v>
      </c>
      <c r="K140" s="1">
        <v>5.95</v>
      </c>
      <c r="L140" s="1">
        <v>5.95</v>
      </c>
      <c r="M140" s="1">
        <v>5.93</v>
      </c>
      <c r="N140" s="1">
        <v>5.97</v>
      </c>
      <c r="O140" s="1">
        <v>6.4</v>
      </c>
      <c r="P140" s="1">
        <v>6.65</v>
      </c>
      <c r="Q140" s="1">
        <v>7.01</v>
      </c>
      <c r="R140" s="1">
        <v>8.41</v>
      </c>
      <c r="S140" s="1">
        <v>8.8699999999999992</v>
      </c>
      <c r="T140" s="1">
        <v>15.61</v>
      </c>
      <c r="U140" s="1">
        <v>15.57</v>
      </c>
      <c r="V140" s="1">
        <v>16.53</v>
      </c>
      <c r="W140" s="1">
        <v>19.25</v>
      </c>
      <c r="X140" s="1">
        <v>20.81</v>
      </c>
      <c r="Y140" s="1">
        <v>23.53</v>
      </c>
      <c r="Z140" s="1">
        <v>25.44</v>
      </c>
      <c r="AA140">
        <v>27.16</v>
      </c>
      <c r="AB140">
        <v>28.02</v>
      </c>
      <c r="AC140">
        <v>29.44</v>
      </c>
      <c r="AD140">
        <v>31.81</v>
      </c>
      <c r="AE140">
        <v>36.049999999999997</v>
      </c>
      <c r="AF140">
        <v>40.06</v>
      </c>
      <c r="AG140">
        <v>41.37</v>
      </c>
      <c r="AH140">
        <v>43.83</v>
      </c>
      <c r="AI140">
        <v>48.32</v>
      </c>
      <c r="AJ140">
        <v>49.42</v>
      </c>
      <c r="AK140">
        <v>51.25</v>
      </c>
      <c r="AL140">
        <v>55.27</v>
      </c>
      <c r="AM140">
        <v>58.99</v>
      </c>
      <c r="AN140">
        <v>64.45</v>
      </c>
      <c r="AO140">
        <v>70.64</v>
      </c>
      <c r="AP140">
        <v>77.010000000000005</v>
      </c>
      <c r="AQ140">
        <v>89.38</v>
      </c>
      <c r="AR140">
        <v>95.66</v>
      </c>
      <c r="AS140">
        <v>96.52</v>
      </c>
      <c r="AT140">
        <v>101.19</v>
      </c>
      <c r="AU140">
        <v>100.5</v>
      </c>
      <c r="AV140">
        <v>103.91</v>
      </c>
      <c r="AW140">
        <v>110.62</v>
      </c>
      <c r="AX140">
        <v>108.33</v>
      </c>
      <c r="AY140">
        <v>114.94</v>
      </c>
      <c r="AZ140">
        <v>113.06</v>
      </c>
      <c r="BA140">
        <v>110.57</v>
      </c>
      <c r="BB140">
        <v>127.6</v>
      </c>
      <c r="BC140">
        <v>129.07</v>
      </c>
      <c r="BD140">
        <v>130.56</v>
      </c>
      <c r="BE140">
        <v>135.86000000000001</v>
      </c>
      <c r="BF140">
        <v>145.58000000000001</v>
      </c>
      <c r="BG140">
        <v>152.44999999999999</v>
      </c>
      <c r="BH140">
        <v>162.46</v>
      </c>
      <c r="BI140">
        <v>178.74</v>
      </c>
      <c r="BJ140">
        <v>185.59</v>
      </c>
      <c r="BK140">
        <v>198.76</v>
      </c>
    </row>
    <row r="141" spans="1:64">
      <c r="A141" s="1" t="s">
        <v>1252</v>
      </c>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64">
      <c r="A142" s="1" t="s">
        <v>1253</v>
      </c>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64">
      <c r="A143" s="1" t="s">
        <v>1254</v>
      </c>
      <c r="B143" s="1">
        <v>0.71</v>
      </c>
      <c r="C143" s="1">
        <v>0.71</v>
      </c>
      <c r="D143" s="1">
        <v>0.71</v>
      </c>
      <c r="E143" s="1">
        <v>0.71</v>
      </c>
      <c r="F143" s="1">
        <v>0.71</v>
      </c>
      <c r="G143" s="1">
        <v>0.71</v>
      </c>
      <c r="H143" s="1">
        <v>0.71</v>
      </c>
      <c r="I143" s="1">
        <v>0.71</v>
      </c>
      <c r="J143" s="1">
        <v>0.71</v>
      </c>
      <c r="K143" s="1">
        <v>0.71</v>
      </c>
      <c r="L143" s="1">
        <v>0.71</v>
      </c>
      <c r="M143" s="1">
        <v>0.72</v>
      </c>
      <c r="N143" s="1">
        <v>0.77</v>
      </c>
      <c r="O143" s="1">
        <v>0.69</v>
      </c>
      <c r="P143" s="1">
        <v>0.68</v>
      </c>
      <c r="Q143" s="1">
        <v>0.74</v>
      </c>
      <c r="R143" s="1">
        <v>0.87</v>
      </c>
      <c r="S143" s="1">
        <v>0.87</v>
      </c>
      <c r="T143" s="1">
        <v>0.87</v>
      </c>
      <c r="U143" s="1">
        <v>0.84</v>
      </c>
      <c r="V143" s="1">
        <v>0.78</v>
      </c>
      <c r="W143" s="1">
        <v>0.88</v>
      </c>
      <c r="X143" s="1">
        <v>1.0900000000000001</v>
      </c>
      <c r="Y143" s="1">
        <v>1.1100000000000001</v>
      </c>
      <c r="Z143" s="1">
        <v>1.48</v>
      </c>
      <c r="AA143">
        <v>2.23</v>
      </c>
      <c r="AB143">
        <v>2.29</v>
      </c>
      <c r="AC143">
        <v>2.04</v>
      </c>
      <c r="AD143">
        <v>2.27</v>
      </c>
      <c r="AE143">
        <v>2.62</v>
      </c>
      <c r="AF143">
        <v>2.59</v>
      </c>
      <c r="AG143">
        <v>2.76</v>
      </c>
      <c r="AH143">
        <v>2.85</v>
      </c>
      <c r="AI143">
        <v>3.27</v>
      </c>
      <c r="AJ143">
        <v>3.55</v>
      </c>
      <c r="AK143">
        <v>3.63</v>
      </c>
      <c r="AL143">
        <v>4.3</v>
      </c>
      <c r="AM143">
        <v>4.6100000000000003</v>
      </c>
      <c r="AN143">
        <v>5.53</v>
      </c>
      <c r="AO143">
        <v>6.11</v>
      </c>
      <c r="AP143">
        <v>6.94</v>
      </c>
      <c r="AQ143">
        <v>8.61</v>
      </c>
      <c r="AR143">
        <v>10.54</v>
      </c>
      <c r="AS143">
        <v>7.56</v>
      </c>
      <c r="AT143">
        <v>6.46</v>
      </c>
      <c r="AU143">
        <v>6.36</v>
      </c>
      <c r="AV143">
        <v>6.77</v>
      </c>
      <c r="AW143">
        <v>7.05</v>
      </c>
      <c r="AX143">
        <v>8.26</v>
      </c>
      <c r="AY143">
        <v>8.4700000000000006</v>
      </c>
      <c r="AZ143">
        <v>7.32</v>
      </c>
      <c r="BA143">
        <v>7.26</v>
      </c>
      <c r="BB143">
        <v>8.2100000000000009</v>
      </c>
      <c r="BC143">
        <v>9.66</v>
      </c>
      <c r="BD143">
        <v>10.85</v>
      </c>
      <c r="BE143">
        <v>12.76</v>
      </c>
      <c r="BF143">
        <v>14.71</v>
      </c>
      <c r="BG143">
        <v>13.32</v>
      </c>
      <c r="BH143">
        <v>13.23</v>
      </c>
      <c r="BI143">
        <v>14.45</v>
      </c>
      <c r="BJ143">
        <v>16.46</v>
      </c>
      <c r="BK143">
        <v>14.78</v>
      </c>
      <c r="BL143">
        <v>16.36</v>
      </c>
    </row>
    <row r="144" spans="1:64">
      <c r="A144" s="1" t="s">
        <v>1255</v>
      </c>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64">
      <c r="A145" s="1" t="s">
        <v>1256</v>
      </c>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H145">
        <v>1.77</v>
      </c>
      <c r="AI145">
        <v>4.34</v>
      </c>
      <c r="AJ145">
        <v>3.98</v>
      </c>
      <c r="AK145">
        <v>4</v>
      </c>
      <c r="AL145">
        <v>4</v>
      </c>
      <c r="AM145">
        <v>4</v>
      </c>
      <c r="AN145">
        <v>4</v>
      </c>
      <c r="AO145">
        <v>4</v>
      </c>
      <c r="AP145">
        <v>4</v>
      </c>
      <c r="AQ145">
        <v>4</v>
      </c>
      <c r="AR145">
        <v>3.68</v>
      </c>
      <c r="AS145">
        <v>3.06</v>
      </c>
      <c r="AT145">
        <v>2.78</v>
      </c>
      <c r="AU145">
        <v>2.77</v>
      </c>
      <c r="AV145">
        <v>2.75</v>
      </c>
      <c r="AW145">
        <v>2.52</v>
      </c>
      <c r="AX145">
        <v>2.36</v>
      </c>
      <c r="AY145">
        <v>2.48</v>
      </c>
      <c r="AZ145">
        <v>2.61</v>
      </c>
      <c r="BA145">
        <v>2.48</v>
      </c>
      <c r="BB145">
        <v>2.69</v>
      </c>
      <c r="BC145">
        <v>2.6</v>
      </c>
      <c r="BD145">
        <v>2.6</v>
      </c>
      <c r="BE145">
        <v>0.9</v>
      </c>
      <c r="BF145">
        <v>0.9</v>
      </c>
      <c r="BG145">
        <v>0.89</v>
      </c>
      <c r="BH145">
        <v>0.85</v>
      </c>
      <c r="BI145">
        <v>0.89</v>
      </c>
      <c r="BJ145">
        <v>0.88</v>
      </c>
      <c r="BK145">
        <v>0.85</v>
      </c>
      <c r="BL145">
        <v>0.95</v>
      </c>
    </row>
    <row r="146" spans="1:64">
      <c r="A146" s="1" t="s">
        <v>1257</v>
      </c>
      <c r="B146" s="1">
        <v>50</v>
      </c>
      <c r="C146" s="1">
        <v>50</v>
      </c>
      <c r="D146" s="1">
        <v>50</v>
      </c>
      <c r="E146" s="1">
        <v>50</v>
      </c>
      <c r="F146" s="1">
        <v>50</v>
      </c>
      <c r="G146" s="1">
        <v>50</v>
      </c>
      <c r="H146" s="1">
        <v>50</v>
      </c>
      <c r="I146" s="1">
        <v>50</v>
      </c>
      <c r="J146" s="1">
        <v>50</v>
      </c>
      <c r="K146" s="1">
        <v>50</v>
      </c>
      <c r="L146" s="1">
        <v>50</v>
      </c>
      <c r="M146" s="1">
        <v>49.06</v>
      </c>
      <c r="N146" s="1">
        <v>44.01</v>
      </c>
      <c r="O146" s="1">
        <v>38.979999999999997</v>
      </c>
      <c r="P146" s="1">
        <v>38.950000000000003</v>
      </c>
      <c r="Q146" s="1">
        <v>36.78</v>
      </c>
      <c r="R146" s="1">
        <v>38.61</v>
      </c>
      <c r="S146" s="1">
        <v>35.840000000000003</v>
      </c>
      <c r="T146" s="1">
        <v>31.49</v>
      </c>
      <c r="U146" s="1">
        <v>29.32</v>
      </c>
      <c r="V146" s="1">
        <v>29.24</v>
      </c>
      <c r="W146" s="1">
        <v>37.130000000000003</v>
      </c>
      <c r="X146" s="1">
        <v>45.69</v>
      </c>
      <c r="Y146" s="1">
        <v>51.13</v>
      </c>
      <c r="Z146" s="1">
        <v>57.78</v>
      </c>
      <c r="AA146">
        <v>59.38</v>
      </c>
      <c r="AB146">
        <v>44.67</v>
      </c>
      <c r="AC146">
        <v>37.33</v>
      </c>
      <c r="AD146">
        <v>36.770000000000003</v>
      </c>
      <c r="AE146">
        <v>39.4</v>
      </c>
      <c r="AF146">
        <v>33.42</v>
      </c>
      <c r="AG146">
        <v>34.15</v>
      </c>
      <c r="AH146">
        <v>32.15</v>
      </c>
      <c r="AI146">
        <v>34.6</v>
      </c>
      <c r="AJ146">
        <v>33.46</v>
      </c>
      <c r="AK146">
        <v>29.48</v>
      </c>
      <c r="AL146">
        <v>30.96</v>
      </c>
      <c r="AM146">
        <v>35.770000000000003</v>
      </c>
      <c r="AN146">
        <v>36.299999999999997</v>
      </c>
      <c r="AO146">
        <v>0.94</v>
      </c>
      <c r="AP146">
        <v>1.08</v>
      </c>
      <c r="AQ146">
        <v>1.1200000000000001</v>
      </c>
      <c r="AR146">
        <v>1.06</v>
      </c>
      <c r="AS146">
        <v>0.88</v>
      </c>
      <c r="AT146">
        <v>0.8</v>
      </c>
      <c r="AU146">
        <v>0.8</v>
      </c>
      <c r="AV146">
        <v>0.8</v>
      </c>
      <c r="AW146">
        <v>0.73</v>
      </c>
      <c r="AX146">
        <v>0.68</v>
      </c>
      <c r="AY146">
        <v>0.72</v>
      </c>
      <c r="AZ146">
        <v>0.75</v>
      </c>
      <c r="BA146">
        <v>0.72</v>
      </c>
      <c r="BB146">
        <v>0.78</v>
      </c>
      <c r="BC146">
        <v>0.75</v>
      </c>
      <c r="BD146">
        <v>0.75</v>
      </c>
      <c r="BE146">
        <v>0.9</v>
      </c>
      <c r="BF146">
        <v>0.9</v>
      </c>
      <c r="BG146">
        <v>0.89</v>
      </c>
      <c r="BH146">
        <v>0.85</v>
      </c>
      <c r="BI146">
        <v>0.89</v>
      </c>
      <c r="BJ146">
        <v>0.88</v>
      </c>
      <c r="BK146">
        <v>0.85</v>
      </c>
      <c r="BL146">
        <v>0.95</v>
      </c>
    </row>
    <row r="147" spans="1:64">
      <c r="A147" s="1" t="s">
        <v>1258</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H147">
        <v>0.74</v>
      </c>
      <c r="AI147">
        <v>0.68</v>
      </c>
      <c r="AJ147">
        <v>0.56000000000000005</v>
      </c>
      <c r="AK147">
        <v>0.53</v>
      </c>
      <c r="AL147">
        <v>0.55000000000000004</v>
      </c>
      <c r="AM147">
        <v>0.57999999999999996</v>
      </c>
      <c r="AN147">
        <v>0.59</v>
      </c>
      <c r="AO147">
        <v>0.59</v>
      </c>
      <c r="AP147">
        <v>0.61</v>
      </c>
      <c r="AQ147">
        <v>0.63</v>
      </c>
      <c r="AR147">
        <v>0.62</v>
      </c>
      <c r="AS147">
        <v>0.56999999999999995</v>
      </c>
      <c r="AT147">
        <v>0.54</v>
      </c>
      <c r="AU147">
        <v>0.56000000000000005</v>
      </c>
      <c r="AV147">
        <v>0.56000000000000005</v>
      </c>
      <c r="AW147">
        <v>0.51</v>
      </c>
      <c r="AX147">
        <v>0.48</v>
      </c>
      <c r="AY147">
        <v>0.51</v>
      </c>
      <c r="AZ147">
        <v>0.53</v>
      </c>
      <c r="BA147">
        <v>0.5</v>
      </c>
      <c r="BB147">
        <v>0.55000000000000004</v>
      </c>
      <c r="BC147">
        <v>0.53</v>
      </c>
      <c r="BD147">
        <v>0.75</v>
      </c>
      <c r="BE147">
        <v>0.9</v>
      </c>
      <c r="BF147">
        <v>0.9</v>
      </c>
      <c r="BG147">
        <v>0.89</v>
      </c>
      <c r="BH147">
        <v>0.85</v>
      </c>
      <c r="BI147">
        <v>0.89</v>
      </c>
      <c r="BJ147">
        <v>0.88</v>
      </c>
      <c r="BK147">
        <v>0.85</v>
      </c>
      <c r="BL147">
        <v>0.95</v>
      </c>
    </row>
    <row r="148" spans="1:64">
      <c r="A148" s="1" t="s">
        <v>1259</v>
      </c>
      <c r="B148" s="1"/>
      <c r="C148" s="1"/>
      <c r="D148" s="1"/>
      <c r="E148" s="1"/>
      <c r="F148" s="1"/>
      <c r="G148" s="1"/>
      <c r="H148" s="1"/>
      <c r="I148" s="1">
        <v>6.08</v>
      </c>
      <c r="J148" s="1">
        <v>6.07</v>
      </c>
      <c r="K148" s="1">
        <v>6.04</v>
      </c>
      <c r="L148" s="1">
        <v>6.05</v>
      </c>
      <c r="M148" s="1">
        <v>5.95</v>
      </c>
      <c r="N148" s="1">
        <v>5.71</v>
      </c>
      <c r="O148" s="1">
        <v>4.93</v>
      </c>
      <c r="P148" s="1">
        <v>5.04</v>
      </c>
      <c r="Q148" s="1">
        <v>5.13</v>
      </c>
      <c r="R148" s="1">
        <v>6.06</v>
      </c>
      <c r="S148" s="1">
        <v>5.57</v>
      </c>
      <c r="T148" s="1">
        <v>5.03</v>
      </c>
      <c r="U148" s="1">
        <v>5.18</v>
      </c>
      <c r="V148" s="1">
        <v>5.09</v>
      </c>
      <c r="W148" s="1">
        <v>5.75</v>
      </c>
      <c r="X148" s="1">
        <v>6.23</v>
      </c>
      <c r="Y148" s="1">
        <v>7.46</v>
      </c>
      <c r="Z148" s="1">
        <v>8.0399999999999991</v>
      </c>
      <c r="AA148">
        <v>8</v>
      </c>
      <c r="AB148">
        <v>8.01</v>
      </c>
      <c r="AC148">
        <v>8.01</v>
      </c>
      <c r="AD148">
        <v>8.0399999999999991</v>
      </c>
      <c r="AE148">
        <v>8.0299999999999994</v>
      </c>
      <c r="AF148">
        <v>8.02</v>
      </c>
      <c r="AG148">
        <v>8</v>
      </c>
      <c r="AH148">
        <v>7.97</v>
      </c>
      <c r="AI148">
        <v>7.97</v>
      </c>
      <c r="AJ148">
        <v>7.96</v>
      </c>
      <c r="AK148">
        <v>7.97</v>
      </c>
      <c r="AL148">
        <v>7.97</v>
      </c>
      <c r="AM148">
        <v>7.98</v>
      </c>
      <c r="AN148">
        <v>7.98</v>
      </c>
      <c r="AO148">
        <v>7.99</v>
      </c>
      <c r="AP148">
        <v>8.0299999999999994</v>
      </c>
      <c r="AQ148">
        <v>8.0299999999999994</v>
      </c>
      <c r="AR148">
        <v>8.0299999999999994</v>
      </c>
      <c r="AS148">
        <v>8.02</v>
      </c>
      <c r="AT148">
        <v>8.02</v>
      </c>
      <c r="AU148">
        <v>8.01</v>
      </c>
      <c r="AV148">
        <v>8</v>
      </c>
      <c r="AW148">
        <v>8.0399999999999991</v>
      </c>
      <c r="AX148">
        <v>8.02</v>
      </c>
      <c r="AY148">
        <v>7.98</v>
      </c>
      <c r="AZ148">
        <v>8</v>
      </c>
      <c r="BA148">
        <v>8.02</v>
      </c>
      <c r="BB148">
        <v>7.99</v>
      </c>
      <c r="BC148">
        <v>7.99</v>
      </c>
      <c r="BD148">
        <v>7.99</v>
      </c>
      <c r="BE148">
        <v>7.98</v>
      </c>
      <c r="BF148">
        <v>8</v>
      </c>
      <c r="BG148">
        <v>8.0299999999999994</v>
      </c>
      <c r="BH148">
        <v>8.07</v>
      </c>
      <c r="BI148">
        <v>8.07</v>
      </c>
      <c r="BJ148">
        <v>7.99</v>
      </c>
      <c r="BK148">
        <v>8.01</v>
      </c>
      <c r="BL148">
        <v>8.07</v>
      </c>
    </row>
    <row r="149" spans="1:64">
      <c r="A149" s="1" t="s">
        <v>1260</v>
      </c>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64">
      <c r="A150" s="1" t="s">
        <v>1261</v>
      </c>
      <c r="B150" s="1">
        <v>5.0599999999999996</v>
      </c>
      <c r="C150" s="1">
        <v>5.0599999999999996</v>
      </c>
      <c r="D150" s="1">
        <v>5.0599999999999996</v>
      </c>
      <c r="E150" s="1">
        <v>5.0599999999999996</v>
      </c>
      <c r="F150" s="1">
        <v>5.0599999999999996</v>
      </c>
      <c r="G150" s="1">
        <v>5.0599999999999996</v>
      </c>
      <c r="H150" s="1">
        <v>5.0599999999999996</v>
      </c>
      <c r="I150" s="1">
        <v>5.0599999999999996</v>
      </c>
      <c r="J150" s="1">
        <v>5.0599999999999996</v>
      </c>
      <c r="K150" s="1">
        <v>5.0599999999999996</v>
      </c>
      <c r="L150" s="1">
        <v>5.0599999999999996</v>
      </c>
      <c r="M150" s="1">
        <v>5.05</v>
      </c>
      <c r="N150" s="1">
        <v>4.59</v>
      </c>
      <c r="O150" s="1">
        <v>4.1100000000000003</v>
      </c>
      <c r="P150" s="1">
        <v>4.37</v>
      </c>
      <c r="Q150" s="1">
        <v>4.05</v>
      </c>
      <c r="R150" s="1">
        <v>4.42</v>
      </c>
      <c r="S150" s="1">
        <v>4.5</v>
      </c>
      <c r="T150" s="1">
        <v>4.17</v>
      </c>
      <c r="U150" s="1">
        <v>3.9</v>
      </c>
      <c r="V150" s="1">
        <v>3.94</v>
      </c>
      <c r="W150" s="1">
        <v>5.17</v>
      </c>
      <c r="X150" s="1">
        <v>6.02</v>
      </c>
      <c r="Y150" s="1">
        <v>7.11</v>
      </c>
      <c r="Z150" s="1">
        <v>8.81</v>
      </c>
      <c r="AA150">
        <v>10.06</v>
      </c>
      <c r="AB150">
        <v>9.1</v>
      </c>
      <c r="AC150">
        <v>8.36</v>
      </c>
      <c r="AD150">
        <v>8.2100000000000009</v>
      </c>
      <c r="AE150">
        <v>8.49</v>
      </c>
      <c r="AF150">
        <v>8.24</v>
      </c>
      <c r="AG150">
        <v>8.7100000000000009</v>
      </c>
      <c r="AH150">
        <v>8.5399999999999991</v>
      </c>
      <c r="AI150">
        <v>9.3000000000000007</v>
      </c>
      <c r="AJ150">
        <v>9.1999999999999993</v>
      </c>
      <c r="AK150">
        <v>8.5399999999999991</v>
      </c>
      <c r="AL150">
        <v>8.7200000000000006</v>
      </c>
      <c r="AM150">
        <v>9.5299999999999994</v>
      </c>
      <c r="AN150">
        <v>9.6</v>
      </c>
      <c r="AO150">
        <v>9.8000000000000007</v>
      </c>
      <c r="AP150">
        <v>10.63</v>
      </c>
      <c r="AQ150">
        <v>11.3</v>
      </c>
      <c r="AR150">
        <v>11.02</v>
      </c>
      <c r="AS150">
        <v>9.57</v>
      </c>
      <c r="AT150">
        <v>8.8699999999999992</v>
      </c>
      <c r="AU150">
        <v>8.8699999999999992</v>
      </c>
      <c r="AV150">
        <v>8.8000000000000007</v>
      </c>
      <c r="AW150">
        <v>8.19</v>
      </c>
      <c r="AX150">
        <v>7.75</v>
      </c>
      <c r="AY150">
        <v>8.06</v>
      </c>
      <c r="AZ150">
        <v>8.42</v>
      </c>
      <c r="BA150">
        <v>8.09</v>
      </c>
      <c r="BB150">
        <v>8.6300000000000008</v>
      </c>
      <c r="BC150">
        <v>8.41</v>
      </c>
      <c r="BD150">
        <v>8.41</v>
      </c>
      <c r="BE150">
        <v>9.76</v>
      </c>
      <c r="BF150">
        <v>9.81</v>
      </c>
      <c r="BG150">
        <v>9.69</v>
      </c>
      <c r="BH150">
        <v>9.39</v>
      </c>
      <c r="BI150">
        <v>9.6199999999999992</v>
      </c>
      <c r="BJ150">
        <v>9.5</v>
      </c>
      <c r="BK150">
        <v>8.99</v>
      </c>
      <c r="BL150">
        <v>10.16</v>
      </c>
    </row>
    <row r="151" spans="1:64">
      <c r="A151" s="1" t="s">
        <v>1262</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P151">
        <v>1.0900000000000001</v>
      </c>
      <c r="AQ151">
        <v>1.1000000000000001</v>
      </c>
      <c r="AR151">
        <v>1.04</v>
      </c>
      <c r="AS151">
        <v>0.88</v>
      </c>
      <c r="AT151">
        <v>0.8</v>
      </c>
      <c r="AU151">
        <v>0.8</v>
      </c>
      <c r="AV151">
        <v>0.8</v>
      </c>
      <c r="AW151">
        <v>0.73</v>
      </c>
      <c r="AX151">
        <v>0.68</v>
      </c>
      <c r="AY151">
        <v>0.72</v>
      </c>
      <c r="AZ151">
        <v>0.75</v>
      </c>
      <c r="BA151">
        <v>0.72</v>
      </c>
      <c r="BB151">
        <v>0.78</v>
      </c>
      <c r="BC151">
        <v>0.75</v>
      </c>
      <c r="BD151">
        <v>0.75</v>
      </c>
      <c r="BE151">
        <v>0.9</v>
      </c>
      <c r="BF151">
        <v>0.9</v>
      </c>
      <c r="BG151">
        <v>0.89</v>
      </c>
      <c r="BH151">
        <v>0.85</v>
      </c>
      <c r="BI151">
        <v>0.89</v>
      </c>
      <c r="BJ151">
        <v>0.88</v>
      </c>
      <c r="BK151">
        <v>0.85</v>
      </c>
      <c r="BL151">
        <v>0.95</v>
      </c>
    </row>
    <row r="152" spans="1:64">
      <c r="A152" s="1" t="s">
        <v>1263</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K152">
        <v>4.5</v>
      </c>
      <c r="AL152">
        <v>4.5999999999999996</v>
      </c>
      <c r="AM152">
        <v>4.62</v>
      </c>
      <c r="AN152">
        <v>5.37</v>
      </c>
      <c r="AO152">
        <v>10.52</v>
      </c>
      <c r="AP152">
        <v>12.43</v>
      </c>
      <c r="AQ152">
        <v>12.87</v>
      </c>
      <c r="AR152">
        <v>13.57</v>
      </c>
      <c r="AS152">
        <v>13.94</v>
      </c>
      <c r="AT152">
        <v>12.33</v>
      </c>
      <c r="AU152">
        <v>12.6</v>
      </c>
      <c r="AV152">
        <v>13.13</v>
      </c>
      <c r="AW152">
        <v>12.14</v>
      </c>
      <c r="AX152">
        <v>10.39</v>
      </c>
      <c r="AY152">
        <v>11.11</v>
      </c>
      <c r="AZ152">
        <v>12.37</v>
      </c>
      <c r="BA152">
        <v>11.74</v>
      </c>
      <c r="BB152">
        <v>12.11</v>
      </c>
      <c r="BC152">
        <v>12.59</v>
      </c>
      <c r="BD152">
        <v>14.04</v>
      </c>
      <c r="BE152">
        <v>18.82</v>
      </c>
      <c r="BF152">
        <v>19.920000000000002</v>
      </c>
      <c r="BG152">
        <v>18.5</v>
      </c>
      <c r="BH152">
        <v>16.8</v>
      </c>
      <c r="BI152">
        <v>17.57</v>
      </c>
      <c r="BJ152">
        <v>17.32</v>
      </c>
      <c r="BK152">
        <v>17.68</v>
      </c>
      <c r="BL152">
        <v>18.899999999999999</v>
      </c>
    </row>
    <row r="153" spans="1:64">
      <c r="A153" s="1" t="s">
        <v>1264</v>
      </c>
      <c r="B153" s="1">
        <v>49.37</v>
      </c>
      <c r="C153" s="1">
        <v>49.37</v>
      </c>
      <c r="D153" s="1">
        <v>49.37</v>
      </c>
      <c r="E153" s="1">
        <v>49.37</v>
      </c>
      <c r="F153" s="1">
        <v>49.37</v>
      </c>
      <c r="G153" s="1">
        <v>49.37</v>
      </c>
      <c r="H153" s="1">
        <v>49.37</v>
      </c>
      <c r="I153" s="1">
        <v>49.37</v>
      </c>
      <c r="J153" s="1">
        <v>49.37</v>
      </c>
      <c r="K153" s="1">
        <v>51.94</v>
      </c>
      <c r="L153" s="1">
        <v>55.54</v>
      </c>
      <c r="M153" s="1">
        <v>55.43</v>
      </c>
      <c r="N153" s="1">
        <v>50.41</v>
      </c>
      <c r="O153" s="1">
        <v>44.58</v>
      </c>
      <c r="P153" s="1">
        <v>48.14</v>
      </c>
      <c r="Q153" s="1">
        <v>42.86</v>
      </c>
      <c r="R153" s="1">
        <v>47.79</v>
      </c>
      <c r="S153" s="1">
        <v>49.14</v>
      </c>
      <c r="T153" s="1">
        <v>45.13</v>
      </c>
      <c r="U153" s="1">
        <v>42.54</v>
      </c>
      <c r="V153" s="1">
        <v>42.26</v>
      </c>
      <c r="W153" s="1">
        <v>54.35</v>
      </c>
      <c r="X153" s="1">
        <v>69.95</v>
      </c>
      <c r="Y153" s="1">
        <v>86.09</v>
      </c>
      <c r="Z153" s="1">
        <v>115.33</v>
      </c>
      <c r="AA153">
        <v>132.5</v>
      </c>
      <c r="AB153">
        <v>135.27000000000001</v>
      </c>
      <c r="AC153">
        <v>213.84</v>
      </c>
      <c r="AD153">
        <v>281.42</v>
      </c>
      <c r="AE153">
        <v>320.69</v>
      </c>
      <c r="AF153">
        <v>298.83</v>
      </c>
      <c r="AG153">
        <v>367.07</v>
      </c>
      <c r="AH153">
        <v>372.79</v>
      </c>
      <c r="AI153">
        <v>382.76</v>
      </c>
      <c r="AJ153">
        <v>613.47</v>
      </c>
      <c r="AK153">
        <v>853.13</v>
      </c>
      <c r="AL153">
        <v>812.25</v>
      </c>
      <c r="AM153">
        <v>1018.18</v>
      </c>
      <c r="AN153">
        <v>1088.28</v>
      </c>
      <c r="AO153">
        <v>1256.76</v>
      </c>
      <c r="AP153">
        <v>1353.5</v>
      </c>
      <c r="AQ153">
        <v>1317.7</v>
      </c>
      <c r="AR153">
        <v>1366.39</v>
      </c>
      <c r="AS153">
        <v>1238.33</v>
      </c>
      <c r="AT153">
        <v>1868.86</v>
      </c>
      <c r="AU153">
        <v>2003.03</v>
      </c>
      <c r="AV153">
        <v>2142.3000000000002</v>
      </c>
      <c r="AW153">
        <v>1873.88</v>
      </c>
      <c r="AX153">
        <v>1708.37</v>
      </c>
      <c r="AY153">
        <v>1956.21</v>
      </c>
      <c r="AZ153">
        <v>2089.9499999999998</v>
      </c>
      <c r="BA153">
        <v>2025.12</v>
      </c>
      <c r="BB153">
        <v>2194.9699999999998</v>
      </c>
      <c r="BC153">
        <v>2206.91</v>
      </c>
      <c r="BD153">
        <v>2414.81</v>
      </c>
      <c r="BE153">
        <v>2933.51</v>
      </c>
      <c r="BF153">
        <v>3176.54</v>
      </c>
      <c r="BG153">
        <v>3116.11</v>
      </c>
      <c r="BH153">
        <v>3334.75</v>
      </c>
      <c r="BI153">
        <v>3618.32</v>
      </c>
      <c r="BJ153">
        <v>3787.75</v>
      </c>
      <c r="BK153">
        <v>3829.98</v>
      </c>
      <c r="BL153">
        <v>4096.12</v>
      </c>
    </row>
    <row r="154" spans="1:64">
      <c r="A154" s="1" t="s">
        <v>1265</v>
      </c>
      <c r="B154" s="1">
        <v>4.76</v>
      </c>
      <c r="C154" s="1">
        <v>4.76</v>
      </c>
      <c r="D154" s="1">
        <v>4.76</v>
      </c>
      <c r="E154" s="1">
        <v>4.76</v>
      </c>
      <c r="F154" s="1">
        <v>4.76</v>
      </c>
      <c r="G154" s="1">
        <v>4.76</v>
      </c>
      <c r="H154" s="1">
        <v>4.76</v>
      </c>
      <c r="I154" s="1">
        <v>4.76</v>
      </c>
      <c r="J154" s="1">
        <v>4.75</v>
      </c>
      <c r="K154" s="1">
        <v>4.75</v>
      </c>
      <c r="L154" s="1">
        <v>4.75</v>
      </c>
      <c r="M154" s="1">
        <v>4.7300000000000004</v>
      </c>
      <c r="N154" s="1">
        <v>4.37</v>
      </c>
      <c r="O154" s="1">
        <v>3.99</v>
      </c>
      <c r="P154" s="1">
        <v>3.93</v>
      </c>
      <c r="Q154" s="1">
        <v>5.76</v>
      </c>
      <c r="R154" s="1">
        <v>8.36</v>
      </c>
      <c r="S154" s="1">
        <v>8.77</v>
      </c>
      <c r="T154" s="1">
        <v>8.9700000000000006</v>
      </c>
      <c r="U154" s="1">
        <v>7.49</v>
      </c>
      <c r="V154" s="1">
        <v>7.55</v>
      </c>
      <c r="W154" s="1">
        <v>7.55</v>
      </c>
      <c r="X154" s="1">
        <v>7.17</v>
      </c>
      <c r="Y154" s="1">
        <v>7.05</v>
      </c>
      <c r="Z154" s="1">
        <v>7.05</v>
      </c>
      <c r="AA154">
        <v>7.1</v>
      </c>
      <c r="AB154">
        <v>7.15</v>
      </c>
      <c r="AC154">
        <v>9.2200000000000006</v>
      </c>
      <c r="AD154">
        <v>8.7799999999999994</v>
      </c>
      <c r="AE154">
        <v>9.0399999999999991</v>
      </c>
      <c r="AF154">
        <v>9.5500000000000007</v>
      </c>
      <c r="AG154">
        <v>10.25</v>
      </c>
      <c r="AH154">
        <v>10.57</v>
      </c>
      <c r="AI154">
        <v>10.96</v>
      </c>
      <c r="AJ154">
        <v>11.59</v>
      </c>
      <c r="AK154">
        <v>11.77</v>
      </c>
      <c r="AL154">
        <v>11.77</v>
      </c>
      <c r="AM154">
        <v>11.77</v>
      </c>
      <c r="AN154">
        <v>11.77</v>
      </c>
      <c r="AO154">
        <v>11.77</v>
      </c>
      <c r="AP154">
        <v>11.77</v>
      </c>
      <c r="AQ154">
        <v>12.24</v>
      </c>
      <c r="AR154">
        <v>12.8</v>
      </c>
      <c r="AS154">
        <v>12.8</v>
      </c>
      <c r="AT154">
        <v>12.8</v>
      </c>
      <c r="AU154">
        <v>12.8</v>
      </c>
      <c r="AV154">
        <v>12.8</v>
      </c>
      <c r="AW154">
        <v>12.8</v>
      </c>
      <c r="AX154">
        <v>12.8</v>
      </c>
      <c r="AY154">
        <v>12.8</v>
      </c>
      <c r="AZ154">
        <v>12.8</v>
      </c>
      <c r="BA154">
        <v>14.6</v>
      </c>
      <c r="BB154">
        <v>15.36</v>
      </c>
      <c r="BC154">
        <v>15.37</v>
      </c>
      <c r="BD154">
        <v>15.38</v>
      </c>
      <c r="BE154">
        <v>15.37</v>
      </c>
      <c r="BF154">
        <v>15.37</v>
      </c>
      <c r="BG154">
        <v>15.39</v>
      </c>
      <c r="BH154">
        <v>15.39</v>
      </c>
      <c r="BI154">
        <v>15.38</v>
      </c>
      <c r="BJ154">
        <v>15.38</v>
      </c>
      <c r="BK154">
        <v>15.37</v>
      </c>
      <c r="BL154">
        <v>15.39</v>
      </c>
    </row>
    <row r="155" spans="1:64">
      <c r="A155" s="1" t="s">
        <v>1266</v>
      </c>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64">
      <c r="A156" s="1" t="s">
        <v>281</v>
      </c>
      <c r="B156" s="1">
        <v>0.01</v>
      </c>
      <c r="C156" s="1">
        <v>0.01</v>
      </c>
      <c r="D156" s="1">
        <v>0.01</v>
      </c>
      <c r="E156" s="1">
        <v>0.01</v>
      </c>
      <c r="F156" s="1">
        <v>0.01</v>
      </c>
      <c r="G156" s="1">
        <v>0.01</v>
      </c>
      <c r="H156" s="1">
        <v>0.01</v>
      </c>
      <c r="I156" s="1">
        <v>0.01</v>
      </c>
      <c r="J156" s="1">
        <v>0.01</v>
      </c>
      <c r="K156" s="1">
        <v>0.01</v>
      </c>
      <c r="L156" s="1">
        <v>0.01</v>
      </c>
      <c r="M156" s="1">
        <v>0.01</v>
      </c>
      <c r="N156" s="1">
        <v>0.01</v>
      </c>
      <c r="O156" s="1">
        <v>0.01</v>
      </c>
      <c r="P156" s="1">
        <v>0.01</v>
      </c>
      <c r="Q156" s="1">
        <v>0.01</v>
      </c>
      <c r="R156" s="1">
        <v>0.02</v>
      </c>
      <c r="S156" s="1">
        <v>0.02</v>
      </c>
      <c r="T156" s="1">
        <v>0.02</v>
      </c>
      <c r="U156" s="1">
        <v>0.02</v>
      </c>
      <c r="V156" s="1">
        <v>0.02</v>
      </c>
      <c r="W156" s="1">
        <v>0.02</v>
      </c>
      <c r="X156" s="1">
        <v>0.06</v>
      </c>
      <c r="Y156" s="1">
        <v>0.12</v>
      </c>
      <c r="Z156" s="1">
        <v>0.17</v>
      </c>
      <c r="AA156">
        <v>0.26</v>
      </c>
      <c r="AB156">
        <v>0.61</v>
      </c>
      <c r="AC156">
        <v>1.38</v>
      </c>
      <c r="AD156">
        <v>2.27</v>
      </c>
      <c r="AE156">
        <v>2.46</v>
      </c>
      <c r="AF156">
        <v>2.81</v>
      </c>
      <c r="AG156">
        <v>3.02</v>
      </c>
      <c r="AH156">
        <v>3.09</v>
      </c>
      <c r="AI156">
        <v>3.12</v>
      </c>
      <c r="AJ156">
        <v>3.38</v>
      </c>
      <c r="AK156">
        <v>6.42</v>
      </c>
      <c r="AL156">
        <v>7.6</v>
      </c>
      <c r="AM156">
        <v>7.92</v>
      </c>
      <c r="AN156">
        <v>9.14</v>
      </c>
      <c r="AO156">
        <v>9.56</v>
      </c>
      <c r="AP156">
        <v>9.4600000000000009</v>
      </c>
      <c r="AQ156">
        <v>9.34</v>
      </c>
      <c r="AR156">
        <v>9.66</v>
      </c>
      <c r="AS156">
        <v>10.79</v>
      </c>
      <c r="AT156">
        <v>11.29</v>
      </c>
      <c r="AU156">
        <v>10.9</v>
      </c>
      <c r="AV156">
        <v>10.9</v>
      </c>
      <c r="AW156">
        <v>10.93</v>
      </c>
      <c r="AX156">
        <v>11.13</v>
      </c>
      <c r="AY156">
        <v>13.51</v>
      </c>
      <c r="AZ156">
        <v>12.64</v>
      </c>
      <c r="BA156">
        <v>12.42</v>
      </c>
      <c r="BB156">
        <v>13.17</v>
      </c>
      <c r="BC156">
        <v>12.77</v>
      </c>
      <c r="BD156">
        <v>13.29</v>
      </c>
      <c r="BE156">
        <v>15.85</v>
      </c>
      <c r="BF156">
        <v>18.66</v>
      </c>
      <c r="BG156">
        <v>18.93</v>
      </c>
      <c r="BH156">
        <v>19.239999999999998</v>
      </c>
      <c r="BI156">
        <v>19.260000000000002</v>
      </c>
      <c r="BJ156">
        <v>21.49</v>
      </c>
      <c r="BK156">
        <v>20.27</v>
      </c>
      <c r="BL156">
        <v>20.13</v>
      </c>
    </row>
    <row r="157" spans="1:64">
      <c r="A157" s="1" t="s">
        <v>1267</v>
      </c>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1</v>
      </c>
      <c r="BJ157">
        <v>1</v>
      </c>
      <c r="BK157">
        <v>1</v>
      </c>
      <c r="BL157">
        <v>1</v>
      </c>
    </row>
    <row r="158" spans="1:64">
      <c r="A158" s="1" t="s">
        <v>1268</v>
      </c>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64">
      <c r="A159" s="1" t="s">
        <v>1269</v>
      </c>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J159">
        <v>43.26</v>
      </c>
      <c r="AK159">
        <v>37.880000000000003</v>
      </c>
      <c r="AL159">
        <v>39.979999999999997</v>
      </c>
      <c r="AM159">
        <v>50</v>
      </c>
      <c r="AN159">
        <v>54.46</v>
      </c>
      <c r="AO159">
        <v>56.9</v>
      </c>
      <c r="AP159">
        <v>65.900000000000006</v>
      </c>
      <c r="AQ159">
        <v>68.040000000000006</v>
      </c>
      <c r="AR159">
        <v>64.349999999999994</v>
      </c>
      <c r="AS159">
        <v>54.32</v>
      </c>
      <c r="AT159">
        <v>49.41</v>
      </c>
      <c r="AU159">
        <v>49.28</v>
      </c>
      <c r="AV159">
        <v>48.8</v>
      </c>
      <c r="AW159">
        <v>44.73</v>
      </c>
      <c r="AX159">
        <v>41.87</v>
      </c>
      <c r="AY159">
        <v>44.1</v>
      </c>
      <c r="AZ159">
        <v>46.49</v>
      </c>
      <c r="BA159">
        <v>44.23</v>
      </c>
      <c r="BB159">
        <v>47.89</v>
      </c>
      <c r="BC159">
        <v>46.4</v>
      </c>
      <c r="BD159">
        <v>46.44</v>
      </c>
      <c r="BE159">
        <v>55.54</v>
      </c>
      <c r="BF159">
        <v>55.73</v>
      </c>
      <c r="BG159">
        <v>54.67</v>
      </c>
      <c r="BH159">
        <v>52.11</v>
      </c>
      <c r="BI159">
        <v>54.95</v>
      </c>
      <c r="BJ159">
        <v>54.14</v>
      </c>
      <c r="BK159">
        <v>52.1</v>
      </c>
      <c r="BL159">
        <v>58.57</v>
      </c>
    </row>
    <row r="160" spans="1:64">
      <c r="A160" s="1" t="s">
        <v>1270</v>
      </c>
      <c r="B160" s="1">
        <v>245.2</v>
      </c>
      <c r="C160" s="1">
        <v>245.26</v>
      </c>
      <c r="D160" s="1">
        <v>245.01</v>
      </c>
      <c r="E160" s="1">
        <v>245.02</v>
      </c>
      <c r="F160" s="1">
        <v>245.03</v>
      </c>
      <c r="G160" s="1">
        <v>245.06</v>
      </c>
      <c r="H160" s="1">
        <v>245.68</v>
      </c>
      <c r="I160" s="1">
        <v>246</v>
      </c>
      <c r="J160" s="1">
        <v>247.56</v>
      </c>
      <c r="K160" s="1">
        <v>259.95999999999998</v>
      </c>
      <c r="L160" s="1">
        <v>276.39999999999998</v>
      </c>
      <c r="M160" s="1">
        <v>275.36</v>
      </c>
      <c r="N160" s="1">
        <v>252.03</v>
      </c>
      <c r="O160" s="1">
        <v>222.89</v>
      </c>
      <c r="P160" s="1">
        <v>240.7</v>
      </c>
      <c r="Q160" s="1">
        <v>214.31</v>
      </c>
      <c r="R160" s="1">
        <v>238.95</v>
      </c>
      <c r="S160" s="1">
        <v>245.68</v>
      </c>
      <c r="T160" s="1">
        <v>225.66</v>
      </c>
      <c r="U160" s="1">
        <v>212.72</v>
      </c>
      <c r="V160" s="1">
        <v>211.28</v>
      </c>
      <c r="W160" s="1">
        <v>271.73</v>
      </c>
      <c r="X160" s="1">
        <v>328.61</v>
      </c>
      <c r="Y160" s="1">
        <v>381.07</v>
      </c>
      <c r="Z160" s="1">
        <v>436.96</v>
      </c>
      <c r="AA160">
        <v>449.26</v>
      </c>
      <c r="AB160">
        <v>346.31</v>
      </c>
      <c r="AC160">
        <v>300.54000000000002</v>
      </c>
      <c r="AD160">
        <v>297.85000000000002</v>
      </c>
      <c r="AE160">
        <v>319.01</v>
      </c>
      <c r="AF160">
        <v>272.26</v>
      </c>
      <c r="AG160">
        <v>282.11</v>
      </c>
      <c r="AH160">
        <v>264.69</v>
      </c>
      <c r="AI160">
        <v>283.16000000000003</v>
      </c>
      <c r="AJ160">
        <v>555.20000000000005</v>
      </c>
      <c r="AK160">
        <v>499.15</v>
      </c>
      <c r="AL160">
        <v>511.55</v>
      </c>
      <c r="AM160">
        <v>583.66999999999996</v>
      </c>
      <c r="AN160">
        <v>589.95000000000005</v>
      </c>
      <c r="AO160">
        <v>615.47</v>
      </c>
      <c r="AP160">
        <v>710.21</v>
      </c>
      <c r="AQ160">
        <v>732.4</v>
      </c>
      <c r="AR160">
        <v>693.71</v>
      </c>
      <c r="AS160">
        <v>579.9</v>
      </c>
      <c r="AT160">
        <v>527.34</v>
      </c>
      <c r="AU160">
        <v>527.26</v>
      </c>
      <c r="AV160">
        <v>522.42999999999995</v>
      </c>
      <c r="AW160">
        <v>478.63</v>
      </c>
      <c r="AX160">
        <v>446</v>
      </c>
      <c r="AY160">
        <v>470.29</v>
      </c>
      <c r="AZ160">
        <v>494.79</v>
      </c>
      <c r="BA160">
        <v>471.25</v>
      </c>
      <c r="BB160">
        <v>510.56</v>
      </c>
      <c r="BC160">
        <v>493.9</v>
      </c>
      <c r="BD160">
        <v>493.76</v>
      </c>
      <c r="BE160">
        <v>591.21</v>
      </c>
      <c r="BF160">
        <v>592.61</v>
      </c>
      <c r="BG160">
        <v>580.66</v>
      </c>
      <c r="BH160">
        <v>555.45000000000005</v>
      </c>
      <c r="BI160">
        <v>585.91</v>
      </c>
      <c r="BJ160">
        <v>575.59</v>
      </c>
      <c r="BK160">
        <v>554.53</v>
      </c>
      <c r="BL160">
        <v>623.76</v>
      </c>
    </row>
    <row r="161" spans="1:64">
      <c r="A161" s="1" t="s">
        <v>1271</v>
      </c>
      <c r="B161" s="1">
        <v>0.36</v>
      </c>
      <c r="C161" s="1">
        <v>0.36</v>
      </c>
      <c r="D161" s="1">
        <v>0.36</v>
      </c>
      <c r="E161" s="1">
        <v>0.36</v>
      </c>
      <c r="F161" s="1">
        <v>0.36</v>
      </c>
      <c r="G161" s="1">
        <v>0.36</v>
      </c>
      <c r="H161" s="1">
        <v>0.36</v>
      </c>
      <c r="I161" s="1">
        <v>0.36</v>
      </c>
      <c r="J161" s="1">
        <v>0.42</v>
      </c>
      <c r="K161" s="1">
        <v>0.42</v>
      </c>
      <c r="L161" s="1">
        <v>0.42</v>
      </c>
      <c r="M161" s="1">
        <v>0.41</v>
      </c>
      <c r="N161" s="1">
        <v>0.38</v>
      </c>
      <c r="O161" s="1">
        <v>0.37</v>
      </c>
      <c r="P161" s="1">
        <v>0.39</v>
      </c>
      <c r="Q161" s="1">
        <v>0.38</v>
      </c>
      <c r="R161" s="1">
        <v>0.43</v>
      </c>
      <c r="S161" s="1">
        <v>0.42</v>
      </c>
      <c r="T161" s="1">
        <v>0.39</v>
      </c>
      <c r="U161" s="1">
        <v>0.36</v>
      </c>
      <c r="V161" s="1">
        <v>0.35</v>
      </c>
      <c r="W161" s="1">
        <v>0.39</v>
      </c>
      <c r="X161" s="1">
        <v>0.41</v>
      </c>
      <c r="Y161" s="1">
        <v>0.43</v>
      </c>
      <c r="Z161" s="1">
        <v>0.46</v>
      </c>
      <c r="AA161">
        <v>0.47</v>
      </c>
      <c r="AB161">
        <v>0.39</v>
      </c>
      <c r="AC161">
        <v>0.35</v>
      </c>
      <c r="AD161">
        <v>0.33</v>
      </c>
      <c r="AE161">
        <v>0.35</v>
      </c>
      <c r="AF161">
        <v>0.32</v>
      </c>
      <c r="AG161">
        <v>0.32</v>
      </c>
      <c r="AH161">
        <v>0.32</v>
      </c>
      <c r="AI161">
        <v>0.38</v>
      </c>
      <c r="AJ161">
        <v>0.38</v>
      </c>
      <c r="AK161">
        <v>0.35</v>
      </c>
      <c r="AL161">
        <v>0.36</v>
      </c>
      <c r="AM161">
        <v>0.39</v>
      </c>
      <c r="AN161">
        <v>0.39</v>
      </c>
      <c r="AO161">
        <v>0.4</v>
      </c>
      <c r="AP161">
        <v>0.44</v>
      </c>
      <c r="AQ161">
        <v>0.45</v>
      </c>
      <c r="AR161">
        <v>0.43</v>
      </c>
      <c r="AS161">
        <v>0.38</v>
      </c>
      <c r="AT161">
        <v>0.34</v>
      </c>
      <c r="AU161">
        <v>0.35</v>
      </c>
      <c r="AV161">
        <v>0.34</v>
      </c>
      <c r="AW161">
        <v>0.31</v>
      </c>
      <c r="AX161">
        <v>0.68</v>
      </c>
      <c r="AY161">
        <v>0.72</v>
      </c>
      <c r="AZ161">
        <v>0.75</v>
      </c>
      <c r="BA161">
        <v>0.72</v>
      </c>
      <c r="BB161">
        <v>0.78</v>
      </c>
      <c r="BC161">
        <v>0.75</v>
      </c>
      <c r="BD161">
        <v>0.75</v>
      </c>
      <c r="BE161">
        <v>0.9</v>
      </c>
      <c r="BF161">
        <v>0.9</v>
      </c>
      <c r="BG161">
        <v>0.89</v>
      </c>
      <c r="BH161">
        <v>0.85</v>
      </c>
      <c r="BI161">
        <v>0.89</v>
      </c>
      <c r="BJ161">
        <v>0.88</v>
      </c>
      <c r="BK161">
        <v>0.85</v>
      </c>
      <c r="BL161">
        <v>0.95</v>
      </c>
    </row>
    <row r="162" spans="1:64">
      <c r="A162" s="1" t="s">
        <v>1272</v>
      </c>
      <c r="B162" s="1">
        <v>4.76</v>
      </c>
      <c r="C162" s="1">
        <v>4.76</v>
      </c>
      <c r="D162" s="1">
        <v>4.76</v>
      </c>
      <c r="E162" s="1">
        <v>4.76</v>
      </c>
      <c r="F162" s="1">
        <v>4.76</v>
      </c>
      <c r="G162" s="1">
        <v>4.76</v>
      </c>
      <c r="H162" s="1">
        <v>4.76</v>
      </c>
      <c r="I162" s="1">
        <v>4.76</v>
      </c>
      <c r="J162" s="1">
        <v>4.76</v>
      </c>
      <c r="K162" s="1">
        <v>4.76</v>
      </c>
      <c r="L162" s="1">
        <v>4.76</v>
      </c>
      <c r="M162" s="1">
        <v>4.76</v>
      </c>
      <c r="N162" s="1">
        <v>5.46</v>
      </c>
      <c r="O162" s="1">
        <v>4.93</v>
      </c>
      <c r="P162" s="1">
        <v>4.8600000000000003</v>
      </c>
      <c r="Q162" s="1">
        <v>6.38</v>
      </c>
      <c r="R162" s="1">
        <v>6.71</v>
      </c>
      <c r="S162" s="1">
        <v>7.07</v>
      </c>
      <c r="T162" s="1">
        <v>6.8</v>
      </c>
      <c r="U162" s="1">
        <v>6.59</v>
      </c>
      <c r="V162" s="1">
        <v>6.54</v>
      </c>
      <c r="W162" s="1">
        <v>7.22</v>
      </c>
      <c r="X162" s="1">
        <v>7.71</v>
      </c>
      <c r="Y162" s="1">
        <v>7.96</v>
      </c>
      <c r="Z162" s="1">
        <v>8.3000000000000007</v>
      </c>
      <c r="AA162">
        <v>8.4700000000000006</v>
      </c>
      <c r="AB162">
        <v>7.33</v>
      </c>
      <c r="AC162">
        <v>6.65</v>
      </c>
      <c r="AD162">
        <v>6.39</v>
      </c>
      <c r="AE162">
        <v>6.7</v>
      </c>
      <c r="AF162">
        <v>6.34</v>
      </c>
      <c r="AG162">
        <v>6.28</v>
      </c>
      <c r="AH162">
        <v>6.1</v>
      </c>
      <c r="AI162">
        <v>6.16</v>
      </c>
      <c r="AJ162">
        <v>5.97</v>
      </c>
      <c r="AK162">
        <v>5.67</v>
      </c>
      <c r="AL162">
        <v>5.92</v>
      </c>
      <c r="AM162">
        <v>6.24</v>
      </c>
      <c r="AN162">
        <v>6.34</v>
      </c>
      <c r="AO162">
        <v>6.29</v>
      </c>
      <c r="AP162">
        <v>6.52</v>
      </c>
      <c r="AQ162">
        <v>6.75</v>
      </c>
      <c r="AR162">
        <v>6.64</v>
      </c>
      <c r="AS162">
        <v>6.14</v>
      </c>
      <c r="AT162">
        <v>5.81</v>
      </c>
      <c r="AU162">
        <v>5.82</v>
      </c>
      <c r="AV162">
        <v>5.84</v>
      </c>
      <c r="AW162">
        <v>5.62</v>
      </c>
      <c r="AX162">
        <v>5.44</v>
      </c>
      <c r="AY162">
        <v>5.58</v>
      </c>
      <c r="AZ162">
        <v>5.63</v>
      </c>
      <c r="BA162">
        <v>5.44</v>
      </c>
      <c r="BB162">
        <v>640.65</v>
      </c>
      <c r="BC162">
        <v>933.57</v>
      </c>
      <c r="BD162">
        <v>984.35</v>
      </c>
      <c r="BE162">
        <v>1162.6199999999999</v>
      </c>
      <c r="BF162">
        <v>1234.8699999999999</v>
      </c>
      <c r="BG162">
        <v>1360.36</v>
      </c>
      <c r="BH162">
        <v>1429.81</v>
      </c>
      <c r="BI162">
        <v>1518.26</v>
      </c>
      <c r="BJ162">
        <v>1381.62</v>
      </c>
    </row>
    <row r="163" spans="1:64">
      <c r="A163" s="1" t="s">
        <v>1273</v>
      </c>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64">
      <c r="A164" s="1" t="s">
        <v>1274</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O164">
        <v>0.94</v>
      </c>
      <c r="AP164">
        <v>1.08</v>
      </c>
      <c r="AQ164">
        <v>1.1200000000000001</v>
      </c>
      <c r="AR164">
        <v>1.06</v>
      </c>
      <c r="AS164">
        <v>0.88</v>
      </c>
      <c r="AT164">
        <v>0.8</v>
      </c>
      <c r="AU164">
        <v>0.8</v>
      </c>
      <c r="AV164">
        <v>0.8</v>
      </c>
      <c r="AW164">
        <v>0.73</v>
      </c>
      <c r="AX164">
        <v>0.68</v>
      </c>
      <c r="AY164">
        <v>0.72</v>
      </c>
      <c r="AZ164">
        <v>0.75</v>
      </c>
      <c r="BA164">
        <v>0.72</v>
      </c>
      <c r="BB164">
        <v>0.78</v>
      </c>
      <c r="BC164">
        <v>0.75</v>
      </c>
      <c r="BD164">
        <v>0.75</v>
      </c>
      <c r="BE164">
        <v>0.9</v>
      </c>
      <c r="BF164">
        <v>0.9</v>
      </c>
      <c r="BG164">
        <v>0.89</v>
      </c>
      <c r="BH164">
        <v>0.85</v>
      </c>
      <c r="BI164">
        <v>0.89</v>
      </c>
      <c r="BJ164">
        <v>0.88</v>
      </c>
      <c r="BK164">
        <v>0.85</v>
      </c>
      <c r="BL164">
        <v>0.95</v>
      </c>
    </row>
    <row r="165" spans="1:64">
      <c r="A165" s="1" t="s">
        <v>206</v>
      </c>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G165">
        <v>8.01</v>
      </c>
      <c r="AH165">
        <v>35.83</v>
      </c>
      <c r="AI165">
        <v>295.01</v>
      </c>
      <c r="AJ165">
        <v>412.72</v>
      </c>
      <c r="AK165">
        <v>448.61</v>
      </c>
      <c r="AL165">
        <v>548.4</v>
      </c>
      <c r="AM165">
        <v>789.99</v>
      </c>
      <c r="AN165">
        <v>840.83</v>
      </c>
      <c r="AO165">
        <v>1021.87</v>
      </c>
      <c r="AP165">
        <v>1076.67</v>
      </c>
      <c r="AQ165">
        <v>1097.7</v>
      </c>
      <c r="AR165">
        <v>1110.31</v>
      </c>
      <c r="AS165">
        <v>1146.54</v>
      </c>
      <c r="AT165">
        <v>1185.3</v>
      </c>
      <c r="AU165">
        <v>1205.25</v>
      </c>
      <c r="AV165">
        <v>1179.7</v>
      </c>
      <c r="AW165">
        <v>1170.4000000000001</v>
      </c>
      <c r="AX165">
        <v>1165.8</v>
      </c>
      <c r="AY165">
        <v>1437.8</v>
      </c>
      <c r="AZ165">
        <v>1357.06</v>
      </c>
      <c r="BA165">
        <v>1265.52</v>
      </c>
      <c r="BB165">
        <v>1357.58</v>
      </c>
      <c r="BC165">
        <v>1523.93</v>
      </c>
      <c r="BD165">
        <v>1817.94</v>
      </c>
      <c r="BE165">
        <v>1970.31</v>
      </c>
      <c r="BF165">
        <v>2140.29</v>
      </c>
      <c r="BG165">
        <v>2439.7800000000002</v>
      </c>
      <c r="BH165">
        <v>2472.48</v>
      </c>
      <c r="BI165">
        <v>2663.54</v>
      </c>
      <c r="BJ165">
        <v>2813.29</v>
      </c>
      <c r="BK165">
        <v>2849.29</v>
      </c>
    </row>
    <row r="166" spans="1:64">
      <c r="A166" s="1" t="s">
        <v>1275</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R166">
        <v>1</v>
      </c>
      <c r="AS166">
        <v>1</v>
      </c>
      <c r="AT166">
        <v>1</v>
      </c>
      <c r="AU166">
        <v>1</v>
      </c>
      <c r="AV166">
        <v>1</v>
      </c>
      <c r="AW166">
        <v>1</v>
      </c>
      <c r="AX166">
        <v>1</v>
      </c>
      <c r="AY166">
        <v>1</v>
      </c>
      <c r="AZ166">
        <v>1</v>
      </c>
      <c r="BA166">
        <v>1</v>
      </c>
      <c r="BB166">
        <v>1</v>
      </c>
      <c r="BC166">
        <v>1</v>
      </c>
      <c r="BD166">
        <v>1</v>
      </c>
      <c r="BE166">
        <v>1</v>
      </c>
      <c r="BF166">
        <v>1</v>
      </c>
      <c r="BG166">
        <v>1</v>
      </c>
      <c r="BH166">
        <v>1</v>
      </c>
      <c r="BI166">
        <v>1</v>
      </c>
      <c r="BJ166">
        <v>1</v>
      </c>
      <c r="BK166">
        <v>1</v>
      </c>
      <c r="BL166">
        <v>1</v>
      </c>
    </row>
    <row r="167" spans="1:64">
      <c r="A167" s="1" t="s">
        <v>1276</v>
      </c>
      <c r="B167" s="1">
        <v>0.03</v>
      </c>
      <c r="C167" s="1">
        <v>0.03</v>
      </c>
      <c r="D167" s="1">
        <v>0.03</v>
      </c>
      <c r="E167" s="1">
        <v>0.03</v>
      </c>
      <c r="F167" s="1">
        <v>0.03</v>
      </c>
      <c r="G167" s="1">
        <v>0.03</v>
      </c>
      <c r="H167" s="1">
        <v>0.03</v>
      </c>
      <c r="I167" s="1">
        <v>0.03</v>
      </c>
      <c r="J167" s="1">
        <v>0.03</v>
      </c>
      <c r="K167" s="1">
        <v>0.03</v>
      </c>
      <c r="L167" s="1">
        <v>0.03</v>
      </c>
      <c r="M167" s="1">
        <v>0.03</v>
      </c>
      <c r="N167" s="1">
        <v>0.03</v>
      </c>
      <c r="O167" s="1">
        <v>0.02</v>
      </c>
      <c r="P167" s="1">
        <v>0.03</v>
      </c>
      <c r="Q167" s="1">
        <v>0.03</v>
      </c>
      <c r="R167" s="1">
        <v>0.03</v>
      </c>
      <c r="S167" s="1">
        <v>0.03</v>
      </c>
      <c r="T167" s="1">
        <v>0.03</v>
      </c>
      <c r="U167" s="1">
        <v>0.03</v>
      </c>
      <c r="V167" s="1">
        <v>0.03</v>
      </c>
      <c r="W167" s="1">
        <v>0.04</v>
      </c>
      <c r="X167" s="1">
        <v>0.04</v>
      </c>
      <c r="Y167" s="1">
        <v>0.04</v>
      </c>
      <c r="Z167" s="1">
        <v>0.04</v>
      </c>
      <c r="AA167">
        <v>0.04</v>
      </c>
      <c r="AB167">
        <v>0.04</v>
      </c>
      <c r="AC167">
        <v>0.28999999999999998</v>
      </c>
      <c r="AD167">
        <v>0.52</v>
      </c>
      <c r="AE167">
        <v>0.74</v>
      </c>
      <c r="AF167">
        <v>0.93</v>
      </c>
      <c r="AG167">
        <v>1.43</v>
      </c>
      <c r="AH167">
        <v>2.52</v>
      </c>
      <c r="AI167">
        <v>3.87</v>
      </c>
      <c r="AJ167">
        <v>6.04</v>
      </c>
      <c r="AK167">
        <v>9.02</v>
      </c>
      <c r="AL167">
        <v>11.29</v>
      </c>
      <c r="AM167">
        <v>11.54</v>
      </c>
      <c r="AN167">
        <v>11.87</v>
      </c>
      <c r="AO167">
        <v>12.78</v>
      </c>
      <c r="AP167">
        <v>15.23</v>
      </c>
      <c r="AQ167">
        <v>20.7</v>
      </c>
      <c r="AR167">
        <v>23.68</v>
      </c>
      <c r="AS167">
        <v>23.78</v>
      </c>
      <c r="AT167">
        <v>22.58</v>
      </c>
      <c r="AU167">
        <v>23.06</v>
      </c>
      <c r="AV167">
        <v>25.4</v>
      </c>
      <c r="AW167">
        <v>25.84</v>
      </c>
      <c r="AX167">
        <v>24.3</v>
      </c>
      <c r="AY167">
        <v>27.52</v>
      </c>
      <c r="AZ167">
        <v>33.96</v>
      </c>
      <c r="BA167">
        <v>29.07</v>
      </c>
      <c r="BB167">
        <v>28.37</v>
      </c>
      <c r="BC167">
        <v>30.1</v>
      </c>
      <c r="BD167">
        <v>31.35</v>
      </c>
      <c r="BE167">
        <v>39.979999999999997</v>
      </c>
      <c r="BF167">
        <v>63.06</v>
      </c>
      <c r="BG167">
        <v>63.58</v>
      </c>
      <c r="BH167">
        <v>60.33</v>
      </c>
      <c r="BI167">
        <v>62.55</v>
      </c>
      <c r="BJ167">
        <v>69.47</v>
      </c>
      <c r="BK167">
        <v>65.47</v>
      </c>
      <c r="BL167">
        <v>63.85</v>
      </c>
    </row>
    <row r="168" spans="1:64">
      <c r="A168" s="1" t="s">
        <v>1277</v>
      </c>
      <c r="B168" s="1">
        <v>4.9400000000000004</v>
      </c>
      <c r="C168" s="1">
        <v>4.9400000000000004</v>
      </c>
      <c r="D168" s="1">
        <v>4.9400000000000004</v>
      </c>
      <c r="E168" s="1">
        <v>4.9400000000000004</v>
      </c>
      <c r="F168" s="1">
        <v>4.9400000000000004</v>
      </c>
      <c r="G168" s="1">
        <v>4.9400000000000004</v>
      </c>
      <c r="H168" s="1">
        <v>4.9400000000000004</v>
      </c>
      <c r="I168" s="1">
        <v>4.9400000000000004</v>
      </c>
      <c r="J168" s="1">
        <v>4.9400000000000004</v>
      </c>
      <c r="K168" s="1">
        <v>5.19</v>
      </c>
      <c r="L168" s="1">
        <v>5.55</v>
      </c>
      <c r="M168" s="1">
        <v>5.54</v>
      </c>
      <c r="N168" s="1">
        <v>5.04</v>
      </c>
      <c r="O168" s="1">
        <v>4.46</v>
      </c>
      <c r="P168" s="1">
        <v>4.53</v>
      </c>
      <c r="Q168" s="1">
        <v>4.3099999999999996</v>
      </c>
      <c r="R168" s="1">
        <v>4.5</v>
      </c>
      <c r="S168" s="1">
        <v>4.5599999999999996</v>
      </c>
      <c r="T168" s="1">
        <v>4.62</v>
      </c>
      <c r="U168" s="1">
        <v>4.59</v>
      </c>
      <c r="V168" s="1">
        <v>4.59</v>
      </c>
      <c r="W168" s="1">
        <v>4.83</v>
      </c>
      <c r="X168" s="1">
        <v>5.18</v>
      </c>
      <c r="Y168" s="1">
        <v>5.48</v>
      </c>
      <c r="Z168" s="1">
        <v>6.38</v>
      </c>
      <c r="AA168">
        <v>7.71</v>
      </c>
      <c r="AB168">
        <v>7.44</v>
      </c>
      <c r="AC168">
        <v>7.39</v>
      </c>
      <c r="AD168">
        <v>7.53</v>
      </c>
      <c r="AE168">
        <v>8.31</v>
      </c>
      <c r="AF168">
        <v>8.06</v>
      </c>
      <c r="AG168">
        <v>8.19</v>
      </c>
      <c r="AH168">
        <v>8.6999999999999993</v>
      </c>
      <c r="AI168">
        <v>12.08</v>
      </c>
      <c r="AJ168">
        <v>12.36</v>
      </c>
      <c r="AK168">
        <v>12.98</v>
      </c>
      <c r="AL168">
        <v>13.72</v>
      </c>
      <c r="AM168">
        <v>15.19</v>
      </c>
      <c r="AN168">
        <v>18.850000000000001</v>
      </c>
      <c r="AO168">
        <v>20.95</v>
      </c>
      <c r="AP168">
        <v>23.89</v>
      </c>
      <c r="AQ168">
        <v>25.56</v>
      </c>
      <c r="AR168">
        <v>27.17</v>
      </c>
      <c r="AS168">
        <v>26.3</v>
      </c>
      <c r="AU168">
        <v>26.55</v>
      </c>
      <c r="AV168">
        <v>26.86</v>
      </c>
      <c r="AW168">
        <v>25.86</v>
      </c>
      <c r="AX168">
        <v>23.82</v>
      </c>
      <c r="AY168">
        <v>26.24</v>
      </c>
      <c r="AZ168">
        <v>27.59</v>
      </c>
      <c r="BA168">
        <v>28.11</v>
      </c>
      <c r="BB168">
        <v>29.66</v>
      </c>
      <c r="BC168">
        <v>30.07</v>
      </c>
      <c r="BD168">
        <v>30.27</v>
      </c>
      <c r="BE168">
        <v>32.47</v>
      </c>
      <c r="BF168">
        <v>35.24</v>
      </c>
      <c r="BG168">
        <v>35.79</v>
      </c>
      <c r="BH168">
        <v>35.68</v>
      </c>
      <c r="BI168">
        <v>36.69</v>
      </c>
      <c r="BJ168">
        <v>37.19</v>
      </c>
      <c r="BK168">
        <v>36.06</v>
      </c>
    </row>
    <row r="169" spans="1:64">
      <c r="A169" s="1" t="s">
        <v>1278</v>
      </c>
      <c r="B169" s="1">
        <v>4.76</v>
      </c>
      <c r="C169" s="1">
        <v>4.76</v>
      </c>
      <c r="D169" s="1">
        <v>4.76</v>
      </c>
      <c r="E169" s="1">
        <v>4.76</v>
      </c>
      <c r="F169" s="1">
        <v>4.76</v>
      </c>
      <c r="G169" s="1">
        <v>4.76</v>
      </c>
      <c r="H169" s="1">
        <v>4.76</v>
      </c>
      <c r="I169" s="1">
        <v>4.83</v>
      </c>
      <c r="J169" s="1">
        <v>5.56</v>
      </c>
      <c r="K169" s="1">
        <v>5.56</v>
      </c>
      <c r="L169" s="1">
        <v>5.56</v>
      </c>
      <c r="M169" s="1">
        <v>5.49</v>
      </c>
      <c r="N169" s="1">
        <v>5.34</v>
      </c>
      <c r="O169" s="1">
        <v>5.44</v>
      </c>
      <c r="P169" s="1">
        <v>5.7</v>
      </c>
      <c r="Q169" s="1">
        <v>6.03</v>
      </c>
      <c r="R169" s="1">
        <v>6.68</v>
      </c>
      <c r="S169" s="1">
        <v>6.61</v>
      </c>
      <c r="T169" s="1">
        <v>6.16</v>
      </c>
      <c r="U169" s="1">
        <v>6.31</v>
      </c>
      <c r="V169" s="1">
        <v>7.68</v>
      </c>
      <c r="W169" s="1">
        <v>8.94</v>
      </c>
      <c r="X169" s="1">
        <v>10.87</v>
      </c>
      <c r="Y169" s="1">
        <v>11.71</v>
      </c>
      <c r="Z169" s="1">
        <v>13.8</v>
      </c>
      <c r="AA169">
        <v>15.44</v>
      </c>
      <c r="AB169">
        <v>13.47</v>
      </c>
      <c r="AC169">
        <v>12.88</v>
      </c>
      <c r="AD169">
        <v>13.44</v>
      </c>
      <c r="AE169">
        <v>15.25</v>
      </c>
      <c r="AF169">
        <v>14.86</v>
      </c>
      <c r="AG169">
        <v>15.65</v>
      </c>
      <c r="AH169">
        <v>15.56</v>
      </c>
      <c r="AI169">
        <v>17.649999999999999</v>
      </c>
      <c r="AJ169">
        <v>17.96</v>
      </c>
      <c r="AK169">
        <v>17.39</v>
      </c>
      <c r="AL169">
        <v>17.95</v>
      </c>
      <c r="AM169">
        <v>21.06</v>
      </c>
      <c r="AN169">
        <v>23.99</v>
      </c>
      <c r="AO169">
        <v>25.19</v>
      </c>
      <c r="AP169">
        <v>26.25</v>
      </c>
      <c r="AQ169">
        <v>29.13</v>
      </c>
      <c r="AR169">
        <v>29.96</v>
      </c>
      <c r="AS169">
        <v>27.9</v>
      </c>
      <c r="AT169">
        <v>27.5</v>
      </c>
      <c r="AU169">
        <v>29.5</v>
      </c>
      <c r="AV169">
        <v>31.71</v>
      </c>
      <c r="AW169">
        <v>31.31</v>
      </c>
      <c r="AX169">
        <v>28.45</v>
      </c>
      <c r="AY169">
        <v>31.96</v>
      </c>
      <c r="AZ169">
        <v>30.78</v>
      </c>
      <c r="BA169">
        <v>28.71</v>
      </c>
      <c r="BB169">
        <v>30.05</v>
      </c>
      <c r="BC169">
        <v>30.7</v>
      </c>
      <c r="BD169">
        <v>30.62</v>
      </c>
      <c r="BE169">
        <v>35.06</v>
      </c>
      <c r="BF169">
        <v>35.54</v>
      </c>
      <c r="BG169">
        <v>34.479999999999997</v>
      </c>
      <c r="BH169">
        <v>33.93</v>
      </c>
      <c r="BI169">
        <v>35.47</v>
      </c>
      <c r="BJ169">
        <v>39.35</v>
      </c>
      <c r="BK169">
        <v>41.69</v>
      </c>
      <c r="BL169">
        <v>44.18</v>
      </c>
    </row>
    <row r="170" spans="1:64">
      <c r="A170" s="1" t="s">
        <v>1279</v>
      </c>
      <c r="B170" s="1">
        <v>0.71</v>
      </c>
      <c r="C170" s="1">
        <v>0.71</v>
      </c>
      <c r="D170" s="1">
        <v>0.71</v>
      </c>
      <c r="E170" s="1">
        <v>0.71</v>
      </c>
      <c r="F170" s="1">
        <v>0.71</v>
      </c>
      <c r="G170" s="1">
        <v>0.71</v>
      </c>
      <c r="H170" s="1">
        <v>0.71</v>
      </c>
      <c r="I170" s="1">
        <v>0.72</v>
      </c>
      <c r="J170" s="1">
        <v>0.83</v>
      </c>
      <c r="K170" s="1">
        <v>0.83</v>
      </c>
      <c r="L170" s="1">
        <v>0.83</v>
      </c>
      <c r="M170" s="1">
        <v>0.83</v>
      </c>
      <c r="N170" s="1">
        <v>0.8</v>
      </c>
      <c r="O170" s="1">
        <v>0.82</v>
      </c>
      <c r="P170" s="1">
        <v>0.84</v>
      </c>
      <c r="Q170" s="1">
        <v>0.86</v>
      </c>
      <c r="R170" s="1">
        <v>0.91</v>
      </c>
      <c r="S170" s="1">
        <v>0.9</v>
      </c>
      <c r="T170" s="1">
        <v>0.84</v>
      </c>
      <c r="U170" s="1">
        <v>0.82</v>
      </c>
      <c r="V170" s="1">
        <v>0.81</v>
      </c>
      <c r="W170" s="1">
        <v>0.9</v>
      </c>
      <c r="X170" s="1">
        <v>1.06</v>
      </c>
      <c r="Y170" s="1">
        <v>1.17</v>
      </c>
      <c r="Z170" s="1">
        <v>1.41</v>
      </c>
      <c r="AA170">
        <v>1.72</v>
      </c>
      <c r="AB170">
        <v>1.86</v>
      </c>
      <c r="AC170">
        <v>2.21</v>
      </c>
      <c r="AD170">
        <v>2.56</v>
      </c>
      <c r="AE170">
        <v>2.76</v>
      </c>
      <c r="AF170">
        <v>2.73</v>
      </c>
      <c r="AG170">
        <v>2.8</v>
      </c>
      <c r="AH170">
        <v>3.6</v>
      </c>
      <c r="AI170">
        <v>4.4000000000000004</v>
      </c>
      <c r="AJ170">
        <v>8.74</v>
      </c>
      <c r="AK170">
        <v>15.28</v>
      </c>
      <c r="AL170">
        <v>15.31</v>
      </c>
      <c r="AM170">
        <v>16.440000000000001</v>
      </c>
      <c r="AN170">
        <v>31.07</v>
      </c>
      <c r="AO170">
        <v>44.09</v>
      </c>
      <c r="AP170">
        <v>59.54</v>
      </c>
      <c r="AQ170">
        <v>72.2</v>
      </c>
      <c r="AR170">
        <v>76.69</v>
      </c>
      <c r="AS170">
        <v>97.43</v>
      </c>
      <c r="AT170">
        <v>108.9</v>
      </c>
      <c r="AU170">
        <v>118.42</v>
      </c>
      <c r="AV170">
        <v>136.01</v>
      </c>
      <c r="AW170">
        <v>139.96</v>
      </c>
      <c r="AX170">
        <v>140.52000000000001</v>
      </c>
      <c r="AY170">
        <v>141.16999999999999</v>
      </c>
      <c r="AZ170">
        <v>150.49</v>
      </c>
      <c r="BA170">
        <v>156.52000000000001</v>
      </c>
      <c r="BB170">
        <v>249.11</v>
      </c>
      <c r="BC170">
        <v>364.41</v>
      </c>
      <c r="BD170">
        <v>424.9</v>
      </c>
      <c r="BE170">
        <v>499.61</v>
      </c>
      <c r="BF170">
        <v>718.01</v>
      </c>
      <c r="BG170">
        <v>730.27</v>
      </c>
      <c r="BH170">
        <v>732.33</v>
      </c>
      <c r="BI170">
        <v>745.54</v>
      </c>
      <c r="BJ170">
        <v>749.53</v>
      </c>
    </row>
    <row r="171" spans="1:64">
      <c r="A171" s="1" t="s">
        <v>180</v>
      </c>
      <c r="B171" s="1">
        <v>3.06</v>
      </c>
      <c r="C171" s="1">
        <v>3.06</v>
      </c>
      <c r="D171" s="1">
        <v>3.06</v>
      </c>
      <c r="E171" s="1">
        <v>3.06</v>
      </c>
      <c r="F171" s="1">
        <v>3.06</v>
      </c>
      <c r="G171" s="1">
        <v>3.06</v>
      </c>
      <c r="H171" s="1">
        <v>3.06</v>
      </c>
      <c r="I171" s="1">
        <v>3.06</v>
      </c>
      <c r="J171" s="1">
        <v>3.06</v>
      </c>
      <c r="K171" s="1">
        <v>3.06</v>
      </c>
      <c r="L171" s="1">
        <v>3.06</v>
      </c>
      <c r="M171" s="1">
        <v>3.05</v>
      </c>
      <c r="N171" s="1">
        <v>2.82</v>
      </c>
      <c r="O171" s="1">
        <v>2.44</v>
      </c>
      <c r="P171" s="1">
        <v>2.41</v>
      </c>
      <c r="Q171" s="1">
        <v>2.39</v>
      </c>
      <c r="R171" s="1">
        <v>2.54</v>
      </c>
      <c r="S171" s="1">
        <v>2.46</v>
      </c>
      <c r="T171" s="1">
        <v>2.3199999999999998</v>
      </c>
      <c r="U171" s="1">
        <v>2.19</v>
      </c>
      <c r="V171" s="1">
        <v>2.1800000000000002</v>
      </c>
      <c r="W171" s="1">
        <v>2.2999999999999998</v>
      </c>
      <c r="X171" s="1">
        <v>2.34</v>
      </c>
      <c r="Y171" s="1">
        <v>2.3199999999999998</v>
      </c>
      <c r="Z171" s="1">
        <v>2.34</v>
      </c>
      <c r="AA171">
        <v>2.48</v>
      </c>
      <c r="AB171">
        <v>2.58</v>
      </c>
      <c r="AC171">
        <v>2.52</v>
      </c>
      <c r="AD171">
        <v>2.62</v>
      </c>
      <c r="AE171">
        <v>2.71</v>
      </c>
      <c r="AF171">
        <v>2.7</v>
      </c>
      <c r="AG171">
        <v>2.75</v>
      </c>
      <c r="AH171">
        <v>2.5499999999999998</v>
      </c>
      <c r="AI171">
        <v>2.57</v>
      </c>
      <c r="AJ171">
        <v>2.62</v>
      </c>
      <c r="AK171">
        <v>2.5</v>
      </c>
      <c r="AL171">
        <v>2.52</v>
      </c>
      <c r="AM171">
        <v>2.81</v>
      </c>
      <c r="AN171">
        <v>3.92</v>
      </c>
      <c r="AO171">
        <v>3.8</v>
      </c>
      <c r="AP171">
        <v>3.8</v>
      </c>
      <c r="AQ171">
        <v>3.8</v>
      </c>
      <c r="AR171">
        <v>3.8</v>
      </c>
      <c r="AS171">
        <v>3.8</v>
      </c>
      <c r="AT171">
        <v>3.8</v>
      </c>
      <c r="AU171">
        <v>3.79</v>
      </c>
      <c r="AV171">
        <v>3.67</v>
      </c>
      <c r="AW171">
        <v>3.44</v>
      </c>
      <c r="AX171">
        <v>3.34</v>
      </c>
      <c r="AY171">
        <v>3.52</v>
      </c>
      <c r="AZ171">
        <v>3.22</v>
      </c>
      <c r="BA171">
        <v>3.06</v>
      </c>
      <c r="BB171">
        <v>3.09</v>
      </c>
      <c r="BC171">
        <v>3.15</v>
      </c>
      <c r="BD171">
        <v>3.27</v>
      </c>
      <c r="BE171">
        <v>3.91</v>
      </c>
      <c r="BF171">
        <v>4.1500000000000004</v>
      </c>
      <c r="BG171">
        <v>4.3</v>
      </c>
      <c r="BH171">
        <v>4.04</v>
      </c>
      <c r="BI171">
        <v>4.1399999999999997</v>
      </c>
      <c r="BJ171">
        <v>4.2</v>
      </c>
      <c r="BK171">
        <v>4.1399999999999997</v>
      </c>
      <c r="BL171">
        <v>4.4000000000000004</v>
      </c>
    </row>
    <row r="172" spans="1:64">
      <c r="A172" s="1" t="s">
        <v>1280</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64">
      <c r="A173" s="1" t="s">
        <v>1281</v>
      </c>
      <c r="B173" s="1"/>
      <c r="C173" s="1"/>
      <c r="D173" s="1">
        <v>0.71</v>
      </c>
      <c r="E173" s="1">
        <v>0.72</v>
      </c>
      <c r="F173" s="1">
        <v>0.72</v>
      </c>
      <c r="G173" s="1">
        <v>0.72</v>
      </c>
      <c r="H173" s="1">
        <v>0.72</v>
      </c>
      <c r="I173" s="1">
        <v>0.72</v>
      </c>
      <c r="J173" s="1">
        <v>0.72</v>
      </c>
      <c r="K173" s="1">
        <v>0.72</v>
      </c>
      <c r="L173" s="1">
        <v>0.72</v>
      </c>
      <c r="M173" s="1">
        <v>0.71</v>
      </c>
      <c r="N173" s="1">
        <v>0.77</v>
      </c>
      <c r="O173" s="1">
        <v>0.69</v>
      </c>
      <c r="P173" s="1">
        <v>0.68</v>
      </c>
      <c r="Q173" s="1">
        <v>0.74</v>
      </c>
      <c r="R173" s="1">
        <v>0.87</v>
      </c>
      <c r="S173" s="1">
        <v>0.87</v>
      </c>
      <c r="T173" s="1">
        <v>0.87</v>
      </c>
      <c r="U173" s="1">
        <v>0.84</v>
      </c>
      <c r="V173" s="1">
        <v>0.78</v>
      </c>
      <c r="W173" s="1">
        <v>0.88</v>
      </c>
      <c r="X173" s="1">
        <v>1.0900000000000001</v>
      </c>
      <c r="Y173" s="1">
        <v>1.1100000000000001</v>
      </c>
      <c r="Z173" s="1">
        <v>1.48</v>
      </c>
      <c r="AA173">
        <v>2.23</v>
      </c>
      <c r="AB173">
        <v>2.29</v>
      </c>
      <c r="AC173">
        <v>2.04</v>
      </c>
      <c r="AD173">
        <v>2.27</v>
      </c>
      <c r="AE173">
        <v>2.62</v>
      </c>
      <c r="AF173">
        <v>2.59</v>
      </c>
      <c r="AG173">
        <v>2.76</v>
      </c>
      <c r="AH173">
        <v>2.85</v>
      </c>
      <c r="AI173">
        <v>3.27</v>
      </c>
      <c r="AJ173">
        <v>3.55</v>
      </c>
      <c r="AK173">
        <v>3.63</v>
      </c>
      <c r="AL173">
        <v>4.3</v>
      </c>
      <c r="AM173">
        <v>4.6100000000000003</v>
      </c>
      <c r="AN173">
        <v>5.53</v>
      </c>
      <c r="AO173">
        <v>6.11</v>
      </c>
      <c r="AP173">
        <v>6.94</v>
      </c>
      <c r="AQ173">
        <v>8.61</v>
      </c>
      <c r="AR173">
        <v>10.54</v>
      </c>
      <c r="AS173">
        <v>7.56</v>
      </c>
      <c r="AT173">
        <v>6.46</v>
      </c>
      <c r="AU173">
        <v>6.38</v>
      </c>
      <c r="AV173">
        <v>6.77</v>
      </c>
      <c r="AW173">
        <v>7.05</v>
      </c>
      <c r="AX173">
        <v>8.25</v>
      </c>
      <c r="AY173">
        <v>8.52</v>
      </c>
      <c r="AZ173">
        <v>7.33</v>
      </c>
      <c r="BA173">
        <v>7.3</v>
      </c>
      <c r="BB173">
        <v>8.19</v>
      </c>
      <c r="BC173">
        <v>9.75</v>
      </c>
      <c r="BD173">
        <v>10.84</v>
      </c>
      <c r="BE173">
        <v>12.88</v>
      </c>
      <c r="BF173">
        <v>14.71</v>
      </c>
      <c r="BG173">
        <v>13.31</v>
      </c>
      <c r="BH173">
        <v>13.23</v>
      </c>
      <c r="BI173">
        <v>14.45</v>
      </c>
      <c r="BJ173">
        <v>16.46</v>
      </c>
      <c r="BK173">
        <v>14.78</v>
      </c>
      <c r="BL173">
        <v>16.36</v>
      </c>
    </row>
    <row r="174" spans="1:64">
      <c r="A174" s="1" t="s">
        <v>1282</v>
      </c>
      <c r="B174" s="1">
        <v>89.77</v>
      </c>
      <c r="C174" s="1">
        <v>89.77</v>
      </c>
      <c r="D174" s="1">
        <v>89.77</v>
      </c>
      <c r="E174" s="1">
        <v>89.77</v>
      </c>
      <c r="F174" s="1">
        <v>89.77</v>
      </c>
      <c r="G174" s="1">
        <v>89.77</v>
      </c>
      <c r="H174" s="1">
        <v>89.77</v>
      </c>
      <c r="I174" s="1">
        <v>89.77</v>
      </c>
      <c r="J174" s="1">
        <v>89.77</v>
      </c>
      <c r="K174" s="1">
        <v>94.44</v>
      </c>
      <c r="L174" s="1">
        <v>100.99</v>
      </c>
      <c r="M174" s="1">
        <v>100.69</v>
      </c>
      <c r="N174" s="1">
        <v>91.65</v>
      </c>
      <c r="O174" s="1">
        <v>81.05</v>
      </c>
      <c r="P174" s="1">
        <v>87.53</v>
      </c>
      <c r="Q174" s="1">
        <v>77.930000000000007</v>
      </c>
      <c r="R174" s="1">
        <v>86.89</v>
      </c>
      <c r="S174" s="1">
        <v>89.34</v>
      </c>
      <c r="T174" s="1">
        <v>82.06</v>
      </c>
      <c r="U174" s="1">
        <v>77.349999999999994</v>
      </c>
      <c r="V174" s="1">
        <v>76.83</v>
      </c>
      <c r="W174" s="1">
        <v>98.81</v>
      </c>
      <c r="X174" s="1">
        <v>119.49</v>
      </c>
      <c r="Y174" s="1">
        <v>138.57</v>
      </c>
      <c r="Z174" s="1">
        <v>158.88999999999999</v>
      </c>
      <c r="AA174">
        <v>163.37</v>
      </c>
      <c r="AB174">
        <v>125.93</v>
      </c>
      <c r="AC174">
        <v>109.29</v>
      </c>
      <c r="AD174">
        <v>108.31</v>
      </c>
      <c r="AE174">
        <v>116</v>
      </c>
      <c r="AF174">
        <v>99</v>
      </c>
      <c r="AG174">
        <v>102.58</v>
      </c>
      <c r="AH174">
        <v>96.25</v>
      </c>
      <c r="AI174">
        <v>102.97</v>
      </c>
      <c r="AJ174">
        <v>100.95</v>
      </c>
      <c r="AK174">
        <v>90.75</v>
      </c>
      <c r="AL174">
        <v>93.01</v>
      </c>
      <c r="AM174">
        <v>106.12</v>
      </c>
      <c r="AN174">
        <v>107.26</v>
      </c>
      <c r="AO174">
        <v>111.97</v>
      </c>
      <c r="AP174">
        <v>129.19999999999999</v>
      </c>
      <c r="AQ174">
        <v>133.24</v>
      </c>
      <c r="AR174">
        <v>126.2</v>
      </c>
      <c r="AS174">
        <v>105.49</v>
      </c>
      <c r="AT174">
        <v>95.93</v>
      </c>
      <c r="AU174">
        <v>95.92</v>
      </c>
      <c r="AV174">
        <v>95.04</v>
      </c>
      <c r="AW174">
        <v>87.07</v>
      </c>
      <c r="AX174">
        <v>81.14</v>
      </c>
      <c r="AY174">
        <v>85.56</v>
      </c>
      <c r="AZ174">
        <v>90.01</v>
      </c>
      <c r="BA174">
        <v>85.73</v>
      </c>
      <c r="BB174">
        <v>92.88</v>
      </c>
      <c r="BC174">
        <v>89.85</v>
      </c>
      <c r="BD174">
        <v>89.82</v>
      </c>
      <c r="BE174">
        <v>107.55</v>
      </c>
      <c r="BF174">
        <v>107.81</v>
      </c>
      <c r="BG174">
        <v>105.63</v>
      </c>
      <c r="BH174">
        <v>101.05</v>
      </c>
      <c r="BI174">
        <v>106.59</v>
      </c>
      <c r="BJ174">
        <v>104.71</v>
      </c>
      <c r="BK174">
        <v>100.88</v>
      </c>
      <c r="BL174">
        <v>113.47</v>
      </c>
    </row>
    <row r="175" spans="1:64">
      <c r="A175" s="1" t="s">
        <v>1283</v>
      </c>
      <c r="B175" s="1">
        <v>245.2</v>
      </c>
      <c r="C175" s="1">
        <v>245.26</v>
      </c>
      <c r="D175" s="1">
        <v>245.01</v>
      </c>
      <c r="E175" s="1">
        <v>245.02</v>
      </c>
      <c r="F175" s="1">
        <v>245.03</v>
      </c>
      <c r="G175" s="1">
        <v>245.06</v>
      </c>
      <c r="H175" s="1">
        <v>245.68</v>
      </c>
      <c r="I175" s="1">
        <v>246</v>
      </c>
      <c r="J175" s="1">
        <v>247.56</v>
      </c>
      <c r="K175" s="1">
        <v>259.95999999999998</v>
      </c>
      <c r="L175" s="1">
        <v>276.39999999999998</v>
      </c>
      <c r="M175" s="1">
        <v>275.36</v>
      </c>
      <c r="N175" s="1">
        <v>252.03</v>
      </c>
      <c r="O175" s="1">
        <v>222.89</v>
      </c>
      <c r="P175" s="1">
        <v>240.7</v>
      </c>
      <c r="Q175" s="1">
        <v>214.31</v>
      </c>
      <c r="R175" s="1">
        <v>238.95</v>
      </c>
      <c r="S175" s="1">
        <v>245.68</v>
      </c>
      <c r="T175" s="1">
        <v>225.66</v>
      </c>
      <c r="U175" s="1">
        <v>212.72</v>
      </c>
      <c r="V175" s="1">
        <v>211.28</v>
      </c>
      <c r="W175" s="1">
        <v>271.73</v>
      </c>
      <c r="X175" s="1">
        <v>328.61</v>
      </c>
      <c r="Y175" s="1">
        <v>381.07</v>
      </c>
      <c r="Z175" s="1">
        <v>436.96</v>
      </c>
      <c r="AA175">
        <v>449.26</v>
      </c>
      <c r="AB175">
        <v>346.31</v>
      </c>
      <c r="AC175">
        <v>300.54000000000002</v>
      </c>
      <c r="AD175">
        <v>297.85000000000002</v>
      </c>
      <c r="AE175">
        <v>319.01</v>
      </c>
      <c r="AF175">
        <v>272.26</v>
      </c>
      <c r="AG175">
        <v>282.11</v>
      </c>
      <c r="AH175">
        <v>264.69</v>
      </c>
      <c r="AI175">
        <v>283.16000000000003</v>
      </c>
      <c r="AJ175">
        <v>555.20000000000005</v>
      </c>
      <c r="AK175">
        <v>499.15</v>
      </c>
      <c r="AL175">
        <v>511.55</v>
      </c>
      <c r="AM175">
        <v>583.66999999999996</v>
      </c>
      <c r="AN175">
        <v>589.95000000000005</v>
      </c>
      <c r="AO175">
        <v>615.47</v>
      </c>
      <c r="AP175">
        <v>710.21</v>
      </c>
      <c r="AQ175">
        <v>732.4</v>
      </c>
      <c r="AR175">
        <v>693.71</v>
      </c>
      <c r="AS175">
        <v>579.9</v>
      </c>
      <c r="AT175">
        <v>527.34</v>
      </c>
      <c r="AU175">
        <v>527.26</v>
      </c>
      <c r="AV175">
        <v>522.42999999999995</v>
      </c>
      <c r="AW175">
        <v>478.63</v>
      </c>
      <c r="AX175">
        <v>446</v>
      </c>
      <c r="AY175">
        <v>470.29</v>
      </c>
      <c r="AZ175">
        <v>494.79</v>
      </c>
      <c r="BA175">
        <v>471.25</v>
      </c>
      <c r="BB175">
        <v>510.56</v>
      </c>
      <c r="BC175">
        <v>493.9</v>
      </c>
      <c r="BD175">
        <v>493.76</v>
      </c>
      <c r="BE175">
        <v>591.21</v>
      </c>
      <c r="BF175">
        <v>592.61</v>
      </c>
      <c r="BG175">
        <v>580.66</v>
      </c>
      <c r="BH175">
        <v>555.45000000000005</v>
      </c>
      <c r="BI175">
        <v>585.91</v>
      </c>
      <c r="BJ175">
        <v>575.59</v>
      </c>
      <c r="BK175">
        <v>554.53</v>
      </c>
      <c r="BL175">
        <v>623.76</v>
      </c>
    </row>
    <row r="176" spans="1:64">
      <c r="A176" s="1" t="s">
        <v>1284</v>
      </c>
      <c r="B176" s="1">
        <v>0.71</v>
      </c>
      <c r="C176" s="1">
        <v>0.71</v>
      </c>
      <c r="D176" s="1">
        <v>0.71</v>
      </c>
      <c r="E176" s="1">
        <v>0.71</v>
      </c>
      <c r="F176" s="1">
        <v>0.71</v>
      </c>
      <c r="G176" s="1">
        <v>0.71</v>
      </c>
      <c r="H176" s="1">
        <v>0.71</v>
      </c>
      <c r="I176" s="1">
        <v>0.71</v>
      </c>
      <c r="J176" s="1">
        <v>0.71</v>
      </c>
      <c r="K176" s="1">
        <v>0.71</v>
      </c>
      <c r="L176" s="1">
        <v>0.71</v>
      </c>
      <c r="M176" s="1">
        <v>0.71</v>
      </c>
      <c r="N176" s="1">
        <v>0.66</v>
      </c>
      <c r="O176" s="1">
        <v>0.66</v>
      </c>
      <c r="P176" s="1">
        <v>0.63</v>
      </c>
      <c r="Q176" s="1">
        <v>0.62</v>
      </c>
      <c r="R176" s="1">
        <v>0.63</v>
      </c>
      <c r="S176" s="1">
        <v>0.64</v>
      </c>
      <c r="T176" s="1">
        <v>0.64</v>
      </c>
      <c r="U176" s="1">
        <v>0.6</v>
      </c>
      <c r="V176" s="1">
        <v>0.55000000000000004</v>
      </c>
      <c r="W176" s="1">
        <v>0.62</v>
      </c>
      <c r="X176" s="1">
        <v>0.67</v>
      </c>
      <c r="Y176" s="1">
        <v>0.72</v>
      </c>
      <c r="Z176" s="1">
        <v>0.77</v>
      </c>
      <c r="AA176">
        <v>0.89</v>
      </c>
      <c r="AB176">
        <v>1.75</v>
      </c>
      <c r="AC176">
        <v>4.0199999999999996</v>
      </c>
      <c r="AD176">
        <v>4.54</v>
      </c>
      <c r="AE176">
        <v>7.36</v>
      </c>
      <c r="AF176">
        <v>8.0399999999999991</v>
      </c>
      <c r="AG176">
        <v>9.91</v>
      </c>
      <c r="AH176">
        <v>17.3</v>
      </c>
      <c r="AI176">
        <v>22.07</v>
      </c>
      <c r="AJ176">
        <v>22</v>
      </c>
      <c r="AK176">
        <v>21.9</v>
      </c>
      <c r="AL176">
        <v>21.88</v>
      </c>
      <c r="AM176">
        <v>21.89</v>
      </c>
      <c r="AN176">
        <v>21.89</v>
      </c>
      <c r="AO176">
        <v>92.34</v>
      </c>
      <c r="AP176">
        <v>101.7</v>
      </c>
      <c r="AQ176">
        <v>111.23</v>
      </c>
      <c r="AR176">
        <v>120.58</v>
      </c>
      <c r="AS176">
        <v>129.22</v>
      </c>
      <c r="AT176">
        <v>132.88999999999999</v>
      </c>
      <c r="AU176">
        <v>131.27000000000001</v>
      </c>
      <c r="AV176">
        <v>128.65</v>
      </c>
      <c r="AW176">
        <v>125.81</v>
      </c>
      <c r="AX176">
        <v>118.57</v>
      </c>
      <c r="AY176">
        <v>148.88</v>
      </c>
      <c r="AZ176">
        <v>150.30000000000001</v>
      </c>
      <c r="BA176">
        <v>153.86000000000001</v>
      </c>
      <c r="BB176">
        <v>157.5</v>
      </c>
      <c r="BC176">
        <v>157.31</v>
      </c>
      <c r="BD176">
        <v>158.55000000000001</v>
      </c>
      <c r="BE176">
        <v>192.44</v>
      </c>
      <c r="BF176">
        <v>253.49</v>
      </c>
      <c r="BG176">
        <v>305.79000000000002</v>
      </c>
      <c r="BH176">
        <v>306.08</v>
      </c>
      <c r="BI176">
        <v>306.92</v>
      </c>
      <c r="BJ176">
        <v>358.81</v>
      </c>
    </row>
    <row r="177" spans="1:64">
      <c r="A177" s="1" t="s">
        <v>1285</v>
      </c>
      <c r="B177" s="1">
        <v>0</v>
      </c>
      <c r="C177" s="1">
        <v>0</v>
      </c>
      <c r="D177" s="1">
        <v>0</v>
      </c>
      <c r="E177" s="1">
        <v>0</v>
      </c>
      <c r="F177" s="1">
        <v>0</v>
      </c>
      <c r="G177" s="1">
        <v>0</v>
      </c>
      <c r="H177" s="1">
        <v>0</v>
      </c>
      <c r="I177" s="1">
        <v>0</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v>0</v>
      </c>
      <c r="AB177">
        <v>0</v>
      </c>
      <c r="AC177">
        <v>0</v>
      </c>
      <c r="AD177">
        <v>0</v>
      </c>
      <c r="AE177">
        <v>0</v>
      </c>
      <c r="AF177">
        <v>0.14000000000000001</v>
      </c>
      <c r="AG177">
        <v>4.2699999999999996</v>
      </c>
      <c r="AH177">
        <v>5</v>
      </c>
      <c r="AI177">
        <v>5.62</v>
      </c>
      <c r="AJ177">
        <v>6.72</v>
      </c>
      <c r="AK177">
        <v>7.55</v>
      </c>
      <c r="AL177">
        <v>8.44</v>
      </c>
      <c r="AM177">
        <v>9.4499999999999993</v>
      </c>
      <c r="AN177">
        <v>10.58</v>
      </c>
      <c r="AO177">
        <v>11.81</v>
      </c>
      <c r="AP177">
        <v>12.68</v>
      </c>
      <c r="AQ177">
        <v>13.37</v>
      </c>
      <c r="AR177">
        <v>14.25</v>
      </c>
      <c r="AS177">
        <v>15.1</v>
      </c>
      <c r="AT177">
        <v>15.94</v>
      </c>
      <c r="AU177">
        <v>16.73</v>
      </c>
      <c r="AV177">
        <v>17.57</v>
      </c>
      <c r="AW177">
        <v>18.45</v>
      </c>
      <c r="AX177">
        <v>19.37</v>
      </c>
      <c r="AY177">
        <v>20.34</v>
      </c>
      <c r="AZ177">
        <v>21.36</v>
      </c>
      <c r="BA177">
        <v>22.42</v>
      </c>
      <c r="BB177">
        <v>23.55</v>
      </c>
      <c r="BC177">
        <v>24.72</v>
      </c>
      <c r="BD177">
        <v>25.96</v>
      </c>
      <c r="BE177">
        <v>27.26</v>
      </c>
      <c r="BF177">
        <v>28.62</v>
      </c>
      <c r="BG177">
        <v>30.05</v>
      </c>
      <c r="BH177">
        <v>31.55</v>
      </c>
      <c r="BI177">
        <v>33.119999999999997</v>
      </c>
      <c r="BJ177">
        <v>34.340000000000003</v>
      </c>
      <c r="BK177">
        <v>35.17</v>
      </c>
      <c r="BL177">
        <v>35.869999999999997</v>
      </c>
    </row>
    <row r="178" spans="1:64">
      <c r="A178" s="1" t="s">
        <v>1286</v>
      </c>
      <c r="B178" s="1">
        <v>3.8</v>
      </c>
      <c r="C178" s="1">
        <v>3.65</v>
      </c>
      <c r="D178" s="1">
        <v>3.62</v>
      </c>
      <c r="E178" s="1">
        <v>3.62</v>
      </c>
      <c r="F178" s="1">
        <v>3.62</v>
      </c>
      <c r="G178" s="1">
        <v>3.62</v>
      </c>
      <c r="H178" s="1">
        <v>3.62</v>
      </c>
      <c r="I178" s="1">
        <v>3.62</v>
      </c>
      <c r="J178" s="1">
        <v>3.62</v>
      </c>
      <c r="K178" s="1">
        <v>3.62</v>
      </c>
      <c r="L178" s="1">
        <v>3.62</v>
      </c>
      <c r="M178" s="1">
        <v>3.52</v>
      </c>
      <c r="N178" s="1">
        <v>3.21</v>
      </c>
      <c r="O178" s="1">
        <v>2.8</v>
      </c>
      <c r="P178" s="1">
        <v>2.69</v>
      </c>
      <c r="Q178" s="1">
        <v>2.5299999999999998</v>
      </c>
      <c r="R178" s="1">
        <v>2.64</v>
      </c>
      <c r="S178" s="1">
        <v>2.4500000000000002</v>
      </c>
      <c r="T178" s="1">
        <v>2.16</v>
      </c>
      <c r="U178" s="1">
        <v>2.0099999999999998</v>
      </c>
      <c r="V178" s="1">
        <v>1.99</v>
      </c>
      <c r="W178" s="1">
        <v>2.5</v>
      </c>
      <c r="X178" s="1">
        <v>2.67</v>
      </c>
      <c r="Y178" s="1">
        <v>2.85</v>
      </c>
      <c r="Z178" s="1">
        <v>3.21</v>
      </c>
      <c r="AA178">
        <v>3.32</v>
      </c>
      <c r="AB178">
        <v>2.4500000000000002</v>
      </c>
      <c r="AC178">
        <v>2.0299999999999998</v>
      </c>
      <c r="AD178">
        <v>1.98</v>
      </c>
      <c r="AE178">
        <v>2.12</v>
      </c>
      <c r="AF178">
        <v>1.82</v>
      </c>
      <c r="AG178">
        <v>1.87</v>
      </c>
      <c r="AH178">
        <v>1.76</v>
      </c>
      <c r="AI178">
        <v>1.86</v>
      </c>
      <c r="AJ178">
        <v>1.82</v>
      </c>
      <c r="AK178">
        <v>1.61</v>
      </c>
      <c r="AL178">
        <v>1.69</v>
      </c>
      <c r="AM178">
        <v>1.95</v>
      </c>
      <c r="AN178">
        <v>1.98</v>
      </c>
      <c r="AO178">
        <v>0.94</v>
      </c>
      <c r="AP178">
        <v>1.08</v>
      </c>
      <c r="AQ178">
        <v>1.1200000000000001</v>
      </c>
      <c r="AR178">
        <v>1.06</v>
      </c>
      <c r="AS178">
        <v>0.88</v>
      </c>
      <c r="AT178">
        <v>0.8</v>
      </c>
      <c r="AU178">
        <v>0.8</v>
      </c>
      <c r="AV178">
        <v>0.8</v>
      </c>
      <c r="AW178">
        <v>0.73</v>
      </c>
      <c r="AX178">
        <v>0.68</v>
      </c>
      <c r="AY178">
        <v>0.72</v>
      </c>
      <c r="AZ178">
        <v>0.75</v>
      </c>
      <c r="BA178">
        <v>0.72</v>
      </c>
      <c r="BB178">
        <v>0.78</v>
      </c>
      <c r="BC178">
        <v>0.75</v>
      </c>
      <c r="BD178">
        <v>0.75</v>
      </c>
      <c r="BE178">
        <v>0.9</v>
      </c>
      <c r="BF178">
        <v>0.9</v>
      </c>
      <c r="BG178">
        <v>0.89</v>
      </c>
      <c r="BH178">
        <v>0.85</v>
      </c>
      <c r="BI178">
        <v>0.89</v>
      </c>
      <c r="BJ178">
        <v>0.88</v>
      </c>
      <c r="BK178">
        <v>0.85</v>
      </c>
      <c r="BL178">
        <v>0.95</v>
      </c>
    </row>
    <row r="179" spans="1:64">
      <c r="A179" s="1" t="s">
        <v>1287</v>
      </c>
      <c r="B179" s="1">
        <v>7.14</v>
      </c>
      <c r="C179" s="1">
        <v>7.14</v>
      </c>
      <c r="D179" s="1">
        <v>7.14</v>
      </c>
      <c r="E179" s="1">
        <v>7.14</v>
      </c>
      <c r="F179" s="1">
        <v>7.14</v>
      </c>
      <c r="G179" s="1">
        <v>7.14</v>
      </c>
      <c r="H179" s="1">
        <v>7.14</v>
      </c>
      <c r="I179" s="1">
        <v>7.14</v>
      </c>
      <c r="J179" s="1">
        <v>7.14</v>
      </c>
      <c r="K179" s="1">
        <v>7.14</v>
      </c>
      <c r="L179" s="1">
        <v>7.14</v>
      </c>
      <c r="M179" s="1">
        <v>7.06</v>
      </c>
      <c r="N179" s="1">
        <v>6.59</v>
      </c>
      <c r="O179" s="1">
        <v>5.77</v>
      </c>
      <c r="P179" s="1">
        <v>5.54</v>
      </c>
      <c r="Q179" s="1">
        <v>5.23</v>
      </c>
      <c r="R179" s="1">
        <v>5.46</v>
      </c>
      <c r="S179" s="1">
        <v>5.32</v>
      </c>
      <c r="T179" s="1">
        <v>5.24</v>
      </c>
      <c r="U179" s="1">
        <v>5.0599999999999996</v>
      </c>
      <c r="V179" s="1">
        <v>4.9400000000000004</v>
      </c>
      <c r="W179" s="1">
        <v>5.74</v>
      </c>
      <c r="X179" s="1">
        <v>6.45</v>
      </c>
      <c r="Y179" s="1">
        <v>7.3</v>
      </c>
      <c r="Z179" s="1">
        <v>8.16</v>
      </c>
      <c r="AA179">
        <v>8.6</v>
      </c>
      <c r="AB179">
        <v>7.39</v>
      </c>
      <c r="AC179">
        <v>6.74</v>
      </c>
      <c r="AD179">
        <v>6.52</v>
      </c>
      <c r="AE179">
        <v>6.9</v>
      </c>
      <c r="AF179">
        <v>6.26</v>
      </c>
      <c r="AG179">
        <v>6.48</v>
      </c>
      <c r="AH179">
        <v>6.21</v>
      </c>
      <c r="AI179">
        <v>7.09</v>
      </c>
      <c r="AJ179">
        <v>7.06</v>
      </c>
      <c r="AK179">
        <v>6.34</v>
      </c>
      <c r="AL179">
        <v>6.45</v>
      </c>
      <c r="AM179">
        <v>7.07</v>
      </c>
      <c r="AN179">
        <v>7.55</v>
      </c>
      <c r="AO179">
        <v>7.8</v>
      </c>
      <c r="AP179">
        <v>8.8000000000000007</v>
      </c>
      <c r="AQ179">
        <v>8.99</v>
      </c>
      <c r="AR179">
        <v>7.98</v>
      </c>
      <c r="AS179">
        <v>7.08</v>
      </c>
      <c r="AT179">
        <v>6.74</v>
      </c>
      <c r="AU179">
        <v>6.44</v>
      </c>
      <c r="AV179">
        <v>6.41</v>
      </c>
      <c r="AW179">
        <v>5.86</v>
      </c>
      <c r="AX179">
        <v>5.64</v>
      </c>
      <c r="AY179">
        <v>6.29</v>
      </c>
      <c r="AZ179">
        <v>6.04</v>
      </c>
      <c r="BA179">
        <v>5.6</v>
      </c>
      <c r="BB179">
        <v>5.82</v>
      </c>
      <c r="BC179">
        <v>5.88</v>
      </c>
      <c r="BD179">
        <v>6.3</v>
      </c>
      <c r="BE179">
        <v>8.06</v>
      </c>
      <c r="BF179">
        <v>8.4</v>
      </c>
      <c r="BG179">
        <v>8.27</v>
      </c>
      <c r="BH179">
        <v>8.1300000000000008</v>
      </c>
      <c r="BI179">
        <v>8.8000000000000007</v>
      </c>
      <c r="BJ179">
        <v>9.42</v>
      </c>
      <c r="BK179">
        <v>8.59</v>
      </c>
      <c r="BL179">
        <v>9.61</v>
      </c>
    </row>
    <row r="180" spans="1:64">
      <c r="A180" s="1" t="s">
        <v>1288</v>
      </c>
      <c r="B180" s="1">
        <v>7.5</v>
      </c>
      <c r="C180" s="1">
        <v>7.62</v>
      </c>
      <c r="D180" s="1">
        <v>7.62</v>
      </c>
      <c r="E180" s="1">
        <v>7.62</v>
      </c>
      <c r="F180" s="1">
        <v>7.62</v>
      </c>
      <c r="G180" s="1">
        <v>7.62</v>
      </c>
      <c r="H180" s="1">
        <v>7.62</v>
      </c>
      <c r="I180" s="1">
        <v>8.0299999999999994</v>
      </c>
      <c r="J180" s="1">
        <v>10.130000000000001</v>
      </c>
      <c r="K180" s="1">
        <v>10.130000000000001</v>
      </c>
      <c r="L180" s="1">
        <v>10.130000000000001</v>
      </c>
      <c r="M180" s="1">
        <v>10.130000000000001</v>
      </c>
      <c r="N180" s="1">
        <v>10.130000000000001</v>
      </c>
      <c r="O180" s="1">
        <v>10.5</v>
      </c>
      <c r="P180" s="1">
        <v>10.56</v>
      </c>
      <c r="Q180" s="1">
        <v>11</v>
      </c>
      <c r="R180" s="1">
        <v>12.5</v>
      </c>
      <c r="S180" s="1">
        <v>12.5</v>
      </c>
      <c r="T180" s="1">
        <v>12.11</v>
      </c>
      <c r="U180" s="1">
        <v>12</v>
      </c>
      <c r="V180" s="1">
        <v>12</v>
      </c>
      <c r="W180" s="1">
        <v>12.34</v>
      </c>
      <c r="X180" s="1">
        <v>13.24</v>
      </c>
      <c r="Y180" s="1">
        <v>14.55</v>
      </c>
      <c r="Z180" s="1">
        <v>16.46</v>
      </c>
      <c r="AA180">
        <v>18.25</v>
      </c>
      <c r="AB180">
        <v>21.23</v>
      </c>
      <c r="AC180">
        <v>21.82</v>
      </c>
      <c r="AD180">
        <v>23.29</v>
      </c>
      <c r="AE180">
        <v>27.19</v>
      </c>
      <c r="AF180">
        <v>29.37</v>
      </c>
      <c r="AG180">
        <v>37.26</v>
      </c>
      <c r="AH180">
        <v>42.72</v>
      </c>
      <c r="AI180">
        <v>48.61</v>
      </c>
      <c r="AJ180">
        <v>49.4</v>
      </c>
      <c r="AK180">
        <v>51.89</v>
      </c>
      <c r="AL180">
        <v>56.69</v>
      </c>
      <c r="AM180">
        <v>58.01</v>
      </c>
      <c r="AN180">
        <v>65.98</v>
      </c>
      <c r="AO180">
        <v>68.239999999999995</v>
      </c>
      <c r="AP180">
        <v>71.09</v>
      </c>
      <c r="AQ180">
        <v>74.95</v>
      </c>
      <c r="AR180">
        <v>77.88</v>
      </c>
      <c r="AS180">
        <v>76.14</v>
      </c>
      <c r="AT180">
        <v>73.67</v>
      </c>
      <c r="AU180">
        <v>71.37</v>
      </c>
      <c r="AV180">
        <v>72.760000000000005</v>
      </c>
      <c r="AW180">
        <v>66.42</v>
      </c>
      <c r="AX180">
        <v>69.760000000000005</v>
      </c>
      <c r="AY180">
        <v>77.569999999999993</v>
      </c>
      <c r="AZ180">
        <v>73.260000000000005</v>
      </c>
      <c r="BA180">
        <v>74.02</v>
      </c>
      <c r="BB180">
        <v>85.23</v>
      </c>
      <c r="BC180">
        <v>93.08</v>
      </c>
      <c r="BD180">
        <v>97.55</v>
      </c>
      <c r="BE180">
        <v>102.41</v>
      </c>
      <c r="BF180">
        <v>107.38</v>
      </c>
      <c r="BG180">
        <v>104.51</v>
      </c>
      <c r="BH180">
        <v>108.93</v>
      </c>
      <c r="BI180">
        <v>112.61</v>
      </c>
      <c r="BJ180">
        <v>118.35</v>
      </c>
      <c r="BK180">
        <v>118.13</v>
      </c>
      <c r="BL180">
        <v>125.2</v>
      </c>
    </row>
    <row r="181" spans="1:64">
      <c r="A181" s="1" t="s">
        <v>1289</v>
      </c>
      <c r="B181" s="1">
        <v>0.89</v>
      </c>
      <c r="C181" s="1">
        <v>0.89</v>
      </c>
      <c r="D181" s="1">
        <v>0.89</v>
      </c>
      <c r="E181" s="1">
        <v>0.89</v>
      </c>
      <c r="F181" s="1">
        <v>0.89</v>
      </c>
      <c r="G181" s="1">
        <v>0.89</v>
      </c>
      <c r="H181" s="1">
        <v>0.89</v>
      </c>
      <c r="I181" s="1">
        <v>0.89</v>
      </c>
      <c r="J181" s="1">
        <v>0.89</v>
      </c>
      <c r="K181" s="1">
        <v>0.89</v>
      </c>
      <c r="L181" s="1">
        <v>0.89</v>
      </c>
      <c r="M181" s="1">
        <v>0.88</v>
      </c>
      <c r="N181" s="1">
        <v>0.84</v>
      </c>
      <c r="O181" s="1">
        <v>0.7</v>
      </c>
      <c r="P181" s="1">
        <v>0.7</v>
      </c>
      <c r="Q181" s="1">
        <v>0.76</v>
      </c>
      <c r="R181" s="1">
        <v>0.82</v>
      </c>
      <c r="S181" s="1">
        <v>0.9</v>
      </c>
      <c r="T181" s="1">
        <v>0.87</v>
      </c>
      <c r="U181" s="1">
        <v>0.89</v>
      </c>
      <c r="V181" s="1">
        <v>0.88</v>
      </c>
      <c r="W181" s="1">
        <v>0.87</v>
      </c>
      <c r="X181" s="1">
        <v>0.99</v>
      </c>
      <c r="Y181" s="1">
        <v>1.1100000000000001</v>
      </c>
      <c r="Z181" s="1">
        <v>1.1399999999999999</v>
      </c>
      <c r="AA181">
        <v>1.43</v>
      </c>
      <c r="AB181">
        <v>1.5</v>
      </c>
      <c r="AC181">
        <v>1.43</v>
      </c>
      <c r="AD181">
        <v>1.28</v>
      </c>
      <c r="AE181">
        <v>1.26</v>
      </c>
      <c r="AF181">
        <v>1.28</v>
      </c>
      <c r="AG181">
        <v>1.28</v>
      </c>
      <c r="AH181">
        <v>1.36</v>
      </c>
      <c r="AI181">
        <v>1.47</v>
      </c>
      <c r="AJ181">
        <v>1.37</v>
      </c>
      <c r="AK181">
        <v>1.35</v>
      </c>
      <c r="AL181">
        <v>1.28</v>
      </c>
      <c r="AM181">
        <v>1.35</v>
      </c>
      <c r="AN181">
        <v>1.59</v>
      </c>
      <c r="AO181">
        <v>1.55</v>
      </c>
      <c r="AP181">
        <v>1.72</v>
      </c>
      <c r="AQ181">
        <v>1.93</v>
      </c>
      <c r="AR181">
        <v>1.84</v>
      </c>
      <c r="AS181">
        <v>1.54</v>
      </c>
      <c r="AT181">
        <v>1.36</v>
      </c>
      <c r="AU181">
        <v>1.31</v>
      </c>
      <c r="AV181">
        <v>1.33</v>
      </c>
      <c r="AW181">
        <v>1.2</v>
      </c>
      <c r="AX181">
        <v>1.19</v>
      </c>
      <c r="AY181">
        <v>1.28</v>
      </c>
      <c r="AZ181">
        <v>1.0900000000000001</v>
      </c>
      <c r="BA181">
        <v>0.97</v>
      </c>
      <c r="BB181">
        <v>0.97</v>
      </c>
      <c r="BC181">
        <v>1.04</v>
      </c>
      <c r="BD181">
        <v>1.1100000000000001</v>
      </c>
      <c r="BE181">
        <v>1.33</v>
      </c>
      <c r="BF181">
        <v>1.35</v>
      </c>
      <c r="BG181">
        <v>1.3</v>
      </c>
      <c r="BH181">
        <v>1.34</v>
      </c>
      <c r="BI181">
        <v>1.44</v>
      </c>
      <c r="BJ181">
        <v>1.45</v>
      </c>
      <c r="BK181">
        <v>1.33</v>
      </c>
      <c r="BL181">
        <v>1.44</v>
      </c>
    </row>
    <row r="182" spans="1:64">
      <c r="A182" s="1" t="s">
        <v>1290</v>
      </c>
      <c r="B182" s="1">
        <v>0.71</v>
      </c>
      <c r="C182" s="1">
        <v>0.72</v>
      </c>
      <c r="D182" s="1">
        <v>0.72</v>
      </c>
      <c r="E182" s="1">
        <v>0.72</v>
      </c>
      <c r="F182" s="1">
        <v>0.72</v>
      </c>
      <c r="G182" s="1">
        <v>0.72</v>
      </c>
      <c r="H182" s="1">
        <v>0.72</v>
      </c>
      <c r="I182" s="1">
        <v>0.73</v>
      </c>
      <c r="J182" s="1">
        <v>0.89</v>
      </c>
      <c r="K182" s="1">
        <v>0.89</v>
      </c>
      <c r="L182" s="1">
        <v>0.89</v>
      </c>
      <c r="M182" s="1">
        <v>0.88</v>
      </c>
      <c r="N182" s="1">
        <v>0.84</v>
      </c>
      <c r="O182" s="1">
        <v>0.74</v>
      </c>
      <c r="P182" s="1">
        <v>0.72</v>
      </c>
      <c r="Q182" s="1">
        <v>0.83</v>
      </c>
      <c r="R182" s="1">
        <v>1</v>
      </c>
      <c r="S182" s="1">
        <v>1.03</v>
      </c>
      <c r="T182" s="1">
        <v>0.96</v>
      </c>
      <c r="U182" s="1">
        <v>0.98</v>
      </c>
      <c r="V182" s="1">
        <v>1.03</v>
      </c>
      <c r="W182" s="1">
        <v>1.1499999999999999</v>
      </c>
      <c r="X182" s="1">
        <v>1.33</v>
      </c>
      <c r="Y182" s="1">
        <v>1.5</v>
      </c>
      <c r="Z182" s="1">
        <v>1.76</v>
      </c>
      <c r="AA182">
        <v>2.02</v>
      </c>
      <c r="AB182">
        <v>1.91</v>
      </c>
      <c r="AC182">
        <v>1.69</v>
      </c>
      <c r="AD182">
        <v>1.53</v>
      </c>
      <c r="AE182">
        <v>1.67</v>
      </c>
      <c r="AF182">
        <v>1.68</v>
      </c>
      <c r="AG182">
        <v>1.73</v>
      </c>
      <c r="AH182">
        <v>1.86</v>
      </c>
      <c r="AI182">
        <v>1.85</v>
      </c>
      <c r="AJ182">
        <v>1.69</v>
      </c>
      <c r="AK182">
        <v>1.52</v>
      </c>
      <c r="AL182">
        <v>1.45</v>
      </c>
      <c r="AM182">
        <v>1.51</v>
      </c>
      <c r="AN182">
        <v>1.87</v>
      </c>
      <c r="AO182">
        <v>1.89</v>
      </c>
      <c r="AP182">
        <v>2.2000000000000002</v>
      </c>
      <c r="AQ182">
        <v>2.38</v>
      </c>
      <c r="AR182">
        <v>2.16</v>
      </c>
      <c r="AS182">
        <v>1.72</v>
      </c>
      <c r="AT182">
        <v>1.51</v>
      </c>
      <c r="AU182">
        <v>1.42</v>
      </c>
      <c r="AV182">
        <v>1.54</v>
      </c>
      <c r="AW182">
        <v>1.36</v>
      </c>
      <c r="AX182">
        <v>1.42</v>
      </c>
      <c r="AY182">
        <v>1.6</v>
      </c>
      <c r="AZ182">
        <v>1.39</v>
      </c>
      <c r="BA182">
        <v>1.27</v>
      </c>
      <c r="BB182">
        <v>1.23</v>
      </c>
      <c r="BC182">
        <v>1.22</v>
      </c>
      <c r="BD182">
        <v>1.21</v>
      </c>
      <c r="BE182">
        <v>1.43</v>
      </c>
      <c r="BF182">
        <v>1.44</v>
      </c>
      <c r="BG182">
        <v>1.41</v>
      </c>
      <c r="BH182">
        <v>1.45</v>
      </c>
      <c r="BI182">
        <v>1.52</v>
      </c>
      <c r="BJ182">
        <v>1.54</v>
      </c>
      <c r="BK182">
        <v>1.41</v>
      </c>
      <c r="BL182">
        <v>1.58</v>
      </c>
    </row>
    <row r="183" spans="1:64">
      <c r="A183" s="1" t="s">
        <v>1291</v>
      </c>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64">
      <c r="A184" s="1" t="s">
        <v>1292</v>
      </c>
      <c r="B184" s="1">
        <v>0.36</v>
      </c>
      <c r="C184" s="1">
        <v>0.36</v>
      </c>
      <c r="D184" s="1">
        <v>0.36</v>
      </c>
      <c r="E184" s="1">
        <v>0.36</v>
      </c>
      <c r="F184" s="1">
        <v>0.36</v>
      </c>
      <c r="G184" s="1">
        <v>0.36</v>
      </c>
      <c r="H184" s="1">
        <v>0.36</v>
      </c>
      <c r="I184" s="1">
        <v>0.36</v>
      </c>
      <c r="J184" s="1">
        <v>0.42</v>
      </c>
      <c r="K184" s="1">
        <v>0.42</v>
      </c>
      <c r="L184" s="1">
        <v>0.42</v>
      </c>
      <c r="M184" s="1">
        <v>0.42</v>
      </c>
      <c r="N184" s="1">
        <v>0.38</v>
      </c>
      <c r="O184" s="1">
        <v>0.35</v>
      </c>
      <c r="P184" s="1">
        <v>0.35</v>
      </c>
      <c r="Q184" s="1">
        <v>0.35</v>
      </c>
      <c r="R184" s="1">
        <v>0.35</v>
      </c>
      <c r="S184" s="1">
        <v>0.35</v>
      </c>
      <c r="T184" s="1">
        <v>0.35</v>
      </c>
      <c r="U184" s="1">
        <v>0.35</v>
      </c>
      <c r="V184" s="1">
        <v>0.35</v>
      </c>
      <c r="W184" s="1">
        <v>0.35</v>
      </c>
      <c r="X184" s="1">
        <v>0.35</v>
      </c>
      <c r="Y184" s="1">
        <v>0.35</v>
      </c>
      <c r="Z184" s="1">
        <v>0.35</v>
      </c>
      <c r="AA184">
        <v>0.35</v>
      </c>
      <c r="AB184">
        <v>0.38</v>
      </c>
      <c r="AC184">
        <v>0.38</v>
      </c>
      <c r="AD184">
        <v>0.38</v>
      </c>
      <c r="AE184">
        <v>0.38</v>
      </c>
      <c r="AF184">
        <v>0.38</v>
      </c>
      <c r="AG184">
        <v>0.38</v>
      </c>
      <c r="AH184">
        <v>0.38</v>
      </c>
      <c r="AI184">
        <v>0.38</v>
      </c>
      <c r="AJ184">
        <v>0.38</v>
      </c>
      <c r="AK184">
        <v>0.38</v>
      </c>
      <c r="AL184">
        <v>0.38</v>
      </c>
      <c r="AM184">
        <v>0.38</v>
      </c>
      <c r="AN184">
        <v>0.38</v>
      </c>
      <c r="AO184">
        <v>0.38</v>
      </c>
      <c r="AP184">
        <v>0.38</v>
      </c>
      <c r="AQ184">
        <v>0.38</v>
      </c>
      <c r="AR184">
        <v>0.38</v>
      </c>
      <c r="AS184">
        <v>0.38</v>
      </c>
      <c r="AT184">
        <v>0.38</v>
      </c>
      <c r="AU184">
        <v>0.38</v>
      </c>
      <c r="AV184">
        <v>0.38</v>
      </c>
      <c r="AW184">
        <v>0.38</v>
      </c>
      <c r="AX184">
        <v>0.38</v>
      </c>
      <c r="AY184">
        <v>0.38</v>
      </c>
      <c r="AZ184">
        <v>0.38</v>
      </c>
      <c r="BA184">
        <v>0.38</v>
      </c>
      <c r="BB184">
        <v>0.38</v>
      </c>
      <c r="BC184">
        <v>0.38</v>
      </c>
      <c r="BD184">
        <v>0.38</v>
      </c>
      <c r="BE184">
        <v>0.38</v>
      </c>
      <c r="BF184">
        <v>0.38</v>
      </c>
      <c r="BG184">
        <v>0.38</v>
      </c>
      <c r="BH184">
        <v>0.38</v>
      </c>
      <c r="BI184">
        <v>0.38</v>
      </c>
      <c r="BJ184">
        <v>0.38</v>
      </c>
      <c r="BK184">
        <v>0.38</v>
      </c>
      <c r="BL184">
        <v>0.38</v>
      </c>
    </row>
    <row r="185" spans="1:64">
      <c r="A185" s="1" t="s">
        <v>1293</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64">
      <c r="A186" s="1" t="s">
        <v>1294</v>
      </c>
      <c r="B186" s="1">
        <v>4.76</v>
      </c>
      <c r="C186" s="1">
        <v>4.76</v>
      </c>
      <c r="D186" s="1">
        <v>4.76</v>
      </c>
      <c r="E186" s="1">
        <v>4.76</v>
      </c>
      <c r="F186" s="1">
        <v>4.76</v>
      </c>
      <c r="G186" s="1">
        <v>4.76</v>
      </c>
      <c r="H186" s="1">
        <v>4.76</v>
      </c>
      <c r="I186" s="1">
        <v>4.76</v>
      </c>
      <c r="J186" s="1">
        <v>4.76</v>
      </c>
      <c r="K186" s="1">
        <v>4.76</v>
      </c>
      <c r="L186" s="1">
        <v>4.76</v>
      </c>
      <c r="M186" s="1">
        <v>4.76</v>
      </c>
      <c r="N186" s="1">
        <v>8.68</v>
      </c>
      <c r="O186" s="1">
        <v>9.99</v>
      </c>
      <c r="P186" s="1">
        <v>9.9</v>
      </c>
      <c r="Q186" s="1">
        <v>9.9</v>
      </c>
      <c r="R186" s="1">
        <v>9.9</v>
      </c>
      <c r="S186" s="1">
        <v>9.9</v>
      </c>
      <c r="T186" s="1">
        <v>9.9</v>
      </c>
      <c r="U186" s="1">
        <v>9.9</v>
      </c>
      <c r="V186" s="1">
        <v>9.9</v>
      </c>
      <c r="W186" s="1">
        <v>9.9</v>
      </c>
      <c r="X186" s="1">
        <v>11.85</v>
      </c>
      <c r="Y186" s="1">
        <v>13.12</v>
      </c>
      <c r="Z186" s="1">
        <v>14.05</v>
      </c>
      <c r="AA186">
        <v>15.93</v>
      </c>
      <c r="AB186">
        <v>16.649999999999999</v>
      </c>
      <c r="AC186">
        <v>17.399999999999999</v>
      </c>
      <c r="AD186">
        <v>18</v>
      </c>
      <c r="AE186">
        <v>20.54</v>
      </c>
      <c r="AF186">
        <v>21.71</v>
      </c>
      <c r="AG186">
        <v>23.8</v>
      </c>
      <c r="AH186">
        <v>25.08</v>
      </c>
      <c r="AI186">
        <v>28.11</v>
      </c>
      <c r="AJ186">
        <v>30.57</v>
      </c>
      <c r="AK186">
        <v>31.64</v>
      </c>
      <c r="AL186">
        <v>36.08</v>
      </c>
      <c r="AM186">
        <v>41.11</v>
      </c>
      <c r="AN186">
        <v>45.05</v>
      </c>
      <c r="AO186">
        <v>49.5</v>
      </c>
      <c r="AP186">
        <v>53.65</v>
      </c>
      <c r="AQ186">
        <v>61.93</v>
      </c>
      <c r="AR186">
        <v>59.72</v>
      </c>
      <c r="AS186">
        <v>57.75</v>
      </c>
      <c r="AT186">
        <v>58.26</v>
      </c>
      <c r="AU186">
        <v>59.51</v>
      </c>
      <c r="AV186">
        <v>60.27</v>
      </c>
      <c r="AW186">
        <v>60.74</v>
      </c>
      <c r="AX186">
        <v>70.41</v>
      </c>
      <c r="AY186">
        <v>81.709999999999994</v>
      </c>
      <c r="AZ186">
        <v>85.19</v>
      </c>
      <c r="BA186">
        <v>86.34</v>
      </c>
      <c r="BB186">
        <v>93.4</v>
      </c>
      <c r="BC186">
        <v>101.63</v>
      </c>
      <c r="BD186">
        <v>101.1</v>
      </c>
      <c r="BE186">
        <v>102.77</v>
      </c>
      <c r="BF186">
        <v>104.77</v>
      </c>
      <c r="BG186">
        <v>105.46</v>
      </c>
      <c r="BH186">
        <v>121.82</v>
      </c>
      <c r="BI186">
        <v>150.04</v>
      </c>
      <c r="BJ186">
        <v>161.84</v>
      </c>
      <c r="BK186">
        <v>162.91</v>
      </c>
      <c r="BL186">
        <v>204.87</v>
      </c>
    </row>
    <row r="187" spans="1:64">
      <c r="A187" s="1" t="s">
        <v>1295</v>
      </c>
      <c r="B187" s="1">
        <v>1</v>
      </c>
      <c r="C187" s="1">
        <v>1</v>
      </c>
      <c r="D187" s="1">
        <v>1</v>
      </c>
      <c r="E187" s="1">
        <v>1</v>
      </c>
      <c r="F187" s="1">
        <v>1</v>
      </c>
      <c r="G187" s="1">
        <v>1</v>
      </c>
      <c r="H187" s="1">
        <v>1</v>
      </c>
      <c r="I187" s="1">
        <v>1</v>
      </c>
      <c r="J187" s="1">
        <v>1</v>
      </c>
      <c r="K187" s="1">
        <v>1</v>
      </c>
      <c r="L187" s="1">
        <v>1</v>
      </c>
      <c r="M187" s="1">
        <v>1</v>
      </c>
      <c r="N187" s="1">
        <v>1</v>
      </c>
      <c r="O187" s="1">
        <v>1</v>
      </c>
      <c r="P187" s="1">
        <v>1</v>
      </c>
      <c r="Q187" s="1">
        <v>1</v>
      </c>
      <c r="R187" s="1">
        <v>1</v>
      </c>
      <c r="S187" s="1">
        <v>1</v>
      </c>
      <c r="T187" s="1">
        <v>1</v>
      </c>
      <c r="U187" s="1">
        <v>1</v>
      </c>
      <c r="V187" s="1">
        <v>1</v>
      </c>
      <c r="W187" s="1">
        <v>1</v>
      </c>
      <c r="X187" s="1">
        <v>1</v>
      </c>
      <c r="Y187" s="1">
        <v>1</v>
      </c>
      <c r="Z187" s="1">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row>
    <row r="188" spans="1:64">
      <c r="A188" s="1" t="s">
        <v>234</v>
      </c>
      <c r="B188" s="1">
        <v>0</v>
      </c>
      <c r="C188" s="1">
        <v>0</v>
      </c>
      <c r="D188" s="1">
        <v>0</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v>0</v>
      </c>
      <c r="AB188">
        <v>0</v>
      </c>
      <c r="AC188">
        <v>0</v>
      </c>
      <c r="AD188">
        <v>0</v>
      </c>
      <c r="AE188">
        <v>0</v>
      </c>
      <c r="AF188">
        <v>0.19</v>
      </c>
      <c r="AG188">
        <v>0.77</v>
      </c>
      <c r="AH188">
        <v>1.25</v>
      </c>
      <c r="AI188">
        <v>1.99</v>
      </c>
      <c r="AJ188">
        <v>2.2000000000000002</v>
      </c>
      <c r="AK188">
        <v>2.25</v>
      </c>
      <c r="AL188">
        <v>2.4500000000000002</v>
      </c>
      <c r="AM188">
        <v>2.66</v>
      </c>
      <c r="AN188">
        <v>2.93</v>
      </c>
      <c r="AO188">
        <v>3.38</v>
      </c>
      <c r="AP188">
        <v>3.49</v>
      </c>
      <c r="AQ188">
        <v>3.51</v>
      </c>
      <c r="AR188">
        <v>3.52</v>
      </c>
      <c r="AS188">
        <v>3.48</v>
      </c>
      <c r="AT188">
        <v>3.41</v>
      </c>
      <c r="AU188">
        <v>3.3</v>
      </c>
      <c r="AV188">
        <v>3.27</v>
      </c>
      <c r="AW188">
        <v>3.13</v>
      </c>
      <c r="AX188">
        <v>2.92</v>
      </c>
      <c r="AY188">
        <v>3.01</v>
      </c>
      <c r="AZ188">
        <v>2.83</v>
      </c>
      <c r="BA188">
        <v>2.75</v>
      </c>
      <c r="BB188">
        <v>2.64</v>
      </c>
      <c r="BC188">
        <v>2.7</v>
      </c>
      <c r="BD188">
        <v>2.84</v>
      </c>
      <c r="BE188">
        <v>3.18</v>
      </c>
      <c r="BF188">
        <v>3.38</v>
      </c>
      <c r="BG188">
        <v>3.26</v>
      </c>
      <c r="BH188">
        <v>3.29</v>
      </c>
      <c r="BI188">
        <v>3.34</v>
      </c>
      <c r="BJ188">
        <v>3.49</v>
      </c>
      <c r="BK188">
        <v>3.88</v>
      </c>
      <c r="BL188">
        <v>3.84</v>
      </c>
    </row>
    <row r="189" spans="1:64">
      <c r="A189" s="1" t="s">
        <v>200</v>
      </c>
      <c r="B189" s="1">
        <v>2.0099999999999998</v>
      </c>
      <c r="C189" s="1">
        <v>2.02</v>
      </c>
      <c r="D189" s="1">
        <v>3.73</v>
      </c>
      <c r="E189" s="1">
        <v>3.91</v>
      </c>
      <c r="F189" s="1">
        <v>3.91</v>
      </c>
      <c r="G189" s="1">
        <v>3.91</v>
      </c>
      <c r="H189" s="1">
        <v>3.9</v>
      </c>
      <c r="I189" s="1">
        <v>3.9</v>
      </c>
      <c r="J189" s="1">
        <v>3.9</v>
      </c>
      <c r="K189" s="1">
        <v>3.9</v>
      </c>
      <c r="L189" s="1">
        <v>5.9</v>
      </c>
      <c r="M189" s="1">
        <v>6.43</v>
      </c>
      <c r="N189" s="1">
        <v>6.67</v>
      </c>
      <c r="O189" s="1">
        <v>6.76</v>
      </c>
      <c r="P189" s="1">
        <v>6.79</v>
      </c>
      <c r="Q189" s="1">
        <v>7.25</v>
      </c>
      <c r="R189" s="1">
        <v>7.44</v>
      </c>
      <c r="S189" s="1">
        <v>7.4</v>
      </c>
      <c r="T189" s="1">
        <v>7.37</v>
      </c>
      <c r="U189" s="1">
        <v>7.38</v>
      </c>
      <c r="V189" s="1">
        <v>7.51</v>
      </c>
      <c r="W189" s="1">
        <v>7.9</v>
      </c>
      <c r="X189" s="1">
        <v>8.5399999999999991</v>
      </c>
      <c r="Y189" s="1">
        <v>11.11</v>
      </c>
      <c r="Z189" s="1">
        <v>16.7</v>
      </c>
      <c r="AA189">
        <v>18.61</v>
      </c>
      <c r="AB189">
        <v>20.39</v>
      </c>
      <c r="AC189">
        <v>20.57</v>
      </c>
      <c r="AD189">
        <v>21.09</v>
      </c>
      <c r="AE189">
        <v>21.74</v>
      </c>
      <c r="AF189">
        <v>24.31</v>
      </c>
      <c r="AG189">
        <v>27.48</v>
      </c>
      <c r="AH189">
        <v>25.51</v>
      </c>
      <c r="AI189">
        <v>27.12</v>
      </c>
      <c r="AJ189">
        <v>26.42</v>
      </c>
      <c r="AK189">
        <v>25.71</v>
      </c>
      <c r="AL189">
        <v>26.22</v>
      </c>
      <c r="AM189">
        <v>29.47</v>
      </c>
      <c r="AN189">
        <v>40.89</v>
      </c>
      <c r="AO189">
        <v>39.090000000000003</v>
      </c>
      <c r="AP189">
        <v>44.19</v>
      </c>
      <c r="AQ189">
        <v>50.99</v>
      </c>
      <c r="AR189">
        <v>51.6</v>
      </c>
      <c r="AS189">
        <v>54.2</v>
      </c>
      <c r="AT189">
        <v>56.04</v>
      </c>
      <c r="AU189">
        <v>55.09</v>
      </c>
      <c r="AV189">
        <v>51.31</v>
      </c>
      <c r="AW189">
        <v>46.15</v>
      </c>
      <c r="AX189">
        <v>44.32</v>
      </c>
      <c r="AY189">
        <v>47.68</v>
      </c>
      <c r="AZ189">
        <v>45.11</v>
      </c>
      <c r="BA189">
        <v>43.31</v>
      </c>
      <c r="BB189">
        <v>42.23</v>
      </c>
      <c r="BC189">
        <v>42.45</v>
      </c>
      <c r="BD189">
        <v>44.4</v>
      </c>
      <c r="BE189">
        <v>45.5</v>
      </c>
      <c r="BF189">
        <v>47.49</v>
      </c>
      <c r="BG189">
        <v>50.4</v>
      </c>
      <c r="BH189">
        <v>52.66</v>
      </c>
      <c r="BI189">
        <v>51.8</v>
      </c>
      <c r="BJ189">
        <v>49.62</v>
      </c>
      <c r="BK189">
        <v>49.25</v>
      </c>
      <c r="BL189">
        <v>54.48</v>
      </c>
    </row>
    <row r="190" spans="1:64">
      <c r="A190" s="1" t="s">
        <v>1296</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U190">
        <v>1</v>
      </c>
      <c r="AV190">
        <v>1</v>
      </c>
      <c r="AW190">
        <v>1</v>
      </c>
      <c r="AX190">
        <v>1</v>
      </c>
      <c r="AY190">
        <v>1</v>
      </c>
      <c r="AZ190">
        <v>1</v>
      </c>
      <c r="BA190">
        <v>1</v>
      </c>
      <c r="BB190">
        <v>1</v>
      </c>
      <c r="BC190">
        <v>1</v>
      </c>
      <c r="BD190">
        <v>1</v>
      </c>
      <c r="BE190">
        <v>1</v>
      </c>
      <c r="BF190">
        <v>1</v>
      </c>
      <c r="BG190">
        <v>1</v>
      </c>
      <c r="BH190">
        <v>1</v>
      </c>
      <c r="BI190">
        <v>1</v>
      </c>
      <c r="BJ190">
        <v>1</v>
      </c>
      <c r="BK190">
        <v>1</v>
      </c>
      <c r="BL190">
        <v>1</v>
      </c>
    </row>
    <row r="191" spans="1:64">
      <c r="A191" s="1" t="s">
        <v>1297</v>
      </c>
      <c r="B191" s="1">
        <v>0.89</v>
      </c>
      <c r="C191" s="1">
        <v>0.89</v>
      </c>
      <c r="D191" s="1">
        <v>0.89</v>
      </c>
      <c r="E191" s="1">
        <v>0.89</v>
      </c>
      <c r="F191" s="1">
        <v>0.89</v>
      </c>
      <c r="G191" s="1">
        <v>0.89</v>
      </c>
      <c r="H191" s="1">
        <v>0.89</v>
      </c>
      <c r="I191" s="1">
        <v>0.89</v>
      </c>
      <c r="J191" s="1">
        <v>0.89</v>
      </c>
      <c r="K191" s="1">
        <v>0.89</v>
      </c>
      <c r="L191" s="1">
        <v>0.89</v>
      </c>
      <c r="M191" s="1">
        <v>0.88</v>
      </c>
      <c r="N191" s="1">
        <v>0.84</v>
      </c>
      <c r="O191" s="1">
        <v>0.7</v>
      </c>
      <c r="P191" s="1">
        <v>0.7</v>
      </c>
      <c r="Q191" s="1">
        <v>0.76</v>
      </c>
      <c r="R191" s="1">
        <v>0.79</v>
      </c>
      <c r="S191" s="1">
        <v>0.79</v>
      </c>
      <c r="T191" s="1">
        <v>0.71</v>
      </c>
      <c r="U191" s="1">
        <v>0.71</v>
      </c>
      <c r="V191" s="1">
        <v>0.67</v>
      </c>
      <c r="W191" s="1">
        <v>0.67</v>
      </c>
      <c r="X191" s="1">
        <v>0.74</v>
      </c>
      <c r="Y191" s="1">
        <v>0.84</v>
      </c>
      <c r="Z191" s="1">
        <v>0.9</v>
      </c>
      <c r="AA191">
        <v>1</v>
      </c>
      <c r="AB191">
        <v>0.97</v>
      </c>
      <c r="AC191">
        <v>0.91</v>
      </c>
      <c r="AD191">
        <v>0.87</v>
      </c>
      <c r="AE191">
        <v>0.86</v>
      </c>
      <c r="AF191">
        <v>0.96</v>
      </c>
      <c r="AG191">
        <v>0.95</v>
      </c>
      <c r="AH191">
        <v>0.96</v>
      </c>
      <c r="AI191">
        <v>0.98</v>
      </c>
      <c r="AJ191">
        <v>1.01</v>
      </c>
      <c r="AK191">
        <v>1.28</v>
      </c>
      <c r="AL191">
        <v>1.32</v>
      </c>
      <c r="AM191">
        <v>1.44</v>
      </c>
      <c r="AN191">
        <v>2.0699999999999998</v>
      </c>
      <c r="AO191">
        <v>2.57</v>
      </c>
      <c r="AP191">
        <v>2.78</v>
      </c>
      <c r="AQ191">
        <v>3.39</v>
      </c>
      <c r="AR191">
        <v>3.9</v>
      </c>
      <c r="AS191">
        <v>3.56</v>
      </c>
      <c r="AT191">
        <v>3.22</v>
      </c>
      <c r="AU191">
        <v>3.1</v>
      </c>
      <c r="AV191">
        <v>3.06</v>
      </c>
      <c r="AW191">
        <v>2.97</v>
      </c>
      <c r="AX191">
        <v>2.7</v>
      </c>
      <c r="AY191">
        <v>2.76</v>
      </c>
      <c r="AZ191">
        <v>2.72</v>
      </c>
      <c r="BA191">
        <v>2.37</v>
      </c>
      <c r="BB191">
        <v>2.08</v>
      </c>
      <c r="BC191">
        <v>2.2400000000000002</v>
      </c>
      <c r="BD191">
        <v>2.46</v>
      </c>
      <c r="BE191">
        <v>2.77</v>
      </c>
      <c r="BF191">
        <v>3.13</v>
      </c>
      <c r="BG191">
        <v>3.19</v>
      </c>
      <c r="BH191">
        <v>3.29</v>
      </c>
      <c r="BI191">
        <v>3.39</v>
      </c>
      <c r="BJ191">
        <v>3.46</v>
      </c>
      <c r="BK191">
        <v>3.51</v>
      </c>
    </row>
    <row r="192" spans="1:64">
      <c r="A192" s="1" t="s">
        <v>1298</v>
      </c>
      <c r="B192" s="1">
        <v>0</v>
      </c>
      <c r="C192" s="1">
        <v>0</v>
      </c>
      <c r="D192" s="1">
        <v>0</v>
      </c>
      <c r="E192" s="1">
        <v>0</v>
      </c>
      <c r="F192" s="1">
        <v>0</v>
      </c>
      <c r="G192" s="1">
        <v>0</v>
      </c>
      <c r="H192" s="1">
        <v>0</v>
      </c>
      <c r="I192" s="1">
        <v>0</v>
      </c>
      <c r="J192" s="1">
        <v>0</v>
      </c>
      <c r="K192" s="1">
        <v>0</v>
      </c>
      <c r="L192" s="1">
        <v>0</v>
      </c>
      <c r="M192" s="1">
        <v>0</v>
      </c>
      <c r="N192" s="1">
        <v>0</v>
      </c>
      <c r="O192" s="1">
        <v>0</v>
      </c>
      <c r="P192" s="1">
        <v>0</v>
      </c>
      <c r="Q192" s="1">
        <v>0</v>
      </c>
      <c r="R192" s="1">
        <v>0</v>
      </c>
      <c r="S192" s="1">
        <v>0</v>
      </c>
      <c r="T192" s="1">
        <v>0</v>
      </c>
      <c r="U192" s="1">
        <v>0</v>
      </c>
      <c r="V192" s="1">
        <v>0</v>
      </c>
      <c r="W192" s="1">
        <v>0.01</v>
      </c>
      <c r="X192" s="1">
        <v>0.01</v>
      </c>
      <c r="Y192" s="1">
        <v>0.01</v>
      </c>
      <c r="Z192" s="1">
        <v>0.01</v>
      </c>
      <c r="AA192">
        <v>0.01</v>
      </c>
      <c r="AB192">
        <v>0.02</v>
      </c>
      <c r="AC192">
        <v>0.03</v>
      </c>
      <c r="AD192">
        <v>0.04</v>
      </c>
      <c r="AE192">
        <v>0.14000000000000001</v>
      </c>
      <c r="AF192">
        <v>0.95</v>
      </c>
      <c r="AG192">
        <v>1.06</v>
      </c>
      <c r="AH192">
        <v>1.36</v>
      </c>
      <c r="AI192">
        <v>1.81</v>
      </c>
      <c r="AJ192">
        <v>2.27</v>
      </c>
      <c r="AK192">
        <v>2.42</v>
      </c>
      <c r="AL192">
        <v>2.7</v>
      </c>
      <c r="AM192">
        <v>3.28</v>
      </c>
      <c r="AN192">
        <v>3.48</v>
      </c>
      <c r="AO192">
        <v>3.97</v>
      </c>
      <c r="AP192">
        <v>4.3499999999999996</v>
      </c>
      <c r="AQ192">
        <v>4.09</v>
      </c>
      <c r="AR192">
        <v>4.08</v>
      </c>
      <c r="AS192">
        <v>3.89</v>
      </c>
      <c r="AT192">
        <v>3.66</v>
      </c>
      <c r="AU192">
        <v>3.24</v>
      </c>
      <c r="AV192">
        <v>3.1</v>
      </c>
      <c r="AW192">
        <v>2.77</v>
      </c>
      <c r="AX192">
        <v>2.41</v>
      </c>
      <c r="AY192">
        <v>3.12</v>
      </c>
      <c r="AZ192">
        <v>3.02</v>
      </c>
      <c r="BA192">
        <v>2.96</v>
      </c>
      <c r="BB192">
        <v>3.26</v>
      </c>
      <c r="BC192">
        <v>3.16</v>
      </c>
      <c r="BD192">
        <v>3.15</v>
      </c>
      <c r="BE192">
        <v>3.77</v>
      </c>
      <c r="BF192">
        <v>3.94</v>
      </c>
      <c r="BG192">
        <v>3.78</v>
      </c>
      <c r="BH192">
        <v>3.61</v>
      </c>
      <c r="BI192">
        <v>3.84</v>
      </c>
      <c r="BJ192">
        <v>3.9</v>
      </c>
      <c r="BK192">
        <v>3.86</v>
      </c>
      <c r="BL192">
        <v>4.46</v>
      </c>
    </row>
    <row r="193" spans="1:64">
      <c r="A193" s="1" t="s">
        <v>1299</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64">
      <c r="A194" s="1" t="s">
        <v>1300</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row>
    <row r="195" spans="1:64">
      <c r="A195" s="1" t="s">
        <v>1301</v>
      </c>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64">
      <c r="A196" s="1" t="s">
        <v>1302</v>
      </c>
      <c r="B196" s="1">
        <v>28.75</v>
      </c>
      <c r="C196" s="1">
        <v>28.75</v>
      </c>
      <c r="D196" s="1">
        <v>28.75</v>
      </c>
      <c r="E196" s="1">
        <v>28.75</v>
      </c>
      <c r="F196" s="1">
        <v>28.75</v>
      </c>
      <c r="G196" s="1">
        <v>28.75</v>
      </c>
      <c r="H196" s="1">
        <v>28.75</v>
      </c>
      <c r="I196" s="1">
        <v>28.75</v>
      </c>
      <c r="J196" s="1">
        <v>28.75</v>
      </c>
      <c r="K196" s="1">
        <v>28.75</v>
      </c>
      <c r="L196" s="1">
        <v>28.75</v>
      </c>
      <c r="M196" s="1">
        <v>28.36</v>
      </c>
      <c r="N196" s="1">
        <v>27.05</v>
      </c>
      <c r="O196" s="1">
        <v>24.52</v>
      </c>
      <c r="P196" s="1">
        <v>25.41</v>
      </c>
      <c r="Q196" s="1">
        <v>25.55</v>
      </c>
      <c r="R196" s="1">
        <v>30.23</v>
      </c>
      <c r="S196" s="1">
        <v>38.28</v>
      </c>
      <c r="T196" s="1">
        <v>43.94</v>
      </c>
      <c r="U196" s="1">
        <v>48.92</v>
      </c>
      <c r="V196" s="1">
        <v>50.06</v>
      </c>
      <c r="W196" s="1">
        <v>61.55</v>
      </c>
      <c r="X196" s="1">
        <v>79.47</v>
      </c>
      <c r="Y196" s="1">
        <v>110.78</v>
      </c>
      <c r="Z196" s="1">
        <v>146.38999999999999</v>
      </c>
      <c r="AA196">
        <v>170.39</v>
      </c>
      <c r="AB196">
        <v>149.59</v>
      </c>
      <c r="AC196">
        <v>140.88</v>
      </c>
      <c r="AD196">
        <v>143.94999999999999</v>
      </c>
      <c r="AE196">
        <v>157.46</v>
      </c>
      <c r="AF196">
        <v>142.55000000000001</v>
      </c>
      <c r="AG196">
        <v>144.47999999999999</v>
      </c>
      <c r="AH196">
        <v>135</v>
      </c>
      <c r="AI196">
        <v>160.80000000000001</v>
      </c>
      <c r="AJ196">
        <v>165.99</v>
      </c>
      <c r="AK196">
        <v>151.11000000000001</v>
      </c>
      <c r="AL196">
        <v>154.24</v>
      </c>
      <c r="AM196">
        <v>175.31</v>
      </c>
      <c r="AN196">
        <v>180.1</v>
      </c>
      <c r="AO196">
        <v>0.94</v>
      </c>
      <c r="AP196">
        <v>1.08</v>
      </c>
      <c r="AQ196">
        <v>1.1200000000000001</v>
      </c>
      <c r="AR196">
        <v>1.06</v>
      </c>
      <c r="AS196">
        <v>0.88</v>
      </c>
      <c r="AT196">
        <v>0.8</v>
      </c>
      <c r="AU196">
        <v>0.8</v>
      </c>
      <c r="AV196">
        <v>0.8</v>
      </c>
      <c r="AW196">
        <v>0.73</v>
      </c>
      <c r="AX196">
        <v>0.68</v>
      </c>
      <c r="AY196">
        <v>0.72</v>
      </c>
      <c r="AZ196">
        <v>0.75</v>
      </c>
      <c r="BA196">
        <v>0.72</v>
      </c>
      <c r="BB196">
        <v>0.78</v>
      </c>
      <c r="BC196">
        <v>0.75</v>
      </c>
      <c r="BD196">
        <v>0.75</v>
      </c>
      <c r="BE196">
        <v>0.9</v>
      </c>
      <c r="BF196">
        <v>0.9</v>
      </c>
      <c r="BG196">
        <v>0.89</v>
      </c>
      <c r="BH196">
        <v>0.85</v>
      </c>
      <c r="BI196">
        <v>0.89</v>
      </c>
      <c r="BJ196">
        <v>0.88</v>
      </c>
      <c r="BK196">
        <v>0.85</v>
      </c>
      <c r="BL196">
        <v>0.95</v>
      </c>
    </row>
    <row r="197" spans="1:64">
      <c r="A197" s="1" t="s">
        <v>267</v>
      </c>
      <c r="B197" s="1">
        <v>123.17</v>
      </c>
      <c r="C197" s="1">
        <v>126</v>
      </c>
      <c r="D197" s="1">
        <v>126</v>
      </c>
      <c r="E197" s="1">
        <v>126</v>
      </c>
      <c r="F197" s="1">
        <v>126</v>
      </c>
      <c r="G197" s="1">
        <v>126</v>
      </c>
      <c r="H197" s="1">
        <v>126</v>
      </c>
      <c r="I197" s="1">
        <v>126</v>
      </c>
      <c r="J197" s="1">
        <v>126</v>
      </c>
      <c r="K197" s="1">
        <v>126</v>
      </c>
      <c r="L197" s="1">
        <v>126</v>
      </c>
      <c r="M197" s="1">
        <v>126</v>
      </c>
      <c r="N197" s="1">
        <v>126</v>
      </c>
      <c r="O197" s="1">
        <v>126</v>
      </c>
      <c r="P197" s="1">
        <v>126</v>
      </c>
      <c r="Q197" s="1">
        <v>126</v>
      </c>
      <c r="R197" s="1">
        <v>126</v>
      </c>
      <c r="S197" s="1">
        <v>126</v>
      </c>
      <c r="T197" s="1">
        <v>126</v>
      </c>
      <c r="U197" s="1">
        <v>126</v>
      </c>
      <c r="V197" s="1">
        <v>126</v>
      </c>
      <c r="W197" s="1">
        <v>126</v>
      </c>
      <c r="X197" s="1">
        <v>126</v>
      </c>
      <c r="Y197" s="1">
        <v>126</v>
      </c>
      <c r="Z197" s="1">
        <v>201</v>
      </c>
      <c r="AA197">
        <v>306.67</v>
      </c>
      <c r="AB197">
        <v>339.17</v>
      </c>
      <c r="AC197">
        <v>550</v>
      </c>
      <c r="AD197">
        <v>550</v>
      </c>
      <c r="AE197">
        <v>1056.22</v>
      </c>
      <c r="AF197">
        <v>1229.81</v>
      </c>
      <c r="AG197">
        <v>1325.18</v>
      </c>
      <c r="AH197">
        <v>1500.26</v>
      </c>
      <c r="AI197">
        <v>1744.35</v>
      </c>
      <c r="AJ197">
        <v>1904.76</v>
      </c>
      <c r="AK197">
        <v>1963.02</v>
      </c>
      <c r="AL197">
        <v>2056.81</v>
      </c>
      <c r="AM197">
        <v>2177.86</v>
      </c>
      <c r="AN197">
        <v>2726.49</v>
      </c>
      <c r="AO197">
        <v>3119.07</v>
      </c>
      <c r="AP197">
        <v>3486.35</v>
      </c>
      <c r="AQ197">
        <v>4105.93</v>
      </c>
      <c r="AR197">
        <v>5716.26</v>
      </c>
      <c r="AS197">
        <v>6424.34</v>
      </c>
      <c r="AT197">
        <v>5974.58</v>
      </c>
      <c r="AU197">
        <v>6177.93</v>
      </c>
      <c r="AV197">
        <v>5635.09</v>
      </c>
      <c r="AW197">
        <v>5032.71</v>
      </c>
      <c r="AX197">
        <v>4363.29</v>
      </c>
      <c r="AY197">
        <v>4966.68</v>
      </c>
      <c r="AZ197">
        <v>4758.43</v>
      </c>
      <c r="BA197">
        <v>4193.8</v>
      </c>
      <c r="BB197">
        <v>4421.66</v>
      </c>
      <c r="BC197">
        <v>4303.88</v>
      </c>
      <c r="BD197">
        <v>4462.1899999999996</v>
      </c>
      <c r="BE197">
        <v>5204.92</v>
      </c>
      <c r="BF197">
        <v>5670.54</v>
      </c>
      <c r="BG197">
        <v>5618.93</v>
      </c>
      <c r="BH197">
        <v>5732.1</v>
      </c>
      <c r="BI197">
        <v>6240.72</v>
      </c>
      <c r="BJ197">
        <v>6771.1</v>
      </c>
      <c r="BK197">
        <v>6774.16</v>
      </c>
      <c r="BL197">
        <v>6982.75</v>
      </c>
    </row>
    <row r="198" spans="1:64">
      <c r="A198" s="1" t="s">
        <v>1303</v>
      </c>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64">
      <c r="A199" s="1" t="s">
        <v>1304</v>
      </c>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64">
      <c r="A200" s="1" t="s">
        <v>1305</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64">
      <c r="A201" s="1" t="s">
        <v>1306</v>
      </c>
      <c r="B201" s="1">
        <v>89.77</v>
      </c>
      <c r="C201" s="1">
        <v>89.77</v>
      </c>
      <c r="D201" s="1">
        <v>89.77</v>
      </c>
      <c r="E201" s="1">
        <v>89.77</v>
      </c>
      <c r="F201" s="1">
        <v>89.77</v>
      </c>
      <c r="G201" s="1">
        <v>89.77</v>
      </c>
      <c r="H201" s="1">
        <v>89.77</v>
      </c>
      <c r="I201" s="1">
        <v>89.77</v>
      </c>
      <c r="J201" s="1">
        <v>89.77</v>
      </c>
      <c r="K201" s="1">
        <v>94.44</v>
      </c>
      <c r="L201" s="1">
        <v>100.99</v>
      </c>
      <c r="M201" s="1">
        <v>100.69</v>
      </c>
      <c r="N201" s="1">
        <v>91.65</v>
      </c>
      <c r="O201" s="1">
        <v>81.05</v>
      </c>
      <c r="P201" s="1">
        <v>87.53</v>
      </c>
      <c r="Q201" s="1">
        <v>77.930000000000007</v>
      </c>
      <c r="R201" s="1">
        <v>86.89</v>
      </c>
      <c r="S201" s="1">
        <v>89.34</v>
      </c>
      <c r="T201" s="1">
        <v>82.06</v>
      </c>
      <c r="U201" s="1">
        <v>77.349999999999994</v>
      </c>
      <c r="V201" s="1">
        <v>76.83</v>
      </c>
      <c r="W201" s="1">
        <v>98.81</v>
      </c>
      <c r="X201" s="1">
        <v>119.49</v>
      </c>
      <c r="Y201" s="1">
        <v>138.57</v>
      </c>
      <c r="Z201" s="1">
        <v>158.88999999999999</v>
      </c>
      <c r="AA201">
        <v>163.37</v>
      </c>
      <c r="AB201">
        <v>125.93</v>
      </c>
      <c r="AC201">
        <v>109.29</v>
      </c>
      <c r="AD201">
        <v>108.31</v>
      </c>
      <c r="AE201">
        <v>116</v>
      </c>
      <c r="AF201">
        <v>99</v>
      </c>
      <c r="AG201">
        <v>102.58</v>
      </c>
      <c r="AH201">
        <v>96.25</v>
      </c>
      <c r="AI201">
        <v>102.97</v>
      </c>
      <c r="AJ201">
        <v>100.95</v>
      </c>
      <c r="AK201">
        <v>90.75</v>
      </c>
      <c r="AL201">
        <v>93.01</v>
      </c>
      <c r="AM201">
        <v>106.12</v>
      </c>
      <c r="AN201">
        <v>107.26</v>
      </c>
      <c r="AO201">
        <v>111.97</v>
      </c>
      <c r="AP201">
        <v>129.19999999999999</v>
      </c>
      <c r="AQ201">
        <v>133.24</v>
      </c>
      <c r="AR201">
        <v>126.2</v>
      </c>
      <c r="AS201">
        <v>105.49</v>
      </c>
      <c r="AT201">
        <v>95.93</v>
      </c>
      <c r="AU201">
        <v>95.92</v>
      </c>
      <c r="AV201">
        <v>95.04</v>
      </c>
      <c r="AW201">
        <v>87.07</v>
      </c>
      <c r="AX201">
        <v>81.14</v>
      </c>
      <c r="AY201">
        <v>85.56</v>
      </c>
      <c r="AZ201">
        <v>90.01</v>
      </c>
      <c r="BA201">
        <v>85.73</v>
      </c>
      <c r="BB201">
        <v>92.88</v>
      </c>
      <c r="BC201">
        <v>89.85</v>
      </c>
      <c r="BD201">
        <v>89.82</v>
      </c>
      <c r="BE201">
        <v>107.55</v>
      </c>
      <c r="BF201">
        <v>107.81</v>
      </c>
      <c r="BG201">
        <v>105.63</v>
      </c>
      <c r="BH201">
        <v>101.05</v>
      </c>
      <c r="BI201">
        <v>106.59</v>
      </c>
      <c r="BJ201">
        <v>104.71</v>
      </c>
      <c r="BK201">
        <v>100.88</v>
      </c>
      <c r="BL201">
        <v>113.47</v>
      </c>
    </row>
    <row r="202" spans="1:64">
      <c r="A202" s="1" t="s">
        <v>1307</v>
      </c>
      <c r="B202" s="1"/>
      <c r="C202" s="1"/>
      <c r="D202" s="1"/>
      <c r="E202" s="1"/>
      <c r="F202" s="1"/>
      <c r="G202" s="1"/>
      <c r="H202" s="1">
        <v>4.76</v>
      </c>
      <c r="I202" s="1">
        <v>4.76</v>
      </c>
      <c r="J202" s="1">
        <v>4.76</v>
      </c>
      <c r="K202" s="1">
        <v>4.76</v>
      </c>
      <c r="L202" s="1">
        <v>4.76</v>
      </c>
      <c r="M202" s="1">
        <v>4.75</v>
      </c>
      <c r="N202" s="1">
        <v>4.3899999999999997</v>
      </c>
      <c r="O202" s="1">
        <v>4</v>
      </c>
      <c r="P202" s="1">
        <v>3.95</v>
      </c>
      <c r="Q202" s="1">
        <v>3.93</v>
      </c>
      <c r="R202" s="1">
        <v>3.96</v>
      </c>
      <c r="S202" s="1">
        <v>3.96</v>
      </c>
      <c r="T202" s="1">
        <v>3.88</v>
      </c>
      <c r="U202" s="1">
        <v>3.77</v>
      </c>
      <c r="V202" s="1">
        <v>3.66</v>
      </c>
      <c r="W202" s="1">
        <v>3.64</v>
      </c>
      <c r="X202" s="1">
        <v>3.64</v>
      </c>
      <c r="Y202" s="1">
        <v>3.64</v>
      </c>
      <c r="Z202" s="1">
        <v>3.64</v>
      </c>
      <c r="AA202">
        <v>3.64</v>
      </c>
      <c r="AB202">
        <v>3.64</v>
      </c>
      <c r="AC202">
        <v>3.64</v>
      </c>
      <c r="AD202">
        <v>3.64</v>
      </c>
      <c r="AE202">
        <v>3.64</v>
      </c>
      <c r="AF202">
        <v>3.64</v>
      </c>
      <c r="AG202">
        <v>3.64</v>
      </c>
      <c r="AH202">
        <v>3.64</v>
      </c>
      <c r="AI202">
        <v>3.64</v>
      </c>
      <c r="AJ202">
        <v>3.64</v>
      </c>
      <c r="AK202">
        <v>3.64</v>
      </c>
      <c r="AL202">
        <v>3.64</v>
      </c>
      <c r="AM202">
        <v>3.64</v>
      </c>
      <c r="AN202">
        <v>3.64</v>
      </c>
      <c r="AO202">
        <v>3.64</v>
      </c>
      <c r="AP202">
        <v>3.64</v>
      </c>
      <c r="AQ202">
        <v>3.64</v>
      </c>
      <c r="AR202">
        <v>3.64</v>
      </c>
      <c r="AS202">
        <v>3.64</v>
      </c>
      <c r="AT202">
        <v>3.64</v>
      </c>
      <c r="AU202">
        <v>3.64</v>
      </c>
      <c r="AV202">
        <v>3.64</v>
      </c>
      <c r="AW202">
        <v>3.64</v>
      </c>
      <c r="AX202">
        <v>3.64</v>
      </c>
      <c r="AY202">
        <v>3.64</v>
      </c>
      <c r="AZ202">
        <v>3.64</v>
      </c>
      <c r="BA202">
        <v>3.64</v>
      </c>
      <c r="BB202">
        <v>3.64</v>
      </c>
      <c r="BC202">
        <v>3.64</v>
      </c>
      <c r="BD202">
        <v>3.64</v>
      </c>
      <c r="BE202">
        <v>3.64</v>
      </c>
      <c r="BF202">
        <v>3.64</v>
      </c>
      <c r="BG202">
        <v>3.64</v>
      </c>
      <c r="BH202">
        <v>3.64</v>
      </c>
      <c r="BI202">
        <v>3.64</v>
      </c>
      <c r="BJ202">
        <v>3.64</v>
      </c>
      <c r="BK202">
        <v>3.64</v>
      </c>
      <c r="BL202">
        <v>3.64</v>
      </c>
    </row>
    <row r="203" spans="1:64">
      <c r="A203" s="1" t="s">
        <v>1308</v>
      </c>
      <c r="B203" s="1">
        <v>0</v>
      </c>
      <c r="C203" s="1">
        <v>0</v>
      </c>
      <c r="D203" s="1">
        <v>0</v>
      </c>
      <c r="E203" s="1">
        <v>0</v>
      </c>
      <c r="F203" s="1">
        <v>0</v>
      </c>
      <c r="G203" s="1">
        <v>0</v>
      </c>
      <c r="H203" s="1">
        <v>0</v>
      </c>
      <c r="I203" s="1">
        <v>0</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v>0</v>
      </c>
      <c r="AB203">
        <v>0</v>
      </c>
      <c r="AC203">
        <v>0</v>
      </c>
      <c r="AD203">
        <v>0</v>
      </c>
      <c r="AE203">
        <v>0</v>
      </c>
      <c r="AF203">
        <v>0</v>
      </c>
      <c r="AG203">
        <v>0.01</v>
      </c>
      <c r="AH203">
        <v>0.03</v>
      </c>
      <c r="AI203">
        <v>0.08</v>
      </c>
      <c r="AJ203">
        <v>0.17</v>
      </c>
      <c r="AK203">
        <v>0.2</v>
      </c>
      <c r="AL203">
        <v>0.31</v>
      </c>
      <c r="AM203">
        <v>0.72</v>
      </c>
      <c r="AN203">
        <v>0.89</v>
      </c>
      <c r="AO203">
        <v>1.53</v>
      </c>
      <c r="AP203">
        <v>2.17</v>
      </c>
      <c r="AQ203">
        <v>2.91</v>
      </c>
      <c r="AR203">
        <v>3.31</v>
      </c>
      <c r="AS203">
        <v>3.32</v>
      </c>
      <c r="AT203">
        <v>3.26</v>
      </c>
      <c r="AU203">
        <v>2.91</v>
      </c>
      <c r="AV203">
        <v>2.81</v>
      </c>
      <c r="AW203">
        <v>2.44</v>
      </c>
      <c r="AX203">
        <v>2.52</v>
      </c>
      <c r="AY203">
        <v>3.05</v>
      </c>
      <c r="AZ203">
        <v>3.18</v>
      </c>
      <c r="BA203">
        <v>3.05</v>
      </c>
      <c r="BB203">
        <v>3.47</v>
      </c>
      <c r="BC203">
        <v>3.33</v>
      </c>
      <c r="BD203">
        <v>3.35</v>
      </c>
      <c r="BE203">
        <v>4.01</v>
      </c>
      <c r="BF203">
        <v>4.0599999999999996</v>
      </c>
      <c r="BG203">
        <v>4.05</v>
      </c>
      <c r="BH203">
        <v>3.94</v>
      </c>
      <c r="BI203">
        <v>4.24</v>
      </c>
      <c r="BJ203">
        <v>4.24</v>
      </c>
      <c r="BK203">
        <v>4.16</v>
      </c>
      <c r="BL203">
        <v>4.6900000000000004</v>
      </c>
    </row>
    <row r="204" spans="1:64">
      <c r="A204" s="1" t="s">
        <v>1309</v>
      </c>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I204">
        <v>0.99</v>
      </c>
      <c r="AL204">
        <v>5.12</v>
      </c>
      <c r="AM204">
        <v>5.78</v>
      </c>
      <c r="AN204">
        <v>9.7100000000000009</v>
      </c>
      <c r="AO204">
        <v>24.62</v>
      </c>
      <c r="AP204">
        <v>28.13</v>
      </c>
      <c r="AQ204">
        <v>29.17</v>
      </c>
      <c r="AR204">
        <v>31.35</v>
      </c>
      <c r="AS204">
        <v>30.69</v>
      </c>
      <c r="AT204">
        <v>28.81</v>
      </c>
      <c r="AU204">
        <v>28.28</v>
      </c>
      <c r="AV204">
        <v>27.19</v>
      </c>
      <c r="AW204">
        <v>25.58</v>
      </c>
      <c r="AX204">
        <v>24.85</v>
      </c>
      <c r="AY204">
        <v>31.74</v>
      </c>
      <c r="AZ204">
        <v>30.37</v>
      </c>
      <c r="BA204">
        <v>29.38</v>
      </c>
      <c r="BB204">
        <v>30.84</v>
      </c>
      <c r="BC204">
        <v>31.84</v>
      </c>
      <c r="BD204">
        <v>38.380000000000003</v>
      </c>
      <c r="BE204">
        <v>60.94</v>
      </c>
      <c r="BF204">
        <v>67.06</v>
      </c>
      <c r="BG204">
        <v>58.34</v>
      </c>
      <c r="BH204">
        <v>62.67</v>
      </c>
      <c r="BI204">
        <v>64.739999999999995</v>
      </c>
      <c r="BJ204">
        <v>72.099999999999994</v>
      </c>
      <c r="BK204">
        <v>73.650000000000006</v>
      </c>
      <c r="BL204">
        <v>68.48</v>
      </c>
    </row>
    <row r="205" spans="1:64">
      <c r="A205" s="1" t="s">
        <v>1310</v>
      </c>
      <c r="B205" s="1">
        <v>50</v>
      </c>
      <c r="C205" s="1">
        <v>50</v>
      </c>
      <c r="D205" s="1">
        <v>50</v>
      </c>
      <c r="E205" s="1">
        <v>50</v>
      </c>
      <c r="F205" s="1">
        <v>50</v>
      </c>
      <c r="G205" s="1">
        <v>50</v>
      </c>
      <c r="H205" s="1">
        <v>87.5</v>
      </c>
      <c r="I205" s="1">
        <v>100</v>
      </c>
      <c r="J205" s="1">
        <v>100</v>
      </c>
      <c r="K205" s="1">
        <v>100</v>
      </c>
      <c r="L205" s="1">
        <v>100</v>
      </c>
      <c r="M205" s="1">
        <v>99.71</v>
      </c>
      <c r="N205" s="1">
        <v>92.1</v>
      </c>
      <c r="O205" s="1">
        <v>83.92</v>
      </c>
      <c r="P205" s="1">
        <v>92.3</v>
      </c>
      <c r="Q205" s="1">
        <v>92.28</v>
      </c>
      <c r="R205" s="1">
        <v>97.01</v>
      </c>
      <c r="S205" s="1">
        <v>95.94</v>
      </c>
      <c r="T205" s="1">
        <v>89.49</v>
      </c>
      <c r="U205" s="1">
        <v>86.69</v>
      </c>
      <c r="V205" s="1">
        <v>86.06</v>
      </c>
      <c r="W205" s="1">
        <v>87.16</v>
      </c>
      <c r="X205" s="1">
        <v>93.06</v>
      </c>
      <c r="Y205" s="1">
        <v>96.09</v>
      </c>
      <c r="Z205" s="1">
        <v>100.23</v>
      </c>
      <c r="AA205">
        <v>101.24</v>
      </c>
      <c r="AB205">
        <v>87.59</v>
      </c>
      <c r="AC205">
        <v>79.459999999999994</v>
      </c>
      <c r="AD205">
        <v>76.45</v>
      </c>
      <c r="AE205">
        <v>80.150000000000006</v>
      </c>
      <c r="AF205">
        <v>83.7</v>
      </c>
      <c r="AG205">
        <v>125.16</v>
      </c>
      <c r="AH205">
        <v>133.94</v>
      </c>
      <c r="AI205">
        <v>144.24</v>
      </c>
      <c r="AJ205">
        <v>140.69999999999999</v>
      </c>
      <c r="AK205">
        <v>262.18</v>
      </c>
      <c r="AL205">
        <v>306.82</v>
      </c>
      <c r="AM205">
        <v>301.52999999999997</v>
      </c>
      <c r="AN205">
        <v>312.31</v>
      </c>
      <c r="AO205">
        <v>333.94</v>
      </c>
      <c r="AP205">
        <v>389.7</v>
      </c>
      <c r="AQ205">
        <v>442.99</v>
      </c>
      <c r="AR205">
        <v>475.37</v>
      </c>
      <c r="AS205">
        <v>537.65</v>
      </c>
      <c r="AT205">
        <v>577.45000000000005</v>
      </c>
      <c r="AU205">
        <v>557.82000000000005</v>
      </c>
      <c r="AV205">
        <v>551.71</v>
      </c>
      <c r="AW205">
        <v>546.96</v>
      </c>
      <c r="AX205">
        <v>546.85</v>
      </c>
      <c r="AY205">
        <v>568.28</v>
      </c>
      <c r="AZ205">
        <v>583.13</v>
      </c>
      <c r="BA205">
        <v>600.30999999999995</v>
      </c>
      <c r="BB205">
        <v>614.29999999999995</v>
      </c>
      <c r="BC205">
        <v>646.64</v>
      </c>
      <c r="BD205">
        <v>682.44</v>
      </c>
      <c r="BE205">
        <v>719.86</v>
      </c>
      <c r="BF205">
        <v>787.25</v>
      </c>
      <c r="BG205">
        <v>831.55</v>
      </c>
      <c r="BH205">
        <v>861.09</v>
      </c>
      <c r="BI205">
        <v>899.35</v>
      </c>
      <c r="BJ205">
        <v>943.28</v>
      </c>
      <c r="BK205">
        <v>988.62</v>
      </c>
      <c r="BL205">
        <v>1030.31</v>
      </c>
    </row>
    <row r="206" spans="1:64">
      <c r="A206" s="1" t="s">
        <v>1311</v>
      </c>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64">
      <c r="A207" s="1" t="s">
        <v>1312</v>
      </c>
      <c r="B207" s="1">
        <v>4.5</v>
      </c>
      <c r="C207" s="1">
        <v>4.5</v>
      </c>
      <c r="D207" s="1">
        <v>4.5</v>
      </c>
      <c r="E207" s="1">
        <v>4.5</v>
      </c>
      <c r="F207" s="1">
        <v>4.5</v>
      </c>
      <c r="G207" s="1">
        <v>4.5</v>
      </c>
      <c r="H207" s="1">
        <v>4.5</v>
      </c>
      <c r="I207" s="1">
        <v>4.5</v>
      </c>
      <c r="J207" s="1">
        <v>4.5</v>
      </c>
      <c r="K207" s="1">
        <v>4.5</v>
      </c>
      <c r="L207" s="1">
        <v>4.5</v>
      </c>
      <c r="M207" s="1">
        <v>4.49</v>
      </c>
      <c r="N207" s="1">
        <v>4.1399999999999997</v>
      </c>
      <c r="O207" s="1">
        <v>3.71</v>
      </c>
      <c r="P207" s="1">
        <v>3.55</v>
      </c>
      <c r="Q207" s="1">
        <v>3.52</v>
      </c>
      <c r="R207" s="1">
        <v>3.53</v>
      </c>
      <c r="S207" s="1">
        <v>3.53</v>
      </c>
      <c r="T207" s="1">
        <v>3.4</v>
      </c>
      <c r="U207" s="1">
        <v>3.36</v>
      </c>
      <c r="V207" s="1">
        <v>3.33</v>
      </c>
      <c r="W207" s="1">
        <v>3.38</v>
      </c>
      <c r="X207" s="1">
        <v>3.43</v>
      </c>
      <c r="Y207" s="1">
        <v>3.45</v>
      </c>
      <c r="Z207" s="1">
        <v>3.52</v>
      </c>
      <c r="AA207">
        <v>3.62</v>
      </c>
      <c r="AB207">
        <v>3.71</v>
      </c>
      <c r="AC207">
        <v>3.75</v>
      </c>
      <c r="AD207">
        <v>3.75</v>
      </c>
      <c r="AE207">
        <v>3.75</v>
      </c>
      <c r="AF207">
        <v>3.75</v>
      </c>
      <c r="AG207">
        <v>3.75</v>
      </c>
      <c r="AH207">
        <v>3.75</v>
      </c>
      <c r="AI207">
        <v>3.75</v>
      </c>
      <c r="AJ207">
        <v>3.75</v>
      </c>
      <c r="AK207">
        <v>3.75</v>
      </c>
      <c r="AL207">
        <v>3.75</v>
      </c>
      <c r="AM207">
        <v>3.75</v>
      </c>
      <c r="AN207">
        <v>3.75</v>
      </c>
      <c r="AO207">
        <v>3.75</v>
      </c>
      <c r="AP207">
        <v>3.75</v>
      </c>
      <c r="AQ207">
        <v>3.75</v>
      </c>
      <c r="AR207">
        <v>3.75</v>
      </c>
      <c r="AS207">
        <v>3.75</v>
      </c>
      <c r="AT207">
        <v>3.75</v>
      </c>
      <c r="AU207">
        <v>3.75</v>
      </c>
      <c r="AV207">
        <v>3.75</v>
      </c>
      <c r="AW207">
        <v>3.75</v>
      </c>
      <c r="AX207">
        <v>3.75</v>
      </c>
      <c r="AY207">
        <v>3.75</v>
      </c>
      <c r="AZ207">
        <v>3.75</v>
      </c>
      <c r="BA207">
        <v>3.75</v>
      </c>
      <c r="BB207">
        <v>3.75</v>
      </c>
      <c r="BC207">
        <v>3.75</v>
      </c>
      <c r="BD207">
        <v>3.75</v>
      </c>
      <c r="BE207">
        <v>3.75</v>
      </c>
      <c r="BF207">
        <v>3.75</v>
      </c>
      <c r="BG207">
        <v>3.75</v>
      </c>
      <c r="BH207">
        <v>3.75</v>
      </c>
      <c r="BI207">
        <v>3.75</v>
      </c>
      <c r="BJ207">
        <v>3.75</v>
      </c>
      <c r="BK207">
        <v>3.75</v>
      </c>
      <c r="BL207">
        <v>3.75</v>
      </c>
    </row>
    <row r="208" spans="1:64">
      <c r="A208" s="1" t="s">
        <v>1313</v>
      </c>
      <c r="B208" s="1">
        <v>0</v>
      </c>
      <c r="C208" s="1">
        <v>0</v>
      </c>
      <c r="D208" s="1">
        <v>0</v>
      </c>
      <c r="E208" s="1">
        <v>0</v>
      </c>
      <c r="F208" s="1">
        <v>0</v>
      </c>
      <c r="G208" s="1">
        <v>0</v>
      </c>
      <c r="H208" s="1">
        <v>0</v>
      </c>
      <c r="I208" s="1">
        <v>0</v>
      </c>
      <c r="J208" s="1">
        <v>0</v>
      </c>
      <c r="K208" s="1">
        <v>0</v>
      </c>
      <c r="L208" s="1">
        <v>0</v>
      </c>
      <c r="M208" s="1">
        <v>0</v>
      </c>
      <c r="N208" s="1">
        <v>0</v>
      </c>
      <c r="O208" s="1">
        <v>0</v>
      </c>
      <c r="P208" s="1">
        <v>0</v>
      </c>
      <c r="Q208" s="1">
        <v>0</v>
      </c>
      <c r="R208" s="1">
        <v>0</v>
      </c>
      <c r="S208" s="1">
        <v>0</v>
      </c>
      <c r="T208" s="1">
        <v>0</v>
      </c>
      <c r="U208" s="1">
        <v>0</v>
      </c>
      <c r="V208" s="1">
        <v>0</v>
      </c>
      <c r="W208" s="1">
        <v>0</v>
      </c>
      <c r="X208" s="1">
        <v>0</v>
      </c>
      <c r="Y208" s="1">
        <v>0</v>
      </c>
      <c r="Z208" s="1">
        <v>0</v>
      </c>
      <c r="AA208">
        <v>0</v>
      </c>
      <c r="AB208">
        <v>0</v>
      </c>
      <c r="AC208">
        <v>0</v>
      </c>
      <c r="AD208">
        <v>0</v>
      </c>
      <c r="AE208">
        <v>0</v>
      </c>
      <c r="AF208">
        <v>0</v>
      </c>
      <c r="AG208">
        <v>0.01</v>
      </c>
      <c r="AH208">
        <v>0.1</v>
      </c>
      <c r="AI208">
        <v>0.16</v>
      </c>
      <c r="AJ208">
        <v>0.28999999999999998</v>
      </c>
      <c r="AK208">
        <v>0.57999999999999996</v>
      </c>
      <c r="AL208">
        <v>1.25</v>
      </c>
      <c r="AM208">
        <v>1.58</v>
      </c>
      <c r="AN208">
        <v>2.0099999999999998</v>
      </c>
      <c r="AO208">
        <v>2.5299999999999998</v>
      </c>
      <c r="AP208">
        <v>2.57</v>
      </c>
      <c r="AQ208">
        <v>2.59</v>
      </c>
      <c r="AR208">
        <v>2.63</v>
      </c>
      <c r="AS208">
        <v>2.61</v>
      </c>
      <c r="AT208">
        <v>2.58</v>
      </c>
      <c r="AU208">
        <v>2.44</v>
      </c>
      <c r="AV208">
        <v>2.17</v>
      </c>
      <c r="AW208">
        <v>2.02</v>
      </c>
      <c r="AX208">
        <v>2.09</v>
      </c>
      <c r="AY208">
        <v>2.2999999999999998</v>
      </c>
      <c r="AZ208">
        <v>2.31</v>
      </c>
      <c r="BA208">
        <v>2.67</v>
      </c>
      <c r="BB208">
        <v>3.57</v>
      </c>
      <c r="BC208">
        <v>4.76</v>
      </c>
      <c r="BD208">
        <v>5.74</v>
      </c>
      <c r="BE208">
        <v>6.03</v>
      </c>
      <c r="BF208">
        <v>6.21</v>
      </c>
      <c r="BG208">
        <v>6.68</v>
      </c>
      <c r="BH208">
        <v>24.33</v>
      </c>
      <c r="BI208">
        <v>45.77</v>
      </c>
      <c r="BJ208">
        <v>54</v>
      </c>
      <c r="BK208">
        <v>370.79</v>
      </c>
      <c r="BL208">
        <v>546.76</v>
      </c>
    </row>
    <row r="209" spans="1:64">
      <c r="A209" s="1" t="s">
        <v>1314</v>
      </c>
      <c r="B209" s="1">
        <v>245.2</v>
      </c>
      <c r="C209" s="1">
        <v>245.26</v>
      </c>
      <c r="D209" s="1">
        <v>245.01</v>
      </c>
      <c r="E209" s="1">
        <v>245.02</v>
      </c>
      <c r="F209" s="1">
        <v>245.03</v>
      </c>
      <c r="G209" s="1">
        <v>245.06</v>
      </c>
      <c r="H209" s="1">
        <v>245.68</v>
      </c>
      <c r="I209" s="1">
        <v>246</v>
      </c>
      <c r="J209" s="1">
        <v>247.56</v>
      </c>
      <c r="K209" s="1">
        <v>259.95999999999998</v>
      </c>
      <c r="L209" s="1">
        <v>276.39999999999998</v>
      </c>
      <c r="M209" s="1">
        <v>275.36</v>
      </c>
      <c r="N209" s="1">
        <v>252.03</v>
      </c>
      <c r="O209" s="1">
        <v>222.89</v>
      </c>
      <c r="P209" s="1">
        <v>240.7</v>
      </c>
      <c r="Q209" s="1">
        <v>214.31</v>
      </c>
      <c r="R209" s="1">
        <v>238.95</v>
      </c>
      <c r="S209" s="1">
        <v>245.68</v>
      </c>
      <c r="T209" s="1">
        <v>225.66</v>
      </c>
      <c r="U209" s="1">
        <v>212.72</v>
      </c>
      <c r="V209" s="1">
        <v>211.28</v>
      </c>
      <c r="W209" s="1">
        <v>271.73</v>
      </c>
      <c r="X209" s="1">
        <v>328.61</v>
      </c>
      <c r="Y209" s="1">
        <v>381.07</v>
      </c>
      <c r="Z209" s="1">
        <v>436.96</v>
      </c>
      <c r="AA209">
        <v>449.26</v>
      </c>
      <c r="AB209">
        <v>346.31</v>
      </c>
      <c r="AC209">
        <v>300.54000000000002</v>
      </c>
      <c r="AD209">
        <v>297.85000000000002</v>
      </c>
      <c r="AE209">
        <v>319.01</v>
      </c>
      <c r="AF209">
        <v>272.26</v>
      </c>
      <c r="AG209">
        <v>282.11</v>
      </c>
      <c r="AH209">
        <v>264.69</v>
      </c>
      <c r="AI209">
        <v>283.16000000000003</v>
      </c>
      <c r="AJ209">
        <v>555.20000000000005</v>
      </c>
      <c r="AK209">
        <v>499.15</v>
      </c>
      <c r="AL209">
        <v>511.55</v>
      </c>
      <c r="AM209">
        <v>583.66999999999996</v>
      </c>
      <c r="AN209">
        <v>589.95000000000005</v>
      </c>
      <c r="AO209">
        <v>615.47</v>
      </c>
      <c r="AP209">
        <v>710.21</v>
      </c>
      <c r="AQ209">
        <v>732.4</v>
      </c>
      <c r="AR209">
        <v>693.71</v>
      </c>
      <c r="AS209">
        <v>579.9</v>
      </c>
      <c r="AT209">
        <v>527.34</v>
      </c>
      <c r="AU209">
        <v>527.26</v>
      </c>
      <c r="AV209">
        <v>522.42999999999995</v>
      </c>
      <c r="AW209">
        <v>478.63</v>
      </c>
      <c r="AX209">
        <v>446</v>
      </c>
      <c r="AY209">
        <v>470.29</v>
      </c>
      <c r="AZ209">
        <v>494.79</v>
      </c>
      <c r="BA209">
        <v>471.25</v>
      </c>
      <c r="BB209">
        <v>510.56</v>
      </c>
      <c r="BC209">
        <v>493.9</v>
      </c>
      <c r="BD209">
        <v>493.76</v>
      </c>
      <c r="BE209">
        <v>591.21</v>
      </c>
      <c r="BF209">
        <v>592.61</v>
      </c>
      <c r="BG209">
        <v>580.66</v>
      </c>
      <c r="BH209">
        <v>555.45000000000005</v>
      </c>
      <c r="BI209">
        <v>585.91</v>
      </c>
      <c r="BJ209">
        <v>575.59</v>
      </c>
      <c r="BK209">
        <v>554.53</v>
      </c>
      <c r="BL209">
        <v>623.76</v>
      </c>
    </row>
    <row r="210" spans="1:64">
      <c r="A210" s="1" t="s">
        <v>1315</v>
      </c>
      <c r="B210" s="1">
        <v>3.06</v>
      </c>
      <c r="C210" s="1">
        <v>3.06</v>
      </c>
      <c r="D210" s="1">
        <v>3.06</v>
      </c>
      <c r="E210" s="1">
        <v>3.06</v>
      </c>
      <c r="F210" s="1">
        <v>3.06</v>
      </c>
      <c r="G210" s="1">
        <v>3.06</v>
      </c>
      <c r="H210" s="1">
        <v>3.06</v>
      </c>
      <c r="I210" s="1">
        <v>3.06</v>
      </c>
      <c r="J210" s="1">
        <v>3.06</v>
      </c>
      <c r="K210" s="1">
        <v>3.06</v>
      </c>
      <c r="L210" s="1">
        <v>3.06</v>
      </c>
      <c r="M210" s="1">
        <v>3.05</v>
      </c>
      <c r="N210" s="1">
        <v>2.81</v>
      </c>
      <c r="O210" s="1">
        <v>2.46</v>
      </c>
      <c r="P210" s="1">
        <v>2.44</v>
      </c>
      <c r="Q210" s="1">
        <v>2.37</v>
      </c>
      <c r="R210" s="1">
        <v>2.4700000000000002</v>
      </c>
      <c r="S210" s="1">
        <v>2.44</v>
      </c>
      <c r="T210" s="1">
        <v>2.27</v>
      </c>
      <c r="U210" s="1">
        <v>2.17</v>
      </c>
      <c r="V210" s="1">
        <v>2.14</v>
      </c>
      <c r="W210" s="1">
        <v>2.11</v>
      </c>
      <c r="X210" s="1">
        <v>2.14</v>
      </c>
      <c r="Y210" s="1">
        <v>2.11</v>
      </c>
      <c r="Z210" s="1">
        <v>2.13</v>
      </c>
      <c r="AA210">
        <v>2.2000000000000002</v>
      </c>
      <c r="AB210">
        <v>2.1800000000000002</v>
      </c>
      <c r="AC210">
        <v>2.11</v>
      </c>
      <c r="AD210">
        <v>2.0099999999999998</v>
      </c>
      <c r="AE210">
        <v>1.95</v>
      </c>
      <c r="AF210">
        <v>1.81</v>
      </c>
      <c r="AG210">
        <v>1.73</v>
      </c>
      <c r="AH210">
        <v>1.63</v>
      </c>
      <c r="AI210">
        <v>1.62</v>
      </c>
      <c r="AJ210">
        <v>1.53</v>
      </c>
      <c r="AK210">
        <v>1.42</v>
      </c>
      <c r="AL210">
        <v>1.41</v>
      </c>
      <c r="AM210">
        <v>1.48</v>
      </c>
      <c r="AN210">
        <v>1.67</v>
      </c>
      <c r="AO210">
        <v>1.69</v>
      </c>
      <c r="AP210">
        <v>1.72</v>
      </c>
      <c r="AQ210">
        <v>1.79</v>
      </c>
      <c r="AR210">
        <v>1.79</v>
      </c>
      <c r="AS210">
        <v>1.74</v>
      </c>
      <c r="AT210">
        <v>1.69</v>
      </c>
      <c r="AU210">
        <v>1.66</v>
      </c>
      <c r="AV210">
        <v>1.59</v>
      </c>
      <c r="AW210">
        <v>1.51</v>
      </c>
      <c r="AX210">
        <v>1.41</v>
      </c>
      <c r="AY210">
        <v>1.45</v>
      </c>
      <c r="AZ210">
        <v>1.36</v>
      </c>
      <c r="BA210">
        <v>1.26</v>
      </c>
      <c r="BB210">
        <v>1.25</v>
      </c>
      <c r="BC210">
        <v>1.25</v>
      </c>
      <c r="BD210">
        <v>1.27</v>
      </c>
      <c r="BE210">
        <v>1.37</v>
      </c>
      <c r="BF210">
        <v>1.38</v>
      </c>
      <c r="BG210">
        <v>1.38</v>
      </c>
      <c r="BH210">
        <v>1.35</v>
      </c>
      <c r="BI210">
        <v>1.36</v>
      </c>
      <c r="BJ210">
        <v>1.38</v>
      </c>
      <c r="BK210">
        <v>1.34</v>
      </c>
      <c r="BL210">
        <v>1.38</v>
      </c>
    </row>
    <row r="211" spans="1:64">
      <c r="A211" s="1" t="s">
        <v>1316</v>
      </c>
      <c r="B211" s="1">
        <v>0.89</v>
      </c>
      <c r="C211" s="1">
        <v>0.89</v>
      </c>
      <c r="D211" s="1">
        <v>0.89</v>
      </c>
      <c r="E211" s="1">
        <v>0.89</v>
      </c>
      <c r="F211" s="1">
        <v>0.89</v>
      </c>
      <c r="G211" s="1">
        <v>0.89</v>
      </c>
      <c r="H211" s="1">
        <v>0.89</v>
      </c>
      <c r="I211" s="1">
        <v>0.89</v>
      </c>
      <c r="J211" s="1">
        <v>0.89</v>
      </c>
      <c r="K211" s="1">
        <v>0.89</v>
      </c>
      <c r="L211" s="1">
        <v>0.89</v>
      </c>
      <c r="M211" s="1">
        <v>0.88</v>
      </c>
      <c r="N211" s="1">
        <v>0.84</v>
      </c>
      <c r="O211" s="1">
        <v>0.7</v>
      </c>
      <c r="P211" s="1">
        <v>0.7</v>
      </c>
      <c r="Q211" s="1">
        <v>0.76</v>
      </c>
      <c r="R211" s="1">
        <v>0.82</v>
      </c>
      <c r="S211" s="1">
        <v>0.9</v>
      </c>
      <c r="T211" s="1">
        <v>0.87</v>
      </c>
      <c r="U211" s="1">
        <v>0.87</v>
      </c>
      <c r="V211" s="1">
        <v>0.83</v>
      </c>
      <c r="W211" s="1">
        <v>0.87</v>
      </c>
      <c r="X211" s="1">
        <v>0.97</v>
      </c>
      <c r="Y211" s="1">
        <v>1.1499999999999999</v>
      </c>
      <c r="Z211" s="1">
        <v>1.27</v>
      </c>
      <c r="AA211">
        <v>1.48</v>
      </c>
      <c r="AB211">
        <v>1.74</v>
      </c>
      <c r="AC211">
        <v>2</v>
      </c>
      <c r="AD211">
        <v>2.08</v>
      </c>
      <c r="AE211">
        <v>2.29</v>
      </c>
      <c r="AF211">
        <v>2.5299999999999998</v>
      </c>
      <c r="AG211">
        <v>2.71</v>
      </c>
      <c r="AH211">
        <v>2.93</v>
      </c>
      <c r="AI211">
        <v>3.19</v>
      </c>
      <c r="AJ211">
        <v>3.29</v>
      </c>
      <c r="AK211">
        <v>3.41</v>
      </c>
      <c r="AL211">
        <v>3.57</v>
      </c>
      <c r="AM211">
        <v>3.72</v>
      </c>
      <c r="AN211">
        <v>4.82</v>
      </c>
      <c r="AO211">
        <v>4.84</v>
      </c>
      <c r="AP211">
        <v>5.09</v>
      </c>
      <c r="AQ211">
        <v>5.28</v>
      </c>
      <c r="AR211">
        <v>6.75</v>
      </c>
      <c r="AS211">
        <v>7.51</v>
      </c>
      <c r="AT211">
        <v>7.48</v>
      </c>
      <c r="AU211">
        <v>7.53</v>
      </c>
      <c r="AV211">
        <v>7.61</v>
      </c>
      <c r="AW211">
        <v>7.65</v>
      </c>
      <c r="AX211">
        <v>7.75</v>
      </c>
      <c r="AY211">
        <v>8.06</v>
      </c>
      <c r="AZ211">
        <v>8.06</v>
      </c>
      <c r="BA211">
        <v>7.64</v>
      </c>
      <c r="BB211">
        <v>7.36</v>
      </c>
      <c r="BC211">
        <v>7.3</v>
      </c>
      <c r="BD211">
        <v>7.38</v>
      </c>
      <c r="BE211">
        <v>7.91</v>
      </c>
      <c r="BF211">
        <v>7.95</v>
      </c>
      <c r="BG211">
        <v>7.89</v>
      </c>
      <c r="BH211">
        <v>7.95</v>
      </c>
      <c r="BI211">
        <v>8.17</v>
      </c>
      <c r="BJ211">
        <v>8.2100000000000009</v>
      </c>
      <c r="BK211">
        <v>8.0299999999999994</v>
      </c>
    </row>
    <row r="212" spans="1:64">
      <c r="A212" s="1" t="s">
        <v>1317</v>
      </c>
      <c r="B212" s="1">
        <v>0</v>
      </c>
      <c r="C212" s="1">
        <v>0</v>
      </c>
      <c r="D212" s="1">
        <v>0</v>
      </c>
      <c r="E212" s="1">
        <v>0</v>
      </c>
      <c r="F212" s="1">
        <v>0</v>
      </c>
      <c r="G212" s="1">
        <v>0</v>
      </c>
      <c r="H212" s="1">
        <v>0</v>
      </c>
      <c r="I212" s="1">
        <v>0</v>
      </c>
      <c r="J212" s="1">
        <v>0</v>
      </c>
      <c r="K212" s="1">
        <v>0</v>
      </c>
      <c r="L212" s="1">
        <v>0</v>
      </c>
      <c r="M212" s="1">
        <v>0</v>
      </c>
      <c r="N212" s="1">
        <v>0</v>
      </c>
      <c r="O212" s="1">
        <v>0</v>
      </c>
      <c r="P212" s="1">
        <v>0</v>
      </c>
      <c r="Q212" s="1">
        <v>0</v>
      </c>
      <c r="R212" s="1">
        <v>0</v>
      </c>
      <c r="S212" s="1">
        <v>0</v>
      </c>
      <c r="T212" s="1">
        <v>0</v>
      </c>
      <c r="U212" s="1">
        <v>0</v>
      </c>
      <c r="V212" s="1">
        <v>0</v>
      </c>
      <c r="W212" s="1">
        <v>0</v>
      </c>
      <c r="X212" s="1">
        <v>0</v>
      </c>
      <c r="Y212" s="1">
        <v>0</v>
      </c>
      <c r="Z212" s="1">
        <v>0</v>
      </c>
      <c r="AA212">
        <v>0.01</v>
      </c>
      <c r="AB212">
        <v>0.02</v>
      </c>
      <c r="AC212">
        <v>0.03</v>
      </c>
      <c r="AD212">
        <v>0.03</v>
      </c>
      <c r="AE212">
        <v>0.06</v>
      </c>
      <c r="AF212">
        <v>0.15</v>
      </c>
      <c r="AG212">
        <v>0.3</v>
      </c>
      <c r="AH212">
        <v>0.5</v>
      </c>
      <c r="AI212">
        <v>0.56999999999999995</v>
      </c>
      <c r="AJ212">
        <v>0.59</v>
      </c>
      <c r="AK212">
        <v>0.76</v>
      </c>
      <c r="AL212">
        <v>0.92</v>
      </c>
      <c r="AM212">
        <v>0.98</v>
      </c>
      <c r="AN212">
        <v>1.56</v>
      </c>
      <c r="AO212">
        <v>1.8</v>
      </c>
      <c r="AP212">
        <v>2.09</v>
      </c>
      <c r="AQ212">
        <v>1.99</v>
      </c>
      <c r="AR212">
        <v>2.1</v>
      </c>
      <c r="AS212">
        <v>2.35</v>
      </c>
      <c r="AT212">
        <v>2.7</v>
      </c>
      <c r="AU212">
        <v>2.89</v>
      </c>
      <c r="AV212">
        <v>2.96</v>
      </c>
      <c r="AW212">
        <v>2.99</v>
      </c>
      <c r="AX212">
        <v>2.98</v>
      </c>
      <c r="AY212">
        <v>3.39</v>
      </c>
      <c r="AZ212">
        <v>3.98</v>
      </c>
      <c r="BA212">
        <v>4.3499999999999996</v>
      </c>
      <c r="BB212">
        <v>4.34</v>
      </c>
      <c r="BC212">
        <v>4.33</v>
      </c>
      <c r="BD212">
        <v>4.5199999999999996</v>
      </c>
      <c r="BE212">
        <v>5.08</v>
      </c>
      <c r="BF212">
        <v>6.29</v>
      </c>
      <c r="BG212">
        <v>7.38</v>
      </c>
      <c r="BH212">
        <v>7.93</v>
      </c>
      <c r="BI212">
        <v>9.01</v>
      </c>
      <c r="BJ212">
        <v>9.83</v>
      </c>
      <c r="BK212">
        <v>10.44</v>
      </c>
      <c r="BL212">
        <v>14.05</v>
      </c>
    </row>
    <row r="213" spans="1:64">
      <c r="A213" s="1" t="s">
        <v>1318</v>
      </c>
      <c r="B213" s="1">
        <v>2.5</v>
      </c>
      <c r="C213" s="1">
        <v>2.5</v>
      </c>
      <c r="D213" s="1">
        <v>2.5</v>
      </c>
      <c r="E213" s="1">
        <v>2.5</v>
      </c>
      <c r="F213" s="1">
        <v>2.5</v>
      </c>
      <c r="G213" s="1">
        <v>2.5</v>
      </c>
      <c r="H213" s="1">
        <v>2.5</v>
      </c>
      <c r="I213" s="1">
        <v>2.5</v>
      </c>
      <c r="J213" s="1">
        <v>2.5</v>
      </c>
      <c r="K213" s="1">
        <v>2.5</v>
      </c>
      <c r="L213" s="1">
        <v>2.5</v>
      </c>
      <c r="M213" s="1">
        <v>2.5</v>
      </c>
      <c r="N213" s="1">
        <v>2.5</v>
      </c>
      <c r="O213" s="1">
        <v>2.5</v>
      </c>
      <c r="P213" s="1">
        <v>2.5</v>
      </c>
      <c r="Q213" s="1">
        <v>2.5</v>
      </c>
      <c r="R213" s="1">
        <v>2.5</v>
      </c>
      <c r="S213" s="1">
        <v>2.5</v>
      </c>
      <c r="T213" s="1">
        <v>2.5</v>
      </c>
      <c r="U213" s="1">
        <v>2.5</v>
      </c>
      <c r="V213" s="1">
        <v>2.5</v>
      </c>
      <c r="W213" s="1">
        <v>2.5</v>
      </c>
      <c r="X213" s="1">
        <v>2.5</v>
      </c>
      <c r="Y213" s="1">
        <v>2.5</v>
      </c>
      <c r="Z213" s="1">
        <v>2.5</v>
      </c>
      <c r="AA213">
        <v>2.5</v>
      </c>
      <c r="AB213">
        <v>4.8499999999999996</v>
      </c>
      <c r="AC213">
        <v>5</v>
      </c>
      <c r="AD213">
        <v>5</v>
      </c>
      <c r="AE213">
        <v>5</v>
      </c>
      <c r="AF213">
        <v>6.85</v>
      </c>
      <c r="AG213">
        <v>8.02</v>
      </c>
      <c r="AH213">
        <v>8.36</v>
      </c>
      <c r="AI213">
        <v>8.6999999999999993</v>
      </c>
      <c r="AJ213">
        <v>8.73</v>
      </c>
      <c r="AK213">
        <v>8.75</v>
      </c>
      <c r="AL213">
        <v>8.76</v>
      </c>
      <c r="AM213">
        <v>8.76</v>
      </c>
      <c r="AN213">
        <v>8.76</v>
      </c>
      <c r="AO213">
        <v>8.76</v>
      </c>
      <c r="AP213">
        <v>8.76</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c r="BJ213">
        <v>1</v>
      </c>
      <c r="BK213">
        <v>1</v>
      </c>
      <c r="BL213">
        <v>1</v>
      </c>
    </row>
    <row r="214" spans="1:64">
      <c r="A214" s="1" t="s">
        <v>1319</v>
      </c>
      <c r="B214" s="1"/>
      <c r="C214" s="1"/>
      <c r="D214" s="1"/>
      <c r="E214" s="1"/>
      <c r="F214" s="1"/>
      <c r="G214" s="1"/>
      <c r="H214" s="1"/>
      <c r="I214" s="1"/>
      <c r="J214" s="1"/>
      <c r="K214" s="1"/>
      <c r="L214" s="1"/>
      <c r="M214" s="1"/>
      <c r="N214" s="1">
        <v>583.22</v>
      </c>
      <c r="O214" s="1">
        <v>583</v>
      </c>
      <c r="P214" s="1">
        <v>650.34</v>
      </c>
      <c r="Q214" s="1">
        <v>652.85</v>
      </c>
      <c r="R214" s="1">
        <v>832.33</v>
      </c>
      <c r="S214" s="1">
        <v>882.39</v>
      </c>
      <c r="T214" s="1">
        <v>848.66</v>
      </c>
      <c r="U214" s="1">
        <v>830.86</v>
      </c>
      <c r="V214" s="1">
        <v>856.45</v>
      </c>
      <c r="W214" s="1">
        <v>1136.76</v>
      </c>
      <c r="X214" s="1">
        <v>1352.51</v>
      </c>
      <c r="Y214" s="1">
        <v>1518.85</v>
      </c>
      <c r="Z214" s="1">
        <v>1756.96</v>
      </c>
      <c r="AA214">
        <v>1909.44</v>
      </c>
      <c r="AB214">
        <v>1490.81</v>
      </c>
      <c r="AC214">
        <v>1296.07</v>
      </c>
      <c r="AD214">
        <v>1301.6300000000001</v>
      </c>
      <c r="AE214">
        <v>1372.09</v>
      </c>
      <c r="AF214">
        <v>1198.0999999999999</v>
      </c>
      <c r="AG214">
        <v>1240.6099999999999</v>
      </c>
      <c r="AH214">
        <v>1232.4100000000001</v>
      </c>
      <c r="AI214">
        <v>1573.67</v>
      </c>
      <c r="AJ214">
        <v>1612.44</v>
      </c>
      <c r="AK214">
        <v>1628.93</v>
      </c>
      <c r="AL214">
        <v>1542.95</v>
      </c>
      <c r="AM214">
        <v>1703.1</v>
      </c>
      <c r="AN214">
        <v>1736.21</v>
      </c>
      <c r="AO214">
        <v>0.94</v>
      </c>
      <c r="AP214">
        <v>1.08</v>
      </c>
      <c r="AQ214">
        <v>1.1200000000000001</v>
      </c>
      <c r="AR214">
        <v>1.06</v>
      </c>
      <c r="AS214">
        <v>0.88</v>
      </c>
      <c r="AT214">
        <v>0.8</v>
      </c>
      <c r="AU214">
        <v>0.8</v>
      </c>
      <c r="AV214">
        <v>0.8</v>
      </c>
      <c r="AW214">
        <v>0.73</v>
      </c>
      <c r="AX214">
        <v>0.68</v>
      </c>
      <c r="AY214">
        <v>0.72</v>
      </c>
      <c r="AZ214">
        <v>0.75</v>
      </c>
      <c r="BA214">
        <v>0.72</v>
      </c>
      <c r="BB214">
        <v>0.78</v>
      </c>
      <c r="BC214">
        <v>0.75</v>
      </c>
      <c r="BD214">
        <v>0.75</v>
      </c>
      <c r="BE214">
        <v>0.9</v>
      </c>
      <c r="BF214">
        <v>0.9</v>
      </c>
      <c r="BG214">
        <v>0.89</v>
      </c>
      <c r="BH214">
        <v>0.85</v>
      </c>
      <c r="BI214">
        <v>0.89</v>
      </c>
      <c r="BJ214">
        <v>0.88</v>
      </c>
      <c r="BK214">
        <v>0.85</v>
      </c>
      <c r="BL214">
        <v>0.95</v>
      </c>
    </row>
    <row r="215" spans="1:64">
      <c r="A215" s="1" t="s">
        <v>229</v>
      </c>
      <c r="B215" s="1">
        <v>7.14</v>
      </c>
      <c r="C215" s="1">
        <v>7.14</v>
      </c>
      <c r="D215" s="1">
        <v>7.14</v>
      </c>
      <c r="E215" s="1">
        <v>7.14</v>
      </c>
      <c r="F215" s="1">
        <v>7.14</v>
      </c>
      <c r="G215" s="1">
        <v>7.14</v>
      </c>
      <c r="H215" s="1">
        <v>7.14</v>
      </c>
      <c r="I215" s="1">
        <v>7.14</v>
      </c>
      <c r="J215" s="1">
        <v>7.14</v>
      </c>
      <c r="K215" s="1">
        <v>7.14</v>
      </c>
      <c r="L215" s="1">
        <v>7.14</v>
      </c>
      <c r="M215" s="1">
        <v>7.13</v>
      </c>
      <c r="N215" s="1">
        <v>6.98</v>
      </c>
      <c r="O215" s="1">
        <v>6.28</v>
      </c>
      <c r="P215" s="1">
        <v>6.29</v>
      </c>
      <c r="Q215" s="1">
        <v>6.29</v>
      </c>
      <c r="R215" s="1">
        <v>6.29</v>
      </c>
      <c r="S215" s="1">
        <v>6.29</v>
      </c>
      <c r="T215" s="1">
        <v>6.29</v>
      </c>
      <c r="U215" s="1">
        <v>6.29</v>
      </c>
      <c r="V215" s="1">
        <v>6.29</v>
      </c>
      <c r="W215" s="1">
        <v>6.29</v>
      </c>
      <c r="X215" s="1">
        <v>10.75</v>
      </c>
      <c r="Y215" s="1">
        <v>15.79</v>
      </c>
      <c r="Z215" s="1">
        <v>20.02</v>
      </c>
      <c r="AA215">
        <v>39.49</v>
      </c>
      <c r="AB215">
        <v>72</v>
      </c>
      <c r="AC215">
        <v>105.18</v>
      </c>
      <c r="AD215">
        <v>170.45</v>
      </c>
      <c r="AE215">
        <v>490.68</v>
      </c>
      <c r="AY215">
        <v>31558.91</v>
      </c>
      <c r="AZ215">
        <v>31269.66</v>
      </c>
      <c r="BA215">
        <v>29966.84</v>
      </c>
      <c r="BB215">
        <v>22516</v>
      </c>
      <c r="BC215">
        <v>19283.8</v>
      </c>
      <c r="BD215">
        <v>20230.93</v>
      </c>
      <c r="BE215">
        <v>22254.240000000002</v>
      </c>
      <c r="BF215">
        <v>23061.78</v>
      </c>
      <c r="BG215">
        <v>23097.99</v>
      </c>
    </row>
    <row r="216" spans="1:64">
      <c r="A216" s="1" t="s">
        <v>1320</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M216">
        <v>5.91</v>
      </c>
      <c r="AN216">
        <v>10.029999999999999</v>
      </c>
      <c r="AO216">
        <v>11.66</v>
      </c>
      <c r="AP216">
        <v>63.17</v>
      </c>
      <c r="AQ216">
        <v>66.91</v>
      </c>
      <c r="AR216">
        <v>64.41</v>
      </c>
      <c r="AS216">
        <v>57.59</v>
      </c>
      <c r="AT216">
        <v>58.38</v>
      </c>
      <c r="AU216">
        <v>66.72</v>
      </c>
      <c r="AV216">
        <v>67.16</v>
      </c>
      <c r="AW216">
        <v>58.45</v>
      </c>
      <c r="AX216">
        <v>55.73</v>
      </c>
      <c r="AY216">
        <v>67.599999999999994</v>
      </c>
      <c r="AZ216">
        <v>77.72</v>
      </c>
      <c r="BA216">
        <v>73.36</v>
      </c>
      <c r="BB216">
        <v>87.96</v>
      </c>
      <c r="BC216">
        <v>85.16</v>
      </c>
      <c r="BD216">
        <v>88.41</v>
      </c>
      <c r="BE216">
        <v>108.81</v>
      </c>
      <c r="BF216">
        <v>111.28</v>
      </c>
      <c r="BG216">
        <v>107.76</v>
      </c>
      <c r="BH216">
        <v>100.18</v>
      </c>
      <c r="BI216">
        <v>105.25</v>
      </c>
      <c r="BJ216">
        <v>103.16</v>
      </c>
      <c r="BK216">
        <v>99.4</v>
      </c>
      <c r="BL216">
        <v>111.66</v>
      </c>
    </row>
    <row r="217" spans="1:64">
      <c r="A217" s="1" t="s">
        <v>1321</v>
      </c>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64">
      <c r="A218" s="1" t="s">
        <v>236</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BA218">
        <v>2.99</v>
      </c>
      <c r="BB218">
        <v>2.95</v>
      </c>
      <c r="BC218">
        <v>2.95</v>
      </c>
      <c r="BD218">
        <v>2.95</v>
      </c>
      <c r="BE218">
        <v>3.6</v>
      </c>
      <c r="BF218">
        <v>46.73</v>
      </c>
      <c r="BG218">
        <v>113.65</v>
      </c>
      <c r="BH218">
        <v>141.38999999999999</v>
      </c>
      <c r="BI218">
        <v>158</v>
      </c>
      <c r="BJ218">
        <v>165.91</v>
      </c>
      <c r="BK218">
        <v>306.35000000000002</v>
      </c>
    </row>
    <row r="219" spans="1:64">
      <c r="A219" s="1" t="s">
        <v>1322</v>
      </c>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64">
      <c r="A220" s="1" t="s">
        <v>1323</v>
      </c>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64">
      <c r="A221" s="1" t="s">
        <v>1324</v>
      </c>
      <c r="B221" s="1">
        <v>0.03</v>
      </c>
      <c r="C221" s="1">
        <v>0.03</v>
      </c>
      <c r="D221" s="1">
        <v>0.03</v>
      </c>
      <c r="E221" s="1">
        <v>0.03</v>
      </c>
      <c r="F221" s="1">
        <v>0.03</v>
      </c>
      <c r="G221" s="1">
        <v>0.03</v>
      </c>
      <c r="H221" s="1">
        <v>0.03</v>
      </c>
      <c r="I221" s="1">
        <v>0.03</v>
      </c>
      <c r="J221" s="1">
        <v>0.03</v>
      </c>
      <c r="K221" s="1">
        <v>0.03</v>
      </c>
      <c r="L221" s="1">
        <v>0.03</v>
      </c>
      <c r="M221" s="1">
        <v>0.03</v>
      </c>
      <c r="N221" s="1">
        <v>0.03</v>
      </c>
      <c r="O221" s="1">
        <v>0.02</v>
      </c>
      <c r="P221" s="1">
        <v>0.03</v>
      </c>
      <c r="Q221" s="1">
        <v>0.03</v>
      </c>
      <c r="R221" s="1">
        <v>0.03</v>
      </c>
      <c r="S221" s="1">
        <v>0.04</v>
      </c>
      <c r="T221" s="1">
        <v>0.04</v>
      </c>
      <c r="U221" s="1">
        <v>0.04</v>
      </c>
      <c r="V221" s="1">
        <v>0.03</v>
      </c>
      <c r="W221" s="1">
        <v>0.04</v>
      </c>
      <c r="X221" s="1">
        <v>0.04</v>
      </c>
      <c r="Y221" s="1">
        <v>0.04</v>
      </c>
      <c r="Z221" s="1">
        <v>0.04</v>
      </c>
      <c r="AA221">
        <v>0.04</v>
      </c>
      <c r="AB221">
        <v>0.04</v>
      </c>
      <c r="AC221">
        <v>0.05</v>
      </c>
      <c r="AD221">
        <v>0.09</v>
      </c>
      <c r="AE221">
        <v>0.12</v>
      </c>
      <c r="AF221">
        <v>0.14000000000000001</v>
      </c>
      <c r="AH221">
        <v>0.32</v>
      </c>
      <c r="AI221">
        <v>0.43</v>
      </c>
      <c r="AJ221">
        <v>0.73</v>
      </c>
      <c r="AK221">
        <v>1.42</v>
      </c>
      <c r="AL221">
        <v>2.2000000000000002</v>
      </c>
      <c r="AM221">
        <v>4.55</v>
      </c>
      <c r="AN221">
        <v>6.88</v>
      </c>
      <c r="AO221">
        <v>7.12</v>
      </c>
      <c r="AP221">
        <v>7.98</v>
      </c>
      <c r="AQ221">
        <v>8.84</v>
      </c>
      <c r="AR221">
        <v>9.09</v>
      </c>
      <c r="AS221">
        <v>9.35</v>
      </c>
      <c r="AT221">
        <v>9.9</v>
      </c>
      <c r="AU221">
        <v>10.56</v>
      </c>
      <c r="AV221">
        <v>12.45</v>
      </c>
      <c r="AW221">
        <v>13.54</v>
      </c>
      <c r="AX221">
        <v>14.7</v>
      </c>
      <c r="AY221">
        <v>16.21</v>
      </c>
      <c r="AZ221">
        <v>18.5</v>
      </c>
      <c r="BA221">
        <v>17.62</v>
      </c>
      <c r="BB221">
        <v>19.07</v>
      </c>
      <c r="BC221">
        <v>18.45</v>
      </c>
      <c r="BD221">
        <v>18.47</v>
      </c>
      <c r="BE221">
        <v>22.09</v>
      </c>
      <c r="BF221">
        <v>22.15</v>
      </c>
      <c r="BG221">
        <v>21.74</v>
      </c>
      <c r="BH221">
        <v>20.75</v>
      </c>
      <c r="BI221">
        <v>21.88</v>
      </c>
      <c r="BJ221">
        <v>21.51</v>
      </c>
      <c r="BK221">
        <v>20.71</v>
      </c>
    </row>
    <row r="222" spans="1:64">
      <c r="A222" s="1" t="s">
        <v>1325</v>
      </c>
      <c r="B222" s="1">
        <v>0</v>
      </c>
      <c r="C222" s="1">
        <v>0</v>
      </c>
      <c r="D222" s="1">
        <v>0</v>
      </c>
      <c r="E222" s="1">
        <v>0</v>
      </c>
      <c r="F222" s="1">
        <v>0</v>
      </c>
      <c r="G222" s="1">
        <v>0</v>
      </c>
      <c r="H222" s="1">
        <v>0</v>
      </c>
      <c r="I222" s="1">
        <v>0</v>
      </c>
      <c r="J222" s="1">
        <v>0</v>
      </c>
      <c r="K222" s="1">
        <v>0</v>
      </c>
      <c r="L222" s="1">
        <v>0</v>
      </c>
      <c r="M222" s="1">
        <v>0</v>
      </c>
      <c r="N222" s="1">
        <v>0</v>
      </c>
      <c r="O222" s="1">
        <v>0</v>
      </c>
      <c r="P222" s="1">
        <v>0</v>
      </c>
      <c r="Q222" s="1">
        <v>0</v>
      </c>
      <c r="R222" s="1">
        <v>0</v>
      </c>
      <c r="S222" s="1">
        <v>0</v>
      </c>
      <c r="T222" s="1">
        <v>0</v>
      </c>
      <c r="U222" s="1">
        <v>0</v>
      </c>
      <c r="V222" s="1">
        <v>0</v>
      </c>
      <c r="W222" s="1">
        <v>0</v>
      </c>
      <c r="X222" s="1">
        <v>0</v>
      </c>
      <c r="Y222" s="1">
        <v>0</v>
      </c>
      <c r="Z222" s="1">
        <v>0</v>
      </c>
      <c r="AA222">
        <v>0</v>
      </c>
      <c r="AB222">
        <v>0</v>
      </c>
      <c r="AC222">
        <v>0</v>
      </c>
      <c r="AD222">
        <v>0</v>
      </c>
      <c r="AE222">
        <v>0</v>
      </c>
      <c r="AF222">
        <v>0</v>
      </c>
      <c r="AG222">
        <v>0</v>
      </c>
      <c r="AH222">
        <v>0</v>
      </c>
      <c r="AI222">
        <v>0</v>
      </c>
      <c r="AJ222">
        <v>0.22</v>
      </c>
      <c r="AK222">
        <v>0.44</v>
      </c>
      <c r="AL222">
        <v>0.4</v>
      </c>
      <c r="AM222">
        <v>0.4</v>
      </c>
      <c r="AN222">
        <v>0.4</v>
      </c>
      <c r="AO222">
        <v>0.83</v>
      </c>
      <c r="AP222">
        <v>1.32</v>
      </c>
      <c r="AQ222">
        <v>2.1800000000000002</v>
      </c>
      <c r="AR222">
        <v>2.35</v>
      </c>
      <c r="AS222">
        <v>2.6</v>
      </c>
      <c r="AT222">
        <v>2.73</v>
      </c>
      <c r="AU222">
        <v>2.73</v>
      </c>
      <c r="AV222">
        <v>2.74</v>
      </c>
      <c r="AW222">
        <v>2.75</v>
      </c>
      <c r="AX222">
        <v>2.75</v>
      </c>
      <c r="AY222">
        <v>2.75</v>
      </c>
      <c r="AZ222">
        <v>2.75</v>
      </c>
      <c r="BA222">
        <v>3.27</v>
      </c>
      <c r="BB222">
        <v>3.3</v>
      </c>
      <c r="BC222">
        <v>3.3</v>
      </c>
      <c r="BD222">
        <v>3.3</v>
      </c>
      <c r="BE222">
        <v>3.42</v>
      </c>
      <c r="BF222">
        <v>6.23</v>
      </c>
      <c r="BG222">
        <v>7.49</v>
      </c>
      <c r="BH222">
        <v>7.46</v>
      </c>
      <c r="BI222">
        <v>7.46</v>
      </c>
      <c r="BJ222">
        <v>9.31</v>
      </c>
      <c r="BK222">
        <v>18.239999999999998</v>
      </c>
      <c r="BL222">
        <v>24.71</v>
      </c>
    </row>
    <row r="223" spans="1:64">
      <c r="A223" s="1" t="s">
        <v>1326</v>
      </c>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I223">
        <v>30.77</v>
      </c>
      <c r="AJ223">
        <v>32.04</v>
      </c>
      <c r="AK223">
        <v>29.71</v>
      </c>
      <c r="AL223">
        <v>30.65</v>
      </c>
      <c r="AM223">
        <v>33.619999999999997</v>
      </c>
      <c r="AN223">
        <v>35.229999999999997</v>
      </c>
      <c r="AO223">
        <v>41.36</v>
      </c>
      <c r="AP223">
        <v>46.04</v>
      </c>
      <c r="AQ223">
        <v>48.35</v>
      </c>
      <c r="AR223">
        <v>45.33</v>
      </c>
      <c r="AS223">
        <v>36.770000000000003</v>
      </c>
      <c r="AT223">
        <v>32.26</v>
      </c>
      <c r="AU223">
        <v>31.02</v>
      </c>
      <c r="AV223">
        <v>29.7</v>
      </c>
      <c r="AW223">
        <v>24.69</v>
      </c>
      <c r="AX223">
        <v>21.36</v>
      </c>
      <c r="AY223">
        <v>0.72</v>
      </c>
      <c r="AZ223">
        <v>0.75</v>
      </c>
      <c r="BA223">
        <v>0.72</v>
      </c>
      <c r="BB223">
        <v>0.78</v>
      </c>
      <c r="BC223">
        <v>0.75</v>
      </c>
      <c r="BD223">
        <v>0.75</v>
      </c>
      <c r="BE223">
        <v>0.9</v>
      </c>
      <c r="BF223">
        <v>0.9</v>
      </c>
      <c r="BG223">
        <v>0.89</v>
      </c>
      <c r="BH223">
        <v>0.85</v>
      </c>
      <c r="BI223">
        <v>0.89</v>
      </c>
      <c r="BJ223">
        <v>0.88</v>
      </c>
      <c r="BK223">
        <v>0.85</v>
      </c>
      <c r="BL223">
        <v>0.95</v>
      </c>
    </row>
    <row r="224" spans="1:64">
      <c r="A224" s="1" t="s">
        <v>1327</v>
      </c>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G224">
        <v>27.57</v>
      </c>
      <c r="AH224">
        <v>81.290000000000006</v>
      </c>
      <c r="AI224">
        <v>113.24</v>
      </c>
      <c r="AJ224">
        <v>128.81</v>
      </c>
      <c r="AK224">
        <v>118.52</v>
      </c>
      <c r="AL224">
        <v>135.36000000000001</v>
      </c>
      <c r="AM224">
        <v>159.69</v>
      </c>
      <c r="AN224">
        <v>166.13</v>
      </c>
      <c r="AO224">
        <v>181.77</v>
      </c>
      <c r="AP224">
        <v>222.66</v>
      </c>
      <c r="AQ224">
        <v>242.75</v>
      </c>
      <c r="AR224">
        <v>240.25</v>
      </c>
      <c r="AS224">
        <v>207.11</v>
      </c>
      <c r="AT224">
        <v>192.38</v>
      </c>
      <c r="AU224">
        <v>192.71</v>
      </c>
      <c r="AV224">
        <v>191.03</v>
      </c>
      <c r="AW224">
        <v>0.73</v>
      </c>
      <c r="AX224">
        <v>0.68</v>
      </c>
      <c r="AY224">
        <v>0.72</v>
      </c>
      <c r="AZ224">
        <v>0.75</v>
      </c>
      <c r="BA224">
        <v>0.72</v>
      </c>
      <c r="BB224">
        <v>0.78</v>
      </c>
      <c r="BC224">
        <v>0.75</v>
      </c>
      <c r="BD224">
        <v>0.75</v>
      </c>
      <c r="BE224">
        <v>0.9</v>
      </c>
      <c r="BF224">
        <v>0.9</v>
      </c>
      <c r="BG224">
        <v>0.89</v>
      </c>
      <c r="BH224">
        <v>0.85</v>
      </c>
      <c r="BI224">
        <v>0.89</v>
      </c>
      <c r="BJ224">
        <v>0.88</v>
      </c>
      <c r="BK224">
        <v>0.85</v>
      </c>
      <c r="BL224">
        <v>0.95</v>
      </c>
    </row>
    <row r="225" spans="1:64">
      <c r="A225" s="1" t="s">
        <v>1328</v>
      </c>
      <c r="B225" s="1">
        <v>5.17</v>
      </c>
      <c r="C225" s="1">
        <v>5.17</v>
      </c>
      <c r="D225" s="1">
        <v>5.17</v>
      </c>
      <c r="E225" s="1">
        <v>5.17</v>
      </c>
      <c r="F225" s="1">
        <v>5.17</v>
      </c>
      <c r="G225" s="1">
        <v>5.17</v>
      </c>
      <c r="H225" s="1">
        <v>5.17</v>
      </c>
      <c r="I225" s="1">
        <v>5.17</v>
      </c>
      <c r="J225" s="1">
        <v>5.17</v>
      </c>
      <c r="K225" s="1">
        <v>5.17</v>
      </c>
      <c r="L225" s="1">
        <v>5.17</v>
      </c>
      <c r="M225" s="1">
        <v>5.13</v>
      </c>
      <c r="N225" s="1">
        <v>4.76</v>
      </c>
      <c r="O225" s="1">
        <v>4.37</v>
      </c>
      <c r="P225" s="1">
        <v>4.4400000000000004</v>
      </c>
      <c r="Q225" s="1">
        <v>4.1500000000000004</v>
      </c>
      <c r="R225" s="1">
        <v>4.3600000000000003</v>
      </c>
      <c r="S225" s="1">
        <v>4.4800000000000004</v>
      </c>
      <c r="T225" s="1">
        <v>4.5199999999999996</v>
      </c>
      <c r="U225" s="1">
        <v>4.29</v>
      </c>
      <c r="V225" s="1">
        <v>4.2300000000000004</v>
      </c>
      <c r="W225" s="1">
        <v>5.0599999999999996</v>
      </c>
      <c r="X225" s="1">
        <v>6.28</v>
      </c>
      <c r="Y225" s="1">
        <v>7.67</v>
      </c>
      <c r="Z225" s="1">
        <v>8.27</v>
      </c>
      <c r="AA225">
        <v>8.6</v>
      </c>
      <c r="AB225">
        <v>7.12</v>
      </c>
      <c r="AC225">
        <v>6.34</v>
      </c>
      <c r="AD225">
        <v>6.13</v>
      </c>
      <c r="AE225">
        <v>6.45</v>
      </c>
      <c r="AF225">
        <v>5.92</v>
      </c>
      <c r="AG225">
        <v>6.05</v>
      </c>
      <c r="AH225">
        <v>5.82</v>
      </c>
      <c r="AI225">
        <v>7.78</v>
      </c>
      <c r="AJ225">
        <v>7.72</v>
      </c>
      <c r="AK225">
        <v>7.13</v>
      </c>
      <c r="AL225">
        <v>6.71</v>
      </c>
      <c r="AM225">
        <v>7.63</v>
      </c>
      <c r="AN225">
        <v>7.95</v>
      </c>
      <c r="AO225">
        <v>8.26</v>
      </c>
      <c r="AP225">
        <v>9.16</v>
      </c>
      <c r="AQ225">
        <v>10.33</v>
      </c>
      <c r="AR225">
        <v>9.74</v>
      </c>
      <c r="AS225">
        <v>8.09</v>
      </c>
      <c r="AT225">
        <v>7.35</v>
      </c>
      <c r="AU225">
        <v>7.47</v>
      </c>
      <c r="AV225">
        <v>7.38</v>
      </c>
      <c r="AW225">
        <v>6.76</v>
      </c>
      <c r="AX225">
        <v>6.59</v>
      </c>
      <c r="AY225">
        <v>7.65</v>
      </c>
      <c r="AZ225">
        <v>7.21</v>
      </c>
      <c r="BA225">
        <v>6.49</v>
      </c>
      <c r="BB225">
        <v>6.78</v>
      </c>
      <c r="BC225">
        <v>6.51</v>
      </c>
      <c r="BD225">
        <v>6.86</v>
      </c>
      <c r="BE225">
        <v>8.43</v>
      </c>
      <c r="BF225">
        <v>8.56</v>
      </c>
      <c r="BG225">
        <v>8.5500000000000007</v>
      </c>
      <c r="BH225">
        <v>8.69</v>
      </c>
      <c r="BI225">
        <v>9.4600000000000009</v>
      </c>
      <c r="BJ225">
        <v>9.2100000000000009</v>
      </c>
      <c r="BK225">
        <v>8.58</v>
      </c>
      <c r="BL225">
        <v>10.11</v>
      </c>
    </row>
    <row r="226" spans="1:64">
      <c r="A226" s="1" t="s">
        <v>1329</v>
      </c>
      <c r="B226" s="1">
        <v>0.71</v>
      </c>
      <c r="C226" s="1">
        <v>0.71</v>
      </c>
      <c r="D226" s="1">
        <v>0.71</v>
      </c>
      <c r="E226" s="1">
        <v>0.71</v>
      </c>
      <c r="F226" s="1">
        <v>0.71</v>
      </c>
      <c r="G226" s="1">
        <v>0.71</v>
      </c>
      <c r="H226" s="1">
        <v>0.71</v>
      </c>
      <c r="I226" s="1">
        <v>0.71</v>
      </c>
      <c r="J226" s="1">
        <v>0.71</v>
      </c>
      <c r="K226" s="1">
        <v>0.71</v>
      </c>
      <c r="L226" s="1">
        <v>0.71</v>
      </c>
      <c r="M226" s="1">
        <v>0.72</v>
      </c>
      <c r="N226" s="1">
        <v>0.77</v>
      </c>
      <c r="O226" s="1">
        <v>0.69</v>
      </c>
      <c r="P226" s="1">
        <v>0.68</v>
      </c>
      <c r="Q226" s="1">
        <v>0.74</v>
      </c>
      <c r="R226" s="1">
        <v>0.87</v>
      </c>
      <c r="S226" s="1">
        <v>0.87</v>
      </c>
      <c r="T226" s="1">
        <v>0.87</v>
      </c>
      <c r="U226" s="1">
        <v>0.84</v>
      </c>
      <c r="V226" s="1">
        <v>0.78</v>
      </c>
      <c r="W226" s="1">
        <v>0.88</v>
      </c>
      <c r="X226" s="1">
        <v>1.0900000000000001</v>
      </c>
      <c r="Y226" s="1">
        <v>1.1100000000000001</v>
      </c>
      <c r="Z226" s="1">
        <v>1.48</v>
      </c>
      <c r="AA226">
        <v>2.23</v>
      </c>
      <c r="AB226">
        <v>2.29</v>
      </c>
      <c r="AC226">
        <v>2.04</v>
      </c>
      <c r="AD226">
        <v>2.27</v>
      </c>
      <c r="AE226">
        <v>2.62</v>
      </c>
      <c r="AF226">
        <v>2.59</v>
      </c>
      <c r="AG226">
        <v>2.76</v>
      </c>
      <c r="AH226">
        <v>2.85</v>
      </c>
      <c r="AI226">
        <v>3.27</v>
      </c>
      <c r="AJ226">
        <v>3.55</v>
      </c>
      <c r="AK226">
        <v>3.63</v>
      </c>
      <c r="AL226">
        <v>4.3</v>
      </c>
      <c r="AM226">
        <v>4.6100000000000003</v>
      </c>
      <c r="AN226">
        <v>5.53</v>
      </c>
      <c r="AO226">
        <v>6.11</v>
      </c>
      <c r="AP226">
        <v>6.94</v>
      </c>
      <c r="AQ226">
        <v>8.61</v>
      </c>
      <c r="AR226">
        <v>10.54</v>
      </c>
      <c r="AS226">
        <v>7.56</v>
      </c>
      <c r="AT226">
        <v>6.46</v>
      </c>
      <c r="AU226">
        <v>6.36</v>
      </c>
      <c r="AV226">
        <v>6.77</v>
      </c>
      <c r="AW226">
        <v>7.05</v>
      </c>
      <c r="AX226">
        <v>8.26</v>
      </c>
      <c r="AY226">
        <v>8.4700000000000006</v>
      </c>
      <c r="AZ226">
        <v>7.32</v>
      </c>
      <c r="BA226">
        <v>7.26</v>
      </c>
      <c r="BB226">
        <v>8.2100000000000009</v>
      </c>
      <c r="BC226">
        <v>9.66</v>
      </c>
      <c r="BD226">
        <v>10.85</v>
      </c>
      <c r="BE226">
        <v>12.76</v>
      </c>
      <c r="BF226">
        <v>14.71</v>
      </c>
      <c r="BG226">
        <v>13.32</v>
      </c>
      <c r="BH226">
        <v>13.23</v>
      </c>
      <c r="BI226">
        <v>14.45</v>
      </c>
      <c r="BJ226">
        <v>16.47</v>
      </c>
      <c r="BK226">
        <v>14.78</v>
      </c>
      <c r="BL226">
        <v>16.36</v>
      </c>
    </row>
    <row r="227" spans="1:64">
      <c r="A227" s="1" t="s">
        <v>1330</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BA227">
        <v>1.79</v>
      </c>
      <c r="BB227">
        <v>1.79</v>
      </c>
      <c r="BC227">
        <v>1.79</v>
      </c>
      <c r="BD227">
        <v>1.79</v>
      </c>
      <c r="BE227">
        <v>1.79</v>
      </c>
      <c r="BF227">
        <v>1.79</v>
      </c>
      <c r="BG227">
        <v>1.79</v>
      </c>
      <c r="BH227">
        <v>1.79</v>
      </c>
      <c r="BI227">
        <v>1.79</v>
      </c>
      <c r="BJ227">
        <v>1.79</v>
      </c>
      <c r="BK227">
        <v>1.79</v>
      </c>
      <c r="BL227">
        <v>1.79</v>
      </c>
    </row>
    <row r="228" spans="1:64">
      <c r="A228" s="1" t="s">
        <v>1331</v>
      </c>
      <c r="B228" s="1">
        <v>4.76</v>
      </c>
      <c r="C228" s="1">
        <v>4.76</v>
      </c>
      <c r="D228" s="1">
        <v>4.76</v>
      </c>
      <c r="E228" s="1">
        <v>4.76</v>
      </c>
      <c r="F228" s="1">
        <v>4.76</v>
      </c>
      <c r="G228" s="1">
        <v>4.76</v>
      </c>
      <c r="H228" s="1">
        <v>4.76</v>
      </c>
      <c r="I228" s="1">
        <v>4.83</v>
      </c>
      <c r="J228" s="1">
        <v>5.56</v>
      </c>
      <c r="K228" s="1">
        <v>5.56</v>
      </c>
      <c r="L228" s="1">
        <v>5.56</v>
      </c>
      <c r="M228" s="1">
        <v>5.49</v>
      </c>
      <c r="N228" s="1">
        <v>5.34</v>
      </c>
      <c r="O228" s="1">
        <v>5.44</v>
      </c>
      <c r="P228" s="1">
        <v>5.7</v>
      </c>
      <c r="Q228" s="1">
        <v>6.03</v>
      </c>
      <c r="R228" s="1">
        <v>7.42</v>
      </c>
      <c r="S228" s="1">
        <v>7.64</v>
      </c>
      <c r="T228" s="1">
        <v>6.95</v>
      </c>
      <c r="U228" s="1">
        <v>6.33</v>
      </c>
      <c r="V228" s="1">
        <v>6.39</v>
      </c>
      <c r="W228" s="1">
        <v>6.31</v>
      </c>
      <c r="X228" s="1">
        <v>6.55</v>
      </c>
      <c r="Y228" s="1">
        <v>6.77</v>
      </c>
      <c r="Z228" s="1">
        <v>7.06</v>
      </c>
      <c r="AA228">
        <v>7.13</v>
      </c>
      <c r="AB228">
        <v>6.18</v>
      </c>
      <c r="AC228">
        <v>5.6</v>
      </c>
      <c r="AD228">
        <v>5.38</v>
      </c>
      <c r="AE228">
        <v>5.65</v>
      </c>
      <c r="AF228">
        <v>5.34</v>
      </c>
      <c r="AG228">
        <v>5.29</v>
      </c>
      <c r="AH228">
        <v>5.12</v>
      </c>
      <c r="AI228">
        <v>5.18</v>
      </c>
      <c r="AJ228">
        <v>5.0599999999999996</v>
      </c>
      <c r="AK228">
        <v>4.76</v>
      </c>
      <c r="AL228">
        <v>4.97</v>
      </c>
      <c r="AM228">
        <v>5.03</v>
      </c>
      <c r="AN228">
        <v>5.26</v>
      </c>
      <c r="AO228">
        <v>5.34</v>
      </c>
      <c r="AP228">
        <v>5.71</v>
      </c>
      <c r="AQ228">
        <v>5.86</v>
      </c>
      <c r="AR228">
        <v>5.48</v>
      </c>
      <c r="AS228">
        <v>5.4</v>
      </c>
      <c r="AT228">
        <v>5.5</v>
      </c>
      <c r="AU228">
        <v>5.5</v>
      </c>
      <c r="AV228">
        <v>5.52</v>
      </c>
      <c r="AW228">
        <v>6.7</v>
      </c>
      <c r="AX228">
        <v>9.4600000000000009</v>
      </c>
      <c r="AY228">
        <v>13.61</v>
      </c>
      <c r="AZ228">
        <v>12.07</v>
      </c>
      <c r="BA228">
        <v>12.38</v>
      </c>
      <c r="BB228">
        <v>13.7</v>
      </c>
      <c r="BC228">
        <v>12.06</v>
      </c>
      <c r="BD228">
        <v>12.75</v>
      </c>
      <c r="BE228">
        <v>13.31</v>
      </c>
      <c r="BF228">
        <v>13.32</v>
      </c>
      <c r="BG228">
        <v>13.65</v>
      </c>
      <c r="BH228">
        <v>13.91</v>
      </c>
      <c r="BI228">
        <v>14.03</v>
      </c>
      <c r="BJ228">
        <v>17.62</v>
      </c>
      <c r="BK228">
        <v>16.920000000000002</v>
      </c>
      <c r="BL228">
        <v>14.27</v>
      </c>
    </row>
    <row r="229" spans="1:64">
      <c r="A229" s="1" t="s">
        <v>1332</v>
      </c>
      <c r="B229" s="1">
        <v>3.58</v>
      </c>
      <c r="C229" s="1">
        <v>3.58</v>
      </c>
      <c r="D229" s="1">
        <v>3.69</v>
      </c>
      <c r="E229" s="1">
        <v>3.82</v>
      </c>
      <c r="F229" s="1">
        <v>3.82</v>
      </c>
      <c r="G229" s="1">
        <v>3.82</v>
      </c>
      <c r="H229" s="1">
        <v>3.82</v>
      </c>
      <c r="I229" s="1">
        <v>3.82</v>
      </c>
      <c r="J229" s="1">
        <v>3.82</v>
      </c>
      <c r="K229" s="1">
        <v>3.82</v>
      </c>
      <c r="L229" s="1">
        <v>3.82</v>
      </c>
      <c r="M229" s="1">
        <v>3.82</v>
      </c>
      <c r="N229" s="1">
        <v>3.82</v>
      </c>
      <c r="O229" s="1">
        <v>3.82</v>
      </c>
      <c r="P229" s="1">
        <v>3.73</v>
      </c>
      <c r="Q229" s="1">
        <v>3.7</v>
      </c>
      <c r="R229" s="1">
        <v>3.85</v>
      </c>
      <c r="S229" s="1">
        <v>3.92</v>
      </c>
      <c r="T229" s="1">
        <v>3.92</v>
      </c>
      <c r="U229" s="1">
        <v>3.92</v>
      </c>
      <c r="V229" s="1">
        <v>3.92</v>
      </c>
      <c r="W229" s="1">
        <v>3.92</v>
      </c>
      <c r="X229" s="1">
        <v>3.92</v>
      </c>
      <c r="Y229" s="1">
        <v>3.92</v>
      </c>
      <c r="Z229" s="1">
        <v>3.92</v>
      </c>
      <c r="AA229">
        <v>3.93</v>
      </c>
      <c r="AB229">
        <v>3.93</v>
      </c>
      <c r="AC229">
        <v>3.93</v>
      </c>
      <c r="AD229">
        <v>11.23</v>
      </c>
      <c r="AE229">
        <v>11.23</v>
      </c>
      <c r="AF229">
        <v>11.23</v>
      </c>
      <c r="AG229">
        <v>11.23</v>
      </c>
      <c r="AH229">
        <v>11.23</v>
      </c>
      <c r="AI229">
        <v>11.23</v>
      </c>
      <c r="AJ229">
        <v>11.23</v>
      </c>
      <c r="AK229">
        <v>11.23</v>
      </c>
      <c r="AL229">
        <v>11.23</v>
      </c>
      <c r="AM229">
        <v>11.23</v>
      </c>
      <c r="AN229">
        <v>11.23</v>
      </c>
      <c r="AO229">
        <v>11.23</v>
      </c>
      <c r="AP229">
        <v>11.23</v>
      </c>
      <c r="AQ229">
        <v>11.23</v>
      </c>
      <c r="AR229">
        <v>11.23</v>
      </c>
      <c r="AS229">
        <v>11.23</v>
      </c>
      <c r="AT229">
        <v>11.23</v>
      </c>
      <c r="AU229">
        <v>11.23</v>
      </c>
      <c r="AV229">
        <v>11.23</v>
      </c>
      <c r="AW229">
        <v>11.23</v>
      </c>
      <c r="AX229">
        <v>11.23</v>
      </c>
      <c r="AY229">
        <v>11.23</v>
      </c>
      <c r="AZ229">
        <v>11.23</v>
      </c>
      <c r="BA229">
        <v>48.34</v>
      </c>
      <c r="BB229">
        <v>64.58</v>
      </c>
      <c r="BC229">
        <v>108.73</v>
      </c>
      <c r="BD229">
        <v>154.13</v>
      </c>
      <c r="BE229">
        <v>237.03</v>
      </c>
      <c r="BF229">
        <v>460.28</v>
      </c>
      <c r="BG229">
        <v>492.61</v>
      </c>
    </row>
    <row r="230" spans="1:64">
      <c r="A230" s="1" t="s">
        <v>1333</v>
      </c>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row>
    <row r="231" spans="1:64">
      <c r="A231" s="1" t="s">
        <v>1334</v>
      </c>
      <c r="B231" s="1">
        <v>245.2</v>
      </c>
      <c r="C231" s="1">
        <v>245.26</v>
      </c>
      <c r="D231" s="1">
        <v>245.01</v>
      </c>
      <c r="E231" s="1">
        <v>245.02</v>
      </c>
      <c r="F231" s="1">
        <v>245.03</v>
      </c>
      <c r="G231" s="1">
        <v>245.06</v>
      </c>
      <c r="H231" s="1">
        <v>245.68</v>
      </c>
      <c r="I231" s="1">
        <v>246</v>
      </c>
      <c r="J231" s="1">
        <v>247.56</v>
      </c>
      <c r="K231" s="1">
        <v>259.95999999999998</v>
      </c>
      <c r="L231" s="1">
        <v>276.39999999999998</v>
      </c>
      <c r="M231" s="1">
        <v>275.36</v>
      </c>
      <c r="N231" s="1">
        <v>252.03</v>
      </c>
      <c r="O231" s="1">
        <v>222.89</v>
      </c>
      <c r="P231" s="1">
        <v>240.7</v>
      </c>
      <c r="Q231" s="1">
        <v>214.31</v>
      </c>
      <c r="R231" s="1">
        <v>238.95</v>
      </c>
      <c r="S231" s="1">
        <v>245.68</v>
      </c>
      <c r="T231" s="1">
        <v>225.66</v>
      </c>
      <c r="U231" s="1">
        <v>212.72</v>
      </c>
      <c r="V231" s="1">
        <v>211.28</v>
      </c>
      <c r="W231" s="1">
        <v>271.73</v>
      </c>
      <c r="X231" s="1">
        <v>328.61</v>
      </c>
      <c r="Y231" s="1">
        <v>381.07</v>
      </c>
      <c r="Z231" s="1">
        <v>436.96</v>
      </c>
      <c r="AA231">
        <v>449.26</v>
      </c>
      <c r="AB231">
        <v>346.31</v>
      </c>
      <c r="AC231">
        <v>300.54000000000002</v>
      </c>
      <c r="AD231">
        <v>297.85000000000002</v>
      </c>
      <c r="AE231">
        <v>319.01</v>
      </c>
      <c r="AF231">
        <v>272.26</v>
      </c>
      <c r="AG231">
        <v>282.11</v>
      </c>
      <c r="AH231">
        <v>264.69</v>
      </c>
      <c r="AI231">
        <v>283.16000000000003</v>
      </c>
      <c r="AJ231">
        <v>555.20000000000005</v>
      </c>
      <c r="AK231">
        <v>499.15</v>
      </c>
      <c r="AL231">
        <v>511.55</v>
      </c>
      <c r="AM231">
        <v>583.66999999999996</v>
      </c>
      <c r="AN231">
        <v>589.95000000000005</v>
      </c>
      <c r="AO231">
        <v>615.47</v>
      </c>
      <c r="AP231">
        <v>710.21</v>
      </c>
      <c r="AQ231">
        <v>732.4</v>
      </c>
      <c r="AR231">
        <v>693.71</v>
      </c>
      <c r="AS231">
        <v>579.9</v>
      </c>
      <c r="AT231">
        <v>527.34</v>
      </c>
      <c r="AU231">
        <v>527.26</v>
      </c>
      <c r="AV231">
        <v>522.42999999999995</v>
      </c>
      <c r="AW231">
        <v>478.63</v>
      </c>
      <c r="AX231">
        <v>446</v>
      </c>
      <c r="AY231">
        <v>470.29</v>
      </c>
      <c r="AZ231">
        <v>494.79</v>
      </c>
      <c r="BA231">
        <v>471.25</v>
      </c>
      <c r="BB231">
        <v>510.56</v>
      </c>
      <c r="BC231">
        <v>493.9</v>
      </c>
      <c r="BD231">
        <v>493.76</v>
      </c>
      <c r="BE231">
        <v>591.21</v>
      </c>
      <c r="BF231">
        <v>592.61</v>
      </c>
      <c r="BG231">
        <v>580.66</v>
      </c>
      <c r="BH231">
        <v>555.45000000000005</v>
      </c>
      <c r="BI231">
        <v>585.91</v>
      </c>
      <c r="BJ231">
        <v>575.59</v>
      </c>
      <c r="BK231">
        <v>554.53</v>
      </c>
      <c r="BL231">
        <v>623.76</v>
      </c>
    </row>
    <row r="232" spans="1:64">
      <c r="A232" s="1" t="s">
        <v>1335</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64">
      <c r="A233" s="1" t="s">
        <v>1336</v>
      </c>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64">
      <c r="A234" s="1" t="s">
        <v>1337</v>
      </c>
      <c r="B234" s="1">
        <v>245.2</v>
      </c>
      <c r="C234" s="1">
        <v>245.26</v>
      </c>
      <c r="D234" s="1">
        <v>245.01</v>
      </c>
      <c r="E234" s="1">
        <v>245.02</v>
      </c>
      <c r="F234" s="1">
        <v>245.03</v>
      </c>
      <c r="G234" s="1">
        <v>245.06</v>
      </c>
      <c r="H234" s="1">
        <v>245.68</v>
      </c>
      <c r="I234" s="1">
        <v>246</v>
      </c>
      <c r="J234" s="1">
        <v>247.56</v>
      </c>
      <c r="K234" s="1">
        <v>259.95999999999998</v>
      </c>
      <c r="L234" s="1">
        <v>276.39999999999998</v>
      </c>
      <c r="M234" s="1">
        <v>275.36</v>
      </c>
      <c r="N234" s="1">
        <v>252.03</v>
      </c>
      <c r="O234" s="1">
        <v>222.89</v>
      </c>
      <c r="P234" s="1">
        <v>240.7</v>
      </c>
      <c r="Q234" s="1">
        <v>214.31</v>
      </c>
      <c r="R234" s="1">
        <v>238.95</v>
      </c>
      <c r="S234" s="1">
        <v>245.68</v>
      </c>
      <c r="T234" s="1">
        <v>225.66</v>
      </c>
      <c r="U234" s="1">
        <v>212.72</v>
      </c>
      <c r="V234" s="1">
        <v>211.28</v>
      </c>
      <c r="W234" s="1">
        <v>271.73</v>
      </c>
      <c r="X234" s="1">
        <v>328.61</v>
      </c>
      <c r="Y234" s="1">
        <v>381.07</v>
      </c>
      <c r="Z234" s="1">
        <v>436.96</v>
      </c>
      <c r="AA234">
        <v>449.26</v>
      </c>
      <c r="AB234">
        <v>346.31</v>
      </c>
      <c r="AC234">
        <v>300.54000000000002</v>
      </c>
      <c r="AD234">
        <v>297.85000000000002</v>
      </c>
      <c r="AE234">
        <v>319.01</v>
      </c>
      <c r="AF234">
        <v>272.26</v>
      </c>
      <c r="AG234">
        <v>282.11</v>
      </c>
      <c r="AH234">
        <v>264.69</v>
      </c>
      <c r="AI234">
        <v>283.16000000000003</v>
      </c>
      <c r="AJ234">
        <v>555.20000000000005</v>
      </c>
      <c r="AK234">
        <v>499.15</v>
      </c>
      <c r="AL234">
        <v>511.55</v>
      </c>
      <c r="AM234">
        <v>583.66999999999996</v>
      </c>
      <c r="AN234">
        <v>589.95000000000005</v>
      </c>
      <c r="AO234">
        <v>615.47</v>
      </c>
      <c r="AP234">
        <v>710.21</v>
      </c>
      <c r="AQ234">
        <v>732.4</v>
      </c>
      <c r="AR234">
        <v>693.71</v>
      </c>
      <c r="AS234">
        <v>579.9</v>
      </c>
      <c r="AT234">
        <v>527.34</v>
      </c>
      <c r="AU234">
        <v>527.26</v>
      </c>
      <c r="AV234">
        <v>522.42999999999995</v>
      </c>
      <c r="AW234">
        <v>478.63</v>
      </c>
      <c r="AX234">
        <v>446</v>
      </c>
      <c r="AY234">
        <v>470.29</v>
      </c>
      <c r="AZ234">
        <v>494.79</v>
      </c>
      <c r="BA234">
        <v>471.25</v>
      </c>
      <c r="BB234">
        <v>510.56</v>
      </c>
      <c r="BC234">
        <v>493.9</v>
      </c>
      <c r="BD234">
        <v>493.76</v>
      </c>
      <c r="BE234">
        <v>591.21</v>
      </c>
      <c r="BF234">
        <v>592.61</v>
      </c>
      <c r="BG234">
        <v>580.66</v>
      </c>
      <c r="BH234">
        <v>555.45000000000005</v>
      </c>
      <c r="BI234">
        <v>585.91</v>
      </c>
      <c r="BJ234">
        <v>575.59</v>
      </c>
      <c r="BK234">
        <v>554.53</v>
      </c>
      <c r="BL234">
        <v>623.76</v>
      </c>
    </row>
    <row r="235" spans="1:64">
      <c r="A235" s="1" t="s">
        <v>193</v>
      </c>
      <c r="B235" s="1">
        <v>21.18</v>
      </c>
      <c r="C235" s="1">
        <v>21.06</v>
      </c>
      <c r="D235" s="1">
        <v>20.88</v>
      </c>
      <c r="E235" s="1">
        <v>20.83</v>
      </c>
      <c r="F235" s="1">
        <v>20.8</v>
      </c>
      <c r="G235" s="1">
        <v>20.8</v>
      </c>
      <c r="H235" s="1">
        <v>20.8</v>
      </c>
      <c r="I235" s="1">
        <v>20.8</v>
      </c>
      <c r="J235" s="1">
        <v>20.8</v>
      </c>
      <c r="K235" s="1">
        <v>20.8</v>
      </c>
      <c r="L235" s="1">
        <v>20.8</v>
      </c>
      <c r="M235" s="1">
        <v>20.8</v>
      </c>
      <c r="N235" s="1">
        <v>20.8</v>
      </c>
      <c r="O235" s="1">
        <v>20.62</v>
      </c>
      <c r="P235" s="1">
        <v>20.38</v>
      </c>
      <c r="Q235" s="1">
        <v>20.38</v>
      </c>
      <c r="R235" s="1">
        <v>20.399999999999999</v>
      </c>
      <c r="S235" s="1">
        <v>20.399999999999999</v>
      </c>
      <c r="T235" s="1">
        <v>20.34</v>
      </c>
      <c r="U235" s="1">
        <v>20.420000000000002</v>
      </c>
      <c r="V235" s="1">
        <v>20.48</v>
      </c>
      <c r="W235" s="1">
        <v>21.82</v>
      </c>
      <c r="X235" s="1">
        <v>23</v>
      </c>
      <c r="Y235" s="1">
        <v>23</v>
      </c>
      <c r="Z235" s="1">
        <v>23.64</v>
      </c>
      <c r="AA235">
        <v>27.16</v>
      </c>
      <c r="AB235">
        <v>26.3</v>
      </c>
      <c r="AC235">
        <v>25.72</v>
      </c>
      <c r="AD235">
        <v>25.29</v>
      </c>
      <c r="AE235">
        <v>25.7</v>
      </c>
      <c r="AF235">
        <v>25.59</v>
      </c>
      <c r="AG235">
        <v>25.52</v>
      </c>
      <c r="AH235">
        <v>25.4</v>
      </c>
      <c r="AI235">
        <v>25.32</v>
      </c>
      <c r="AJ235">
        <v>25.15</v>
      </c>
      <c r="AK235">
        <v>24.92</v>
      </c>
      <c r="AL235">
        <v>25.34</v>
      </c>
      <c r="AM235">
        <v>31.36</v>
      </c>
      <c r="AN235">
        <v>41.36</v>
      </c>
      <c r="AO235">
        <v>37.81</v>
      </c>
      <c r="AP235">
        <v>40.11</v>
      </c>
      <c r="AQ235">
        <v>44.43</v>
      </c>
      <c r="AR235">
        <v>42.96</v>
      </c>
      <c r="AS235">
        <v>41.48</v>
      </c>
      <c r="AT235">
        <v>40.22</v>
      </c>
      <c r="AU235">
        <v>40.22</v>
      </c>
      <c r="AV235">
        <v>37.880000000000003</v>
      </c>
      <c r="AW235">
        <v>34.520000000000003</v>
      </c>
      <c r="AX235">
        <v>33.31</v>
      </c>
      <c r="AY235">
        <v>34.29</v>
      </c>
      <c r="AZ235">
        <v>31.69</v>
      </c>
      <c r="BA235">
        <v>30.49</v>
      </c>
      <c r="BB235">
        <v>31.08</v>
      </c>
      <c r="BC235">
        <v>30.73</v>
      </c>
      <c r="BD235">
        <v>32.479999999999997</v>
      </c>
      <c r="BE235">
        <v>34.25</v>
      </c>
      <c r="BF235">
        <v>35.299999999999997</v>
      </c>
      <c r="BG235">
        <v>33.94</v>
      </c>
      <c r="BH235">
        <v>32.31</v>
      </c>
      <c r="BI235">
        <v>31.05</v>
      </c>
      <c r="BJ235">
        <v>31.29</v>
      </c>
      <c r="BK235">
        <v>31.98</v>
      </c>
      <c r="BL235">
        <v>35.06</v>
      </c>
    </row>
    <row r="236" spans="1:64">
      <c r="A236" s="1" t="s">
        <v>1338</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H236">
        <v>0</v>
      </c>
      <c r="AI236">
        <v>0.01</v>
      </c>
      <c r="AJ236">
        <v>0.02</v>
      </c>
      <c r="AK236">
        <v>0.12</v>
      </c>
      <c r="AL236">
        <v>0.3</v>
      </c>
      <c r="AM236">
        <v>0.56000000000000005</v>
      </c>
      <c r="AN236">
        <v>0.78</v>
      </c>
      <c r="AO236">
        <v>1.24</v>
      </c>
      <c r="AP236">
        <v>2.08</v>
      </c>
      <c r="AQ236">
        <v>2.37</v>
      </c>
      <c r="AR236">
        <v>2.76</v>
      </c>
      <c r="AS236">
        <v>3.06</v>
      </c>
      <c r="AT236">
        <v>2.97</v>
      </c>
      <c r="AU236">
        <v>3.12</v>
      </c>
      <c r="AV236">
        <v>3.3</v>
      </c>
      <c r="AW236">
        <v>3.44</v>
      </c>
      <c r="AX236">
        <v>3.43</v>
      </c>
      <c r="AY236">
        <v>4.1399999999999997</v>
      </c>
      <c r="AZ236">
        <v>4.38</v>
      </c>
      <c r="BA236">
        <v>4.6100000000000003</v>
      </c>
      <c r="BB236">
        <v>4.74</v>
      </c>
      <c r="BC236">
        <v>4.76</v>
      </c>
      <c r="BD236">
        <v>4.9400000000000004</v>
      </c>
      <c r="BE236">
        <v>6.16</v>
      </c>
      <c r="BF236">
        <v>7.84</v>
      </c>
      <c r="BG236">
        <v>8.5500000000000007</v>
      </c>
      <c r="BH236">
        <v>9.15</v>
      </c>
      <c r="BI236">
        <v>9.5299999999999994</v>
      </c>
      <c r="BJ236">
        <v>10.32</v>
      </c>
      <c r="BK236">
        <v>11.31</v>
      </c>
      <c r="BL236">
        <v>11.03</v>
      </c>
    </row>
    <row r="237" spans="1:64">
      <c r="A237" s="1" t="s">
        <v>1339</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J237">
        <v>19.2</v>
      </c>
      <c r="AK237">
        <v>110.92</v>
      </c>
      <c r="AL237">
        <v>3257.67</v>
      </c>
      <c r="AM237">
        <v>4143.42</v>
      </c>
      <c r="AN237">
        <v>4890.17</v>
      </c>
      <c r="AO237">
        <v>5200</v>
      </c>
      <c r="AP237">
        <v>5200</v>
      </c>
      <c r="AQ237">
        <v>5200</v>
      </c>
    </row>
    <row r="238" spans="1:64">
      <c r="A238" s="1" t="s">
        <v>1340</v>
      </c>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64">
      <c r="A239" s="1" t="s">
        <v>1341</v>
      </c>
      <c r="B239" s="1">
        <v>1</v>
      </c>
      <c r="C239" s="1">
        <v>1</v>
      </c>
      <c r="D239" s="1">
        <v>1</v>
      </c>
      <c r="E239" s="1">
        <v>1</v>
      </c>
      <c r="F239" s="1">
        <v>1</v>
      </c>
      <c r="G239" s="1">
        <v>1</v>
      </c>
      <c r="H239" s="1">
        <v>1</v>
      </c>
      <c r="I239" s="1">
        <v>1</v>
      </c>
      <c r="J239" s="1">
        <v>1</v>
      </c>
      <c r="K239" s="1">
        <v>1</v>
      </c>
      <c r="L239" s="1">
        <v>1</v>
      </c>
      <c r="M239" s="1">
        <v>1</v>
      </c>
      <c r="N239" s="1">
        <v>1</v>
      </c>
      <c r="O239" s="1">
        <v>1</v>
      </c>
      <c r="P239" s="1">
        <v>1</v>
      </c>
      <c r="Q239" s="1">
        <v>1</v>
      </c>
      <c r="R239" s="1">
        <v>1</v>
      </c>
      <c r="S239" s="1">
        <v>1</v>
      </c>
      <c r="T239" s="1">
        <v>1</v>
      </c>
      <c r="U239" s="1">
        <v>1</v>
      </c>
      <c r="V239" s="1">
        <v>1</v>
      </c>
      <c r="W239" s="1">
        <v>1</v>
      </c>
      <c r="X239" s="1">
        <v>1</v>
      </c>
      <c r="Y239" s="1">
        <v>1</v>
      </c>
      <c r="Z239" s="1">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row>
    <row r="240" spans="1:64">
      <c r="A240" s="1" t="s">
        <v>1342</v>
      </c>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64">
      <c r="A241" s="1" t="s">
        <v>1343</v>
      </c>
      <c r="B241" s="1">
        <v>0.89</v>
      </c>
      <c r="C241" s="1">
        <v>0.89</v>
      </c>
      <c r="D241" s="1">
        <v>0.89</v>
      </c>
      <c r="E241" s="1">
        <v>0.89</v>
      </c>
      <c r="F241" s="1">
        <v>0.89</v>
      </c>
      <c r="G241" s="1">
        <v>0.89</v>
      </c>
      <c r="H241" s="1">
        <v>0.89</v>
      </c>
      <c r="I241" s="1">
        <v>0.89</v>
      </c>
      <c r="J241" s="1">
        <v>0.89</v>
      </c>
      <c r="K241" s="1">
        <v>0.89</v>
      </c>
      <c r="L241" s="1">
        <v>0.89</v>
      </c>
      <c r="M241" s="1">
        <v>0.88</v>
      </c>
      <c r="N241" s="1">
        <v>0.82</v>
      </c>
      <c r="O241" s="1">
        <v>0.7</v>
      </c>
      <c r="P241" s="1">
        <v>0.7</v>
      </c>
      <c r="Q241" s="1">
        <v>0.76</v>
      </c>
      <c r="R241" s="1">
        <v>0.82</v>
      </c>
      <c r="S241" s="1">
        <v>0.9</v>
      </c>
      <c r="T241" s="1">
        <v>0.87</v>
      </c>
      <c r="U241" s="1">
        <v>0.89</v>
      </c>
      <c r="V241" s="1">
        <v>0.88</v>
      </c>
      <c r="W241" s="1">
        <v>0.87</v>
      </c>
      <c r="X241" s="1">
        <v>0.99</v>
      </c>
      <c r="Y241" s="1">
        <v>1.1100000000000001</v>
      </c>
      <c r="Z241" s="1">
        <v>1.1399999999999999</v>
      </c>
      <c r="AA241">
        <v>1.43</v>
      </c>
      <c r="AB241">
        <v>1.5</v>
      </c>
      <c r="AC241">
        <v>1.43</v>
      </c>
      <c r="AD241">
        <v>1.28</v>
      </c>
      <c r="AE241">
        <v>1.26</v>
      </c>
      <c r="AF241">
        <v>1.28</v>
      </c>
      <c r="AG241">
        <v>1.3</v>
      </c>
      <c r="AH241">
        <v>1.35</v>
      </c>
      <c r="AI241">
        <v>1.38</v>
      </c>
      <c r="AJ241">
        <v>1.32</v>
      </c>
      <c r="AK241">
        <v>1.27</v>
      </c>
      <c r="AL241">
        <v>1.23</v>
      </c>
      <c r="AM241">
        <v>1.26</v>
      </c>
      <c r="AN241">
        <v>1.49</v>
      </c>
      <c r="AO241">
        <v>1.6</v>
      </c>
      <c r="AP241">
        <v>1.76</v>
      </c>
      <c r="AQ241">
        <v>2.12</v>
      </c>
      <c r="AR241">
        <v>2.2000000000000002</v>
      </c>
      <c r="AS241">
        <v>2.15</v>
      </c>
      <c r="AT241">
        <v>1.97</v>
      </c>
      <c r="AU241">
        <v>1.94</v>
      </c>
      <c r="AV241">
        <v>2.0299999999999998</v>
      </c>
      <c r="AW241">
        <v>1.97</v>
      </c>
      <c r="AX241">
        <v>1.94</v>
      </c>
      <c r="AY241">
        <v>2.0299999999999998</v>
      </c>
      <c r="AZ241">
        <v>1.91</v>
      </c>
      <c r="BA241">
        <v>1.73</v>
      </c>
      <c r="BB241">
        <v>1.72</v>
      </c>
      <c r="BC241">
        <v>1.77</v>
      </c>
      <c r="BD241">
        <v>1.85</v>
      </c>
      <c r="BE241">
        <v>2.11</v>
      </c>
      <c r="BF241">
        <v>2.2200000000000002</v>
      </c>
      <c r="BG241">
        <v>2.21</v>
      </c>
      <c r="BH241">
        <v>2.2400000000000002</v>
      </c>
      <c r="BI241">
        <v>2.29</v>
      </c>
      <c r="BJ241">
        <v>2.2999999999999998</v>
      </c>
      <c r="BK241">
        <v>2.2599999999999998</v>
      </c>
      <c r="BL241">
        <v>2.33</v>
      </c>
    </row>
    <row r="242" spans="1:64">
      <c r="A242" s="1" t="s">
        <v>1344</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64">
      <c r="A243" s="1" t="s">
        <v>1345</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64">
      <c r="A244" s="1" t="s">
        <v>1346</v>
      </c>
      <c r="B244" s="1">
        <v>1.71</v>
      </c>
      <c r="C244" s="1">
        <v>1.71</v>
      </c>
      <c r="D244" s="1">
        <v>1.71</v>
      </c>
      <c r="E244" s="1">
        <v>1.71</v>
      </c>
      <c r="F244" s="1">
        <v>1.71</v>
      </c>
      <c r="G244" s="1">
        <v>1.71</v>
      </c>
      <c r="H244" s="1">
        <v>1.71</v>
      </c>
      <c r="I244" s="1">
        <v>1.74</v>
      </c>
      <c r="J244" s="1">
        <v>2</v>
      </c>
      <c r="K244" s="1">
        <v>2</v>
      </c>
      <c r="L244" s="1">
        <v>2</v>
      </c>
      <c r="M244" s="1">
        <v>1.97</v>
      </c>
      <c r="N244" s="1">
        <v>1.92</v>
      </c>
      <c r="O244" s="1">
        <v>1.96</v>
      </c>
      <c r="P244" s="1">
        <v>2.0499999999999998</v>
      </c>
      <c r="Q244" s="1">
        <v>2.17</v>
      </c>
      <c r="R244" s="1">
        <v>2.44</v>
      </c>
      <c r="S244" s="1">
        <v>2.4</v>
      </c>
      <c r="T244" s="1">
        <v>2.4</v>
      </c>
      <c r="U244" s="1">
        <v>2.4</v>
      </c>
      <c r="V244" s="1">
        <v>2.4</v>
      </c>
      <c r="W244" s="1">
        <v>2.4</v>
      </c>
      <c r="X244" s="1">
        <v>2.4</v>
      </c>
      <c r="Y244" s="1">
        <v>2.4</v>
      </c>
      <c r="Z244" s="1">
        <v>2.4</v>
      </c>
      <c r="AA244">
        <v>2.4500000000000002</v>
      </c>
      <c r="AB244">
        <v>3.6</v>
      </c>
      <c r="AC244">
        <v>3.6</v>
      </c>
      <c r="AD244">
        <v>3.84</v>
      </c>
      <c r="AE244">
        <v>4.25</v>
      </c>
      <c r="AF244">
        <v>4.25</v>
      </c>
      <c r="AG244">
        <v>4.25</v>
      </c>
      <c r="AH244">
        <v>4.25</v>
      </c>
      <c r="AI244">
        <v>5.35</v>
      </c>
      <c r="AJ244">
        <v>5.92</v>
      </c>
      <c r="AK244">
        <v>5.95</v>
      </c>
      <c r="AL244">
        <v>6.01</v>
      </c>
      <c r="AM244">
        <v>6.25</v>
      </c>
      <c r="AN244">
        <v>6.3</v>
      </c>
      <c r="AO244">
        <v>6.3</v>
      </c>
      <c r="AP244">
        <v>6.3</v>
      </c>
      <c r="AQ244">
        <v>6.23</v>
      </c>
      <c r="AR244">
        <v>6.25</v>
      </c>
      <c r="AS244">
        <v>6.3</v>
      </c>
      <c r="AT244">
        <v>6.3</v>
      </c>
      <c r="AU244">
        <v>6.3</v>
      </c>
      <c r="AV244">
        <v>6.31</v>
      </c>
      <c r="AW244">
        <v>6.33</v>
      </c>
      <c r="AX244">
        <v>6.29</v>
      </c>
      <c r="AY244">
        <v>6.32</v>
      </c>
      <c r="AZ244">
        <v>6.38</v>
      </c>
      <c r="BA244">
        <v>6.41</v>
      </c>
      <c r="BB244">
        <v>6.43</v>
      </c>
      <c r="BC244">
        <v>6.44</v>
      </c>
      <c r="BD244">
        <v>6.41</v>
      </c>
      <c r="BE244">
        <v>6.38</v>
      </c>
      <c r="BF244">
        <v>6.67</v>
      </c>
      <c r="BG244">
        <v>6.78</v>
      </c>
      <c r="BH244">
        <v>6.77</v>
      </c>
      <c r="BI244">
        <v>6.75</v>
      </c>
      <c r="BJ244">
        <v>6.75</v>
      </c>
      <c r="BK244">
        <v>6.76</v>
      </c>
      <c r="BL244">
        <v>6.75</v>
      </c>
    </row>
    <row r="245" spans="1:64">
      <c r="A245" s="1" t="s">
        <v>293</v>
      </c>
      <c r="B245" s="1">
        <v>0.42</v>
      </c>
      <c r="C245" s="1">
        <v>0.42</v>
      </c>
      <c r="D245" s="1">
        <v>0.42</v>
      </c>
      <c r="E245" s="1">
        <v>0.42</v>
      </c>
      <c r="F245" s="1">
        <v>0.45</v>
      </c>
      <c r="G245" s="1">
        <v>0.52</v>
      </c>
      <c r="H245" s="1">
        <v>0.52</v>
      </c>
      <c r="I245" s="1">
        <v>0.52</v>
      </c>
      <c r="J245" s="1">
        <v>0.52</v>
      </c>
      <c r="K245" s="1">
        <v>0.52</v>
      </c>
      <c r="L245" s="1">
        <v>0.52</v>
      </c>
      <c r="M245" s="1">
        <v>0.52</v>
      </c>
      <c r="N245" s="1">
        <v>0.48</v>
      </c>
      <c r="O245" s="1">
        <v>0.42</v>
      </c>
      <c r="P245" s="1">
        <v>0.44</v>
      </c>
      <c r="Q245" s="1">
        <v>0.4</v>
      </c>
      <c r="R245" s="1">
        <v>0.43</v>
      </c>
      <c r="S245" s="1">
        <v>0.43</v>
      </c>
      <c r="T245" s="1">
        <v>0.42</v>
      </c>
      <c r="U245" s="1">
        <v>0.41</v>
      </c>
      <c r="V245" s="1">
        <v>0.4</v>
      </c>
      <c r="W245" s="1">
        <v>0.49</v>
      </c>
      <c r="X245" s="1">
        <v>0.59</v>
      </c>
      <c r="Y245" s="1">
        <v>0.68</v>
      </c>
      <c r="Z245" s="1">
        <v>0.78</v>
      </c>
      <c r="AA245">
        <v>0.83</v>
      </c>
      <c r="AB245">
        <v>0.79</v>
      </c>
      <c r="AC245">
        <v>0.83</v>
      </c>
      <c r="AD245">
        <v>0.86</v>
      </c>
      <c r="AE245">
        <v>0.95</v>
      </c>
      <c r="AF245">
        <v>0.88</v>
      </c>
      <c r="AG245">
        <v>0.92</v>
      </c>
      <c r="AH245">
        <v>0.88</v>
      </c>
      <c r="AI245">
        <v>1</v>
      </c>
      <c r="AJ245">
        <v>1.01</v>
      </c>
      <c r="AK245">
        <v>0.95</v>
      </c>
      <c r="AL245">
        <v>0.97</v>
      </c>
      <c r="AM245">
        <v>1.1100000000000001</v>
      </c>
      <c r="AN245">
        <v>1.1399999999999999</v>
      </c>
      <c r="AO245">
        <v>1.19</v>
      </c>
      <c r="AP245">
        <v>1.37</v>
      </c>
      <c r="AQ245">
        <v>1.44</v>
      </c>
      <c r="AR245">
        <v>1.42</v>
      </c>
      <c r="AS245">
        <v>1.29</v>
      </c>
      <c r="AT245">
        <v>1.25</v>
      </c>
      <c r="AU245">
        <v>1.3</v>
      </c>
      <c r="AV245">
        <v>1.33</v>
      </c>
      <c r="AW245">
        <v>1.28</v>
      </c>
      <c r="AX245">
        <v>1.23</v>
      </c>
      <c r="AY245">
        <v>1.35</v>
      </c>
      <c r="AZ245">
        <v>1.43</v>
      </c>
      <c r="BA245">
        <v>1.41</v>
      </c>
      <c r="BB245">
        <v>1.56</v>
      </c>
      <c r="BC245">
        <v>1.62</v>
      </c>
      <c r="BD245">
        <v>1.7</v>
      </c>
      <c r="BE245">
        <v>1.96</v>
      </c>
      <c r="BF245">
        <v>2.15</v>
      </c>
      <c r="BG245">
        <v>2.42</v>
      </c>
      <c r="BH245">
        <v>2.65</v>
      </c>
      <c r="BI245">
        <v>2.93</v>
      </c>
      <c r="BJ245">
        <v>2.81</v>
      </c>
      <c r="BK245">
        <v>2.79</v>
      </c>
      <c r="BL245">
        <v>3.1</v>
      </c>
    </row>
    <row r="246" spans="1:64">
      <c r="A246" s="1" t="s">
        <v>1365</v>
      </c>
      <c r="B246" s="1">
        <v>0</v>
      </c>
      <c r="C246" s="1">
        <v>0</v>
      </c>
      <c r="D246" s="1">
        <v>0</v>
      </c>
      <c r="E246" s="1">
        <v>0</v>
      </c>
      <c r="F246" s="1">
        <v>0</v>
      </c>
      <c r="G246" s="1">
        <v>0</v>
      </c>
      <c r="H246" s="1">
        <v>0</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v>0</v>
      </c>
      <c r="AB246">
        <v>0</v>
      </c>
      <c r="AC246">
        <v>0</v>
      </c>
      <c r="AD246">
        <v>0</v>
      </c>
      <c r="AE246">
        <v>0</v>
      </c>
      <c r="AF246">
        <v>0</v>
      </c>
      <c r="AG246">
        <v>0</v>
      </c>
      <c r="AH246">
        <v>0.01</v>
      </c>
      <c r="AI246">
        <v>0.01</v>
      </c>
      <c r="AJ246">
        <v>0.03</v>
      </c>
      <c r="AK246">
        <v>0.05</v>
      </c>
      <c r="AL246">
        <v>0.08</v>
      </c>
      <c r="AM246">
        <v>0.15</v>
      </c>
      <c r="AN246">
        <v>0.26</v>
      </c>
      <c r="AO246">
        <v>0.42</v>
      </c>
      <c r="AP246">
        <v>0.63</v>
      </c>
      <c r="AQ246">
        <v>1.23</v>
      </c>
      <c r="AR246">
        <v>1.51</v>
      </c>
      <c r="AS246">
        <v>1.5</v>
      </c>
      <c r="AT246">
        <v>1.43</v>
      </c>
      <c r="AU246">
        <v>1.34</v>
      </c>
      <c r="AV246">
        <v>1.43</v>
      </c>
      <c r="AW246">
        <v>1.3</v>
      </c>
      <c r="AX246">
        <v>1.3</v>
      </c>
      <c r="AY246">
        <v>1.55</v>
      </c>
      <c r="AZ246">
        <v>1.5</v>
      </c>
      <c r="BA246">
        <v>1.67</v>
      </c>
      <c r="BB246">
        <v>1.8</v>
      </c>
      <c r="BC246">
        <v>1.9</v>
      </c>
      <c r="BD246">
        <v>2.19</v>
      </c>
      <c r="BE246">
        <v>2.72</v>
      </c>
      <c r="BF246">
        <v>3.02</v>
      </c>
      <c r="BG246">
        <v>3.65</v>
      </c>
      <c r="BH246">
        <v>4.83</v>
      </c>
      <c r="BI246">
        <v>5.67</v>
      </c>
      <c r="BJ246">
        <v>7.01</v>
      </c>
      <c r="BK246">
        <v>8.85</v>
      </c>
    </row>
    <row r="247" spans="1:64">
      <c r="A247" s="1" t="s">
        <v>1347</v>
      </c>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P247">
        <v>1.72</v>
      </c>
      <c r="AQ247">
        <v>1.93</v>
      </c>
      <c r="AR247">
        <v>1.84</v>
      </c>
      <c r="AS247">
        <v>1.54</v>
      </c>
      <c r="AT247">
        <v>1.36</v>
      </c>
      <c r="AU247">
        <v>1.31</v>
      </c>
      <c r="AV247">
        <v>1.33</v>
      </c>
      <c r="AW247">
        <v>1.2</v>
      </c>
      <c r="AX247">
        <v>1.19</v>
      </c>
      <c r="AY247">
        <v>1.28</v>
      </c>
      <c r="AZ247">
        <v>1.0900000000000001</v>
      </c>
      <c r="BA247">
        <v>0.97</v>
      </c>
      <c r="BB247">
        <v>0.97</v>
      </c>
      <c r="BC247">
        <v>1.04</v>
      </c>
      <c r="BD247">
        <v>1.1100000000000001</v>
      </c>
      <c r="BE247">
        <v>1.33</v>
      </c>
      <c r="BF247">
        <v>1.35</v>
      </c>
      <c r="BG247">
        <v>1.3</v>
      </c>
      <c r="BH247">
        <v>1.34</v>
      </c>
      <c r="BI247">
        <v>1.44</v>
      </c>
      <c r="BJ247">
        <v>1.45</v>
      </c>
      <c r="BK247">
        <v>1.33</v>
      </c>
      <c r="BL247">
        <v>1.44</v>
      </c>
    </row>
    <row r="248" spans="1:64">
      <c r="A248" s="1" t="s">
        <v>1348</v>
      </c>
      <c r="B248" s="1">
        <v>7.14</v>
      </c>
      <c r="C248" s="1">
        <v>7.14</v>
      </c>
      <c r="D248" s="1">
        <v>7.14</v>
      </c>
      <c r="E248" s="1">
        <v>7.14</v>
      </c>
      <c r="F248" s="1">
        <v>7.14</v>
      </c>
      <c r="G248" s="1">
        <v>7.14</v>
      </c>
      <c r="H248" s="1">
        <v>7.14</v>
      </c>
      <c r="I248" s="1">
        <v>7.14</v>
      </c>
      <c r="J248" s="1">
        <v>7.14</v>
      </c>
      <c r="K248" s="1">
        <v>7.14</v>
      </c>
      <c r="L248" s="1">
        <v>7.14</v>
      </c>
      <c r="M248" s="1">
        <v>7.14</v>
      </c>
      <c r="N248" s="1">
        <v>7.14</v>
      </c>
      <c r="O248" s="1">
        <v>7.02</v>
      </c>
      <c r="P248" s="1">
        <v>7.13</v>
      </c>
      <c r="Q248" s="1">
        <v>7.37</v>
      </c>
      <c r="R248" s="1">
        <v>8.3800000000000008</v>
      </c>
      <c r="S248" s="1">
        <v>8.2899999999999991</v>
      </c>
      <c r="T248" s="1">
        <v>7.71</v>
      </c>
      <c r="U248" s="1">
        <v>8.2200000000000006</v>
      </c>
      <c r="V248" s="1">
        <v>8.1999999999999993</v>
      </c>
      <c r="W248" s="1">
        <v>8.2799999999999994</v>
      </c>
      <c r="X248" s="1">
        <v>9.2799999999999994</v>
      </c>
      <c r="Y248" s="1">
        <v>11.14</v>
      </c>
      <c r="Z248" s="1">
        <v>15.29</v>
      </c>
      <c r="AA248">
        <v>17.47</v>
      </c>
      <c r="AB248">
        <v>32.700000000000003</v>
      </c>
      <c r="AC248">
        <v>64.260000000000005</v>
      </c>
      <c r="AD248">
        <v>99.29</v>
      </c>
      <c r="AE248">
        <v>143.38</v>
      </c>
      <c r="AF248">
        <v>195.06</v>
      </c>
      <c r="AG248">
        <v>219.16</v>
      </c>
      <c r="AH248">
        <v>297.70999999999998</v>
      </c>
      <c r="AI248">
        <v>405.27</v>
      </c>
      <c r="AJ248">
        <v>509.63</v>
      </c>
      <c r="AK248">
        <v>574.76</v>
      </c>
      <c r="AL248">
        <v>579.98</v>
      </c>
      <c r="AM248">
        <v>612.12</v>
      </c>
      <c r="AN248">
        <v>664.67</v>
      </c>
      <c r="AO248">
        <v>744.76</v>
      </c>
      <c r="AP248">
        <v>800.41</v>
      </c>
      <c r="AQ248">
        <v>876.41</v>
      </c>
      <c r="AR248">
        <v>966.58</v>
      </c>
      <c r="AS248">
        <v>1038.42</v>
      </c>
      <c r="AT248">
        <v>1089.33</v>
      </c>
      <c r="AU248">
        <v>1128.93</v>
      </c>
      <c r="AV248">
        <v>1251.9000000000001</v>
      </c>
      <c r="AW248">
        <v>1245.04</v>
      </c>
      <c r="AX248">
        <v>1196.31</v>
      </c>
      <c r="AY248">
        <v>1320.31</v>
      </c>
      <c r="AZ248">
        <v>1395.63</v>
      </c>
      <c r="BA248">
        <v>1557.43</v>
      </c>
      <c r="BB248">
        <v>1571.7</v>
      </c>
      <c r="BC248">
        <v>1597.56</v>
      </c>
      <c r="BD248">
        <v>1653.23</v>
      </c>
      <c r="BE248">
        <v>1991.39</v>
      </c>
      <c r="BF248">
        <v>2177.09</v>
      </c>
      <c r="BG248">
        <v>2228.86</v>
      </c>
      <c r="BH248">
        <v>2263.7800000000002</v>
      </c>
      <c r="BI248">
        <v>2288.21</v>
      </c>
      <c r="BJ248">
        <v>2294.15</v>
      </c>
      <c r="BK248">
        <v>2297.7600000000002</v>
      </c>
    </row>
    <row r="249" spans="1:64">
      <c r="A249" s="1" t="s">
        <v>1349</v>
      </c>
      <c r="B249" s="1">
        <v>7.0000000000000007E-2</v>
      </c>
      <c r="C249" s="1">
        <v>7.0000000000000007E-2</v>
      </c>
      <c r="D249" s="1">
        <v>7.0000000000000007E-2</v>
      </c>
      <c r="E249" s="1">
        <v>7.0000000000000007E-2</v>
      </c>
      <c r="F249" s="1">
        <v>7.0000000000000007E-2</v>
      </c>
      <c r="G249" s="1">
        <v>7.0000000000000007E-2</v>
      </c>
      <c r="H249" s="1">
        <v>7.0000000000000007E-2</v>
      </c>
      <c r="I249" s="1">
        <v>7.0000000000000007E-2</v>
      </c>
      <c r="J249" s="1">
        <v>7.0000000000000007E-2</v>
      </c>
      <c r="K249" s="1">
        <v>7.0000000000000007E-2</v>
      </c>
      <c r="L249" s="1">
        <v>7.0000000000000007E-2</v>
      </c>
      <c r="M249" s="1">
        <v>7.0000000000000007E-2</v>
      </c>
      <c r="N249" s="1">
        <v>7.0000000000000007E-2</v>
      </c>
      <c r="O249" s="1">
        <v>7.0000000000000007E-2</v>
      </c>
      <c r="P249" s="1">
        <v>7.0000000000000007E-2</v>
      </c>
      <c r="Q249" s="1">
        <v>7.0000000000000007E-2</v>
      </c>
      <c r="R249" s="1">
        <v>0.08</v>
      </c>
      <c r="S249" s="1">
        <v>0.08</v>
      </c>
      <c r="T249" s="1">
        <v>0.08</v>
      </c>
      <c r="U249" s="1">
        <v>7.0000000000000007E-2</v>
      </c>
      <c r="V249" s="1">
        <v>7.0000000000000007E-2</v>
      </c>
      <c r="W249" s="1">
        <v>0.5</v>
      </c>
      <c r="X249" s="1">
        <v>0.94</v>
      </c>
      <c r="Y249" s="1">
        <v>1.54</v>
      </c>
      <c r="Z249" s="1">
        <v>3.6</v>
      </c>
      <c r="AA249">
        <v>6.72</v>
      </c>
      <c r="AB249">
        <v>14</v>
      </c>
      <c r="AC249">
        <v>42.84</v>
      </c>
      <c r="AD249">
        <v>106.14</v>
      </c>
      <c r="AE249">
        <v>223.09</v>
      </c>
      <c r="AF249">
        <v>428.85</v>
      </c>
      <c r="AG249">
        <v>734.01</v>
      </c>
      <c r="AH249">
        <v>1133.83</v>
      </c>
      <c r="AI249">
        <v>1195.02</v>
      </c>
      <c r="AJ249">
        <v>979.45</v>
      </c>
      <c r="AK249">
        <v>968.92</v>
      </c>
      <c r="AL249">
        <v>1046.08</v>
      </c>
      <c r="AM249">
        <v>1083.01</v>
      </c>
      <c r="AN249">
        <v>1240.31</v>
      </c>
      <c r="AO249">
        <v>1454.83</v>
      </c>
      <c r="AP249">
        <v>1644.48</v>
      </c>
      <c r="AQ249">
        <v>1755.66</v>
      </c>
      <c r="AR249">
        <v>1797.55</v>
      </c>
      <c r="AS249">
        <v>1963.72</v>
      </c>
      <c r="AT249">
        <v>1810.3</v>
      </c>
      <c r="AU249">
        <v>1780.54</v>
      </c>
      <c r="AV249">
        <v>1831.45</v>
      </c>
      <c r="AW249">
        <v>1723.49</v>
      </c>
      <c r="AX249">
        <v>1720.44</v>
      </c>
      <c r="AY249">
        <v>2030.49</v>
      </c>
      <c r="AZ249">
        <v>2177.56</v>
      </c>
      <c r="BA249">
        <v>2522.8000000000002</v>
      </c>
      <c r="BB249">
        <v>2504.56</v>
      </c>
      <c r="BC249">
        <v>2586.89</v>
      </c>
      <c r="BD249">
        <v>2599.79</v>
      </c>
      <c r="BE249">
        <v>3240.65</v>
      </c>
      <c r="BF249">
        <v>3420.1</v>
      </c>
      <c r="BG249">
        <v>3611.22</v>
      </c>
      <c r="BH249">
        <v>3727.07</v>
      </c>
      <c r="BI249">
        <v>3704.05</v>
      </c>
      <c r="BJ249">
        <v>3718.25</v>
      </c>
      <c r="BK249">
        <v>3587.05</v>
      </c>
      <c r="BL249">
        <v>3689.82</v>
      </c>
    </row>
    <row r="250" spans="1:64">
      <c r="A250" s="1" t="s">
        <v>1350</v>
      </c>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I250">
        <v>0.05</v>
      </c>
      <c r="AJ250">
        <v>0.33</v>
      </c>
      <c r="AK250">
        <v>1.47</v>
      </c>
      <c r="AL250">
        <v>1.83</v>
      </c>
      <c r="AM250">
        <v>1.86</v>
      </c>
      <c r="AN250">
        <v>2.4500000000000002</v>
      </c>
      <c r="AO250">
        <v>4.13</v>
      </c>
      <c r="AP250">
        <v>5.44</v>
      </c>
      <c r="AQ250">
        <v>5.37</v>
      </c>
      <c r="AR250">
        <v>5.33</v>
      </c>
      <c r="AS250">
        <v>5.33</v>
      </c>
      <c r="AT250">
        <v>5.32</v>
      </c>
      <c r="AU250">
        <v>5.12</v>
      </c>
      <c r="AV250">
        <v>5.05</v>
      </c>
      <c r="AW250">
        <v>5.05</v>
      </c>
      <c r="AX250">
        <v>5.27</v>
      </c>
      <c r="AY250">
        <v>7.79</v>
      </c>
      <c r="AZ250">
        <v>7.94</v>
      </c>
      <c r="BA250">
        <v>7.97</v>
      </c>
      <c r="BB250">
        <v>7.99</v>
      </c>
      <c r="BC250">
        <v>7.99</v>
      </c>
      <c r="BD250">
        <v>11.89</v>
      </c>
      <c r="BE250">
        <v>21.84</v>
      </c>
      <c r="BF250">
        <v>25.55</v>
      </c>
      <c r="BG250">
        <v>26.6</v>
      </c>
      <c r="BH250">
        <v>27.2</v>
      </c>
      <c r="BI250">
        <v>25.85</v>
      </c>
      <c r="BJ250">
        <v>26.96</v>
      </c>
      <c r="BK250">
        <v>27.29</v>
      </c>
      <c r="BL250">
        <v>32.340000000000003</v>
      </c>
    </row>
    <row r="251" spans="1:64">
      <c r="A251" s="1" t="s">
        <v>1351</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64">
      <c r="A252" s="1" t="s">
        <v>212</v>
      </c>
      <c r="B252" s="1">
        <v>0</v>
      </c>
      <c r="C252" s="1">
        <v>0</v>
      </c>
      <c r="D252" s="1">
        <v>0</v>
      </c>
      <c r="E252" s="1">
        <v>0</v>
      </c>
      <c r="F252" s="1">
        <v>0</v>
      </c>
      <c r="G252" s="1">
        <v>0</v>
      </c>
      <c r="H252" s="1">
        <v>0</v>
      </c>
      <c r="I252" s="1">
        <v>0</v>
      </c>
      <c r="J252" s="1">
        <v>0</v>
      </c>
      <c r="K252" s="1">
        <v>0</v>
      </c>
      <c r="L252" s="1">
        <v>0</v>
      </c>
      <c r="M252" s="1">
        <v>0</v>
      </c>
      <c r="N252" s="1">
        <v>0</v>
      </c>
      <c r="O252" s="1">
        <v>0</v>
      </c>
      <c r="P252" s="1">
        <v>0</v>
      </c>
      <c r="Q252" s="1">
        <v>0</v>
      </c>
      <c r="R252" s="1">
        <v>0</v>
      </c>
      <c r="S252" s="1">
        <v>0</v>
      </c>
      <c r="T252" s="1">
        <v>0.01</v>
      </c>
      <c r="U252" s="1">
        <v>0.01</v>
      </c>
      <c r="V252" s="1">
        <v>0.01</v>
      </c>
      <c r="W252" s="1">
        <v>0.01</v>
      </c>
      <c r="X252" s="1">
        <v>0.01</v>
      </c>
      <c r="Y252" s="1">
        <v>0.03</v>
      </c>
      <c r="Z252" s="1">
        <v>0.06</v>
      </c>
      <c r="AA252">
        <v>0.1</v>
      </c>
      <c r="AB252">
        <v>0.15</v>
      </c>
      <c r="AC252">
        <v>0.23</v>
      </c>
      <c r="AD252">
        <v>0.36</v>
      </c>
      <c r="AE252">
        <v>0.62</v>
      </c>
      <c r="AF252">
        <v>1.17</v>
      </c>
      <c r="AG252">
        <v>2.02</v>
      </c>
      <c r="AH252">
        <v>3.02</v>
      </c>
      <c r="AI252">
        <v>3.94</v>
      </c>
      <c r="AJ252">
        <v>5.04</v>
      </c>
      <c r="AK252">
        <v>6.35</v>
      </c>
      <c r="AL252">
        <v>7.97</v>
      </c>
      <c r="AM252">
        <v>9.44</v>
      </c>
      <c r="AN252">
        <v>10.47</v>
      </c>
      <c r="AO252">
        <v>11.34</v>
      </c>
      <c r="AP252">
        <v>12.1</v>
      </c>
      <c r="AQ252">
        <v>13.32</v>
      </c>
      <c r="AR252">
        <v>21.26</v>
      </c>
      <c r="AS252">
        <v>28.21</v>
      </c>
      <c r="AT252">
        <v>28.7</v>
      </c>
      <c r="AU252">
        <v>24.48</v>
      </c>
      <c r="AV252">
        <v>24.07</v>
      </c>
      <c r="AW252">
        <v>23.47</v>
      </c>
      <c r="AX252">
        <v>20.95</v>
      </c>
      <c r="AY252">
        <v>22.57</v>
      </c>
      <c r="AZ252">
        <v>20.059999999999999</v>
      </c>
      <c r="BA252">
        <v>19.309999999999999</v>
      </c>
      <c r="BB252">
        <v>20.309999999999999</v>
      </c>
      <c r="BC252">
        <v>20.48</v>
      </c>
      <c r="BD252">
        <v>23.25</v>
      </c>
      <c r="BE252">
        <v>27.33</v>
      </c>
      <c r="BF252">
        <v>30.16</v>
      </c>
      <c r="BG252">
        <v>28.68</v>
      </c>
      <c r="BH252">
        <v>30.73</v>
      </c>
      <c r="BI252">
        <v>35.26</v>
      </c>
      <c r="BJ252">
        <v>42.01</v>
      </c>
      <c r="BK252">
        <v>43.55</v>
      </c>
      <c r="BL252">
        <v>41.17</v>
      </c>
    </row>
    <row r="253" spans="1:64">
      <c r="A253" s="1" t="s">
        <v>151</v>
      </c>
      <c r="B253" s="1">
        <v>1</v>
      </c>
      <c r="C253" s="1">
        <v>1</v>
      </c>
      <c r="D253" s="1">
        <v>1</v>
      </c>
      <c r="E253" s="1">
        <v>1</v>
      </c>
      <c r="F253" s="1">
        <v>1</v>
      </c>
      <c r="G253" s="1">
        <v>1</v>
      </c>
      <c r="H253" s="1">
        <v>1</v>
      </c>
      <c r="I253" s="1">
        <v>1</v>
      </c>
      <c r="J253" s="1">
        <v>1</v>
      </c>
      <c r="K253" s="1">
        <v>1</v>
      </c>
      <c r="L253" s="1">
        <v>1</v>
      </c>
      <c r="M253" s="1">
        <v>1</v>
      </c>
      <c r="N253" s="1">
        <v>1</v>
      </c>
      <c r="O253" s="1">
        <v>1</v>
      </c>
      <c r="P253" s="1">
        <v>1</v>
      </c>
      <c r="Q253" s="1">
        <v>1</v>
      </c>
      <c r="R253" s="1">
        <v>1</v>
      </c>
      <c r="S253" s="1">
        <v>1</v>
      </c>
      <c r="T253" s="1">
        <v>1</v>
      </c>
      <c r="U253" s="1">
        <v>1</v>
      </c>
      <c r="V253" s="1">
        <v>1</v>
      </c>
      <c r="W253" s="1">
        <v>1</v>
      </c>
      <c r="X253" s="1">
        <v>1</v>
      </c>
      <c r="Y253" s="1">
        <v>1</v>
      </c>
      <c r="Z253" s="1">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row>
    <row r="254" spans="1:64">
      <c r="A254" s="1" t="s">
        <v>1352</v>
      </c>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K254">
        <v>29.78</v>
      </c>
      <c r="AL254">
        <v>40.07</v>
      </c>
      <c r="AM254">
        <v>62.92</v>
      </c>
      <c r="AN254">
        <v>94.49</v>
      </c>
      <c r="AO254">
        <v>124.63</v>
      </c>
      <c r="AP254">
        <v>236.61</v>
      </c>
      <c r="BC254">
        <v>2094.9899999999998</v>
      </c>
      <c r="BD254">
        <v>2310.9499999999998</v>
      </c>
      <c r="BE254">
        <v>2567.9899999999998</v>
      </c>
      <c r="BF254">
        <v>2965.25</v>
      </c>
      <c r="BG254">
        <v>5113.88</v>
      </c>
      <c r="BH254">
        <v>8069.61</v>
      </c>
      <c r="BI254">
        <v>8836.7900000000009</v>
      </c>
      <c r="BJ254">
        <v>10054.26</v>
      </c>
      <c r="BK254">
        <v>10609.46</v>
      </c>
      <c r="BL254">
        <v>11050.15</v>
      </c>
    </row>
    <row r="255" spans="1:64">
      <c r="A255" s="1" t="s">
        <v>1353</v>
      </c>
      <c r="B255" s="1">
        <v>1.71</v>
      </c>
      <c r="C255" s="1">
        <v>1.71</v>
      </c>
      <c r="D255" s="1">
        <v>1.71</v>
      </c>
      <c r="E255" s="1">
        <v>1.71</v>
      </c>
      <c r="F255" s="1">
        <v>1.71</v>
      </c>
      <c r="G255" s="1">
        <v>1.71</v>
      </c>
      <c r="H255" s="1">
        <v>1.71</v>
      </c>
      <c r="I255" s="1">
        <v>1.76</v>
      </c>
      <c r="J255" s="1">
        <v>2</v>
      </c>
      <c r="K255" s="1">
        <v>2</v>
      </c>
      <c r="L255" s="1">
        <v>2</v>
      </c>
      <c r="M255" s="1">
        <v>1.97</v>
      </c>
      <c r="N255" s="1">
        <v>1.92</v>
      </c>
      <c r="O255" s="1">
        <v>1.96</v>
      </c>
      <c r="P255" s="1">
        <v>2.0499999999999998</v>
      </c>
      <c r="Q255" s="1">
        <v>2.17</v>
      </c>
      <c r="R255" s="1">
        <v>2.61</v>
      </c>
      <c r="S255" s="1">
        <v>2.7</v>
      </c>
      <c r="T255" s="1">
        <v>2.7</v>
      </c>
      <c r="U255" s="1">
        <v>2.7</v>
      </c>
      <c r="V255" s="1">
        <v>2.7</v>
      </c>
      <c r="W255" s="1">
        <v>2.7</v>
      </c>
      <c r="X255" s="1">
        <v>2.7</v>
      </c>
      <c r="Y255" s="1">
        <v>2.7</v>
      </c>
      <c r="Z255" s="1">
        <v>2.7</v>
      </c>
      <c r="AA255">
        <v>2.7</v>
      </c>
      <c r="AB255">
        <v>2.7</v>
      </c>
      <c r="AC255">
        <v>2.7</v>
      </c>
      <c r="AD255">
        <v>2.7</v>
      </c>
      <c r="AE255">
        <v>2.7</v>
      </c>
      <c r="AF255">
        <v>2.7</v>
      </c>
      <c r="AG255">
        <v>2.7</v>
      </c>
      <c r="AH255">
        <v>2.7</v>
      </c>
      <c r="AI255">
        <v>2.7</v>
      </c>
      <c r="AJ255">
        <v>2.7</v>
      </c>
      <c r="AK255">
        <v>2.7</v>
      </c>
      <c r="AL255">
        <v>2.7</v>
      </c>
      <c r="AM255">
        <v>2.7</v>
      </c>
      <c r="AN255">
        <v>2.7</v>
      </c>
      <c r="AO255">
        <v>2.7</v>
      </c>
      <c r="AP255">
        <v>2.7</v>
      </c>
      <c r="AQ255">
        <v>2.7</v>
      </c>
      <c r="AR255">
        <v>2.7</v>
      </c>
      <c r="AS255">
        <v>2.7</v>
      </c>
      <c r="AT255">
        <v>2.7</v>
      </c>
      <c r="AU255">
        <v>2.7</v>
      </c>
      <c r="AV255">
        <v>2.7</v>
      </c>
      <c r="AW255">
        <v>2.7</v>
      </c>
      <c r="AX255">
        <v>2.7</v>
      </c>
      <c r="AY255">
        <v>2.7</v>
      </c>
      <c r="AZ255">
        <v>2.7</v>
      </c>
      <c r="BA255">
        <v>2.7</v>
      </c>
      <c r="BB255">
        <v>2.7</v>
      </c>
      <c r="BC255">
        <v>2.7</v>
      </c>
      <c r="BD255">
        <v>2.7</v>
      </c>
      <c r="BE255">
        <v>2.7</v>
      </c>
      <c r="BF255">
        <v>2.7</v>
      </c>
      <c r="BG255">
        <v>2.7</v>
      </c>
      <c r="BH255">
        <v>2.7</v>
      </c>
      <c r="BI255">
        <v>2.7</v>
      </c>
      <c r="BJ255">
        <v>2.7</v>
      </c>
      <c r="BK255">
        <v>2.7</v>
      </c>
      <c r="BL255">
        <v>2.7</v>
      </c>
    </row>
    <row r="256" spans="1:64">
      <c r="A256" s="1" t="s">
        <v>1354</v>
      </c>
      <c r="B256" s="1">
        <v>0</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0.01</v>
      </c>
      <c r="AA256">
        <v>0.01</v>
      </c>
      <c r="AB256">
        <v>0.01</v>
      </c>
      <c r="AC256">
        <v>0.01</v>
      </c>
      <c r="AD256">
        <v>0.01</v>
      </c>
      <c r="AE256">
        <v>0.03</v>
      </c>
      <c r="AF256">
        <v>0.05</v>
      </c>
      <c r="AG256">
        <v>0.06</v>
      </c>
      <c r="AH256">
        <v>7.0000000000000007E-2</v>
      </c>
      <c r="AI256">
        <v>0.09</v>
      </c>
      <c r="AJ256">
        <v>0.15</v>
      </c>
      <c r="AK256">
        <v>0.18</v>
      </c>
      <c r="AL256">
        <v>0.42</v>
      </c>
      <c r="AM256">
        <v>0.49</v>
      </c>
      <c r="AN256">
        <v>0.55000000000000004</v>
      </c>
      <c r="AO256">
        <v>0.61</v>
      </c>
      <c r="AP256">
        <v>0.68</v>
      </c>
      <c r="AQ256">
        <v>0.72</v>
      </c>
      <c r="AR256">
        <v>1.1599999999999999</v>
      </c>
      <c r="AS256">
        <v>1.61</v>
      </c>
      <c r="AT256">
        <v>1.89</v>
      </c>
      <c r="AU256">
        <v>2.09</v>
      </c>
      <c r="AV256">
        <v>2.15</v>
      </c>
      <c r="AW256">
        <v>2.15</v>
      </c>
      <c r="AX256">
        <v>2.15</v>
      </c>
      <c r="AY256">
        <v>2.15</v>
      </c>
      <c r="AZ256">
        <v>2.58</v>
      </c>
      <c r="BA256">
        <v>4.29</v>
      </c>
      <c r="BB256">
        <v>4.29</v>
      </c>
      <c r="BC256">
        <v>6.05</v>
      </c>
      <c r="BD256">
        <v>6.28</v>
      </c>
      <c r="BE256">
        <v>6.28</v>
      </c>
      <c r="BF256">
        <v>9.26</v>
      </c>
      <c r="BG256">
        <v>9.98</v>
      </c>
    </row>
    <row r="257" spans="1:64">
      <c r="A257" s="1" t="s">
        <v>1355</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64">
      <c r="A258" s="1" t="s">
        <v>1356</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R258">
        <v>1</v>
      </c>
      <c r="AS258">
        <v>1</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row>
    <row r="259" spans="1:64">
      <c r="A259" s="1" t="s">
        <v>1366</v>
      </c>
      <c r="B259" s="1"/>
      <c r="C259" s="1"/>
      <c r="D259" s="1"/>
      <c r="E259" s="1"/>
      <c r="F259" s="1"/>
      <c r="G259" s="1"/>
      <c r="H259" s="1"/>
      <c r="I259" s="1"/>
      <c r="J259" s="1"/>
      <c r="K259" s="1"/>
      <c r="L259" s="1"/>
      <c r="M259" s="1"/>
      <c r="N259" s="1"/>
      <c r="O259" s="1"/>
      <c r="P259" s="1"/>
      <c r="Q259" s="1"/>
      <c r="R259" s="1"/>
      <c r="S259" s="1"/>
      <c r="T259" s="1"/>
      <c r="U259" s="1"/>
      <c r="V259" s="1"/>
      <c r="W259" s="1"/>
      <c r="X259" s="1"/>
      <c r="Y259" s="1">
        <v>1</v>
      </c>
      <c r="Z259" s="1"/>
      <c r="AB259">
        <v>22.94</v>
      </c>
      <c r="AC259">
        <v>78.95</v>
      </c>
      <c r="AD259">
        <v>611.65</v>
      </c>
      <c r="AE259">
        <v>4501.6899999999996</v>
      </c>
      <c r="AF259">
        <v>6537.6</v>
      </c>
      <c r="AG259">
        <v>10121.89</v>
      </c>
      <c r="AH259">
        <v>11202.19</v>
      </c>
      <c r="AI259">
        <v>10640.96</v>
      </c>
      <c r="AJ259">
        <v>10965.67</v>
      </c>
      <c r="AK259">
        <v>11038.25</v>
      </c>
      <c r="AL259">
        <v>11032.58</v>
      </c>
      <c r="AM259">
        <v>11683.33</v>
      </c>
      <c r="AN259">
        <v>13268</v>
      </c>
      <c r="AO259">
        <v>13943.17</v>
      </c>
      <c r="AP259">
        <v>14167.75</v>
      </c>
      <c r="AQ259">
        <v>14725.17</v>
      </c>
      <c r="AR259">
        <v>15279.5</v>
      </c>
      <c r="AS259">
        <v>15509.58</v>
      </c>
      <c r="AT259">
        <v>15746</v>
      </c>
      <c r="AU259">
        <v>15858.92</v>
      </c>
      <c r="AV259">
        <v>15994.25</v>
      </c>
      <c r="AW259">
        <v>16105.13</v>
      </c>
      <c r="AX259">
        <v>16302.25</v>
      </c>
      <c r="AY259">
        <v>17065.080000000002</v>
      </c>
      <c r="AZ259">
        <v>18612.919999999998</v>
      </c>
      <c r="BA259">
        <v>20509.75</v>
      </c>
      <c r="BB259">
        <v>20828</v>
      </c>
      <c r="BC259">
        <v>20933.419999999998</v>
      </c>
      <c r="BD259">
        <v>21148</v>
      </c>
      <c r="BE259">
        <v>21697.57</v>
      </c>
      <c r="BF259">
        <v>21935</v>
      </c>
      <c r="BG259">
        <v>22370.09</v>
      </c>
      <c r="BH259">
        <v>22602.05</v>
      </c>
      <c r="BI259">
        <v>23050.240000000002</v>
      </c>
      <c r="BJ259">
        <v>23208.37</v>
      </c>
      <c r="BK259">
        <v>23159.78</v>
      </c>
      <c r="BL259">
        <v>23271.21</v>
      </c>
    </row>
    <row r="260" spans="1:64">
      <c r="A260" s="1" t="s">
        <v>1358</v>
      </c>
      <c r="B260" s="1">
        <v>89.77</v>
      </c>
      <c r="C260" s="1">
        <v>89.77</v>
      </c>
      <c r="D260" s="1">
        <v>89.77</v>
      </c>
      <c r="E260" s="1">
        <v>89.77</v>
      </c>
      <c r="F260" s="1">
        <v>89.77</v>
      </c>
      <c r="G260" s="1">
        <v>89.77</v>
      </c>
      <c r="H260" s="1">
        <v>89.77</v>
      </c>
      <c r="I260" s="1">
        <v>89.77</v>
      </c>
      <c r="J260" s="1">
        <v>89.77</v>
      </c>
      <c r="K260" s="1">
        <v>94.44</v>
      </c>
      <c r="L260" s="1">
        <v>100.99</v>
      </c>
      <c r="M260" s="1">
        <v>100.69</v>
      </c>
      <c r="N260" s="1">
        <v>81.61</v>
      </c>
      <c r="O260" s="1">
        <v>72.040000000000006</v>
      </c>
      <c r="P260" s="1">
        <v>77.8</v>
      </c>
      <c r="Q260" s="1">
        <v>69.27</v>
      </c>
      <c r="R260" s="1">
        <v>77.239999999999995</v>
      </c>
      <c r="S260" s="1">
        <v>79.41</v>
      </c>
      <c r="T260" s="1">
        <v>72.94</v>
      </c>
      <c r="U260" s="1">
        <v>68.760000000000005</v>
      </c>
      <c r="V260" s="1">
        <v>68.290000000000006</v>
      </c>
      <c r="W260" s="1">
        <v>87.83</v>
      </c>
      <c r="X260" s="1">
        <v>96.21</v>
      </c>
      <c r="Y260" s="1">
        <v>99.37</v>
      </c>
      <c r="Z260" s="1">
        <v>99.23</v>
      </c>
      <c r="AA260">
        <v>106.03</v>
      </c>
      <c r="AB260">
        <v>106.08</v>
      </c>
      <c r="AC260">
        <v>109.85</v>
      </c>
      <c r="AD260">
        <v>104.43</v>
      </c>
      <c r="AE260">
        <v>116.04</v>
      </c>
      <c r="AF260">
        <v>117.06</v>
      </c>
      <c r="AG260">
        <v>111.68</v>
      </c>
      <c r="AH260">
        <v>113.39</v>
      </c>
      <c r="AI260">
        <v>121.58</v>
      </c>
      <c r="AJ260">
        <v>116.41</v>
      </c>
      <c r="AK260">
        <v>112.11</v>
      </c>
      <c r="AL260">
        <v>111.72</v>
      </c>
      <c r="AM260">
        <v>115.87</v>
      </c>
      <c r="AN260">
        <v>127.52</v>
      </c>
      <c r="AO260">
        <v>129.08000000000001</v>
      </c>
      <c r="AP260">
        <v>137.63999999999999</v>
      </c>
      <c r="AQ260">
        <v>145.31</v>
      </c>
      <c r="AR260">
        <v>139.19999999999999</v>
      </c>
      <c r="AS260">
        <v>122.19</v>
      </c>
      <c r="AT260">
        <v>111.79</v>
      </c>
      <c r="AU260">
        <v>109.25</v>
      </c>
      <c r="AV260">
        <v>110.64</v>
      </c>
      <c r="AW260">
        <v>102.44</v>
      </c>
      <c r="AX260">
        <v>101.33</v>
      </c>
      <c r="AY260">
        <v>106.74</v>
      </c>
      <c r="AZ260">
        <v>96.91</v>
      </c>
      <c r="BA260">
        <v>89.47</v>
      </c>
      <c r="BB260">
        <v>92.64</v>
      </c>
      <c r="BC260">
        <v>94.54</v>
      </c>
      <c r="BD260">
        <v>97.07</v>
      </c>
      <c r="BE260">
        <v>108.99</v>
      </c>
      <c r="BF260">
        <v>108.48</v>
      </c>
      <c r="BG260">
        <v>107.82</v>
      </c>
      <c r="BH260">
        <v>110.17</v>
      </c>
      <c r="BI260">
        <v>114.73</v>
      </c>
      <c r="BJ260">
        <v>115.38</v>
      </c>
      <c r="BK260">
        <v>109.45</v>
      </c>
    </row>
    <row r="261" spans="1:64">
      <c r="A261" s="1" t="s">
        <v>1359</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64">
      <c r="A262" s="1" t="s">
        <v>1360</v>
      </c>
      <c r="B262" s="1">
        <v>0.71</v>
      </c>
      <c r="C262" s="1">
        <v>0.72</v>
      </c>
      <c r="D262" s="1">
        <v>0.72</v>
      </c>
      <c r="E262" s="1">
        <v>0.72</v>
      </c>
      <c r="F262" s="1">
        <v>0.72</v>
      </c>
      <c r="G262" s="1">
        <v>0.72</v>
      </c>
      <c r="H262" s="1">
        <v>0.72</v>
      </c>
      <c r="I262" s="1">
        <v>0.72</v>
      </c>
      <c r="J262" s="1">
        <v>0.72</v>
      </c>
      <c r="K262" s="1">
        <v>0.72</v>
      </c>
      <c r="L262" s="1">
        <v>0.72</v>
      </c>
      <c r="M262" s="1">
        <v>0.72</v>
      </c>
      <c r="N262" s="1">
        <v>0.68</v>
      </c>
      <c r="O262" s="1">
        <v>0.61</v>
      </c>
      <c r="P262" s="1">
        <v>0.61</v>
      </c>
      <c r="Q262" s="1">
        <v>0.63</v>
      </c>
      <c r="R262" s="1">
        <v>0.8</v>
      </c>
      <c r="S262" s="1">
        <v>0.79</v>
      </c>
      <c r="T262" s="1">
        <v>0.74</v>
      </c>
      <c r="U262" s="1">
        <v>0.83</v>
      </c>
      <c r="V262" s="1">
        <v>0.92</v>
      </c>
      <c r="W262" s="1">
        <v>1.03</v>
      </c>
      <c r="X262" s="1">
        <v>1.21</v>
      </c>
      <c r="Y262" s="1">
        <v>1.55</v>
      </c>
      <c r="Z262" s="1">
        <v>1.86</v>
      </c>
      <c r="AA262">
        <v>2.25</v>
      </c>
      <c r="AB262">
        <v>2.2400000000000002</v>
      </c>
      <c r="AC262">
        <v>2.12</v>
      </c>
      <c r="AD262">
        <v>2.08</v>
      </c>
      <c r="AE262">
        <v>2.27</v>
      </c>
      <c r="AF262">
        <v>2.31</v>
      </c>
      <c r="AG262">
        <v>2.4</v>
      </c>
      <c r="AH262">
        <v>2.4700000000000002</v>
      </c>
      <c r="AI262">
        <v>2.57</v>
      </c>
      <c r="AJ262">
        <v>2.54</v>
      </c>
      <c r="AK262">
        <v>2.4700000000000002</v>
      </c>
      <c r="AL262">
        <v>2.46</v>
      </c>
      <c r="AM262">
        <v>2.56</v>
      </c>
      <c r="AN262">
        <v>2.95</v>
      </c>
      <c r="AO262">
        <v>3.01</v>
      </c>
      <c r="AP262">
        <v>3.29</v>
      </c>
      <c r="AQ262">
        <v>3.48</v>
      </c>
      <c r="AR262">
        <v>3.38</v>
      </c>
      <c r="AS262">
        <v>2.97</v>
      </c>
      <c r="AT262">
        <v>2.78</v>
      </c>
      <c r="AU262">
        <v>2.71</v>
      </c>
      <c r="AV262">
        <v>2.78</v>
      </c>
      <c r="AW262">
        <v>2.62</v>
      </c>
      <c r="AX262">
        <v>2.64</v>
      </c>
      <c r="AY262">
        <v>2.73</v>
      </c>
      <c r="AZ262">
        <v>2.48</v>
      </c>
      <c r="BA262">
        <v>2.3199999999999998</v>
      </c>
      <c r="BB262">
        <v>2.29</v>
      </c>
      <c r="BC262">
        <v>2.31</v>
      </c>
      <c r="BD262">
        <v>2.33</v>
      </c>
      <c r="BE262">
        <v>2.56</v>
      </c>
      <c r="BF262">
        <v>2.56</v>
      </c>
      <c r="BG262">
        <v>2.5499999999999998</v>
      </c>
      <c r="BH262">
        <v>2.59</v>
      </c>
      <c r="BI262">
        <v>2.65</v>
      </c>
      <c r="BJ262">
        <v>2.66</v>
      </c>
      <c r="BK262">
        <v>2.56</v>
      </c>
      <c r="BL262">
        <v>2.69</v>
      </c>
    </row>
    <row r="263" spans="1:64">
      <c r="A263" s="1" t="s">
        <v>1361</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R263">
        <v>1.06</v>
      </c>
      <c r="AS263">
        <v>0.88</v>
      </c>
      <c r="AT263">
        <v>0.8</v>
      </c>
      <c r="AU263">
        <v>0.8</v>
      </c>
      <c r="AV263">
        <v>0.8</v>
      </c>
      <c r="AW263">
        <v>0.73</v>
      </c>
      <c r="AX263">
        <v>0.68</v>
      </c>
      <c r="AY263">
        <v>0.72</v>
      </c>
      <c r="AZ263">
        <v>0.75</v>
      </c>
      <c r="BA263">
        <v>0.72</v>
      </c>
      <c r="BB263">
        <v>0.78</v>
      </c>
      <c r="BC263">
        <v>0.75</v>
      </c>
      <c r="BD263">
        <v>0.75</v>
      </c>
      <c r="BE263">
        <v>0.9</v>
      </c>
      <c r="BF263">
        <v>0.9</v>
      </c>
      <c r="BG263">
        <v>0.89</v>
      </c>
      <c r="BH263">
        <v>0.85</v>
      </c>
      <c r="BI263">
        <v>0.89</v>
      </c>
      <c r="BJ263">
        <v>0.88</v>
      </c>
      <c r="BK263">
        <v>0.85</v>
      </c>
      <c r="BL263">
        <v>0.95</v>
      </c>
    </row>
    <row r="264" spans="1:64">
      <c r="A264" s="1" t="s">
        <v>1362</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F264">
        <v>12.01</v>
      </c>
      <c r="AG264">
        <v>12.01</v>
      </c>
      <c r="AH264">
        <v>12.01</v>
      </c>
      <c r="AI264">
        <v>12.01</v>
      </c>
      <c r="AJ264">
        <v>12.01</v>
      </c>
      <c r="AK264">
        <v>40.840000000000003</v>
      </c>
      <c r="AL264">
        <v>94.16</v>
      </c>
      <c r="AM264">
        <v>129.28</v>
      </c>
      <c r="AN264">
        <v>135.88</v>
      </c>
      <c r="AO264">
        <v>155.72</v>
      </c>
      <c r="AP264">
        <v>161.72</v>
      </c>
      <c r="AQ264">
        <v>168.67</v>
      </c>
      <c r="AR264">
        <v>175.63</v>
      </c>
      <c r="AS264">
        <v>183.45</v>
      </c>
      <c r="AT264">
        <v>184.78</v>
      </c>
      <c r="AU264">
        <v>191.51</v>
      </c>
      <c r="AV264">
        <v>197.05</v>
      </c>
      <c r="AW264">
        <v>198.95</v>
      </c>
      <c r="AX264">
        <v>199.76</v>
      </c>
      <c r="AY264">
        <v>202.85</v>
      </c>
      <c r="AZ264">
        <v>219.59</v>
      </c>
      <c r="BA264">
        <v>213.8</v>
      </c>
      <c r="BB264">
        <v>214.35</v>
      </c>
      <c r="BC264">
        <v>214.89</v>
      </c>
      <c r="BD264">
        <v>214.89</v>
      </c>
      <c r="BE264">
        <v>230.83</v>
      </c>
      <c r="BF264">
        <v>283.89999999999998</v>
      </c>
      <c r="BG264">
        <v>282.2</v>
      </c>
      <c r="BH264">
        <v>214.89</v>
      </c>
      <c r="BI264">
        <v>486.73</v>
      </c>
      <c r="BJ264">
        <v>743.01</v>
      </c>
      <c r="BK264">
        <v>1035.47</v>
      </c>
      <c r="BL264">
        <v>1110.2</v>
      </c>
    </row>
    <row r="265" spans="1:64">
      <c r="A265" s="1" t="s">
        <v>315</v>
      </c>
      <c r="B265" s="1">
        <v>0.71</v>
      </c>
      <c r="C265" s="1">
        <v>0.71</v>
      </c>
      <c r="D265" s="1">
        <v>0.71</v>
      </c>
      <c r="E265" s="1">
        <v>0.71</v>
      </c>
      <c r="F265" s="1">
        <v>0.71</v>
      </c>
      <c r="G265" s="1">
        <v>0.71</v>
      </c>
      <c r="H265" s="1">
        <v>0.71</v>
      </c>
      <c r="I265" s="1">
        <v>0.71</v>
      </c>
      <c r="J265" s="1">
        <v>0.71</v>
      </c>
      <c r="K265" s="1">
        <v>0.71</v>
      </c>
      <c r="L265" s="1">
        <v>0.71</v>
      </c>
      <c r="M265" s="1">
        <v>0.72</v>
      </c>
      <c r="N265" s="1">
        <v>0.77</v>
      </c>
      <c r="O265" s="1">
        <v>0.69</v>
      </c>
      <c r="P265" s="1">
        <v>0.68</v>
      </c>
      <c r="Q265" s="1">
        <v>0.74</v>
      </c>
      <c r="R265" s="1">
        <v>0.87</v>
      </c>
      <c r="S265" s="1">
        <v>0.87</v>
      </c>
      <c r="T265" s="1">
        <v>0.87</v>
      </c>
      <c r="U265" s="1">
        <v>0.84</v>
      </c>
      <c r="V265" s="1">
        <v>0.78</v>
      </c>
      <c r="W265" s="1">
        <v>0.88</v>
      </c>
      <c r="X265" s="1">
        <v>1.0900000000000001</v>
      </c>
      <c r="Y265" s="1">
        <v>1.1100000000000001</v>
      </c>
      <c r="Z265" s="1">
        <v>1.48</v>
      </c>
      <c r="AA265">
        <v>2.23</v>
      </c>
      <c r="AB265">
        <v>2.29</v>
      </c>
      <c r="AC265">
        <v>2.04</v>
      </c>
      <c r="AD265">
        <v>2.27</v>
      </c>
      <c r="AE265">
        <v>2.62</v>
      </c>
      <c r="AF265">
        <v>2.59</v>
      </c>
      <c r="AG265">
        <v>2.76</v>
      </c>
      <c r="AH265">
        <v>2.85</v>
      </c>
      <c r="AI265">
        <v>3.27</v>
      </c>
      <c r="AJ265">
        <v>3.55</v>
      </c>
      <c r="AK265">
        <v>3.63</v>
      </c>
      <c r="AL265">
        <v>4.3</v>
      </c>
      <c r="AM265">
        <v>4.6100000000000003</v>
      </c>
      <c r="AN265">
        <v>5.53</v>
      </c>
      <c r="AO265">
        <v>6.11</v>
      </c>
      <c r="AP265">
        <v>6.94</v>
      </c>
      <c r="AQ265">
        <v>8.61</v>
      </c>
      <c r="AR265">
        <v>10.54</v>
      </c>
      <c r="AS265">
        <v>7.56</v>
      </c>
      <c r="AT265">
        <v>6.46</v>
      </c>
      <c r="AU265">
        <v>6.36</v>
      </c>
      <c r="AV265">
        <v>6.77</v>
      </c>
      <c r="AW265">
        <v>7.05</v>
      </c>
      <c r="AX265">
        <v>8.26</v>
      </c>
      <c r="AY265">
        <v>8.4700000000000006</v>
      </c>
      <c r="AZ265">
        <v>7.32</v>
      </c>
      <c r="BA265">
        <v>7.26</v>
      </c>
      <c r="BB265">
        <v>8.2100000000000009</v>
      </c>
      <c r="BC265">
        <v>9.66</v>
      </c>
      <c r="BD265">
        <v>10.85</v>
      </c>
      <c r="BE265">
        <v>12.76</v>
      </c>
      <c r="BF265">
        <v>14.71</v>
      </c>
      <c r="BG265">
        <v>13.32</v>
      </c>
      <c r="BH265">
        <v>13.23</v>
      </c>
      <c r="BI265">
        <v>14.45</v>
      </c>
      <c r="BJ265">
        <v>16.46</v>
      </c>
      <c r="BK265">
        <v>14.78</v>
      </c>
      <c r="BL265">
        <v>16.36</v>
      </c>
    </row>
    <row r="266" spans="1:64">
      <c r="A266" s="1" t="s">
        <v>1363</v>
      </c>
      <c r="B266" s="1">
        <v>0.71</v>
      </c>
      <c r="C266" s="1">
        <v>0.71</v>
      </c>
      <c r="D266" s="1">
        <v>0.71</v>
      </c>
      <c r="E266" s="1">
        <v>0.71</v>
      </c>
      <c r="F266" s="1">
        <v>0.71</v>
      </c>
      <c r="G266" s="1">
        <v>0.71</v>
      </c>
      <c r="H266" s="1">
        <v>0.71</v>
      </c>
      <c r="I266" s="1">
        <v>0.71</v>
      </c>
      <c r="J266" s="1">
        <v>0.71</v>
      </c>
      <c r="K266" s="1">
        <v>0.71</v>
      </c>
      <c r="L266" s="1">
        <v>0.71</v>
      </c>
      <c r="M266" s="1">
        <v>0.71</v>
      </c>
      <c r="N266" s="1">
        <v>0</v>
      </c>
      <c r="O266" s="1">
        <v>0</v>
      </c>
      <c r="P266" s="1">
        <v>0</v>
      </c>
      <c r="Q266" s="1">
        <v>0</v>
      </c>
      <c r="R266" s="1">
        <v>0</v>
      </c>
      <c r="S266" s="1">
        <v>0</v>
      </c>
      <c r="T266" s="1">
        <v>0</v>
      </c>
      <c r="U266" s="1">
        <v>0</v>
      </c>
      <c r="V266" s="1">
        <v>0</v>
      </c>
      <c r="W266" s="1">
        <v>0</v>
      </c>
      <c r="X266" s="1">
        <v>0</v>
      </c>
      <c r="Y266" s="1">
        <v>0</v>
      </c>
      <c r="Z266" s="1">
        <v>0</v>
      </c>
      <c r="AA266">
        <v>0</v>
      </c>
      <c r="AB266">
        <v>0.01</v>
      </c>
      <c r="AC266">
        <v>0.01</v>
      </c>
      <c r="AD266">
        <v>0.01</v>
      </c>
      <c r="AE266">
        <v>0.01</v>
      </c>
      <c r="AF266">
        <v>0.03</v>
      </c>
      <c r="AG266">
        <v>0.06</v>
      </c>
      <c r="AH266">
        <v>0.17</v>
      </c>
      <c r="AI266">
        <v>0.45</v>
      </c>
      <c r="AJ266">
        <v>0.67</v>
      </c>
      <c r="AK266">
        <v>0.86</v>
      </c>
      <c r="AL266">
        <v>1.21</v>
      </c>
      <c r="AM266">
        <v>1.31</v>
      </c>
      <c r="AN266">
        <v>1.86</v>
      </c>
      <c r="AO266">
        <v>2.39</v>
      </c>
      <c r="AP266">
        <v>3.11</v>
      </c>
      <c r="AQ266">
        <v>3.61</v>
      </c>
      <c r="AR266">
        <v>4.4000000000000004</v>
      </c>
      <c r="AS266">
        <v>4.7300000000000004</v>
      </c>
      <c r="AT266">
        <v>4.78</v>
      </c>
      <c r="AU266">
        <v>4.47</v>
      </c>
      <c r="AV266">
        <v>3.6</v>
      </c>
      <c r="AW266">
        <v>4</v>
      </c>
      <c r="AX266">
        <v>3.75</v>
      </c>
      <c r="AY266">
        <v>5.05</v>
      </c>
      <c r="AZ266">
        <v>4.8</v>
      </c>
      <c r="BA266">
        <v>4.8600000000000003</v>
      </c>
      <c r="BB266">
        <v>5.15</v>
      </c>
      <c r="BC266">
        <v>5.4</v>
      </c>
      <c r="BD266">
        <v>6.15</v>
      </c>
      <c r="BE266">
        <v>8.6300000000000008</v>
      </c>
      <c r="BF266">
        <v>10.31</v>
      </c>
      <c r="BG266">
        <v>9.52</v>
      </c>
      <c r="BH266">
        <v>10.46</v>
      </c>
      <c r="BI266">
        <v>12.89</v>
      </c>
      <c r="BJ266">
        <v>18.34</v>
      </c>
      <c r="BK266">
        <v>20.02</v>
      </c>
      <c r="BL266">
        <v>16.940000000000001</v>
      </c>
    </row>
    <row r="267" spans="1:64">
      <c r="A267" s="1" t="s">
        <v>1364</v>
      </c>
      <c r="B267" s="1">
        <v>0</v>
      </c>
      <c r="C267" s="1">
        <v>0</v>
      </c>
      <c r="D267" s="1">
        <v>0</v>
      </c>
      <c r="E267" s="1">
        <v>0</v>
      </c>
      <c r="F267" s="1">
        <v>0</v>
      </c>
      <c r="G267" s="1">
        <v>0</v>
      </c>
      <c r="H267" s="1">
        <v>0</v>
      </c>
      <c r="I267" s="1">
        <v>0</v>
      </c>
      <c r="J267" s="1">
        <v>0</v>
      </c>
      <c r="K267" s="1">
        <v>0</v>
      </c>
      <c r="L267" s="1">
        <v>0</v>
      </c>
      <c r="M267" s="1">
        <v>0</v>
      </c>
      <c r="N267" s="1">
        <v>0</v>
      </c>
      <c r="O267" s="1">
        <v>0</v>
      </c>
      <c r="P267" s="1">
        <v>0</v>
      </c>
      <c r="Q267" s="1">
        <v>0</v>
      </c>
      <c r="R267" s="1">
        <v>0</v>
      </c>
      <c r="S267" s="1">
        <v>0</v>
      </c>
      <c r="T267" s="1">
        <v>0</v>
      </c>
      <c r="U267" s="1">
        <v>0</v>
      </c>
      <c r="V267" s="1">
        <v>0</v>
      </c>
      <c r="W267" s="1">
        <v>0</v>
      </c>
      <c r="X267" s="1">
        <v>0</v>
      </c>
      <c r="Y267" s="1">
        <v>0</v>
      </c>
      <c r="Z267" s="1">
        <v>0</v>
      </c>
      <c r="AA267">
        <v>0</v>
      </c>
      <c r="AB267">
        <v>0</v>
      </c>
      <c r="AC267">
        <v>0</v>
      </c>
      <c r="AD267">
        <v>0</v>
      </c>
      <c r="AE267">
        <v>0</v>
      </c>
      <c r="AF267">
        <v>0</v>
      </c>
      <c r="AG267">
        <v>0</v>
      </c>
      <c r="AH267">
        <v>0.01</v>
      </c>
      <c r="AI267">
        <v>0.01</v>
      </c>
      <c r="AJ267">
        <v>0.01</v>
      </c>
      <c r="AK267">
        <v>0.01</v>
      </c>
      <c r="AL267">
        <v>0.01</v>
      </c>
      <c r="AM267">
        <v>0.01</v>
      </c>
      <c r="AN267">
        <v>0.02</v>
      </c>
      <c r="AO267">
        <v>0.04</v>
      </c>
      <c r="AP267">
        <v>0.04</v>
      </c>
      <c r="AQ267">
        <v>0.06</v>
      </c>
      <c r="AR267">
        <v>0.06</v>
      </c>
      <c r="AS267">
        <v>0.7</v>
      </c>
      <c r="AT267">
        <v>5.07</v>
      </c>
      <c r="AU267">
        <v>22.39</v>
      </c>
      <c r="AV267">
        <v>164.55</v>
      </c>
      <c r="AW267">
        <v>9686.77</v>
      </c>
      <c r="AX267" t="s">
        <v>1367</v>
      </c>
      <c r="BJ267">
        <v>51.33</v>
      </c>
      <c r="BK267">
        <v>88.55</v>
      </c>
      <c r="BL267">
        <v>374.95</v>
      </c>
    </row>
  </sheetData>
  <sheetProtection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E1D4E-D0ED-44C6-BEB2-AF9953BAE612}">
  <sheetPr codeName="Sheet13"/>
  <dimension ref="A1:W267"/>
  <sheetViews>
    <sheetView topLeftCell="O1" workbookViewId="0"/>
  </sheetViews>
  <sheetFormatPr baseColWidth="10" defaultColWidth="8.83203125" defaultRowHeight="15"/>
  <cols>
    <col min="1" max="1" width="30.33203125" customWidth="1"/>
    <col min="2" max="23" width="9.83203125" style="1" customWidth="1"/>
  </cols>
  <sheetData>
    <row r="1" spans="1:23">
      <c r="A1" s="2" t="s">
        <v>1130</v>
      </c>
      <c r="B1" s="2" t="s">
        <v>1368</v>
      </c>
      <c r="C1" s="2" t="s">
        <v>1369</v>
      </c>
      <c r="D1" s="2" t="s">
        <v>1370</v>
      </c>
      <c r="E1" s="2" t="s">
        <v>1371</v>
      </c>
      <c r="F1" s="2" t="s">
        <v>1372</v>
      </c>
      <c r="G1" s="2" t="s">
        <v>1373</v>
      </c>
      <c r="H1" s="2" t="s">
        <v>1374</v>
      </c>
      <c r="I1" s="2" t="s">
        <v>1375</v>
      </c>
      <c r="J1" s="2" t="s">
        <v>1376</v>
      </c>
      <c r="K1" s="2" t="s">
        <v>1377</v>
      </c>
      <c r="L1" s="2" t="s">
        <v>1378</v>
      </c>
      <c r="M1" s="2" t="s">
        <v>1379</v>
      </c>
      <c r="N1" s="2" t="s">
        <v>1380</v>
      </c>
      <c r="O1" s="2" t="s">
        <v>1381</v>
      </c>
      <c r="P1" s="2" t="s">
        <v>1382</v>
      </c>
      <c r="Q1" s="2" t="s">
        <v>1383</v>
      </c>
      <c r="R1" s="2" t="s">
        <v>1384</v>
      </c>
      <c r="S1" s="2" t="s">
        <v>1385</v>
      </c>
      <c r="T1" s="2" t="s">
        <v>1386</v>
      </c>
      <c r="U1" s="2" t="s">
        <v>1387</v>
      </c>
      <c r="V1" s="2" t="s">
        <v>1388</v>
      </c>
      <c r="W1" s="2" t="s">
        <v>1389</v>
      </c>
    </row>
    <row r="2" spans="1:23">
      <c r="A2" s="1" t="s">
        <v>1131</v>
      </c>
      <c r="B2" s="34">
        <v>1.1523341164467</v>
      </c>
      <c r="C2" s="34">
        <v>1.1910743412453999</v>
      </c>
      <c r="D2" s="34">
        <v>1.22561363484664</v>
      </c>
      <c r="E2" s="34">
        <v>1.22851370599221</v>
      </c>
      <c r="F2" s="34">
        <v>1.22227797445479</v>
      </c>
      <c r="G2" s="34">
        <v>1.22486029934244</v>
      </c>
      <c r="H2" s="34">
        <v>1.2238983744601499</v>
      </c>
      <c r="I2" s="34">
        <v>1.2627957487299399</v>
      </c>
      <c r="J2" s="34">
        <v>1.30153919071472</v>
      </c>
      <c r="K2" s="34">
        <v>1.31400044475978</v>
      </c>
      <c r="L2" s="34">
        <v>1.2900713860808699</v>
      </c>
      <c r="M2" s="34">
        <v>1.30294060707092</v>
      </c>
      <c r="N2" s="34">
        <v>1.3178013563156099</v>
      </c>
      <c r="O2" s="34">
        <v>1.2851409912109399</v>
      </c>
      <c r="P2" s="34">
        <v>1.30884277820587</v>
      </c>
      <c r="Q2" s="34">
        <v>1.3623179197311399</v>
      </c>
      <c r="R2" s="34">
        <v>1.3550446033477801</v>
      </c>
      <c r="S2" s="34">
        <v>1.3506896495819101</v>
      </c>
      <c r="T2" s="34"/>
      <c r="U2" s="34"/>
      <c r="V2" s="34"/>
      <c r="W2" s="34"/>
    </row>
    <row r="3" spans="1:23">
      <c r="A3" s="1" t="s">
        <v>1132</v>
      </c>
      <c r="B3" s="34"/>
      <c r="C3" s="34"/>
      <c r="D3" s="34"/>
      <c r="E3" s="34"/>
      <c r="F3" s="34"/>
      <c r="G3" s="34"/>
      <c r="H3" s="34"/>
      <c r="I3" s="34"/>
      <c r="J3" s="34"/>
      <c r="K3" s="34"/>
      <c r="L3" s="34"/>
      <c r="M3" s="34"/>
      <c r="N3" s="34"/>
      <c r="O3" s="34"/>
      <c r="P3" s="34"/>
      <c r="Q3" s="34"/>
      <c r="R3" s="34"/>
      <c r="S3" s="34"/>
      <c r="T3" s="34"/>
      <c r="U3" s="34"/>
      <c r="V3" s="34"/>
      <c r="W3" s="34"/>
    </row>
    <row r="4" spans="1:23">
      <c r="A4" s="1" t="s">
        <v>1133</v>
      </c>
      <c r="B4" s="34"/>
      <c r="C4" s="34"/>
      <c r="D4" s="34">
        <v>9.1902967329625191</v>
      </c>
      <c r="E4" s="34">
        <v>10.0743573034232</v>
      </c>
      <c r="F4" s="34">
        <v>10.9159997738725</v>
      </c>
      <c r="G4" s="34">
        <v>11.741497240530901</v>
      </c>
      <c r="H4" s="34">
        <v>12.217140176406801</v>
      </c>
      <c r="I4" s="34">
        <v>14.5777876937148</v>
      </c>
      <c r="J4" s="34">
        <v>14.5994026083325</v>
      </c>
      <c r="K4" s="34">
        <v>14.175491627089</v>
      </c>
      <c r="L4" s="34">
        <v>14.546728396568501</v>
      </c>
      <c r="M4" s="34">
        <v>16.6134779097919</v>
      </c>
      <c r="N4" s="34">
        <v>17.242263889420599</v>
      </c>
      <c r="O4" s="34">
        <v>17.509418857049202</v>
      </c>
      <c r="P4" s="34">
        <v>17.0358776005124</v>
      </c>
      <c r="Q4" s="34">
        <v>17.022520016941598</v>
      </c>
      <c r="R4" s="34">
        <v>17.445827943147201</v>
      </c>
      <c r="S4" s="34">
        <v>17.2055580487587</v>
      </c>
      <c r="T4" s="34">
        <v>17.150172722782699</v>
      </c>
      <c r="U4" s="34">
        <v>17.948214945257501</v>
      </c>
      <c r="V4" s="34">
        <v>19.121610598234302</v>
      </c>
      <c r="W4" s="34"/>
    </row>
    <row r="5" spans="1:23">
      <c r="A5" s="1" t="s">
        <v>1134</v>
      </c>
      <c r="B5" s="34"/>
      <c r="C5" s="34"/>
      <c r="D5" s="34"/>
      <c r="E5" s="34"/>
      <c r="F5" s="34"/>
      <c r="G5" s="34"/>
      <c r="H5" s="34"/>
      <c r="I5" s="34"/>
      <c r="J5" s="34"/>
      <c r="K5" s="34"/>
      <c r="L5" s="34"/>
      <c r="M5" s="34"/>
      <c r="N5" s="34"/>
      <c r="O5" s="34"/>
      <c r="P5" s="34"/>
      <c r="Q5" s="34"/>
      <c r="R5" s="34"/>
      <c r="S5" s="34"/>
      <c r="T5" s="34"/>
      <c r="U5" s="34"/>
      <c r="V5" s="34"/>
      <c r="W5" s="34"/>
    </row>
    <row r="6" spans="1:23">
      <c r="A6" s="1" t="s">
        <v>1135</v>
      </c>
      <c r="B6" s="34">
        <v>2.0817436855368698</v>
      </c>
      <c r="C6" s="34">
        <v>4.2035212422869099</v>
      </c>
      <c r="D6" s="34">
        <v>10.033909968979099</v>
      </c>
      <c r="E6" s="34">
        <v>19.103672593088501</v>
      </c>
      <c r="F6" s="34">
        <v>24.823669009409901</v>
      </c>
      <c r="G6" s="34">
        <v>34.275185641741501</v>
      </c>
      <c r="H6" s="34">
        <v>38.9633351201728</v>
      </c>
      <c r="I6" s="34">
        <v>39.578839483867498</v>
      </c>
      <c r="J6" s="34">
        <v>46.3437816747414</v>
      </c>
      <c r="K6" s="34">
        <v>38.284202787105102</v>
      </c>
      <c r="L6" s="34">
        <v>50.052764362196299</v>
      </c>
      <c r="M6" s="34">
        <v>64.605751037597699</v>
      </c>
      <c r="N6" s="34">
        <v>65.681671142578097</v>
      </c>
      <c r="O6" s="34">
        <v>66.019371032714801</v>
      </c>
      <c r="P6" s="34">
        <v>65.000671386718807</v>
      </c>
      <c r="Q6" s="34">
        <v>68.182044982910199</v>
      </c>
      <c r="R6" s="34">
        <v>80.778968811035199</v>
      </c>
      <c r="S6" s="34">
        <v>92.951721191406307</v>
      </c>
      <c r="T6" s="34">
        <v>117.156129623677</v>
      </c>
      <c r="U6" s="34">
        <v>147.434156654357</v>
      </c>
      <c r="V6" s="34">
        <v>159.350681624228</v>
      </c>
      <c r="W6" s="34"/>
    </row>
    <row r="7" spans="1:23">
      <c r="A7" s="1" t="s">
        <v>1136</v>
      </c>
      <c r="B7" s="34">
        <v>42.025284912117499</v>
      </c>
      <c r="C7" s="34">
        <v>42.823877088127702</v>
      </c>
      <c r="D7" s="34">
        <v>42.926071633472702</v>
      </c>
      <c r="E7" s="34">
        <v>44.593218947541303</v>
      </c>
      <c r="F7" s="34">
        <v>44.898492708631203</v>
      </c>
      <c r="G7" s="34">
        <v>45.527386772135799</v>
      </c>
      <c r="H7" s="34">
        <v>44.412236917403199</v>
      </c>
      <c r="I7" s="34">
        <v>44.634964747866299</v>
      </c>
      <c r="J7" s="34">
        <v>44.561155767977397</v>
      </c>
      <c r="K7" s="34">
        <v>44.338069854884303</v>
      </c>
      <c r="L7" s="34">
        <v>44.196214363018498</v>
      </c>
      <c r="M7" s="34">
        <v>43.857684882186803</v>
      </c>
      <c r="N7" s="34">
        <v>43.655248324924102</v>
      </c>
      <c r="O7" s="34">
        <v>44.113738673746198</v>
      </c>
      <c r="P7" s="34">
        <v>42.893929840651197</v>
      </c>
      <c r="Q7" s="34">
        <v>42.705700524764602</v>
      </c>
      <c r="R7" s="34">
        <v>42.385726883258499</v>
      </c>
      <c r="S7" s="34">
        <v>42.255572493922799</v>
      </c>
      <c r="T7" s="34">
        <v>42.302981390049403</v>
      </c>
      <c r="U7" s="34">
        <v>42.342936834586197</v>
      </c>
      <c r="V7" s="34">
        <v>42.498078863488999</v>
      </c>
      <c r="W7" s="34"/>
    </row>
    <row r="8" spans="1:23">
      <c r="A8" s="1" t="s">
        <v>1137</v>
      </c>
      <c r="B8" s="34"/>
      <c r="C8" s="34"/>
      <c r="D8" s="34"/>
      <c r="E8" s="34"/>
      <c r="F8" s="34"/>
      <c r="G8" s="34"/>
      <c r="H8" s="34"/>
      <c r="I8" s="34"/>
      <c r="J8" s="34"/>
      <c r="K8" s="34"/>
      <c r="L8" s="34"/>
      <c r="M8" s="34"/>
      <c r="N8" s="34"/>
      <c r="O8" s="34"/>
      <c r="P8" s="34"/>
      <c r="Q8" s="34"/>
      <c r="R8" s="34"/>
      <c r="S8" s="34"/>
      <c r="T8" s="34"/>
      <c r="U8" s="34"/>
      <c r="V8" s="34"/>
      <c r="W8" s="34"/>
    </row>
    <row r="9" spans="1:23">
      <c r="A9" s="1" t="s">
        <v>1138</v>
      </c>
      <c r="B9" s="34"/>
      <c r="C9" s="34"/>
      <c r="D9" s="34"/>
      <c r="E9" s="34"/>
      <c r="F9" s="34"/>
      <c r="G9" s="34"/>
      <c r="H9" s="34"/>
      <c r="I9" s="34"/>
      <c r="J9" s="34"/>
      <c r="K9" s="34"/>
      <c r="L9" s="34"/>
      <c r="M9" s="34"/>
      <c r="N9" s="34"/>
      <c r="O9" s="34"/>
      <c r="P9" s="34"/>
      <c r="Q9" s="34"/>
      <c r="R9" s="34"/>
      <c r="S9" s="34"/>
      <c r="T9" s="34"/>
      <c r="U9" s="34"/>
      <c r="V9" s="34"/>
      <c r="W9" s="34"/>
    </row>
    <row r="10" spans="1:23">
      <c r="A10" s="1" t="s">
        <v>1139</v>
      </c>
      <c r="B10" s="34">
        <v>1.2429456305201501</v>
      </c>
      <c r="C10" s="34">
        <v>1.18769383585057</v>
      </c>
      <c r="D10" s="34">
        <v>1.21328851583307</v>
      </c>
      <c r="E10" s="34">
        <v>1.2396765854238601</v>
      </c>
      <c r="F10" s="34">
        <v>1.30980402142577</v>
      </c>
      <c r="G10" s="34">
        <v>1.48016011982538</v>
      </c>
      <c r="H10" s="34">
        <v>1.6085413305717999</v>
      </c>
      <c r="I10" s="34">
        <v>1.7628015033308899</v>
      </c>
      <c r="J10" s="34">
        <v>2.0496395415462301</v>
      </c>
      <c r="K10" s="34">
        <v>1.72529043085873</v>
      </c>
      <c r="L10" s="34">
        <v>1.91842699446922</v>
      </c>
      <c r="M10" s="34">
        <v>2.12660837173462</v>
      </c>
      <c r="N10" s="34">
        <v>2.1777245998382599</v>
      </c>
      <c r="O10" s="34">
        <v>2.2133159637451199</v>
      </c>
      <c r="P10" s="34">
        <v>2.18256711959839</v>
      </c>
      <c r="Q10" s="34">
        <v>2.1877846717834499</v>
      </c>
      <c r="R10" s="34">
        <v>2.1897521018981898</v>
      </c>
      <c r="S10" s="34">
        <v>2.2217919826507599</v>
      </c>
      <c r="T10" s="34">
        <v>2.3477550157256699</v>
      </c>
      <c r="U10" s="34">
        <v>2.2040738533348398</v>
      </c>
      <c r="V10" s="34">
        <v>1.9956872261613301</v>
      </c>
      <c r="W10" s="34"/>
    </row>
    <row r="11" spans="1:23">
      <c r="A11" s="1" t="s">
        <v>221</v>
      </c>
      <c r="B11" s="34">
        <v>0.66341649770656697</v>
      </c>
      <c r="C11" s="34">
        <v>0.64206380368548999</v>
      </c>
      <c r="D11" s="34">
        <v>0.825195078578283</v>
      </c>
      <c r="E11" s="34">
        <v>0.89518074471796005</v>
      </c>
      <c r="F11" s="34">
        <v>1.03178803348564</v>
      </c>
      <c r="G11" s="34">
        <v>1.1038583288378001</v>
      </c>
      <c r="H11" s="34">
        <v>1.2186609082072699</v>
      </c>
      <c r="I11" s="34">
        <v>1.3640848116019899</v>
      </c>
      <c r="J11" s="34">
        <v>1.64810141073973</v>
      </c>
      <c r="K11" s="34">
        <v>1.8871539490479099</v>
      </c>
      <c r="L11" s="34">
        <v>2.2555714837196899</v>
      </c>
      <c r="M11" s="34">
        <v>2.7331278324127202</v>
      </c>
      <c r="N11" s="34">
        <v>3.2181537151336701</v>
      </c>
      <c r="O11" s="34">
        <v>3.9409668445587198</v>
      </c>
      <c r="P11" s="34">
        <v>5.4519639015197798</v>
      </c>
      <c r="Q11" s="34">
        <v>6.8665480613708496</v>
      </c>
      <c r="R11" s="34">
        <v>9.2949657440185494</v>
      </c>
      <c r="S11" s="34">
        <v>10.2568216323853</v>
      </c>
      <c r="T11" s="34">
        <v>14.2265629922715</v>
      </c>
      <c r="U11" s="34">
        <v>21.0943755138792</v>
      </c>
      <c r="V11" s="34">
        <v>29.157768791721601</v>
      </c>
      <c r="W11" s="34"/>
    </row>
    <row r="12" spans="1:23">
      <c r="A12" s="1" t="s">
        <v>1140</v>
      </c>
      <c r="B12" s="34">
        <v>126.38878885872499</v>
      </c>
      <c r="C12" s="34">
        <v>128.65768052932799</v>
      </c>
      <c r="D12" s="34">
        <v>129.64005696620401</v>
      </c>
      <c r="E12" s="34">
        <v>133.12923867267801</v>
      </c>
      <c r="F12" s="34">
        <v>137.77859126601601</v>
      </c>
      <c r="G12" s="34">
        <v>137.90394268797999</v>
      </c>
      <c r="H12" s="34">
        <v>140.03462955162999</v>
      </c>
      <c r="I12" s="34">
        <v>142.20511081564001</v>
      </c>
      <c r="J12" s="34">
        <v>147.84676039913401</v>
      </c>
      <c r="K12" s="34">
        <v>150.39235209648101</v>
      </c>
      <c r="L12" s="34">
        <v>160.20906898819399</v>
      </c>
      <c r="M12" s="34">
        <v>163.65000915527301</v>
      </c>
      <c r="N12" s="34">
        <v>157.96383666992199</v>
      </c>
      <c r="O12" s="34">
        <v>159.84609985351599</v>
      </c>
      <c r="P12" s="34">
        <v>165.18589782714801</v>
      </c>
      <c r="Q12" s="34">
        <v>172.92352294921901</v>
      </c>
      <c r="R12" s="34">
        <v>161.22888183593801</v>
      </c>
      <c r="S12" s="34">
        <v>155.970703125</v>
      </c>
      <c r="T12" s="34">
        <v>156.55974338450099</v>
      </c>
      <c r="U12" s="34">
        <v>155.453007697038</v>
      </c>
      <c r="V12" s="34">
        <v>156.70845575541301</v>
      </c>
      <c r="W12" s="34"/>
    </row>
    <row r="13" spans="1:23">
      <c r="A13" s="1" t="s">
        <v>1141</v>
      </c>
      <c r="B13" s="34"/>
      <c r="C13" s="34"/>
      <c r="D13" s="34"/>
      <c r="E13" s="34"/>
      <c r="F13" s="34"/>
      <c r="G13" s="34"/>
      <c r="H13" s="34"/>
      <c r="I13" s="34"/>
      <c r="J13" s="34"/>
      <c r="K13" s="34"/>
      <c r="L13" s="34"/>
      <c r="M13" s="34"/>
      <c r="N13" s="34"/>
      <c r="O13" s="34"/>
      <c r="P13" s="34"/>
      <c r="Q13" s="34"/>
      <c r="R13" s="34"/>
      <c r="S13" s="34"/>
      <c r="T13" s="34"/>
      <c r="U13" s="34"/>
      <c r="V13" s="34"/>
      <c r="W13" s="34"/>
    </row>
    <row r="14" spans="1:23">
      <c r="A14" s="1" t="s">
        <v>1142</v>
      </c>
      <c r="B14" s="34">
        <v>1.7428592899717601</v>
      </c>
      <c r="C14" s="34">
        <v>1.7307363095142101</v>
      </c>
      <c r="D14" s="34">
        <v>1.7157436587886501</v>
      </c>
      <c r="E14" s="34">
        <v>1.66989300730943</v>
      </c>
      <c r="F14" s="34">
        <v>1.65114886613223</v>
      </c>
      <c r="G14" s="34">
        <v>1.67271317581248</v>
      </c>
      <c r="H14" s="34">
        <v>1.63019925376426</v>
      </c>
      <c r="I14" s="34">
        <v>1.64683444938917</v>
      </c>
      <c r="J14" s="34">
        <v>1.68617839790473</v>
      </c>
      <c r="K14" s="34">
        <v>1.7041607518065101</v>
      </c>
      <c r="L14" s="34">
        <v>1.7093509087432199</v>
      </c>
      <c r="M14" s="34">
        <v>1.6913766860961901</v>
      </c>
      <c r="N14" s="34">
        <v>1.8285713195800799</v>
      </c>
      <c r="O14" s="34">
        <v>1.85441470146179</v>
      </c>
      <c r="P14" s="34">
        <v>1.9147150516510001</v>
      </c>
      <c r="Q14" s="34">
        <v>2.0395412445068399</v>
      </c>
      <c r="R14" s="34">
        <v>2.0600430965423602</v>
      </c>
      <c r="S14" s="34">
        <v>2.0935010910034202</v>
      </c>
      <c r="T14" s="34">
        <v>2.0925164028002801</v>
      </c>
      <c r="U14" s="34">
        <v>2.0600946367692501</v>
      </c>
      <c r="V14" s="34">
        <v>2.0710822867359302</v>
      </c>
      <c r="W14" s="34"/>
    </row>
    <row r="15" spans="1:23">
      <c r="A15" s="1" t="s">
        <v>1143</v>
      </c>
      <c r="B15" s="34">
        <v>1.311512</v>
      </c>
      <c r="C15" s="34">
        <v>1.3260730000000001</v>
      </c>
      <c r="D15" s="34">
        <v>1.33649</v>
      </c>
      <c r="E15" s="34">
        <v>1.3532360000000001</v>
      </c>
      <c r="F15" s="34">
        <v>1.3658060000000001</v>
      </c>
      <c r="G15" s="34">
        <v>1.3883559999999999</v>
      </c>
      <c r="H15" s="34">
        <v>1.4035219999999999</v>
      </c>
      <c r="I15" s="34">
        <v>1.426868</v>
      </c>
      <c r="J15" s="34">
        <v>1.4790730000000001</v>
      </c>
      <c r="K15" s="34">
        <v>1.442545</v>
      </c>
      <c r="L15" s="34">
        <v>1.503317</v>
      </c>
      <c r="M15" s="34">
        <v>1.5110520000000001</v>
      </c>
      <c r="N15" s="34">
        <v>1.5401149999999999</v>
      </c>
      <c r="O15" s="34">
        <v>1.4471229999999999</v>
      </c>
      <c r="P15" s="34">
        <v>1.4524889999999999</v>
      </c>
      <c r="Q15" s="34">
        <v>1.4736910000000001</v>
      </c>
      <c r="R15" s="34">
        <v>1.450156</v>
      </c>
      <c r="S15" s="34">
        <v>1.4775529999999999</v>
      </c>
      <c r="T15" s="34">
        <v>1.4704029999999999</v>
      </c>
      <c r="U15" s="34">
        <v>1.4826859999999999</v>
      </c>
      <c r="V15" s="34">
        <v>1.4460090000000001</v>
      </c>
      <c r="W15" s="34">
        <v>1.464075</v>
      </c>
    </row>
    <row r="16" spans="1:23">
      <c r="A16" s="1" t="s">
        <v>1144</v>
      </c>
      <c r="B16" s="34">
        <v>0.90761999999999998</v>
      </c>
      <c r="C16" s="34">
        <v>0.92316799999999999</v>
      </c>
      <c r="D16" s="34">
        <v>0.89979699999999996</v>
      </c>
      <c r="E16" s="34">
        <v>0.88816799999999996</v>
      </c>
      <c r="F16" s="34">
        <v>0.87807800000000003</v>
      </c>
      <c r="G16" s="34">
        <v>0.88193900000000003</v>
      </c>
      <c r="H16" s="34">
        <v>0.86002400000000001</v>
      </c>
      <c r="I16" s="34">
        <v>0.86817900000000003</v>
      </c>
      <c r="J16" s="34">
        <v>0.85442399999999996</v>
      </c>
      <c r="K16" s="34">
        <v>0.84373100000000001</v>
      </c>
      <c r="L16" s="34">
        <v>0.84218999999999999</v>
      </c>
      <c r="M16" s="34">
        <v>0.83137399999999995</v>
      </c>
      <c r="N16" s="34">
        <v>0.81364800000000004</v>
      </c>
      <c r="O16" s="34">
        <v>0.79708100000000004</v>
      </c>
      <c r="P16" s="34">
        <v>0.79879699999999998</v>
      </c>
      <c r="Q16" s="34">
        <v>0.798813</v>
      </c>
      <c r="R16" s="34">
        <v>0.77693100000000004</v>
      </c>
      <c r="S16" s="34">
        <v>0.77500899999999995</v>
      </c>
      <c r="T16" s="34">
        <v>0.76540300000000006</v>
      </c>
      <c r="U16" s="34">
        <v>0.77081299999999997</v>
      </c>
      <c r="V16" s="34">
        <v>0.76392099999999996</v>
      </c>
      <c r="W16" s="34">
        <v>0.75838899999999998</v>
      </c>
    </row>
    <row r="17" spans="1:23">
      <c r="A17" s="1" t="s">
        <v>1145</v>
      </c>
      <c r="B17" s="34">
        <v>0.17314994039255799</v>
      </c>
      <c r="C17" s="34">
        <v>0.17369481262846401</v>
      </c>
      <c r="D17" s="34">
        <v>0.17819633901071999</v>
      </c>
      <c r="E17" s="34">
        <v>0.18712630142391601</v>
      </c>
      <c r="F17" s="34">
        <v>0.19907951945588601</v>
      </c>
      <c r="G17" s="34">
        <v>0.22149164848678099</v>
      </c>
      <c r="H17" s="34">
        <v>0.23928174965367399</v>
      </c>
      <c r="I17" s="34">
        <v>0.282025113939608</v>
      </c>
      <c r="J17" s="34">
        <v>0.353488704673182</v>
      </c>
      <c r="K17" s="34">
        <v>0.28470347307377503</v>
      </c>
      <c r="L17" s="34">
        <v>0.319545379497231</v>
      </c>
      <c r="M17" s="34">
        <v>0.38350978493690502</v>
      </c>
      <c r="N17" s="34">
        <v>0.36904329061508201</v>
      </c>
      <c r="O17" s="34">
        <v>0.35944795608520502</v>
      </c>
      <c r="P17" s="34">
        <v>0.35480394959449801</v>
      </c>
      <c r="Q17" s="34">
        <v>0.37725710868835399</v>
      </c>
      <c r="R17" s="34">
        <v>0.43090146780013999</v>
      </c>
      <c r="S17" s="34">
        <v>0.50547164678573597</v>
      </c>
      <c r="T17" s="34">
        <v>0.55376690616566304</v>
      </c>
      <c r="U17" s="34">
        <v>0.54274185845445899</v>
      </c>
      <c r="V17" s="34">
        <v>0.49561731475100301</v>
      </c>
      <c r="W17" s="34"/>
    </row>
    <row r="18" spans="1:23">
      <c r="A18" s="1" t="s">
        <v>1146</v>
      </c>
      <c r="B18" s="34">
        <v>186.58519890705901</v>
      </c>
      <c r="C18" s="34">
        <v>207.62390837428401</v>
      </c>
      <c r="D18" s="34">
        <v>206.49177796356301</v>
      </c>
      <c r="E18" s="34">
        <v>226.94419693958</v>
      </c>
      <c r="F18" s="34">
        <v>250.04685101808499</v>
      </c>
      <c r="G18" s="34">
        <v>288.18292036138598</v>
      </c>
      <c r="H18" s="34">
        <v>287.67792207582698</v>
      </c>
      <c r="I18" s="34">
        <v>303.33028780474501</v>
      </c>
      <c r="J18" s="34">
        <v>369.59502673813699</v>
      </c>
      <c r="K18" s="34">
        <v>405.16146400395598</v>
      </c>
      <c r="L18" s="34">
        <v>434.78325812486298</v>
      </c>
      <c r="M18" s="34">
        <v>461.50912475585898</v>
      </c>
      <c r="N18" s="34">
        <v>527.052978515625</v>
      </c>
      <c r="O18" s="34">
        <v>539.31109619140602</v>
      </c>
      <c r="P18" s="34">
        <v>547.099609375</v>
      </c>
      <c r="Q18" s="34">
        <v>570.65911865234398</v>
      </c>
      <c r="R18" s="34">
        <v>585.89318847656295</v>
      </c>
      <c r="S18" s="34">
        <v>654.89587402343795</v>
      </c>
      <c r="T18" s="34">
        <v>621.30823533482499</v>
      </c>
      <c r="U18" s="34">
        <v>615.43055578998803</v>
      </c>
      <c r="V18" s="34">
        <v>680.45371033736399</v>
      </c>
      <c r="W18" s="34"/>
    </row>
    <row r="19" spans="1:23">
      <c r="A19" s="1" t="s">
        <v>1147</v>
      </c>
      <c r="B19" s="34">
        <v>0.90011399999999997</v>
      </c>
      <c r="C19" s="34">
        <v>0.89263000000000003</v>
      </c>
      <c r="D19" s="34">
        <v>0.87329999999999997</v>
      </c>
      <c r="E19" s="34">
        <v>0.87611300000000003</v>
      </c>
      <c r="F19" s="34">
        <v>0.88832599999999995</v>
      </c>
      <c r="G19" s="34">
        <v>0.89178800000000003</v>
      </c>
      <c r="H19" s="34">
        <v>0.87426899999999996</v>
      </c>
      <c r="I19" s="34">
        <v>0.878973</v>
      </c>
      <c r="J19" s="34">
        <v>0.86694000000000004</v>
      </c>
      <c r="K19" s="34">
        <v>0.85011000000000003</v>
      </c>
      <c r="L19" s="34">
        <v>0.83657199999999998</v>
      </c>
      <c r="M19" s="34">
        <v>0.83191099999999996</v>
      </c>
      <c r="N19" s="34">
        <v>0.82213700000000001</v>
      </c>
      <c r="O19" s="34">
        <v>0.80616600000000005</v>
      </c>
      <c r="P19" s="34">
        <v>0.80021399999999998</v>
      </c>
      <c r="Q19" s="34">
        <v>0.79999799999999999</v>
      </c>
      <c r="R19" s="34">
        <v>0.78101100000000001</v>
      </c>
      <c r="S19" s="34">
        <v>0.77563400000000005</v>
      </c>
      <c r="T19" s="34">
        <v>0.76640699999999995</v>
      </c>
      <c r="U19" s="34">
        <v>0.76689600000000002</v>
      </c>
      <c r="V19" s="34">
        <v>0.74549500000000002</v>
      </c>
      <c r="W19" s="34">
        <v>0.73004899999999995</v>
      </c>
    </row>
    <row r="20" spans="1:23">
      <c r="A20" s="1" t="s">
        <v>1148</v>
      </c>
      <c r="B20" s="34">
        <v>206.91077712762601</v>
      </c>
      <c r="C20" s="34">
        <v>206.458986597251</v>
      </c>
      <c r="D20" s="34">
        <v>210.46787625814099</v>
      </c>
      <c r="E20" s="34">
        <v>212.95696630328001</v>
      </c>
      <c r="F20" s="34">
        <v>208.970198482337</v>
      </c>
      <c r="G20" s="34">
        <v>211.35896697960899</v>
      </c>
      <c r="H20" s="34">
        <v>209.44719322735</v>
      </c>
      <c r="I20" s="34">
        <v>204.76383063827799</v>
      </c>
      <c r="J20" s="34">
        <v>213.78033803332499</v>
      </c>
      <c r="K20" s="34">
        <v>217.55119876761901</v>
      </c>
      <c r="L20" s="34">
        <v>216.93968524184601</v>
      </c>
      <c r="M20" s="34">
        <v>220.43357849121099</v>
      </c>
      <c r="N20" s="34">
        <v>234.00419616699199</v>
      </c>
      <c r="O20" s="34">
        <v>231.47721862793</v>
      </c>
      <c r="P20" s="34">
        <v>225.04423522949199</v>
      </c>
      <c r="Q20" s="34">
        <v>220.52389526367199</v>
      </c>
      <c r="R20" s="34">
        <v>214.43386840820301</v>
      </c>
      <c r="S20" s="34">
        <v>216.77360534668</v>
      </c>
      <c r="T20" s="34">
        <v>213.110210952899</v>
      </c>
      <c r="U20" s="34">
        <v>208.54022282678301</v>
      </c>
      <c r="V20" s="34">
        <v>211.987204391739</v>
      </c>
      <c r="W20" s="34"/>
    </row>
    <row r="21" spans="1:23">
      <c r="A21" s="1" t="s">
        <v>1149</v>
      </c>
      <c r="B21" s="34">
        <v>196.99071481036501</v>
      </c>
      <c r="C21" s="34">
        <v>200.399003681576</v>
      </c>
      <c r="D21" s="34">
        <v>203.30930202301201</v>
      </c>
      <c r="E21" s="34">
        <v>202.566049429423</v>
      </c>
      <c r="F21" s="34">
        <v>197.43432193991501</v>
      </c>
      <c r="G21" s="34">
        <v>198.629943905603</v>
      </c>
      <c r="H21" s="34">
        <v>191.517655189625</v>
      </c>
      <c r="I21" s="34">
        <v>191.15596162437399</v>
      </c>
      <c r="J21" s="34">
        <v>204.68409108611201</v>
      </c>
      <c r="K21" s="34">
        <v>208.021921769649</v>
      </c>
      <c r="L21" s="34">
        <v>213.397738970045</v>
      </c>
      <c r="M21" s="34">
        <v>223.11581420898401</v>
      </c>
      <c r="N21" s="34">
        <v>238.97865295410199</v>
      </c>
      <c r="O21" s="34">
        <v>231.07925415039099</v>
      </c>
      <c r="P21" s="34">
        <v>231.325927734375</v>
      </c>
      <c r="Q21" s="34">
        <v>225.41592407226599</v>
      </c>
      <c r="R21" s="34">
        <v>215.19668579101599</v>
      </c>
      <c r="S21" s="34">
        <v>208.75720214843801</v>
      </c>
      <c r="T21" s="34">
        <v>206.05191774891799</v>
      </c>
      <c r="U21" s="34">
        <v>205.71170518554601</v>
      </c>
      <c r="V21" s="34">
        <v>217.154974930164</v>
      </c>
      <c r="W21" s="34"/>
    </row>
    <row r="22" spans="1:23">
      <c r="A22" s="1" t="s">
        <v>1150</v>
      </c>
      <c r="B22" s="34">
        <v>15.7959320335088</v>
      </c>
      <c r="C22" s="34">
        <v>15.9609706948607</v>
      </c>
      <c r="D22" s="34">
        <v>16.3241015263458</v>
      </c>
      <c r="E22" s="34">
        <v>16.9585450148688</v>
      </c>
      <c r="F22" s="34">
        <v>17.2673434521197</v>
      </c>
      <c r="G22" s="34">
        <v>17.513743106246601</v>
      </c>
      <c r="H22" s="34">
        <v>17.998177720502401</v>
      </c>
      <c r="I22" s="34">
        <v>18.6615844085322</v>
      </c>
      <c r="J22" s="34">
        <v>19.744508535926499</v>
      </c>
      <c r="K22" s="34">
        <v>20.9206088650465</v>
      </c>
      <c r="L22" s="34">
        <v>22.157129795830201</v>
      </c>
      <c r="M22" s="34">
        <v>23.4095554351807</v>
      </c>
      <c r="N22" s="34">
        <v>23.787351608276399</v>
      </c>
      <c r="O22" s="34">
        <v>24.9661979675293</v>
      </c>
      <c r="P22" s="34">
        <v>25.8188781738281</v>
      </c>
      <c r="Q22" s="34">
        <v>27.283729553222699</v>
      </c>
      <c r="R22" s="34">
        <v>28.4988307952881</v>
      </c>
      <c r="S22" s="34">
        <v>29.738174438476602</v>
      </c>
      <c r="T22" s="34">
        <v>30.666439679798501</v>
      </c>
      <c r="U22" s="34">
        <v>31.4720182937719</v>
      </c>
      <c r="V22" s="34">
        <v>32.369040207496397</v>
      </c>
      <c r="W22" s="34"/>
    </row>
    <row r="23" spans="1:23">
      <c r="A23" s="1" t="s">
        <v>1151</v>
      </c>
      <c r="B23" s="34">
        <v>0.53603349171013703</v>
      </c>
      <c r="C23" s="34">
        <v>0.55596016622241395</v>
      </c>
      <c r="D23" s="34">
        <v>0.55828702565363497</v>
      </c>
      <c r="E23" s="34">
        <v>0.55982924226254005</v>
      </c>
      <c r="F23" s="34">
        <v>0.58024508802745001</v>
      </c>
      <c r="G23" s="34">
        <v>0.59650019243209595</v>
      </c>
      <c r="H23" s="34">
        <v>0.61822582183506103</v>
      </c>
      <c r="I23" s="34">
        <v>0.65643420522821105</v>
      </c>
      <c r="J23" s="34">
        <v>0.67767915334719597</v>
      </c>
      <c r="K23" s="34">
        <v>0.69319798257402998</v>
      </c>
      <c r="L23" s="34">
        <v>0.67693879558922598</v>
      </c>
      <c r="M23" s="34">
        <v>0.70107265584817302</v>
      </c>
      <c r="N23" s="34">
        <v>0.69281730406967701</v>
      </c>
      <c r="O23" s="34">
        <v>0.68000807987533896</v>
      </c>
      <c r="P23" s="34">
        <v>0.66122893499942703</v>
      </c>
      <c r="Q23" s="34">
        <v>0.67869815254115495</v>
      </c>
      <c r="R23" s="34">
        <v>0.66666273200063897</v>
      </c>
      <c r="S23" s="34">
        <v>0.67628033455564296</v>
      </c>
      <c r="T23" s="34">
        <v>0.68010417231837705</v>
      </c>
      <c r="U23" s="34">
        <v>0.70452056192387502</v>
      </c>
      <c r="V23" s="34">
        <v>0.70423184609524803</v>
      </c>
      <c r="W23" s="34"/>
    </row>
    <row r="24" spans="1:23">
      <c r="A24" s="1" t="s">
        <v>1152</v>
      </c>
      <c r="B24" s="34">
        <v>0.121551944398765</v>
      </c>
      <c r="C24" s="34">
        <v>0.11494197964229</v>
      </c>
      <c r="D24" s="34">
        <v>0.11701559127943199</v>
      </c>
      <c r="E24" s="34">
        <v>0.124764947992167</v>
      </c>
      <c r="F24" s="34">
        <v>0.134847585944359</v>
      </c>
      <c r="G24" s="34">
        <v>0.14873582334079799</v>
      </c>
      <c r="H24" s="34">
        <v>0.15713254211070199</v>
      </c>
      <c r="I24" s="34">
        <v>0.16593031514746501</v>
      </c>
      <c r="J24" s="34">
        <v>0.18126265070683201</v>
      </c>
      <c r="K24" s="34">
        <v>0.15651628654524799</v>
      </c>
      <c r="L24" s="34">
        <v>0.166225912238742</v>
      </c>
      <c r="M24" s="34">
        <v>0.17867849767208099</v>
      </c>
      <c r="N24" s="34">
        <v>0.175509303808212</v>
      </c>
      <c r="O24" s="34">
        <v>0.18067699670791601</v>
      </c>
      <c r="P24" s="34">
        <v>0.18386819958686801</v>
      </c>
      <c r="Q24" s="34">
        <v>0.18673110008239699</v>
      </c>
      <c r="R24" s="34">
        <v>0.189881026744843</v>
      </c>
      <c r="S24" s="34">
        <v>0.187117710709572</v>
      </c>
      <c r="T24" s="34">
        <v>0.19064706740706799</v>
      </c>
      <c r="U24" s="34">
        <v>0.18750544070535299</v>
      </c>
      <c r="V24" s="34">
        <v>0.175385491753621</v>
      </c>
      <c r="W24" s="34"/>
    </row>
    <row r="25" spans="1:23">
      <c r="A25" s="1" t="s">
        <v>1153</v>
      </c>
      <c r="B25" s="34">
        <v>0.97760788182341096</v>
      </c>
      <c r="C25" s="34">
        <v>0.96001130751869101</v>
      </c>
      <c r="D25" s="34">
        <v>0.982494348917067</v>
      </c>
      <c r="E25" s="34">
        <v>0.97571704645469204</v>
      </c>
      <c r="F25" s="34">
        <v>0.96148795972127199</v>
      </c>
      <c r="G25" s="34">
        <v>0.97959510021775797</v>
      </c>
      <c r="H25" s="34">
        <v>0.95869350419116095</v>
      </c>
      <c r="I25" s="34">
        <v>0.96113064334241805</v>
      </c>
      <c r="J25" s="34">
        <v>0.95682521970267798</v>
      </c>
      <c r="K25" s="34">
        <v>0.93974842978758399</v>
      </c>
      <c r="L25" s="34">
        <v>0.92528001971884599</v>
      </c>
      <c r="M25" s="34">
        <v>0.89856344461440996</v>
      </c>
      <c r="N25" s="34">
        <v>0.91523545980453502</v>
      </c>
      <c r="O25" s="34">
        <v>0.903084576129913</v>
      </c>
      <c r="P25" s="34">
        <v>0.90426665544509899</v>
      </c>
      <c r="Q25" s="34">
        <v>0.93631327152252197</v>
      </c>
      <c r="R25" s="34">
        <v>0.92412018775939897</v>
      </c>
      <c r="S25" s="34">
        <v>0.90140676498413097</v>
      </c>
      <c r="T25" s="34">
        <v>0.88970395327950802</v>
      </c>
      <c r="U25" s="34">
        <v>0.89008499781973005</v>
      </c>
      <c r="V25" s="34">
        <v>0.77428189965550498</v>
      </c>
      <c r="W25" s="34"/>
    </row>
    <row r="26" spans="1:23">
      <c r="A26" s="1" t="s">
        <v>1154</v>
      </c>
      <c r="B26" s="34">
        <v>0.68525434428680598</v>
      </c>
      <c r="C26" s="34">
        <v>0.70449826989619402</v>
      </c>
      <c r="D26" s="34">
        <v>0.71573231702319495</v>
      </c>
      <c r="E26" s="34">
        <v>0.71675396108693901</v>
      </c>
      <c r="F26" s="34">
        <v>0.71437686369020903</v>
      </c>
      <c r="G26" s="34">
        <v>0.72343331613727402</v>
      </c>
      <c r="H26" s="34">
        <v>0.71846108603039405</v>
      </c>
      <c r="I26" s="34">
        <v>0.73108346031470295</v>
      </c>
      <c r="J26" s="34">
        <v>0.75285605660904398</v>
      </c>
      <c r="K26" s="34">
        <v>0.73519623091675101</v>
      </c>
      <c r="L26" s="34">
        <v>0.73224905586122901</v>
      </c>
      <c r="M26" s="34">
        <v>0.71815986224683803</v>
      </c>
      <c r="N26" s="34">
        <v>0.70594162535920901</v>
      </c>
      <c r="O26" s="34">
        <v>0.68615599930743898</v>
      </c>
      <c r="P26" s="34">
        <v>0.68720480339332801</v>
      </c>
      <c r="Q26" s="34">
        <v>0.69409028826108798</v>
      </c>
      <c r="R26" s="34">
        <v>0.67556502961414799</v>
      </c>
      <c r="S26" s="34">
        <v>0.680664853803579</v>
      </c>
      <c r="T26" s="34">
        <v>0.67443912430144903</v>
      </c>
      <c r="U26" s="34">
        <v>0.680553760331984</v>
      </c>
      <c r="V26" s="34">
        <v>0.66936405369827101</v>
      </c>
      <c r="W26" s="34"/>
    </row>
    <row r="27" spans="1:23">
      <c r="A27" s="1" t="s">
        <v>1155</v>
      </c>
      <c r="B27" s="34">
        <v>1.5757401273183799E-2</v>
      </c>
      <c r="C27" s="34">
        <v>2.7682781866050901E-2</v>
      </c>
      <c r="D27" s="34">
        <v>3.9486042063439801E-2</v>
      </c>
      <c r="E27" s="34">
        <v>5.0661626386793203E-2</v>
      </c>
      <c r="F27" s="34">
        <v>6.0519888430545399E-2</v>
      </c>
      <c r="G27" s="34">
        <v>6.9826755676108507E-2</v>
      </c>
      <c r="H27" s="34">
        <v>7.5060675610782696E-2</v>
      </c>
      <c r="I27" s="34">
        <v>8.2506654075760799E-2</v>
      </c>
      <c r="J27" s="34">
        <v>9.8101038579417807E-2</v>
      </c>
      <c r="K27" s="34">
        <v>0.106372947845008</v>
      </c>
      <c r="L27" s="34">
        <v>0.117019389569972</v>
      </c>
      <c r="M27" s="34">
        <v>0.196053221821785</v>
      </c>
      <c r="N27" s="34">
        <v>0.32017314434051503</v>
      </c>
      <c r="O27" s="34">
        <v>0.37392145395278897</v>
      </c>
      <c r="P27" s="34">
        <v>0.44866475462913502</v>
      </c>
      <c r="Q27" s="34">
        <v>0.525160431861877</v>
      </c>
      <c r="R27" s="34">
        <v>0.56375706195831299</v>
      </c>
      <c r="S27" s="34">
        <v>0.60904282331466697</v>
      </c>
      <c r="T27" s="34">
        <v>0.66696229358263803</v>
      </c>
      <c r="U27" s="34">
        <v>0.71179276795227997</v>
      </c>
      <c r="V27" s="34">
        <v>0.77435670581233795</v>
      </c>
      <c r="W27" s="34"/>
    </row>
    <row r="28" spans="1:23">
      <c r="A28" s="1" t="s">
        <v>1156</v>
      </c>
      <c r="B28" s="34">
        <v>1.2104734525734899</v>
      </c>
      <c r="C28" s="34">
        <v>1.1808639254942299</v>
      </c>
      <c r="D28" s="34">
        <v>1.18260170109153</v>
      </c>
      <c r="E28" s="34">
        <v>1.12892892910308</v>
      </c>
      <c r="F28" s="34">
        <v>1.1214093877326401</v>
      </c>
      <c r="G28" s="34">
        <v>1.11875716597442</v>
      </c>
      <c r="H28" s="34">
        <v>1.1374154407035599</v>
      </c>
      <c r="I28" s="34">
        <v>1.15755300163162</v>
      </c>
      <c r="J28" s="34">
        <v>1.1659801838560999</v>
      </c>
      <c r="K28" s="34">
        <v>1.1255715211944901</v>
      </c>
      <c r="L28" s="34">
        <v>1.1292539621745199</v>
      </c>
      <c r="M28" s="34">
        <v>1.15122830867767</v>
      </c>
      <c r="N28" s="34">
        <v>1.2390215396881099</v>
      </c>
      <c r="O28" s="34">
        <v>1.26428842544556</v>
      </c>
      <c r="P28" s="34">
        <v>1.3124840259552</v>
      </c>
      <c r="Q28" s="34">
        <v>1.31852507591248</v>
      </c>
      <c r="R28" s="34">
        <v>1.34227430820465</v>
      </c>
      <c r="S28" s="34">
        <v>1.3750650882720901</v>
      </c>
      <c r="T28" s="34">
        <v>1.34518320213736</v>
      </c>
      <c r="U28" s="34">
        <v>1.3438550794177899</v>
      </c>
      <c r="V28" s="34">
        <v>1.2745149005583101</v>
      </c>
      <c r="W28" s="34"/>
    </row>
    <row r="29" spans="1:23">
      <c r="A29" s="1" t="s">
        <v>1157</v>
      </c>
      <c r="B29" s="34">
        <v>1.1831429566568401</v>
      </c>
      <c r="C29" s="34">
        <v>1.1418967607177399</v>
      </c>
      <c r="D29" s="34">
        <v>1.2205700281282601</v>
      </c>
      <c r="E29" s="34">
        <v>1.23216546633824</v>
      </c>
      <c r="F29" s="34">
        <v>1.2561618844834399</v>
      </c>
      <c r="G29" s="34">
        <v>1.3005954596765801</v>
      </c>
      <c r="H29" s="34">
        <v>1.3302742574139901</v>
      </c>
      <c r="I29" s="34">
        <v>1.3806502737026101</v>
      </c>
      <c r="J29" s="34">
        <v>1.4234976069901899</v>
      </c>
      <c r="K29" s="34">
        <v>1.4274706659846199</v>
      </c>
      <c r="L29" s="34">
        <v>1.44258238007106</v>
      </c>
      <c r="M29" s="34">
        <v>1.3967968225479099</v>
      </c>
      <c r="N29" s="34">
        <v>1.4592481851577801</v>
      </c>
      <c r="O29" s="34">
        <v>1.4417594671249401</v>
      </c>
      <c r="P29" s="34">
        <v>1.4317272901535001</v>
      </c>
      <c r="Q29" s="34">
        <v>1.41924369335175</v>
      </c>
      <c r="R29" s="34">
        <v>1.39972507953644</v>
      </c>
      <c r="S29" s="34">
        <v>1.36641585826874</v>
      </c>
      <c r="T29" s="34">
        <v>1.35556685804527</v>
      </c>
      <c r="U29" s="34">
        <v>1.37336709290103</v>
      </c>
      <c r="V29" s="34">
        <v>1.3247555050717601</v>
      </c>
      <c r="W29" s="34"/>
    </row>
    <row r="30" spans="1:23">
      <c r="A30" s="1" t="s">
        <v>1158</v>
      </c>
      <c r="B30" s="34">
        <v>1.7944255486819201</v>
      </c>
      <c r="C30" s="34">
        <v>1.78874811704631</v>
      </c>
      <c r="D30" s="34">
        <v>1.81056552474149</v>
      </c>
      <c r="E30" s="34">
        <v>1.89007369417531</v>
      </c>
      <c r="F30" s="34">
        <v>1.9871704408421</v>
      </c>
      <c r="G30" s="34">
        <v>2.0416286198601199</v>
      </c>
      <c r="H30" s="34">
        <v>2.25242715358997</v>
      </c>
      <c r="I30" s="34">
        <v>2.3552383408728899</v>
      </c>
      <c r="J30" s="34">
        <v>2.5501364243464102</v>
      </c>
      <c r="K30" s="34">
        <v>2.46959879102852</v>
      </c>
      <c r="L30" s="34">
        <v>2.6554256846920401</v>
      </c>
      <c r="M30" s="34">
        <v>2.9809119701385498</v>
      </c>
      <c r="N30" s="34">
        <v>3.04548192024231</v>
      </c>
      <c r="O30" s="34">
        <v>3.03339672088623</v>
      </c>
      <c r="P30" s="34">
        <v>3.0177555084228498</v>
      </c>
      <c r="Q30" s="34">
        <v>2.9406976699829102</v>
      </c>
      <c r="R30" s="34">
        <v>2.8347120285034202</v>
      </c>
      <c r="S30" s="34">
        <v>2.7489435672760001</v>
      </c>
      <c r="T30" s="34">
        <v>2.7665346186481599</v>
      </c>
      <c r="U30" s="34">
        <v>2.6991780211018899</v>
      </c>
      <c r="V30" s="34">
        <v>2.6161249333579901</v>
      </c>
      <c r="W30" s="34"/>
    </row>
    <row r="31" spans="1:23">
      <c r="A31" s="1" t="s">
        <v>211</v>
      </c>
      <c r="B31" s="34">
        <v>0.75712764776210595</v>
      </c>
      <c r="C31" s="34">
        <v>0.80181489965729003</v>
      </c>
      <c r="D31" s="34">
        <v>0.86666897421923705</v>
      </c>
      <c r="E31" s="34">
        <v>0.97076348386822897</v>
      </c>
      <c r="F31" s="34">
        <v>1.01859492293493</v>
      </c>
      <c r="G31" s="34">
        <v>1.0612322288926299</v>
      </c>
      <c r="H31" s="34">
        <v>1.09983961174032</v>
      </c>
      <c r="I31" s="34">
        <v>1.1400342048596499</v>
      </c>
      <c r="J31" s="34">
        <v>1.2164511319606099</v>
      </c>
      <c r="K31" s="34">
        <v>1.29553953015128</v>
      </c>
      <c r="L31" s="34">
        <v>1.3884878458797001</v>
      </c>
      <c r="M31" s="34">
        <v>1.4732164144516</v>
      </c>
      <c r="N31" s="34">
        <v>1.6057044267654399</v>
      </c>
      <c r="O31" s="34">
        <v>1.70127630233765</v>
      </c>
      <c r="P31" s="34">
        <v>1.8132010698318499</v>
      </c>
      <c r="Q31" s="34">
        <v>1.98881411552429</v>
      </c>
      <c r="R31" s="34">
        <v>2.1330816745758101</v>
      </c>
      <c r="S31" s="34">
        <v>2.1815569400787398</v>
      </c>
      <c r="T31" s="34">
        <v>2.22613682539341</v>
      </c>
      <c r="U31" s="34">
        <v>2.2807125509918702</v>
      </c>
      <c r="V31" s="34">
        <v>2.3618448812481398</v>
      </c>
      <c r="W31" s="34"/>
    </row>
    <row r="32" spans="1:23">
      <c r="A32" s="1" t="s">
        <v>1159</v>
      </c>
      <c r="B32" s="34">
        <v>1.77383881698965</v>
      </c>
      <c r="C32" s="34">
        <v>1.7749143654694199</v>
      </c>
      <c r="D32" s="34">
        <v>1.7631393502475201</v>
      </c>
      <c r="E32" s="34">
        <v>1.75030883022564</v>
      </c>
      <c r="F32" s="34">
        <v>1.8037583506313399</v>
      </c>
      <c r="G32" s="34">
        <v>1.8659060901559701</v>
      </c>
      <c r="H32" s="34">
        <v>1.8883549195709199</v>
      </c>
      <c r="I32" s="34">
        <v>1.9940914140071999</v>
      </c>
      <c r="J32" s="34">
        <v>1.98855629277341</v>
      </c>
      <c r="K32" s="34">
        <v>1.94026022869213</v>
      </c>
      <c r="L32" s="34">
        <v>1.99114071891737</v>
      </c>
      <c r="M32" s="34">
        <v>2.0188870429992698</v>
      </c>
      <c r="N32" s="34">
        <v>2.1227371692657502</v>
      </c>
      <c r="O32" s="34">
        <v>2.1456098556518599</v>
      </c>
      <c r="P32" s="34">
        <v>2.17311811447144</v>
      </c>
      <c r="Q32" s="34">
        <v>2.1307795047760001</v>
      </c>
      <c r="R32" s="34">
        <v>2.11886811256409</v>
      </c>
      <c r="S32" s="34">
        <v>2.2030050754547101</v>
      </c>
      <c r="T32" s="34">
        <v>2.2110737727332701</v>
      </c>
      <c r="U32" s="34">
        <v>2.2267518734285399</v>
      </c>
      <c r="V32" s="34">
        <v>2.3032733294366898</v>
      </c>
      <c r="W32" s="34"/>
    </row>
    <row r="33" spans="1:23">
      <c r="A33" s="1" t="s">
        <v>1160</v>
      </c>
      <c r="B33" s="34">
        <v>0.46739851414854</v>
      </c>
      <c r="C33" s="34">
        <v>0.43179105139256502</v>
      </c>
      <c r="D33" s="34">
        <v>0.42665813412294401</v>
      </c>
      <c r="E33" s="34">
        <v>0.444450092444796</v>
      </c>
      <c r="F33" s="34">
        <v>0.501553287524379</v>
      </c>
      <c r="G33" s="34">
        <v>0.57768191939198998</v>
      </c>
      <c r="H33" s="34">
        <v>0.61705251773587899</v>
      </c>
      <c r="I33" s="34">
        <v>0.60764327529408602</v>
      </c>
      <c r="J33" s="34">
        <v>0.67170426276945305</v>
      </c>
      <c r="K33" s="34">
        <v>0.51935596644159898</v>
      </c>
      <c r="L33" s="34">
        <v>0.59904715882609205</v>
      </c>
      <c r="M33" s="34">
        <v>0.70520681142806996</v>
      </c>
      <c r="N33" s="34">
        <v>0.67601227760314897</v>
      </c>
      <c r="O33" s="34">
        <v>0.66810786724090598</v>
      </c>
      <c r="P33" s="34">
        <v>0.64969736337661699</v>
      </c>
      <c r="Q33" s="34">
        <v>0.68511360883712802</v>
      </c>
      <c r="R33" s="34">
        <v>0.66635441780090299</v>
      </c>
      <c r="S33" s="34">
        <v>0.64685362577438399</v>
      </c>
      <c r="T33" s="34">
        <v>0.68991365501399604</v>
      </c>
      <c r="U33" s="34">
        <v>0.65520336333840001</v>
      </c>
      <c r="V33" s="34">
        <v>0.57706880232535696</v>
      </c>
      <c r="W33" s="34"/>
    </row>
    <row r="34" spans="1:23">
      <c r="A34" s="1" t="s">
        <v>209</v>
      </c>
      <c r="B34" s="34">
        <v>11.970034875948601</v>
      </c>
      <c r="C34" s="34">
        <v>12.3407960882776</v>
      </c>
      <c r="D34" s="34">
        <v>12.7263276959557</v>
      </c>
      <c r="E34" s="34">
        <v>12.877390372694199</v>
      </c>
      <c r="F34" s="34">
        <v>13.004384958817001</v>
      </c>
      <c r="G34" s="34">
        <v>13.355973720739099</v>
      </c>
      <c r="H34" s="34">
        <v>13.666279343072301</v>
      </c>
      <c r="I34" s="34">
        <v>13.7018353559272</v>
      </c>
      <c r="J34" s="34">
        <v>14.1810311854288</v>
      </c>
      <c r="K34" s="34">
        <v>14.74312736365</v>
      </c>
      <c r="L34" s="34">
        <v>15.426478796788301</v>
      </c>
      <c r="M34" s="34">
        <v>16.396804809570298</v>
      </c>
      <c r="N34" s="34">
        <v>17.147607803344702</v>
      </c>
      <c r="O34" s="34">
        <v>18.135402679443398</v>
      </c>
      <c r="P34" s="34">
        <v>18.677070617675799</v>
      </c>
      <c r="Q34" s="34">
        <v>18.586774826049801</v>
      </c>
      <c r="R34" s="34">
        <v>18.831047058105501</v>
      </c>
      <c r="S34" s="34">
        <v>19.208339691162099</v>
      </c>
      <c r="T34" s="34">
        <v>19.087979133280601</v>
      </c>
      <c r="U34" s="34">
        <v>18.921807422539999</v>
      </c>
      <c r="V34" s="34">
        <v>19.977729441194501</v>
      </c>
      <c r="W34" s="34"/>
    </row>
    <row r="35" spans="1:23">
      <c r="A35" s="1" t="s">
        <v>1161</v>
      </c>
      <c r="B35" s="34">
        <v>2.0457340983834</v>
      </c>
      <c r="C35" s="34">
        <v>2.1682338059330202</v>
      </c>
      <c r="D35" s="34">
        <v>2.1598156145638998</v>
      </c>
      <c r="E35" s="34">
        <v>2.18954391189413</v>
      </c>
      <c r="F35" s="34">
        <v>2.3470362207893301</v>
      </c>
      <c r="G35" s="34">
        <v>2.6282929671798199</v>
      </c>
      <c r="H35" s="34">
        <v>2.7417381375213199</v>
      </c>
      <c r="I35" s="34">
        <v>2.8015819165171099</v>
      </c>
      <c r="J35" s="34">
        <v>2.8780969715234601</v>
      </c>
      <c r="K35" s="34">
        <v>3.0409123355105301</v>
      </c>
      <c r="L35" s="34">
        <v>3.2740113391645602</v>
      </c>
      <c r="M35" s="34">
        <v>3.6546580791473402</v>
      </c>
      <c r="N35" s="34">
        <v>3.9637868404388401</v>
      </c>
      <c r="O35" s="34">
        <v>4.1258492469787598</v>
      </c>
      <c r="P35" s="34">
        <v>4.2844295501709002</v>
      </c>
      <c r="Q35" s="34">
        <v>4.4301252365112296</v>
      </c>
      <c r="R35" s="34">
        <v>4.5750570297241202</v>
      </c>
      <c r="S35" s="34">
        <v>4.7338495254516602</v>
      </c>
      <c r="T35" s="34">
        <v>4.6075127701971503</v>
      </c>
      <c r="U35" s="34">
        <v>4.5468775351231301</v>
      </c>
      <c r="V35" s="34">
        <v>4.7466375778040604</v>
      </c>
      <c r="W35" s="34"/>
    </row>
    <row r="36" spans="1:23">
      <c r="A36" s="1" t="s">
        <v>1162</v>
      </c>
      <c r="B36" s="34">
        <v>265.18802568376799</v>
      </c>
      <c r="C36" s="34">
        <v>260.601465453949</v>
      </c>
      <c r="D36" s="34">
        <v>250.458644781668</v>
      </c>
      <c r="E36" s="34">
        <v>249.17834174635399</v>
      </c>
      <c r="F36" s="34">
        <v>231.872847840812</v>
      </c>
      <c r="G36" s="34">
        <v>234.28679751092201</v>
      </c>
      <c r="H36" s="34">
        <v>234.986844183035</v>
      </c>
      <c r="I36" s="34">
        <v>233.04617644109999</v>
      </c>
      <c r="J36" s="34">
        <v>244.777769175538</v>
      </c>
      <c r="K36" s="34">
        <v>244.65455331636099</v>
      </c>
      <c r="L36" s="34">
        <v>252.02103679849401</v>
      </c>
      <c r="M36" s="34">
        <v>256.76135253906301</v>
      </c>
      <c r="N36" s="34">
        <v>262.12899780273398</v>
      </c>
      <c r="O36" s="34">
        <v>254.34715270996099</v>
      </c>
      <c r="P36" s="34">
        <v>290.94522094726602</v>
      </c>
      <c r="Q36" s="34">
        <v>283.52374267578102</v>
      </c>
      <c r="R36" s="34">
        <v>280.04779052734398</v>
      </c>
      <c r="S36" s="34">
        <v>286.82916259765602</v>
      </c>
      <c r="T36" s="34">
        <v>276.67512021892702</v>
      </c>
      <c r="U36" s="34">
        <v>278.29571824500402</v>
      </c>
      <c r="V36" s="34">
        <v>287.19483649835701</v>
      </c>
      <c r="W36" s="34"/>
    </row>
    <row r="37" spans="1:23">
      <c r="A37" s="1" t="s">
        <v>1163</v>
      </c>
      <c r="B37" s="34">
        <v>1.2275990000000001</v>
      </c>
      <c r="C37" s="34">
        <v>1.220464</v>
      </c>
      <c r="D37" s="34">
        <v>1.229333</v>
      </c>
      <c r="E37" s="34">
        <v>1.225714</v>
      </c>
      <c r="F37" s="34">
        <v>1.2326619999999999</v>
      </c>
      <c r="G37" s="34">
        <v>1.2136439999999999</v>
      </c>
      <c r="H37" s="34">
        <v>1.205365</v>
      </c>
      <c r="I37" s="34">
        <v>1.212099</v>
      </c>
      <c r="J37" s="34">
        <v>1.2343900000000001</v>
      </c>
      <c r="K37" s="34">
        <v>1.2022440000000001</v>
      </c>
      <c r="L37" s="34">
        <v>1.2218199999999999</v>
      </c>
      <c r="M37" s="34">
        <v>1.2399039999999999</v>
      </c>
      <c r="N37" s="34">
        <v>1.244607</v>
      </c>
      <c r="O37" s="34">
        <v>1.224</v>
      </c>
      <c r="P37" s="34">
        <v>1.2303580000000001</v>
      </c>
      <c r="Q37" s="34">
        <v>1.2480420000000001</v>
      </c>
      <c r="R37" s="34">
        <v>1.2070449999999999</v>
      </c>
      <c r="S37" s="34">
        <v>1.212304</v>
      </c>
      <c r="T37" s="34">
        <v>1.2065239999999999</v>
      </c>
      <c r="U37" s="34">
        <v>1.246847</v>
      </c>
      <c r="V37" s="34">
        <v>1.245722</v>
      </c>
      <c r="W37" s="34">
        <v>1.286727</v>
      </c>
    </row>
    <row r="38" spans="1:23">
      <c r="A38" s="1" t="s">
        <v>1164</v>
      </c>
      <c r="B38" s="34"/>
      <c r="C38" s="34"/>
      <c r="D38" s="34"/>
      <c r="E38" s="34"/>
      <c r="F38" s="34"/>
      <c r="G38" s="34"/>
      <c r="H38" s="34"/>
      <c r="I38" s="34"/>
      <c r="J38" s="34"/>
      <c r="K38" s="34"/>
      <c r="L38" s="34"/>
      <c r="M38" s="34"/>
      <c r="N38" s="34"/>
      <c r="O38" s="34"/>
      <c r="P38" s="34"/>
      <c r="Q38" s="34"/>
      <c r="R38" s="34"/>
      <c r="S38" s="34"/>
      <c r="T38" s="34"/>
      <c r="U38" s="34"/>
      <c r="V38" s="34"/>
      <c r="W38" s="34"/>
    </row>
    <row r="39" spans="1:23">
      <c r="A39" s="1" t="s">
        <v>1165</v>
      </c>
      <c r="B39" s="34">
        <v>1.7888869999999999</v>
      </c>
      <c r="C39" s="34">
        <v>1.769144</v>
      </c>
      <c r="D39" s="34">
        <v>1.7097599999999999</v>
      </c>
      <c r="E39" s="34">
        <v>1.715249</v>
      </c>
      <c r="F39" s="34">
        <v>1.6918059999999999</v>
      </c>
      <c r="G39" s="34">
        <v>1.6865479999999999</v>
      </c>
      <c r="H39" s="34">
        <v>1.598848</v>
      </c>
      <c r="I39" s="34">
        <v>1.532132</v>
      </c>
      <c r="J39" s="34">
        <v>1.4930490000000001</v>
      </c>
      <c r="K39" s="34">
        <v>1.470062</v>
      </c>
      <c r="L39" s="34">
        <v>1.466062</v>
      </c>
      <c r="M39" s="34">
        <v>1.3974979999999999</v>
      </c>
      <c r="N39" s="34">
        <v>1.3540719999999999</v>
      </c>
      <c r="O39" s="34">
        <v>1.3124769999999999</v>
      </c>
      <c r="P39" s="34">
        <v>1.2817609999999999</v>
      </c>
      <c r="Q39" s="34">
        <v>1.2357880000000001</v>
      </c>
      <c r="R39" s="34">
        <v>1.201964</v>
      </c>
      <c r="S39" s="34">
        <v>1.1877260000000001</v>
      </c>
      <c r="T39" s="34">
        <v>1.178866</v>
      </c>
      <c r="U39" s="34">
        <v>1.1772689999999999</v>
      </c>
      <c r="V39" s="34">
        <v>1.139775</v>
      </c>
      <c r="W39" s="34">
        <v>1.109307</v>
      </c>
    </row>
    <row r="40" spans="1:23">
      <c r="A40" s="1" t="s">
        <v>1166</v>
      </c>
      <c r="B40" s="34"/>
      <c r="C40" s="34"/>
      <c r="D40" s="34"/>
      <c r="E40" s="34"/>
      <c r="F40" s="34"/>
      <c r="G40" s="34"/>
      <c r="H40" s="34"/>
      <c r="I40" s="34"/>
      <c r="J40" s="34"/>
      <c r="K40" s="34"/>
      <c r="L40" s="34"/>
      <c r="M40" s="34"/>
      <c r="N40" s="34"/>
      <c r="O40" s="34"/>
      <c r="P40" s="34"/>
      <c r="Q40" s="34"/>
      <c r="R40" s="34"/>
      <c r="S40" s="34"/>
      <c r="T40" s="34"/>
      <c r="U40" s="34"/>
      <c r="V40" s="34"/>
      <c r="W40" s="34"/>
    </row>
    <row r="41" spans="1:23">
      <c r="A41" s="1" t="s">
        <v>1167</v>
      </c>
      <c r="B41" s="34">
        <v>287.04525100000001</v>
      </c>
      <c r="C41" s="34">
        <v>291.55924599999997</v>
      </c>
      <c r="D41" s="34">
        <v>296.82318400000003</v>
      </c>
      <c r="E41" s="34">
        <v>304.40616399999999</v>
      </c>
      <c r="F41" s="34">
        <v>319.71810199999999</v>
      </c>
      <c r="G41" s="34">
        <v>333.69</v>
      </c>
      <c r="H41" s="34">
        <v>318.57472200000001</v>
      </c>
      <c r="I41" s="34">
        <v>323.878962</v>
      </c>
      <c r="J41" s="34">
        <v>340.40083299999998</v>
      </c>
      <c r="K41" s="34">
        <v>354.32588500000003</v>
      </c>
      <c r="L41" s="34">
        <v>359.83702</v>
      </c>
      <c r="M41" s="34">
        <v>348.01684699999998</v>
      </c>
      <c r="N41" s="34">
        <v>347.22850699999998</v>
      </c>
      <c r="O41" s="34">
        <v>349.68053600000002</v>
      </c>
      <c r="P41" s="34">
        <v>367.21390700000001</v>
      </c>
      <c r="Q41" s="34">
        <v>391.17886099999998</v>
      </c>
      <c r="R41" s="34">
        <v>397.25070299999999</v>
      </c>
      <c r="S41" s="34">
        <v>397.68940099999998</v>
      </c>
      <c r="T41" s="34">
        <v>396.22941300000002</v>
      </c>
      <c r="U41" s="34">
        <v>408.02164299999998</v>
      </c>
      <c r="V41" s="34">
        <v>417.72461900000002</v>
      </c>
      <c r="W41" s="34">
        <v>435.22006299999998</v>
      </c>
    </row>
    <row r="42" spans="1:23">
      <c r="A42" s="1" t="s">
        <v>145</v>
      </c>
      <c r="B42" s="34">
        <v>2.71936444316992</v>
      </c>
      <c r="C42" s="34">
        <v>2.7154693845302802</v>
      </c>
      <c r="D42" s="34">
        <v>2.68928114635992</v>
      </c>
      <c r="E42" s="34">
        <v>2.7089795840919502</v>
      </c>
      <c r="F42" s="34">
        <v>2.82135089555657</v>
      </c>
      <c r="G42" s="34">
        <v>2.8429334805509701</v>
      </c>
      <c r="H42" s="34">
        <v>2.8677778418261299</v>
      </c>
      <c r="I42" s="34">
        <v>3.0091864918243498</v>
      </c>
      <c r="J42" s="34">
        <v>3.1818714023485701</v>
      </c>
      <c r="K42" s="34">
        <v>3.1511812900571101</v>
      </c>
      <c r="L42" s="34">
        <v>3.3292321612341702</v>
      </c>
      <c r="M42" s="34">
        <v>3.5244677066803001</v>
      </c>
      <c r="N42" s="34">
        <v>3.5609679222106898</v>
      </c>
      <c r="O42" s="34">
        <v>3.6636447906494101</v>
      </c>
      <c r="P42" s="34">
        <v>3.75884985923767</v>
      </c>
      <c r="Q42" s="34">
        <v>3.8706972599029501</v>
      </c>
      <c r="R42" s="34">
        <v>3.98883724212646</v>
      </c>
      <c r="S42" s="34">
        <v>4.1838111877441397</v>
      </c>
      <c r="T42" s="34">
        <v>4.2287036449810396</v>
      </c>
      <c r="U42" s="34">
        <v>4.2080265276453197</v>
      </c>
      <c r="V42" s="34">
        <v>4.1839103069605699</v>
      </c>
      <c r="W42" s="34"/>
    </row>
    <row r="43" spans="1:23">
      <c r="A43" s="1" t="s">
        <v>1168</v>
      </c>
      <c r="B43" s="34">
        <v>218.36902115003701</v>
      </c>
      <c r="C43" s="34">
        <v>228.37477667712301</v>
      </c>
      <c r="D43" s="34">
        <v>235.12017860245399</v>
      </c>
      <c r="E43" s="34">
        <v>238.40037982785501</v>
      </c>
      <c r="F43" s="34">
        <v>226.338844169553</v>
      </c>
      <c r="G43" s="34">
        <v>222.35788360404101</v>
      </c>
      <c r="H43" s="34">
        <v>218.76077535708399</v>
      </c>
      <c r="I43" s="34">
        <v>219.61776439361299</v>
      </c>
      <c r="J43" s="34">
        <v>227.00218924353001</v>
      </c>
      <c r="K43" s="34">
        <v>228.00567346255801</v>
      </c>
      <c r="L43" s="34">
        <v>228.79668177272401</v>
      </c>
      <c r="M43" s="34">
        <v>236.91058349609401</v>
      </c>
      <c r="N43" s="34">
        <v>241.71537780761699</v>
      </c>
      <c r="O43" s="34">
        <v>247.24160766601599</v>
      </c>
      <c r="P43" s="34">
        <v>246.51933288574199</v>
      </c>
      <c r="Q43" s="34">
        <v>250.63824462890599</v>
      </c>
      <c r="R43" s="34">
        <v>252.41082763671901</v>
      </c>
      <c r="S43" s="34">
        <v>253.74560546875</v>
      </c>
      <c r="T43" s="34">
        <v>249.36918691715701</v>
      </c>
      <c r="U43" s="34">
        <v>245.486840398189</v>
      </c>
      <c r="V43" s="34">
        <v>244.92735198918001</v>
      </c>
      <c r="W43" s="34"/>
    </row>
    <row r="44" spans="1:23">
      <c r="A44" s="1" t="s">
        <v>1169</v>
      </c>
      <c r="B44" s="34">
        <v>238.42567925324599</v>
      </c>
      <c r="C44" s="34">
        <v>239.06945500082</v>
      </c>
      <c r="D44" s="34">
        <v>241.87650684117301</v>
      </c>
      <c r="E44" s="34">
        <v>242.10404547611401</v>
      </c>
      <c r="F44" s="34">
        <v>236.08582008046099</v>
      </c>
      <c r="G44" s="34">
        <v>232.06126518266501</v>
      </c>
      <c r="H44" s="34">
        <v>230.424794217108</v>
      </c>
      <c r="I44" s="34">
        <v>225.498001941517</v>
      </c>
      <c r="J44" s="34">
        <v>232.12370200619401</v>
      </c>
      <c r="K44" s="34">
        <v>238.668823119244</v>
      </c>
      <c r="L44" s="34">
        <v>237.54333611204299</v>
      </c>
      <c r="M44" s="34">
        <v>238.70707702636699</v>
      </c>
      <c r="N44" s="34">
        <v>242.19395446777301</v>
      </c>
      <c r="O44" s="34">
        <v>241.0830078125</v>
      </c>
      <c r="P44" s="34">
        <v>239.11933898925801</v>
      </c>
      <c r="Q44" s="34">
        <v>240.70826721191401</v>
      </c>
      <c r="R44" s="34">
        <v>237.44375610351599</v>
      </c>
      <c r="S44" s="34">
        <v>232.80139160156301</v>
      </c>
      <c r="T44" s="34">
        <v>231.65560711769899</v>
      </c>
      <c r="U44" s="34">
        <v>230.25504761215001</v>
      </c>
      <c r="V44" s="34">
        <v>228.764378154393</v>
      </c>
      <c r="W44" s="34"/>
    </row>
    <row r="45" spans="1:23">
      <c r="A45" s="1" t="s">
        <v>1170</v>
      </c>
      <c r="B45" s="34">
        <v>62.538659686066801</v>
      </c>
      <c r="C45" s="34">
        <v>105.906249425246</v>
      </c>
      <c r="D45" s="34">
        <v>137.32695419215401</v>
      </c>
      <c r="E45" s="34">
        <v>152.91029809416699</v>
      </c>
      <c r="F45" s="34">
        <v>158.379818616215</v>
      </c>
      <c r="G45" s="34">
        <v>199.473662783262</v>
      </c>
      <c r="H45" s="34">
        <v>219.414059478844</v>
      </c>
      <c r="I45" s="34">
        <v>256.98906076088599</v>
      </c>
      <c r="J45" s="34">
        <v>303.675791631886</v>
      </c>
      <c r="K45" s="34">
        <v>399.80212504284498</v>
      </c>
      <c r="L45" s="34">
        <v>477.34404068086099</v>
      </c>
      <c r="M45" s="34">
        <v>532.06341552734398</v>
      </c>
      <c r="N45" s="34">
        <v>583.254638671875</v>
      </c>
      <c r="O45" s="34">
        <v>558.90661621093795</v>
      </c>
      <c r="P45" s="34">
        <v>530.01763916015602</v>
      </c>
      <c r="Q45" s="34">
        <v>508.59552001953102</v>
      </c>
      <c r="R45" s="34">
        <v>494.126708984375</v>
      </c>
      <c r="S45" s="34">
        <v>645.39056396484398</v>
      </c>
      <c r="T45" s="34">
        <v>818.30135948449004</v>
      </c>
      <c r="U45" s="34">
        <v>836.15689617131</v>
      </c>
      <c r="V45" s="34">
        <v>881.85476894390104</v>
      </c>
      <c r="W45" s="34"/>
    </row>
    <row r="46" spans="1:23">
      <c r="A46" s="1" t="s">
        <v>1171</v>
      </c>
      <c r="B46" s="34">
        <v>216.40003501407099</v>
      </c>
      <c r="C46" s="34">
        <v>182.267967859203</v>
      </c>
      <c r="D46" s="34">
        <v>176.30965897109201</v>
      </c>
      <c r="E46" s="34">
        <v>165.73591500096401</v>
      </c>
      <c r="F46" s="34">
        <v>188.51628685853399</v>
      </c>
      <c r="G46" s="34">
        <v>221.81641482426301</v>
      </c>
      <c r="H46" s="34">
        <v>239.80286670781899</v>
      </c>
      <c r="I46" s="34">
        <v>249.269779304406</v>
      </c>
      <c r="J46" s="34">
        <v>284.29409225920398</v>
      </c>
      <c r="K46" s="34">
        <v>222.42691336127299</v>
      </c>
      <c r="L46" s="34">
        <v>284.54410764553501</v>
      </c>
      <c r="M46" s="34">
        <v>309.25119018554699</v>
      </c>
      <c r="N46" s="34">
        <v>316.11636352539102</v>
      </c>
      <c r="O46" s="34">
        <v>316.15191650390602</v>
      </c>
      <c r="P46" s="34">
        <v>314.80508422851602</v>
      </c>
      <c r="Q46" s="34">
        <v>311.99905395507801</v>
      </c>
      <c r="R46" s="34">
        <v>316.62527465820301</v>
      </c>
      <c r="S46" s="34">
        <v>297.67398071289102</v>
      </c>
      <c r="T46" s="34">
        <v>359.91194812609598</v>
      </c>
      <c r="U46" s="34">
        <v>348.201631273548</v>
      </c>
      <c r="V46" s="34">
        <v>293.350159629632</v>
      </c>
      <c r="W46" s="34"/>
    </row>
    <row r="47" spans="1:23">
      <c r="A47" s="1" t="s">
        <v>241</v>
      </c>
      <c r="B47" s="34">
        <v>786.49607067372597</v>
      </c>
      <c r="C47" s="34">
        <v>819.78210196124996</v>
      </c>
      <c r="D47" s="34">
        <v>855.18131836203497</v>
      </c>
      <c r="E47" s="34">
        <v>896.925025899209</v>
      </c>
      <c r="F47" s="34">
        <v>937.02176167665198</v>
      </c>
      <c r="G47" s="34">
        <v>951.90883224923903</v>
      </c>
      <c r="H47" s="34">
        <v>977.60804889946905</v>
      </c>
      <c r="I47" s="34">
        <v>1001.55888506311</v>
      </c>
      <c r="J47" s="34">
        <v>1057.8753274150099</v>
      </c>
      <c r="K47" s="34">
        <v>1092.5407813654699</v>
      </c>
      <c r="L47" s="34">
        <v>1121.0474205610401</v>
      </c>
      <c r="M47" s="34">
        <v>1168.24304199219</v>
      </c>
      <c r="N47" s="34">
        <v>1203.58520507813</v>
      </c>
      <c r="O47" s="34">
        <v>1206.67907714844</v>
      </c>
      <c r="P47" s="34">
        <v>1220.60729980469</v>
      </c>
      <c r="Q47" s="34">
        <v>1276.47937011719</v>
      </c>
      <c r="R47" s="34">
        <v>1298.142605</v>
      </c>
      <c r="S47" s="34">
        <v>1328.016627</v>
      </c>
      <c r="T47" s="34">
        <v>1322.160543</v>
      </c>
      <c r="U47" s="34">
        <v>1343.6017810000001</v>
      </c>
      <c r="V47" s="34">
        <v>1320.0953999999999</v>
      </c>
      <c r="W47" s="34">
        <v>1362.009599</v>
      </c>
    </row>
    <row r="48" spans="1:23">
      <c r="A48" s="1" t="s">
        <v>1172</v>
      </c>
      <c r="B48" s="34">
        <v>191.39866127452501</v>
      </c>
      <c r="C48" s="34">
        <v>203.453729431412</v>
      </c>
      <c r="D48" s="34">
        <v>208.63891132077299</v>
      </c>
      <c r="E48" s="34">
        <v>215.30574343254699</v>
      </c>
      <c r="F48" s="34">
        <v>216.76529918065901</v>
      </c>
      <c r="G48" s="34">
        <v>210.88119340522101</v>
      </c>
      <c r="H48" s="34">
        <v>211.05427478025601</v>
      </c>
      <c r="I48" s="34">
        <v>212.81907182645401</v>
      </c>
      <c r="J48" s="34">
        <v>215.24920431783499</v>
      </c>
      <c r="K48" s="34">
        <v>215.81198178718199</v>
      </c>
      <c r="L48" s="34">
        <v>216.85341675842301</v>
      </c>
      <c r="M48" s="34">
        <v>218.97758483886699</v>
      </c>
      <c r="N48" s="34">
        <v>213.963623046875</v>
      </c>
      <c r="O48" s="34">
        <v>211.50003051757801</v>
      </c>
      <c r="P48" s="34">
        <v>206.34310913085901</v>
      </c>
      <c r="Q48" s="34">
        <v>203.34403991699199</v>
      </c>
      <c r="R48" s="34">
        <v>197.570556640625</v>
      </c>
      <c r="S48" s="34">
        <v>190.125900268555</v>
      </c>
      <c r="T48" s="34">
        <v>189.07615956422501</v>
      </c>
      <c r="U48" s="34">
        <v>193.19078780570501</v>
      </c>
      <c r="V48" s="34">
        <v>194.06381868944601</v>
      </c>
      <c r="W48" s="34"/>
    </row>
    <row r="49" spans="1:23">
      <c r="A49" s="1" t="s">
        <v>1173</v>
      </c>
      <c r="B49" s="34">
        <v>53.331366542394598</v>
      </c>
      <c r="C49" s="34">
        <v>54.877089191222197</v>
      </c>
      <c r="D49" s="34">
        <v>53.826365163739098</v>
      </c>
      <c r="E49" s="34">
        <v>55.445537868075299</v>
      </c>
      <c r="F49" s="34">
        <v>50.572893564645902</v>
      </c>
      <c r="G49" s="34">
        <v>48.164861526797402</v>
      </c>
      <c r="H49" s="34">
        <v>48.919205498090299</v>
      </c>
      <c r="I49" s="34">
        <v>48.289933529972302</v>
      </c>
      <c r="J49" s="34">
        <v>49.048209770377703</v>
      </c>
      <c r="K49" s="34">
        <v>49.735662681685604</v>
      </c>
      <c r="L49" s="34">
        <v>49.411107374439403</v>
      </c>
      <c r="M49" s="34">
        <v>49.695461273193402</v>
      </c>
      <c r="N49" s="34">
        <v>51.140789031982401</v>
      </c>
      <c r="O49" s="34">
        <v>51.855216979980497</v>
      </c>
      <c r="P49" s="34">
        <v>51.839725494384801</v>
      </c>
      <c r="Q49" s="34">
        <v>50.452663421630902</v>
      </c>
      <c r="R49" s="34">
        <v>49.364143371582003</v>
      </c>
      <c r="S49" s="34">
        <v>48.477127075195298</v>
      </c>
      <c r="T49" s="34">
        <v>48.061878239600397</v>
      </c>
      <c r="U49" s="34">
        <v>47.484781973245902</v>
      </c>
      <c r="V49" s="34">
        <v>46.514823075158802</v>
      </c>
      <c r="W49" s="34"/>
    </row>
    <row r="50" spans="1:23">
      <c r="A50" s="1" t="s">
        <v>1174</v>
      </c>
      <c r="B50" s="34">
        <v>148.97715994764101</v>
      </c>
      <c r="C50" s="34">
        <v>159.95073715134799</v>
      </c>
      <c r="D50" s="34">
        <v>172.87053178381899</v>
      </c>
      <c r="E50" s="34">
        <v>187.79074281856199</v>
      </c>
      <c r="F50" s="34">
        <v>207.28101846929999</v>
      </c>
      <c r="G50" s="34">
        <v>227.17868686202601</v>
      </c>
      <c r="H50" s="34">
        <v>249.13688106901299</v>
      </c>
      <c r="I50" s="34">
        <v>268.1352138698</v>
      </c>
      <c r="J50" s="34">
        <v>293.06588880015101</v>
      </c>
      <c r="K50" s="34">
        <v>319.06479008930899</v>
      </c>
      <c r="L50" s="34">
        <v>336.29640435367003</v>
      </c>
      <c r="M50" s="34">
        <v>344.54602050781301</v>
      </c>
      <c r="N50" s="34">
        <v>353.78475952148398</v>
      </c>
      <c r="O50" s="34">
        <v>357.828125</v>
      </c>
      <c r="P50" s="34">
        <v>363.42178344726602</v>
      </c>
      <c r="Q50" s="34">
        <v>364.16271972656301</v>
      </c>
      <c r="R50" s="34">
        <v>343.01361700000001</v>
      </c>
      <c r="S50" s="34">
        <v>340.99188199999998</v>
      </c>
      <c r="T50" s="34">
        <v>337.90193599999998</v>
      </c>
      <c r="U50" s="34">
        <v>331.16774199999998</v>
      </c>
      <c r="V50" s="34">
        <v>320.849715</v>
      </c>
      <c r="W50" s="34">
        <v>314.617096</v>
      </c>
    </row>
    <row r="51" spans="1:23">
      <c r="A51" s="1" t="s">
        <v>1175</v>
      </c>
      <c r="B51" s="34"/>
      <c r="C51" s="34"/>
      <c r="D51" s="34"/>
      <c r="E51" s="34"/>
      <c r="F51" s="34"/>
      <c r="G51" s="34"/>
      <c r="H51" s="34"/>
      <c r="I51" s="34"/>
      <c r="J51" s="34"/>
      <c r="K51" s="34"/>
      <c r="L51" s="34"/>
      <c r="M51" s="34"/>
      <c r="N51" s="34"/>
      <c r="O51" s="34"/>
      <c r="P51" s="34"/>
      <c r="Q51" s="34"/>
      <c r="R51" s="34"/>
      <c r="S51" s="34"/>
      <c r="T51" s="34"/>
      <c r="U51" s="34"/>
      <c r="V51" s="34"/>
      <c r="W51" s="34"/>
    </row>
    <row r="52" spans="1:23">
      <c r="A52" s="1" t="s">
        <v>255</v>
      </c>
      <c r="B52" s="34"/>
      <c r="C52" s="34"/>
      <c r="D52" s="34"/>
      <c r="E52" s="34"/>
      <c r="F52" s="34"/>
      <c r="G52" s="34"/>
      <c r="H52" s="34"/>
      <c r="I52" s="34"/>
      <c r="J52" s="34"/>
      <c r="K52" s="34"/>
      <c r="L52" s="34"/>
      <c r="M52" s="34">
        <v>0.32193871145563202</v>
      </c>
      <c r="N52" s="34"/>
      <c r="O52" s="34"/>
      <c r="P52" s="34"/>
      <c r="Q52" s="34"/>
      <c r="R52" s="34"/>
      <c r="S52" s="34"/>
      <c r="T52" s="34"/>
      <c r="U52" s="34"/>
      <c r="V52" s="34"/>
      <c r="W52" s="34"/>
    </row>
    <row r="53" spans="1:23">
      <c r="A53" s="1" t="s">
        <v>1176</v>
      </c>
      <c r="B53" s="34">
        <v>1.24904885120075</v>
      </c>
      <c r="C53" s="34">
        <v>1.2441179987041999</v>
      </c>
      <c r="D53" s="34">
        <v>1.2297669013413699</v>
      </c>
      <c r="E53" s="34">
        <v>1.2269043645256701</v>
      </c>
      <c r="F53" s="34">
        <v>1.2112268399406501</v>
      </c>
      <c r="G53" s="34">
        <v>1.2227976948594399</v>
      </c>
      <c r="H53" s="34">
        <v>1.2240296379218301</v>
      </c>
      <c r="I53" s="34">
        <v>1.22776919391658</v>
      </c>
      <c r="J53" s="34">
        <v>1.28744282493919</v>
      </c>
      <c r="K53" s="34">
        <v>1.30070089194701</v>
      </c>
      <c r="L53" s="34">
        <v>1.3214620408614299</v>
      </c>
      <c r="M53" s="34">
        <v>1.3246216773986801</v>
      </c>
      <c r="N53" s="34">
        <v>1.4078603982925399</v>
      </c>
      <c r="O53" s="34">
        <v>1.41306436061859</v>
      </c>
      <c r="P53" s="34">
        <v>1.4287959337234499</v>
      </c>
      <c r="Q53" s="34">
        <v>1.42337906360626</v>
      </c>
      <c r="R53" s="34">
        <v>1.41097772121429</v>
      </c>
      <c r="S53" s="34">
        <v>1.3671565055847199</v>
      </c>
      <c r="T53" s="34">
        <v>1.36960833068752</v>
      </c>
      <c r="U53" s="34">
        <v>1.3813156376438001</v>
      </c>
      <c r="V53" s="34">
        <v>1.39978947661572</v>
      </c>
      <c r="W53" s="34"/>
    </row>
    <row r="54" spans="1:23">
      <c r="A54" s="1" t="s">
        <v>1177</v>
      </c>
      <c r="B54" s="34"/>
      <c r="C54" s="34"/>
      <c r="D54" s="34"/>
      <c r="E54" s="34"/>
      <c r="F54" s="34"/>
      <c r="G54" s="34"/>
      <c r="H54" s="34">
        <v>0.96627583478738799</v>
      </c>
      <c r="I54" s="34">
        <v>0.96991344724476203</v>
      </c>
      <c r="J54" s="34">
        <v>0.98040362433620598</v>
      </c>
      <c r="K54" s="34">
        <v>0.978924936475978</v>
      </c>
      <c r="L54" s="34">
        <v>0.96565211177629495</v>
      </c>
      <c r="M54" s="34">
        <v>0.94153791666030895</v>
      </c>
      <c r="N54" s="34">
        <v>0.965750873088837</v>
      </c>
      <c r="O54" s="34">
        <v>0.98109811544418302</v>
      </c>
      <c r="P54" s="34">
        <v>0.99083691835403398</v>
      </c>
      <c r="Q54" s="34">
        <v>0.98963290452957198</v>
      </c>
      <c r="R54" s="34">
        <v>0.98125523328781095</v>
      </c>
      <c r="S54" s="34">
        <v>0.9737908244133</v>
      </c>
      <c r="T54" s="34">
        <v>0.97559450219249</v>
      </c>
      <c r="U54" s="34">
        <v>0.99231016047106202</v>
      </c>
      <c r="V54" s="34">
        <v>0.99029567498575299</v>
      </c>
      <c r="W54" s="34"/>
    </row>
    <row r="55" spans="1:23">
      <c r="A55" s="1" t="s">
        <v>1178</v>
      </c>
      <c r="B55" s="34">
        <v>0.71710220287736304</v>
      </c>
      <c r="C55" s="34">
        <v>0.71183755235840496</v>
      </c>
      <c r="D55" s="34">
        <v>0.71050487664945505</v>
      </c>
      <c r="E55" s="34">
        <v>0.73653066250718302</v>
      </c>
      <c r="F55" s="34">
        <v>0.73363669784731</v>
      </c>
      <c r="G55" s="34">
        <v>0.72289123082844098</v>
      </c>
      <c r="H55" s="34">
        <v>0.70983340751573698</v>
      </c>
      <c r="I55" s="34">
        <v>0.69423570373996302</v>
      </c>
      <c r="J55" s="34">
        <v>0.69381614475031805</v>
      </c>
      <c r="K55" s="34">
        <v>0.68208099904866903</v>
      </c>
      <c r="L55" s="34">
        <v>0.70014001256328995</v>
      </c>
      <c r="M55" s="34">
        <v>0.69862097754056895</v>
      </c>
      <c r="N55" s="34">
        <v>0.70685322124299099</v>
      </c>
      <c r="O55" s="34">
        <v>0.68731675996998898</v>
      </c>
      <c r="P55" s="34">
        <v>0.67971024876762598</v>
      </c>
      <c r="Q55" s="34">
        <v>0.66313852347063496</v>
      </c>
      <c r="R55" s="34">
        <v>0.62232622084586098</v>
      </c>
      <c r="S55" s="34">
        <v>0.61518478843063695</v>
      </c>
      <c r="T55" s="34">
        <v>0.61244303076338802</v>
      </c>
      <c r="U55" s="34">
        <v>0.61621143576312098</v>
      </c>
      <c r="V55" s="34">
        <v>0.61210416235107001</v>
      </c>
      <c r="W55" s="34"/>
    </row>
    <row r="56" spans="1:23">
      <c r="A56" s="1" t="s">
        <v>1390</v>
      </c>
      <c r="B56" s="34">
        <v>14.332421</v>
      </c>
      <c r="C56" s="34">
        <v>14.326301000000001</v>
      </c>
      <c r="D56" s="34">
        <v>14.458321</v>
      </c>
      <c r="E56" s="34">
        <v>14.176016000000001</v>
      </c>
      <c r="F56" s="34">
        <v>14.426129</v>
      </c>
      <c r="G56" s="34">
        <v>14.562493</v>
      </c>
      <c r="H56" s="34">
        <v>14.414552</v>
      </c>
      <c r="I56" s="34">
        <v>14.258779000000001</v>
      </c>
      <c r="J56" s="34">
        <v>13.916713</v>
      </c>
      <c r="K56" s="34">
        <v>13.638434999999999</v>
      </c>
      <c r="L56" s="34">
        <v>13.672003999999999</v>
      </c>
      <c r="M56" s="34">
        <v>13.345305</v>
      </c>
      <c r="N56" s="34">
        <v>13.297699</v>
      </c>
      <c r="O56" s="34">
        <v>12.785271</v>
      </c>
      <c r="P56" s="34">
        <v>12.70321</v>
      </c>
      <c r="Q56" s="34">
        <v>12.93798</v>
      </c>
      <c r="R56" s="34">
        <v>12.576343</v>
      </c>
      <c r="S56" s="34">
        <v>12.424986000000001</v>
      </c>
      <c r="T56" s="34">
        <v>12.371528</v>
      </c>
      <c r="U56" s="34">
        <v>12.663206000000001</v>
      </c>
      <c r="V56" s="34">
        <v>12.793018999999999</v>
      </c>
      <c r="W56" s="34">
        <v>12.737902999999999</v>
      </c>
    </row>
    <row r="57" spans="1:23">
      <c r="A57" s="1" t="s">
        <v>1180</v>
      </c>
      <c r="B57" s="34">
        <v>0.94321100000000002</v>
      </c>
      <c r="C57" s="34">
        <v>0.92996699999999999</v>
      </c>
      <c r="D57" s="34">
        <v>0.91325699999999999</v>
      </c>
      <c r="E57" s="34">
        <v>0.89593699999999998</v>
      </c>
      <c r="F57" s="34">
        <v>0.87506300000000004</v>
      </c>
      <c r="G57" s="34">
        <v>0.87272099999999997</v>
      </c>
      <c r="H57" s="34">
        <v>0.84757400000000005</v>
      </c>
      <c r="I57" s="34">
        <v>0.83730300000000002</v>
      </c>
      <c r="J57" s="34">
        <v>0.82040100000000005</v>
      </c>
      <c r="K57" s="34">
        <v>0.81110599999999999</v>
      </c>
      <c r="L57" s="34">
        <v>0.80503999999999998</v>
      </c>
      <c r="M57" s="34">
        <v>0.78873899999999997</v>
      </c>
      <c r="N57" s="34">
        <v>0.787246</v>
      </c>
      <c r="O57" s="34">
        <v>0.77478400000000003</v>
      </c>
      <c r="P57" s="34">
        <v>0.76893699999999998</v>
      </c>
      <c r="Q57" s="34">
        <v>0.77812199999999998</v>
      </c>
      <c r="R57" s="34">
        <v>0.75260800000000005</v>
      </c>
      <c r="S57" s="34">
        <v>0.74478299999999997</v>
      </c>
      <c r="T57" s="34">
        <v>0.73544799999999999</v>
      </c>
      <c r="U57" s="34">
        <v>0.75109800000000004</v>
      </c>
      <c r="V57" s="34">
        <v>0.73835099999999998</v>
      </c>
      <c r="W57" s="34">
        <v>0.73145700000000002</v>
      </c>
    </row>
    <row r="58" spans="1:23">
      <c r="A58" s="1" t="s">
        <v>1181</v>
      </c>
      <c r="B58" s="34"/>
      <c r="C58" s="34"/>
      <c r="D58" s="34"/>
      <c r="E58" s="34"/>
      <c r="F58" s="34"/>
      <c r="G58" s="34"/>
      <c r="H58" s="34"/>
      <c r="I58" s="34"/>
      <c r="J58" s="34"/>
      <c r="K58" s="34"/>
      <c r="L58" s="34"/>
      <c r="M58" s="34">
        <v>93.571823120117202</v>
      </c>
      <c r="N58" s="34">
        <v>98.269592285156307</v>
      </c>
      <c r="O58" s="34">
        <v>100.15228271484401</v>
      </c>
      <c r="P58" s="34">
        <v>102.11085510253901</v>
      </c>
      <c r="Q58" s="34">
        <v>103.302284240723</v>
      </c>
      <c r="R58" s="34">
        <v>106.126457214355</v>
      </c>
      <c r="S58" s="34">
        <v>106.022705078125</v>
      </c>
      <c r="T58" s="34">
        <v>104.579041408436</v>
      </c>
      <c r="U58" s="34">
        <v>105.20369006035899</v>
      </c>
      <c r="V58" s="34">
        <v>105.293226569707</v>
      </c>
      <c r="W58" s="34"/>
    </row>
    <row r="59" spans="1:23">
      <c r="A59" s="1" t="s">
        <v>1182</v>
      </c>
      <c r="B59" s="34">
        <v>1.98380689835713</v>
      </c>
      <c r="C59" s="34">
        <v>1.98168940788306</v>
      </c>
      <c r="D59" s="34">
        <v>1.96625492575265</v>
      </c>
      <c r="E59" s="34">
        <v>1.8701908427201299</v>
      </c>
      <c r="F59" s="34">
        <v>1.89021987266962</v>
      </c>
      <c r="G59" s="34">
        <v>1.8065715208083699</v>
      </c>
      <c r="H59" s="34">
        <v>1.7950137340463399</v>
      </c>
      <c r="I59" s="34">
        <v>1.77471477770487</v>
      </c>
      <c r="J59" s="34">
        <v>1.7671115402267401</v>
      </c>
      <c r="K59" s="34">
        <v>1.8941098795284901</v>
      </c>
      <c r="L59" s="34">
        <v>1.87785311912683</v>
      </c>
      <c r="M59" s="34">
        <v>1.8704295158386199</v>
      </c>
      <c r="N59" s="34">
        <v>1.8592386245727499</v>
      </c>
      <c r="O59" s="34">
        <v>1.86717689037323</v>
      </c>
      <c r="P59" s="34">
        <v>1.81103038787842</v>
      </c>
      <c r="Q59" s="34">
        <v>1.8411551713943499</v>
      </c>
      <c r="R59" s="34">
        <v>1.8258967399597199</v>
      </c>
      <c r="S59" s="34">
        <v>1.7375373840332</v>
      </c>
      <c r="T59" s="34">
        <v>1.75834817466114</v>
      </c>
      <c r="U59" s="34">
        <v>1.7835803965477699</v>
      </c>
      <c r="V59" s="34">
        <v>1.74237735920666</v>
      </c>
      <c r="W59" s="34"/>
    </row>
    <row r="60" spans="1:23">
      <c r="A60" s="1" t="s">
        <v>1183</v>
      </c>
      <c r="B60" s="34">
        <v>8.6712989999999994</v>
      </c>
      <c r="C60" s="34">
        <v>8.6944040000000005</v>
      </c>
      <c r="D60" s="34">
        <v>8.5616059999999994</v>
      </c>
      <c r="E60" s="34">
        <v>8.6478560000000009</v>
      </c>
      <c r="F60" s="34">
        <v>8.4598270000000007</v>
      </c>
      <c r="G60" s="34">
        <v>8.5694379999999999</v>
      </c>
      <c r="H60" s="34">
        <v>8.2871089999999992</v>
      </c>
      <c r="I60" s="34">
        <v>8.162445</v>
      </c>
      <c r="J60" s="34">
        <v>7.9441280000000001</v>
      </c>
      <c r="K60" s="34">
        <v>7.731134</v>
      </c>
      <c r="L60" s="34">
        <v>7.5908369999999996</v>
      </c>
      <c r="M60" s="34">
        <v>7.4664919999999997</v>
      </c>
      <c r="N60" s="34">
        <v>7.5641360000000004</v>
      </c>
      <c r="O60" s="34">
        <v>7.3548460000000002</v>
      </c>
      <c r="P60" s="34">
        <v>7.3286740000000004</v>
      </c>
      <c r="Q60" s="34">
        <v>7.3053569999999999</v>
      </c>
      <c r="R60" s="34">
        <v>7.0798560000000004</v>
      </c>
      <c r="S60" s="34">
        <v>6.8716790000000003</v>
      </c>
      <c r="T60" s="34">
        <v>6.7659969999999996</v>
      </c>
      <c r="U60" s="34">
        <v>6.7915580000000002</v>
      </c>
      <c r="V60" s="34">
        <v>6.632676</v>
      </c>
      <c r="W60" s="34">
        <v>6.4945009999999996</v>
      </c>
    </row>
    <row r="61" spans="1:23">
      <c r="A61" s="1" t="s">
        <v>1184</v>
      </c>
      <c r="B61" s="34">
        <v>6.99363378452089</v>
      </c>
      <c r="C61" s="34">
        <v>7.25692568923147</v>
      </c>
      <c r="D61" s="34">
        <v>7.6383331566849897</v>
      </c>
      <c r="E61" s="34">
        <v>10.0083721136234</v>
      </c>
      <c r="F61" s="34">
        <v>14.147893196717</v>
      </c>
      <c r="G61" s="34">
        <v>14.513724385699801</v>
      </c>
      <c r="H61" s="34">
        <v>15.0229899293043</v>
      </c>
      <c r="I61" s="34">
        <v>15.4640223691581</v>
      </c>
      <c r="J61" s="34">
        <v>16.745277548435499</v>
      </c>
      <c r="K61" s="34">
        <v>17.199928248944499</v>
      </c>
      <c r="L61" s="34">
        <v>17.927293547961899</v>
      </c>
      <c r="M61" s="34">
        <v>18.975978851318398</v>
      </c>
      <c r="N61" s="34">
        <v>20.189214706420898</v>
      </c>
      <c r="O61" s="34">
        <v>20.887376785278299</v>
      </c>
      <c r="P61" s="34">
        <v>21.358970642089801</v>
      </c>
      <c r="Q61" s="34">
        <v>21.151008605956999</v>
      </c>
      <c r="R61" s="34">
        <v>20.818893432617202</v>
      </c>
      <c r="S61" s="34">
        <v>21.613275527954102</v>
      </c>
      <c r="T61" s="34">
        <v>21.9764148790494</v>
      </c>
      <c r="U61" s="34">
        <v>22.136289009670602</v>
      </c>
      <c r="V61" s="34">
        <v>22.905835987020598</v>
      </c>
      <c r="W61" s="34"/>
    </row>
    <row r="62" spans="1:23">
      <c r="A62" s="1" t="s">
        <v>294</v>
      </c>
      <c r="B62" s="34">
        <v>15.726538820643899</v>
      </c>
      <c r="C62" s="34">
        <v>15.316140959862899</v>
      </c>
      <c r="D62" s="34">
        <v>15.276737764070299</v>
      </c>
      <c r="E62" s="34">
        <v>16.247667443168201</v>
      </c>
      <c r="F62" s="34">
        <v>17.759498576210401</v>
      </c>
      <c r="G62" s="34">
        <v>20.000282679164599</v>
      </c>
      <c r="H62" s="34">
        <v>21.4602230822872</v>
      </c>
      <c r="I62" s="34">
        <v>22.235372598632701</v>
      </c>
      <c r="J62" s="34">
        <v>25.150526468602202</v>
      </c>
      <c r="K62" s="34">
        <v>22.174275831887201</v>
      </c>
      <c r="L62" s="34">
        <v>25.452183157556401</v>
      </c>
      <c r="M62" s="34">
        <v>29.475887298583999</v>
      </c>
      <c r="N62" s="34">
        <v>32.593227386474602</v>
      </c>
      <c r="O62" s="34">
        <v>33.430347442627003</v>
      </c>
      <c r="P62" s="34">
        <v>34.039524078369098</v>
      </c>
      <c r="Q62" s="34">
        <v>35.010829925537102</v>
      </c>
      <c r="R62" s="34">
        <v>37.155826568603501</v>
      </c>
      <c r="S62" s="34">
        <v>38.855751037597699</v>
      </c>
      <c r="T62" s="34">
        <v>40.5488269456797</v>
      </c>
      <c r="U62" s="34">
        <v>39.651214077286703</v>
      </c>
      <c r="V62" s="34">
        <v>37.020855854737803</v>
      </c>
      <c r="W62" s="34"/>
    </row>
    <row r="63" spans="1:23">
      <c r="A63" s="1" t="s">
        <v>1185</v>
      </c>
      <c r="B63" s="34"/>
      <c r="C63" s="34"/>
      <c r="D63" s="34"/>
      <c r="E63" s="34"/>
      <c r="F63" s="34"/>
      <c r="G63" s="34"/>
      <c r="H63" s="34"/>
      <c r="I63" s="34"/>
      <c r="J63" s="34"/>
      <c r="K63" s="34"/>
      <c r="L63" s="34"/>
      <c r="M63" s="34"/>
      <c r="N63" s="34"/>
      <c r="O63" s="34"/>
      <c r="P63" s="34"/>
      <c r="Q63" s="34"/>
      <c r="R63" s="34"/>
      <c r="S63" s="34"/>
      <c r="T63" s="34"/>
      <c r="U63" s="34"/>
      <c r="V63" s="34"/>
      <c r="W63" s="34"/>
    </row>
    <row r="64" spans="1:23">
      <c r="A64" s="1" t="s">
        <v>1186</v>
      </c>
      <c r="B64" s="34"/>
      <c r="C64" s="34"/>
      <c r="D64" s="34"/>
      <c r="E64" s="34"/>
      <c r="F64" s="34"/>
      <c r="G64" s="34"/>
      <c r="H64" s="34"/>
      <c r="I64" s="34"/>
      <c r="J64" s="34"/>
      <c r="K64" s="34"/>
      <c r="L64" s="34"/>
      <c r="M64" s="34"/>
      <c r="N64" s="34"/>
      <c r="O64" s="34"/>
      <c r="P64" s="34"/>
      <c r="Q64" s="34"/>
      <c r="R64" s="34"/>
      <c r="S64" s="34"/>
      <c r="T64" s="34"/>
      <c r="U64" s="34"/>
      <c r="V64" s="34"/>
      <c r="W64" s="34"/>
    </row>
    <row r="65" spans="1:23">
      <c r="A65" s="1" t="s">
        <v>1187</v>
      </c>
      <c r="B65" s="34"/>
      <c r="C65" s="34"/>
      <c r="D65" s="34"/>
      <c r="E65" s="34"/>
      <c r="F65" s="34"/>
      <c r="G65" s="34"/>
      <c r="H65" s="34"/>
      <c r="I65" s="34"/>
      <c r="J65" s="34"/>
      <c r="K65" s="34"/>
      <c r="L65" s="34"/>
      <c r="M65" s="34"/>
      <c r="N65" s="34"/>
      <c r="O65" s="34"/>
      <c r="P65" s="34"/>
      <c r="Q65" s="34"/>
      <c r="R65" s="34"/>
      <c r="S65" s="34"/>
      <c r="T65" s="34"/>
      <c r="U65" s="34"/>
      <c r="V65" s="34"/>
      <c r="W65" s="34"/>
    </row>
    <row r="66" spans="1:23">
      <c r="A66" s="1" t="s">
        <v>1188</v>
      </c>
      <c r="B66" s="34"/>
      <c r="C66" s="34"/>
      <c r="D66" s="34"/>
      <c r="E66" s="34"/>
      <c r="F66" s="34"/>
      <c r="G66" s="34"/>
      <c r="H66" s="34"/>
      <c r="I66" s="34"/>
      <c r="J66" s="34"/>
      <c r="K66" s="34"/>
      <c r="L66" s="34"/>
      <c r="M66" s="34"/>
      <c r="N66" s="34"/>
      <c r="O66" s="34"/>
      <c r="P66" s="34"/>
      <c r="Q66" s="34"/>
      <c r="R66" s="34"/>
      <c r="S66" s="34"/>
      <c r="T66" s="34"/>
      <c r="U66" s="34"/>
      <c r="V66" s="34"/>
      <c r="W66" s="34"/>
    </row>
    <row r="67" spans="1:23">
      <c r="A67" s="1" t="s">
        <v>1189</v>
      </c>
      <c r="B67" s="34"/>
      <c r="C67" s="34"/>
      <c r="D67" s="34"/>
      <c r="E67" s="34"/>
      <c r="F67" s="34"/>
      <c r="G67" s="34"/>
      <c r="H67" s="34"/>
      <c r="I67" s="34"/>
      <c r="J67" s="34"/>
      <c r="K67" s="34"/>
      <c r="L67" s="34"/>
      <c r="M67" s="34"/>
      <c r="N67" s="34"/>
      <c r="O67" s="34"/>
      <c r="P67" s="34"/>
      <c r="Q67" s="34"/>
      <c r="R67" s="34"/>
      <c r="S67" s="34"/>
      <c r="T67" s="34"/>
      <c r="U67" s="34"/>
      <c r="V67" s="34"/>
      <c r="W67" s="34"/>
    </row>
    <row r="68" spans="1:23">
      <c r="A68" s="1" t="s">
        <v>286</v>
      </c>
      <c r="B68" s="34">
        <v>0.247402089452501</v>
      </c>
      <c r="C68" s="34">
        <v>0.31088067259201302</v>
      </c>
      <c r="D68" s="34">
        <v>0.34302560290938799</v>
      </c>
      <c r="E68" s="34">
        <v>0.37244592813528299</v>
      </c>
      <c r="F68" s="34">
        <v>0.37813870289743101</v>
      </c>
      <c r="G68" s="34">
        <v>0.39507278648267502</v>
      </c>
      <c r="H68" s="34">
        <v>0.41414920533610899</v>
      </c>
      <c r="I68" s="34">
        <v>0.43013751432323699</v>
      </c>
      <c r="J68" s="34">
        <v>0.48035646180990998</v>
      </c>
      <c r="K68" s="34">
        <v>0.47984726327902499</v>
      </c>
      <c r="L68" s="34">
        <v>0.50972862958764398</v>
      </c>
      <c r="M68" s="34">
        <v>0.52757233381271396</v>
      </c>
      <c r="N68" s="34">
        <v>0.551044821739197</v>
      </c>
      <c r="O68" s="34">
        <v>0.54298925399780296</v>
      </c>
      <c r="P68" s="34">
        <v>0.54443764686584495</v>
      </c>
      <c r="Q68" s="34">
        <v>0.55373710393905595</v>
      </c>
      <c r="R68" s="34">
        <v>0.54920655488967896</v>
      </c>
      <c r="S68" s="34">
        <v>0.53482097387313798</v>
      </c>
      <c r="T68" s="34">
        <v>0.53178073617551402</v>
      </c>
      <c r="U68" s="34">
        <v>0.525042637268051</v>
      </c>
      <c r="V68" s="34">
        <v>0.51399657785294495</v>
      </c>
      <c r="W68" s="34"/>
    </row>
    <row r="69" spans="1:23">
      <c r="A69" s="1" t="s">
        <v>232</v>
      </c>
      <c r="B69" s="34">
        <v>0.85276846824521901</v>
      </c>
      <c r="C69" s="34">
        <v>0.85005040264430798</v>
      </c>
      <c r="D69" s="34">
        <v>0.86330399698276905</v>
      </c>
      <c r="E69" s="34">
        <v>0.90500751895648002</v>
      </c>
      <c r="F69" s="34">
        <v>0.98412629931760998</v>
      </c>
      <c r="G69" s="34">
        <v>1.0136914985600101</v>
      </c>
      <c r="H69" s="34">
        <v>1.05633219321927</v>
      </c>
      <c r="I69" s="34">
        <v>1.1582706673013301</v>
      </c>
      <c r="J69" s="34">
        <v>1.2748287415941399</v>
      </c>
      <c r="K69" s="34">
        <v>1.4067012623970601</v>
      </c>
      <c r="L69" s="34">
        <v>1.5310342695631101</v>
      </c>
      <c r="M69" s="34">
        <v>1.6746172904968299</v>
      </c>
      <c r="N69" s="34">
        <v>1.7469180822372401</v>
      </c>
      <c r="O69" s="34">
        <v>1.87536120414734</v>
      </c>
      <c r="P69" s="34">
        <v>2.1618614196777299</v>
      </c>
      <c r="Q69" s="34">
        <v>2.2963895797729501</v>
      </c>
      <c r="R69" s="34">
        <v>2.56308174133301</v>
      </c>
      <c r="S69" s="34">
        <v>3.2666029930114702</v>
      </c>
      <c r="T69" s="34">
        <v>3.87351047522192</v>
      </c>
      <c r="U69" s="34">
        <v>4.32399224303441</v>
      </c>
      <c r="V69" s="34">
        <v>4.5383015566518603</v>
      </c>
      <c r="W69" s="34"/>
    </row>
    <row r="70" spans="1:23">
      <c r="A70" s="1" t="s">
        <v>291</v>
      </c>
      <c r="B70" s="34"/>
      <c r="C70" s="34"/>
      <c r="D70" s="34"/>
      <c r="E70" s="34"/>
      <c r="F70" s="34"/>
      <c r="G70" s="34"/>
      <c r="H70" s="34"/>
      <c r="I70" s="34"/>
      <c r="J70" s="34"/>
      <c r="K70" s="34"/>
      <c r="L70" s="34"/>
      <c r="M70" s="34"/>
      <c r="N70" s="34"/>
      <c r="O70" s="34"/>
      <c r="P70" s="34"/>
      <c r="Q70" s="34"/>
      <c r="R70" s="34"/>
      <c r="S70" s="34"/>
      <c r="T70" s="34"/>
      <c r="U70" s="34"/>
      <c r="V70" s="34"/>
      <c r="W70" s="34"/>
    </row>
    <row r="71" spans="1:23">
      <c r="A71" s="1" t="s">
        <v>1190</v>
      </c>
      <c r="B71" s="34">
        <v>1.94022193762567</v>
      </c>
      <c r="C71" s="34">
        <v>2.18483177567308</v>
      </c>
      <c r="D71" s="34">
        <v>2.4981383630770302</v>
      </c>
      <c r="E71" s="34">
        <v>2.9890428429434999</v>
      </c>
      <c r="F71" s="34">
        <v>3.6325092617772099</v>
      </c>
      <c r="G71" s="34">
        <v>3.79134235524986</v>
      </c>
      <c r="H71" s="34">
        <v>4.09927558507977</v>
      </c>
      <c r="I71" s="34">
        <v>4.2829863674345603</v>
      </c>
      <c r="J71" s="34">
        <v>4.8766710086818197</v>
      </c>
      <c r="K71" s="34">
        <v>6.2677267406570696</v>
      </c>
      <c r="L71" s="34">
        <v>5.1901097465524701</v>
      </c>
      <c r="M71" s="34">
        <v>6.0772179935858004</v>
      </c>
      <c r="N71" s="34">
        <v>6.3905752561910596</v>
      </c>
      <c r="O71" s="34">
        <v>6.0902025465409899</v>
      </c>
      <c r="P71" s="34">
        <v>6.0717868835414901</v>
      </c>
      <c r="Q71" s="34">
        <v>5.8266489989236803</v>
      </c>
      <c r="R71" s="34">
        <v>5.8093845672523603</v>
      </c>
      <c r="S71" s="34">
        <v>5.4699043486879804</v>
      </c>
      <c r="T71" s="34"/>
      <c r="U71" s="34"/>
      <c r="V71" s="34"/>
      <c r="W71" s="34"/>
    </row>
    <row r="72" spans="1:23">
      <c r="A72" s="1" t="s">
        <v>1191</v>
      </c>
      <c r="B72" s="34">
        <v>0.73987099999999995</v>
      </c>
      <c r="C72" s="34">
        <v>0.74773900000000004</v>
      </c>
      <c r="D72" s="34">
        <v>0.74231199999999997</v>
      </c>
      <c r="E72" s="34">
        <v>0.75926400000000005</v>
      </c>
      <c r="F72" s="34">
        <v>0.76589499999999999</v>
      </c>
      <c r="G72" s="34">
        <v>0.76950799999999997</v>
      </c>
      <c r="H72" s="34">
        <v>0.73599700000000001</v>
      </c>
      <c r="I72" s="34">
        <v>0.73241000000000001</v>
      </c>
      <c r="J72" s="34">
        <v>0.72586200000000001</v>
      </c>
      <c r="K72" s="34">
        <v>0.71868100000000001</v>
      </c>
      <c r="L72" s="34">
        <v>0.72692400000000001</v>
      </c>
      <c r="M72" s="34">
        <v>0.71412900000000001</v>
      </c>
      <c r="N72" s="34">
        <v>0.69497600000000004</v>
      </c>
      <c r="O72" s="34">
        <v>0.67479999999999996</v>
      </c>
      <c r="P72" s="34">
        <v>0.66235900000000003</v>
      </c>
      <c r="Q72" s="34">
        <v>0.66474</v>
      </c>
      <c r="R72" s="34">
        <v>0.64264399999999999</v>
      </c>
      <c r="S72" s="34">
        <v>0.63083900000000004</v>
      </c>
      <c r="T72" s="34">
        <v>0.63179799999999997</v>
      </c>
      <c r="U72" s="34">
        <v>0.63317500000000004</v>
      </c>
      <c r="V72" s="34">
        <v>0.62739299999999998</v>
      </c>
      <c r="W72" s="34">
        <v>0.61468599999999995</v>
      </c>
    </row>
    <row r="73" spans="1:23">
      <c r="A73" s="1" t="s">
        <v>1192</v>
      </c>
      <c r="B73" s="34">
        <v>0.46892</v>
      </c>
      <c r="C73" s="34">
        <v>0.48801299999999997</v>
      </c>
      <c r="D73" s="34">
        <v>0.48624499999999998</v>
      </c>
      <c r="E73" s="34">
        <v>0.48577199999999998</v>
      </c>
      <c r="F73" s="34">
        <v>0.493649</v>
      </c>
      <c r="G73" s="34">
        <v>0.503328</v>
      </c>
      <c r="H73" s="34">
        <v>0.520791</v>
      </c>
      <c r="I73" s="34">
        <v>0.55118199999999995</v>
      </c>
      <c r="J73" s="34">
        <v>0.54505499999999996</v>
      </c>
      <c r="K73" s="34">
        <v>0.51712000000000002</v>
      </c>
      <c r="L73" s="34">
        <v>0.51209700000000002</v>
      </c>
      <c r="M73" s="34">
        <v>0.51160000000000005</v>
      </c>
      <c r="N73" s="34">
        <v>0.52106300000000005</v>
      </c>
      <c r="O73" s="34">
        <v>0.522424</v>
      </c>
      <c r="P73" s="34">
        <v>0.52688999999999997</v>
      </c>
      <c r="Q73" s="34">
        <v>0.53757999999999995</v>
      </c>
      <c r="R73" s="34">
        <v>0.52784900000000001</v>
      </c>
      <c r="S73" s="34">
        <v>0.53490800000000005</v>
      </c>
      <c r="T73" s="34">
        <v>0.53875700000000004</v>
      </c>
      <c r="U73" s="34">
        <v>0.55218100000000003</v>
      </c>
      <c r="V73" s="34">
        <v>0.53617000000000004</v>
      </c>
      <c r="W73" s="34">
        <v>0.53744000000000003</v>
      </c>
    </row>
    <row r="74" spans="1:23">
      <c r="A74" s="1" t="s">
        <v>246</v>
      </c>
      <c r="B74" s="34">
        <v>2.1001278984340002</v>
      </c>
      <c r="C74" s="34">
        <v>1.9367767433379299</v>
      </c>
      <c r="D74" s="34">
        <v>1.83757161963805</v>
      </c>
      <c r="E74" s="34">
        <v>2.0344114091268102</v>
      </c>
      <c r="F74" s="34">
        <v>2.0585637113239299</v>
      </c>
      <c r="G74" s="34">
        <v>2.1935302142786401</v>
      </c>
      <c r="H74" s="34">
        <v>2.3750603122943201</v>
      </c>
      <c r="I74" s="34">
        <v>2.7112283069001899</v>
      </c>
      <c r="J74" s="34">
        <v>3.4656357873563701</v>
      </c>
      <c r="K74" s="34">
        <v>4.2699109315507204</v>
      </c>
      <c r="L74" s="34">
        <v>4.2817003462833503</v>
      </c>
      <c r="M74" s="34">
        <v>5.0355029106140101</v>
      </c>
      <c r="N74" s="34">
        <v>6.6409487724304199</v>
      </c>
      <c r="O74" s="34">
        <v>7.0806994438171396</v>
      </c>
      <c r="P74" s="34">
        <v>7.1442236900329599</v>
      </c>
      <c r="Q74" s="34">
        <v>7.76668500900269</v>
      </c>
      <c r="R74" s="34">
        <v>8.0559206008911097</v>
      </c>
      <c r="S74" s="34">
        <v>8.5208549499511701</v>
      </c>
      <c r="T74" s="34">
        <v>9.3514068187673001</v>
      </c>
      <c r="U74" s="34">
        <v>10.3689336650445</v>
      </c>
      <c r="V74" s="34">
        <v>12.1146250288367</v>
      </c>
      <c r="W74" s="34"/>
    </row>
    <row r="75" spans="1:23">
      <c r="A75" s="1" t="s">
        <v>1193</v>
      </c>
      <c r="B75" s="34"/>
      <c r="C75" s="34"/>
      <c r="D75" s="34"/>
      <c r="E75" s="34"/>
      <c r="F75" s="34"/>
      <c r="G75" s="34"/>
      <c r="H75" s="34"/>
      <c r="I75" s="34"/>
      <c r="J75" s="34"/>
      <c r="K75" s="34"/>
      <c r="L75" s="34"/>
      <c r="M75" s="34"/>
      <c r="N75" s="34"/>
      <c r="O75" s="34"/>
      <c r="P75" s="34"/>
      <c r="Q75" s="34"/>
      <c r="R75" s="34"/>
      <c r="S75" s="34"/>
      <c r="T75" s="34"/>
      <c r="U75" s="34"/>
      <c r="V75" s="34"/>
      <c r="W75" s="34"/>
    </row>
    <row r="76" spans="1:23">
      <c r="A76" s="1" t="s">
        <v>1194</v>
      </c>
      <c r="B76" s="34"/>
      <c r="C76" s="34"/>
      <c r="D76" s="34"/>
      <c r="E76" s="34"/>
      <c r="F76" s="34"/>
      <c r="G76" s="34"/>
      <c r="H76" s="34"/>
      <c r="I76" s="34"/>
      <c r="J76" s="34"/>
      <c r="K76" s="34"/>
      <c r="L76" s="34"/>
      <c r="M76" s="34"/>
      <c r="N76" s="34"/>
      <c r="O76" s="34"/>
      <c r="P76" s="34"/>
      <c r="Q76" s="34"/>
      <c r="R76" s="34"/>
      <c r="S76" s="34"/>
      <c r="T76" s="34"/>
      <c r="U76" s="34"/>
      <c r="V76" s="34"/>
      <c r="W76" s="34"/>
    </row>
    <row r="77" spans="1:23">
      <c r="A77" s="1" t="s">
        <v>1195</v>
      </c>
      <c r="B77" s="34">
        <v>0.98412299999999997</v>
      </c>
      <c r="C77" s="34">
        <v>1.002939</v>
      </c>
      <c r="D77" s="34">
        <v>0.99813300000000005</v>
      </c>
      <c r="E77" s="34">
        <v>1.0020020000000001</v>
      </c>
      <c r="F77" s="34">
        <v>0.97321100000000005</v>
      </c>
      <c r="G77" s="34">
        <v>0.97942399999999996</v>
      </c>
      <c r="H77" s="34">
        <v>0.95286400000000004</v>
      </c>
      <c r="I77" s="34">
        <v>0.93481599999999998</v>
      </c>
      <c r="J77" s="34">
        <v>0.91212499999999996</v>
      </c>
      <c r="K77" s="34">
        <v>0.89650200000000002</v>
      </c>
      <c r="L77" s="34">
        <v>0.90047600000000005</v>
      </c>
      <c r="M77" s="34">
        <v>0.89806799999999998</v>
      </c>
      <c r="N77" s="34">
        <v>0.90849500000000005</v>
      </c>
      <c r="O77" s="34">
        <v>0.90535699999999997</v>
      </c>
      <c r="P77" s="34">
        <v>0.90720999999999996</v>
      </c>
      <c r="Q77" s="34">
        <v>0.907748</v>
      </c>
      <c r="R77" s="34">
        <v>0.88089499999999998</v>
      </c>
      <c r="S77" s="34">
        <v>0.86365700000000001</v>
      </c>
      <c r="T77" s="34">
        <v>0.853746</v>
      </c>
      <c r="U77" s="34">
        <v>0.86322500000000002</v>
      </c>
      <c r="V77" s="34">
        <v>0.84497500000000003</v>
      </c>
      <c r="W77" s="34">
        <v>0.81845999999999997</v>
      </c>
    </row>
    <row r="78" spans="1:23">
      <c r="A78" s="1" t="s">
        <v>1196</v>
      </c>
      <c r="B78" s="34">
        <v>0.75466388451134603</v>
      </c>
      <c r="C78" s="34">
        <v>0.76243233357472995</v>
      </c>
      <c r="D78" s="34">
        <v>0.77507690558098796</v>
      </c>
      <c r="E78" s="34">
        <v>0.81955937170080495</v>
      </c>
      <c r="F78" s="34">
        <v>0.81558334112365405</v>
      </c>
      <c r="G78" s="34">
        <v>0.84350565608736305</v>
      </c>
      <c r="H78" s="34">
        <v>0.84940504378527204</v>
      </c>
      <c r="I78" s="34">
        <v>0.85220239585994595</v>
      </c>
      <c r="J78" s="34">
        <v>0.853982845059582</v>
      </c>
      <c r="K78" s="34">
        <v>0.85930820595560597</v>
      </c>
      <c r="L78" s="34">
        <v>0.88533868174480901</v>
      </c>
      <c r="M78" s="34">
        <v>0.94866710901260398</v>
      </c>
      <c r="N78" s="34">
        <v>0.92974138259887695</v>
      </c>
      <c r="O78" s="34">
        <v>0.93471163511276201</v>
      </c>
      <c r="P78" s="34">
        <v>0.932411849498749</v>
      </c>
      <c r="Q78" s="34">
        <v>0.91099280118942305</v>
      </c>
      <c r="R78" s="34">
        <v>0.937128186225891</v>
      </c>
      <c r="S78" s="34">
        <v>0.93900692462921098</v>
      </c>
      <c r="T78" s="34">
        <v>0.93006385970225602</v>
      </c>
      <c r="U78" s="34">
        <v>0.93545499501919405</v>
      </c>
      <c r="V78" s="34">
        <v>0.90811610719169999</v>
      </c>
      <c r="W78" s="34"/>
    </row>
    <row r="79" spans="1:23">
      <c r="A79" s="1" t="s">
        <v>1197</v>
      </c>
      <c r="B79" s="34">
        <v>0.930369</v>
      </c>
      <c r="C79" s="34">
        <v>0.91194799999999998</v>
      </c>
      <c r="D79" s="34">
        <v>0.90067799999999998</v>
      </c>
      <c r="E79" s="34">
        <v>0.92989299999999997</v>
      </c>
      <c r="F79" s="34">
        <v>0.93512700000000004</v>
      </c>
      <c r="G79" s="34">
        <v>0.91645799999999999</v>
      </c>
      <c r="H79" s="34">
        <v>0.89468800000000004</v>
      </c>
      <c r="I79" s="34">
        <v>0.88877099999999998</v>
      </c>
      <c r="J79" s="34">
        <v>0.88187400000000005</v>
      </c>
      <c r="K79" s="34">
        <v>0.86296600000000001</v>
      </c>
      <c r="L79" s="34">
        <v>0.85463199999999995</v>
      </c>
      <c r="M79" s="34">
        <v>0.84136100000000003</v>
      </c>
      <c r="N79" s="34">
        <v>0.84430099999999997</v>
      </c>
      <c r="O79" s="34">
        <v>0.811643</v>
      </c>
      <c r="P79" s="34">
        <v>0.80756499999999998</v>
      </c>
      <c r="Q79" s="34">
        <v>0.80869400000000002</v>
      </c>
      <c r="R79" s="34">
        <v>0.78004399999999996</v>
      </c>
      <c r="S79" s="34">
        <v>0.77010900000000004</v>
      </c>
      <c r="T79" s="34">
        <v>0.756166</v>
      </c>
      <c r="U79" s="34">
        <v>0.73866299999999996</v>
      </c>
      <c r="V79" s="34">
        <v>0.72731199999999996</v>
      </c>
      <c r="W79" s="34">
        <v>0.71355100000000005</v>
      </c>
    </row>
    <row r="80" spans="1:23">
      <c r="A80" s="1" t="s">
        <v>1198</v>
      </c>
      <c r="B80" s="34"/>
      <c r="C80" s="34"/>
      <c r="D80" s="34"/>
      <c r="E80" s="34"/>
      <c r="F80" s="34"/>
      <c r="G80" s="34"/>
      <c r="H80" s="34"/>
      <c r="I80" s="34"/>
      <c r="J80" s="34"/>
      <c r="K80" s="34"/>
      <c r="L80" s="34"/>
      <c r="M80" s="34"/>
      <c r="N80" s="34"/>
      <c r="O80" s="34"/>
      <c r="P80" s="34"/>
      <c r="Q80" s="34"/>
      <c r="R80" s="34"/>
      <c r="S80" s="34"/>
      <c r="T80" s="34"/>
      <c r="U80" s="34"/>
      <c r="V80" s="34"/>
      <c r="W80" s="34"/>
    </row>
    <row r="81" spans="1:23">
      <c r="A81" s="1" t="s">
        <v>1199</v>
      </c>
      <c r="B81" s="34">
        <v>0.87247785634290198</v>
      </c>
      <c r="C81" s="34">
        <v>0.86321825156174004</v>
      </c>
      <c r="D81" s="34">
        <v>0.85057714090062797</v>
      </c>
      <c r="E81" s="34">
        <v>0.832028414099789</v>
      </c>
      <c r="F81" s="34">
        <v>0.81826361104049805</v>
      </c>
      <c r="G81" s="34">
        <v>0.81018573675716599</v>
      </c>
      <c r="H81" s="34">
        <v>0.79727721111009198</v>
      </c>
      <c r="I81" s="34">
        <v>0.80106754815819603</v>
      </c>
      <c r="J81" s="34">
        <v>0.82511130344885597</v>
      </c>
      <c r="K81" s="34">
        <v>0.86277328092126504</v>
      </c>
      <c r="L81" s="34">
        <v>0.883563144787604</v>
      </c>
      <c r="M81" s="34">
        <v>0.87929396015344896</v>
      </c>
      <c r="N81" s="34">
        <v>0.92419697881844998</v>
      </c>
      <c r="O81" s="34">
        <v>0.91404291856148601</v>
      </c>
      <c r="P81" s="34">
        <v>0.92457948441036197</v>
      </c>
      <c r="Q81" s="34">
        <v>0.86776996172482201</v>
      </c>
      <c r="R81" s="34">
        <v>0.89352064043552204</v>
      </c>
      <c r="S81" s="34">
        <v>0.942555623445824</v>
      </c>
      <c r="T81" s="34">
        <v>1.0068527545828001</v>
      </c>
      <c r="U81" s="34">
        <v>0.99260672729453003</v>
      </c>
      <c r="V81" s="34">
        <v>1.00337073060386</v>
      </c>
      <c r="W81" s="34"/>
    </row>
    <row r="82" spans="1:23">
      <c r="A82" s="1" t="s">
        <v>1200</v>
      </c>
      <c r="B82" s="34">
        <v>225.81327419405699</v>
      </c>
      <c r="C82" s="34">
        <v>207.15039887108301</v>
      </c>
      <c r="D82" s="34">
        <v>205.66999625679199</v>
      </c>
      <c r="E82" s="34">
        <v>201.48173707556899</v>
      </c>
      <c r="F82" s="34">
        <v>211.43507444239401</v>
      </c>
      <c r="G82" s="34">
        <v>246.25125358605399</v>
      </c>
      <c r="H82" s="34">
        <v>262.60470943278898</v>
      </c>
      <c r="I82" s="34">
        <v>266.55602606998599</v>
      </c>
      <c r="J82" s="34">
        <v>315.016440809176</v>
      </c>
      <c r="K82" s="34">
        <v>256.12610628822802</v>
      </c>
      <c r="L82" s="34">
        <v>295.112850589863</v>
      </c>
      <c r="M82" s="34">
        <v>325.73254394531301</v>
      </c>
      <c r="N82" s="34">
        <v>326.27444458007801</v>
      </c>
      <c r="O82" s="34">
        <v>316.43493652343801</v>
      </c>
      <c r="P82" s="34">
        <v>310.41546630859398</v>
      </c>
      <c r="Q82" s="34">
        <v>297.01083374023398</v>
      </c>
      <c r="R82" s="34">
        <v>289.72079467773398</v>
      </c>
      <c r="S82" s="34">
        <v>279.76571655273398</v>
      </c>
      <c r="T82" s="34">
        <v>292.81315525905899</v>
      </c>
      <c r="U82" s="34">
        <v>292.12944226455397</v>
      </c>
      <c r="V82" s="34">
        <v>262.20858293764201</v>
      </c>
      <c r="W82" s="34"/>
    </row>
    <row r="83" spans="1:23">
      <c r="A83" s="1" t="s">
        <v>1201</v>
      </c>
      <c r="B83" s="34">
        <v>0.70461200000000002</v>
      </c>
      <c r="C83" s="34">
        <v>0.69468200000000002</v>
      </c>
      <c r="D83" s="34">
        <v>0.68987699999999996</v>
      </c>
      <c r="E83" s="34">
        <v>0.695878</v>
      </c>
      <c r="F83" s="34">
        <v>0.68783899999999998</v>
      </c>
      <c r="G83" s="34">
        <v>0.707619</v>
      </c>
      <c r="H83" s="34">
        <v>0.69648699999999997</v>
      </c>
      <c r="I83" s="34">
        <v>0.70923899999999995</v>
      </c>
      <c r="J83" s="34">
        <v>0.70169099999999995</v>
      </c>
      <c r="K83" s="34">
        <v>0.71007399999999998</v>
      </c>
      <c r="L83" s="34">
        <v>0.70224299999999995</v>
      </c>
      <c r="M83" s="34">
        <v>0.70605200000000001</v>
      </c>
      <c r="N83" s="34">
        <v>0.70163399999999998</v>
      </c>
      <c r="O83" s="34">
        <v>0.69524799999999998</v>
      </c>
      <c r="P83" s="34">
        <v>0.69844399999999995</v>
      </c>
      <c r="Q83" s="34">
        <v>0.69255100000000003</v>
      </c>
      <c r="R83" s="34">
        <v>0.68860299999999997</v>
      </c>
      <c r="S83" s="34">
        <v>0.68460100000000002</v>
      </c>
      <c r="T83" s="34">
        <v>0.68771400000000005</v>
      </c>
      <c r="U83" s="34">
        <v>0.68805799999999995</v>
      </c>
      <c r="V83" s="34">
        <v>0.68898800000000004</v>
      </c>
      <c r="W83" s="34">
        <v>0.66786500000000004</v>
      </c>
    </row>
    <row r="84" spans="1:23">
      <c r="A84" s="1" t="s">
        <v>270</v>
      </c>
      <c r="B84" s="34">
        <v>0.47743170836996102</v>
      </c>
      <c r="C84" s="34">
        <v>0.49230114252329099</v>
      </c>
      <c r="D84" s="34">
        <v>0.51332220388645899</v>
      </c>
      <c r="E84" s="34">
        <v>0.52122101513310504</v>
      </c>
      <c r="F84" s="34">
        <v>0.55035284924899297</v>
      </c>
      <c r="G84" s="34">
        <v>0.57608759703603896</v>
      </c>
      <c r="H84" s="34">
        <v>0.60641003090845402</v>
      </c>
      <c r="I84" s="34">
        <v>0.64643690017535005</v>
      </c>
      <c r="J84" s="34">
        <v>0.69494862513856204</v>
      </c>
      <c r="K84" s="34">
        <v>0.67495889933030995</v>
      </c>
      <c r="L84" s="34">
        <v>0.76185289659613697</v>
      </c>
      <c r="M84" s="34">
        <v>0.81129533052444502</v>
      </c>
      <c r="N84" s="34">
        <v>0.74310088157653797</v>
      </c>
      <c r="O84" s="34">
        <v>0.72477406263351396</v>
      </c>
      <c r="P84" s="34">
        <v>0.72290188074111905</v>
      </c>
      <c r="Q84" s="34">
        <v>0.75351679325103804</v>
      </c>
      <c r="R84" s="34">
        <v>0.74767273664474498</v>
      </c>
      <c r="S84" s="34">
        <v>0.80457169037939902</v>
      </c>
      <c r="T84" s="34">
        <v>0.81997255299194505</v>
      </c>
      <c r="U84" s="34">
        <v>0.84742098894115203</v>
      </c>
      <c r="V84" s="34">
        <v>0.89829776881231205</v>
      </c>
      <c r="W84" s="34"/>
    </row>
    <row r="85" spans="1:23">
      <c r="A85" s="1" t="s">
        <v>1202</v>
      </c>
      <c r="B85" s="34">
        <v>0.127409687453999</v>
      </c>
      <c r="C85" s="34">
        <v>0.16808431715341199</v>
      </c>
      <c r="D85" s="34">
        <v>0.20322425340976899</v>
      </c>
      <c r="E85" s="34">
        <v>0.25678974069683802</v>
      </c>
      <c r="F85" s="34">
        <v>0.28594130994004002</v>
      </c>
      <c r="G85" s="34">
        <v>0.31879837672004901</v>
      </c>
      <c r="H85" s="34">
        <v>0.34900676201223002</v>
      </c>
      <c r="I85" s="34">
        <v>0.40318858277027098</v>
      </c>
      <c r="J85" s="34">
        <v>0.47226245298134401</v>
      </c>
      <c r="K85" s="34">
        <v>0.54211694578090996</v>
      </c>
      <c r="L85" s="34">
        <v>0.62480421363977501</v>
      </c>
      <c r="M85" s="34">
        <v>0.69718116521835305</v>
      </c>
      <c r="N85" s="34">
        <v>0.76606106758117698</v>
      </c>
      <c r="O85" s="34">
        <v>0.88355493545532204</v>
      </c>
      <c r="P85" s="34">
        <v>1.04678118228912</v>
      </c>
      <c r="Q85" s="34">
        <v>1.26583588123322</v>
      </c>
      <c r="R85" s="34">
        <v>1.5442366600036601</v>
      </c>
      <c r="S85" s="34">
        <v>1.76394963264465</v>
      </c>
      <c r="T85" s="34">
        <v>1.9046421960576101</v>
      </c>
      <c r="U85" s="34">
        <v>2.0299388069121398</v>
      </c>
      <c r="V85" s="34">
        <v>2.1484244176444802</v>
      </c>
      <c r="W85" s="34"/>
    </row>
    <row r="86" spans="1:23">
      <c r="A86" s="1" t="s">
        <v>1203</v>
      </c>
      <c r="B86" s="34"/>
      <c r="C86" s="34"/>
      <c r="D86" s="34"/>
      <c r="E86" s="34"/>
      <c r="F86" s="34"/>
      <c r="G86" s="34"/>
      <c r="H86" s="34"/>
      <c r="I86" s="34"/>
      <c r="J86" s="34"/>
      <c r="K86" s="34"/>
      <c r="L86" s="34"/>
      <c r="M86" s="34"/>
      <c r="N86" s="34"/>
      <c r="O86" s="34"/>
      <c r="P86" s="34"/>
      <c r="Q86" s="34"/>
      <c r="R86" s="34"/>
      <c r="S86" s="34"/>
      <c r="T86" s="34"/>
      <c r="U86" s="34"/>
      <c r="V86" s="34"/>
      <c r="W86" s="34"/>
    </row>
    <row r="87" spans="1:23">
      <c r="A87" s="1" t="s">
        <v>1204</v>
      </c>
      <c r="B87" s="34">
        <v>756.17274580767605</v>
      </c>
      <c r="C87" s="34">
        <v>752.90960588560097</v>
      </c>
      <c r="D87" s="34">
        <v>744.39345046967298</v>
      </c>
      <c r="E87" s="34">
        <v>847.10017682772695</v>
      </c>
      <c r="F87" s="34">
        <v>961.17759851062897</v>
      </c>
      <c r="G87" s="34">
        <v>1187.46346591064</v>
      </c>
      <c r="H87" s="34">
        <v>1585.77153962837</v>
      </c>
      <c r="I87" s="34">
        <v>1754.6022523751201</v>
      </c>
      <c r="J87" s="34">
        <v>2008.6401798293</v>
      </c>
      <c r="K87" s="34">
        <v>2028.7476159580899</v>
      </c>
      <c r="L87" s="34">
        <v>2328.2987482006902</v>
      </c>
      <c r="M87" s="34">
        <v>2485.90087890625</v>
      </c>
      <c r="N87" s="34">
        <v>2789.9404296875</v>
      </c>
      <c r="O87" s="34">
        <v>2932.7470703125</v>
      </c>
      <c r="P87" s="34">
        <v>3059.93481445313</v>
      </c>
      <c r="Q87" s="34">
        <v>3164.99609375</v>
      </c>
      <c r="R87" s="34">
        <v>3159.34155273438</v>
      </c>
      <c r="S87" s="34">
        <v>3216.03491210938</v>
      </c>
      <c r="T87" s="34">
        <v>3362.32865553082</v>
      </c>
      <c r="U87" s="34">
        <v>3632.03777733076</v>
      </c>
      <c r="V87" s="34">
        <v>4053.8809154657702</v>
      </c>
      <c r="W87" s="34"/>
    </row>
    <row r="88" spans="1:23">
      <c r="A88" s="1" t="s">
        <v>217</v>
      </c>
      <c r="B88" s="34">
        <v>2.9580874330662899</v>
      </c>
      <c r="C88" s="34">
        <v>3.33243266627208</v>
      </c>
      <c r="D88" s="34">
        <v>3.8088367727424002</v>
      </c>
      <c r="E88" s="34">
        <v>4.7636549797578098</v>
      </c>
      <c r="F88" s="34">
        <v>9.0080317200041709</v>
      </c>
      <c r="G88" s="34">
        <v>9.0952915176180795</v>
      </c>
      <c r="H88" s="34">
        <v>8.9431827100202792</v>
      </c>
      <c r="I88" s="34">
        <v>9.0937257309714692</v>
      </c>
      <c r="J88" s="34">
        <v>9.1410665796672994</v>
      </c>
      <c r="K88" s="34">
        <v>9.4813497581447592</v>
      </c>
      <c r="L88" s="34">
        <v>9.9011354736464892</v>
      </c>
      <c r="M88" s="34">
        <v>10.141971588134799</v>
      </c>
      <c r="N88" s="34">
        <v>10.831163406372101</v>
      </c>
      <c r="O88" s="34">
        <v>11.873202323913601</v>
      </c>
      <c r="P88" s="34">
        <v>12.5058794021606</v>
      </c>
      <c r="Q88" s="34">
        <v>13.5881757736206</v>
      </c>
      <c r="R88" s="34">
        <v>14.4826145172119</v>
      </c>
      <c r="S88" s="34">
        <v>15.286075592041</v>
      </c>
      <c r="T88" s="34">
        <v>15.965401229546901</v>
      </c>
      <c r="U88" s="34">
        <v>16.666895025313199</v>
      </c>
      <c r="V88" s="34">
        <v>17.498873142183001</v>
      </c>
      <c r="W88" s="34"/>
    </row>
    <row r="89" spans="1:23">
      <c r="A89" s="1" t="s">
        <v>1205</v>
      </c>
      <c r="B89" s="34">
        <v>204.55810808117599</v>
      </c>
      <c r="C89" s="34">
        <v>213.717287079085</v>
      </c>
      <c r="D89" s="34">
        <v>214.16973249160199</v>
      </c>
      <c r="E89" s="34">
        <v>199.726801677217</v>
      </c>
      <c r="F89" s="34">
        <v>191.79355279465301</v>
      </c>
      <c r="G89" s="34">
        <v>196.78877069640501</v>
      </c>
      <c r="H89" s="34">
        <v>186.667406157355</v>
      </c>
      <c r="I89" s="34">
        <v>189.748196137364</v>
      </c>
      <c r="J89" s="34">
        <v>209.34758920053599</v>
      </c>
      <c r="K89" s="34">
        <v>202.65654266614499</v>
      </c>
      <c r="L89" s="34">
        <v>206.26254909720501</v>
      </c>
      <c r="M89" s="34">
        <v>230.39176940918</v>
      </c>
      <c r="N89" s="34">
        <v>232.193115234375</v>
      </c>
      <c r="O89" s="34">
        <v>229.74427795410199</v>
      </c>
      <c r="P89" s="34">
        <v>223.30358886718801</v>
      </c>
      <c r="Q89" s="34">
        <v>223.35075378418</v>
      </c>
      <c r="R89" s="34">
        <v>224.40704345703099</v>
      </c>
      <c r="S89" s="34">
        <v>222.74858093261699</v>
      </c>
      <c r="T89" s="34">
        <v>228.945921166967</v>
      </c>
      <c r="U89" s="34">
        <v>217.24275085968699</v>
      </c>
      <c r="V89" s="34">
        <v>214.87578102753</v>
      </c>
      <c r="W89" s="34"/>
    </row>
    <row r="90" spans="1:23">
      <c r="A90" s="1" t="s">
        <v>1206</v>
      </c>
      <c r="B90" s="34">
        <v>159.31103751502599</v>
      </c>
      <c r="C90" s="34">
        <v>137.22905605569599</v>
      </c>
      <c r="D90" s="34">
        <v>132.95385577232099</v>
      </c>
      <c r="E90" s="34">
        <v>131.35946919915901</v>
      </c>
      <c r="F90" s="34">
        <v>149.562579611281</v>
      </c>
      <c r="G90" s="34">
        <v>206.80084165410901</v>
      </c>
      <c r="H90" s="34">
        <v>226.77345761335701</v>
      </c>
      <c r="I90" s="34">
        <v>227.549437746737</v>
      </c>
      <c r="J90" s="34">
        <v>267.492258070285</v>
      </c>
      <c r="K90" s="34">
        <v>210.17076610729299</v>
      </c>
      <c r="L90" s="34">
        <v>259.49327302996602</v>
      </c>
      <c r="M90" s="34">
        <v>297.50949096679699</v>
      </c>
      <c r="N90" s="34">
        <v>295.03802490234398</v>
      </c>
      <c r="O90" s="34">
        <v>289.67855834960898</v>
      </c>
      <c r="P90" s="34">
        <v>284.185302734375</v>
      </c>
      <c r="Q90" s="34">
        <v>277.46356201171898</v>
      </c>
      <c r="R90" s="34">
        <v>267.94314575195301</v>
      </c>
      <c r="S90" s="34">
        <v>248.93429565429699</v>
      </c>
      <c r="T90" s="34">
        <v>266.22548978220601</v>
      </c>
      <c r="U90" s="34">
        <v>255.811376685124</v>
      </c>
      <c r="V90" s="34">
        <v>229.17663726227701</v>
      </c>
      <c r="W90" s="34"/>
    </row>
    <row r="91" spans="1:23">
      <c r="A91" s="1" t="s">
        <v>1207</v>
      </c>
      <c r="B91" s="34">
        <v>0.66977299999999995</v>
      </c>
      <c r="C91" s="34">
        <v>0.66864999999999997</v>
      </c>
      <c r="D91" s="34">
        <v>0.66296699999999997</v>
      </c>
      <c r="E91" s="34">
        <v>0.68508199999999997</v>
      </c>
      <c r="F91" s="34">
        <v>0.69451399999999996</v>
      </c>
      <c r="G91" s="34">
        <v>0.70897600000000005</v>
      </c>
      <c r="H91" s="34">
        <v>0.69245500000000004</v>
      </c>
      <c r="I91" s="34">
        <v>0.71831699999999998</v>
      </c>
      <c r="J91" s="34">
        <v>0.707951</v>
      </c>
      <c r="K91" s="34">
        <v>0.70443199999999995</v>
      </c>
      <c r="L91" s="34">
        <v>0.72197699999999998</v>
      </c>
      <c r="M91" s="34">
        <v>0.71316299999999999</v>
      </c>
      <c r="N91" s="34">
        <v>0.68466300000000002</v>
      </c>
      <c r="O91" s="34">
        <v>0.63128600000000001</v>
      </c>
      <c r="P91" s="34">
        <v>0.61113499999999998</v>
      </c>
      <c r="Q91" s="34">
        <v>0.60907</v>
      </c>
      <c r="R91" s="34">
        <v>0.58857999999999999</v>
      </c>
      <c r="S91" s="34">
        <v>0.57504100000000002</v>
      </c>
      <c r="T91" s="34">
        <v>0.56485700000000005</v>
      </c>
      <c r="U91" s="34">
        <v>0.56303800000000004</v>
      </c>
      <c r="V91" s="34">
        <v>0.55280899999999999</v>
      </c>
      <c r="W91" s="34">
        <v>0.53848099999999999</v>
      </c>
    </row>
    <row r="92" spans="1:23">
      <c r="A92" s="1" t="s">
        <v>1208</v>
      </c>
      <c r="B92" s="34">
        <v>1.7868594307633601</v>
      </c>
      <c r="C92" s="34">
        <v>1.78599831889493</v>
      </c>
      <c r="D92" s="34">
        <v>1.7647309901391801</v>
      </c>
      <c r="E92" s="34">
        <v>1.7312204628065599</v>
      </c>
      <c r="F92" s="34">
        <v>1.72007601770366</v>
      </c>
      <c r="G92" s="34">
        <v>1.7096469544109101</v>
      </c>
      <c r="H92" s="34">
        <v>1.7363037470782601</v>
      </c>
      <c r="I92" s="34">
        <v>1.7301009972299299</v>
      </c>
      <c r="J92" s="34">
        <v>1.8302734070773301</v>
      </c>
      <c r="K92" s="34">
        <v>1.8162460620551599</v>
      </c>
      <c r="L92" s="34">
        <v>1.8039383240745499</v>
      </c>
      <c r="M92" s="34">
        <v>1.7709947824478101</v>
      </c>
      <c r="N92" s="34">
        <v>1.8003737926483201</v>
      </c>
      <c r="O92" s="34">
        <v>1.76927518844604</v>
      </c>
      <c r="P92" s="34">
        <v>1.73278737068176</v>
      </c>
      <c r="Q92" s="34">
        <v>1.7355021238327</v>
      </c>
      <c r="R92" s="34">
        <v>1.7301242351532</v>
      </c>
      <c r="S92" s="34">
        <v>1.69031286239624</v>
      </c>
      <c r="T92" s="34">
        <v>1.6400523409313701</v>
      </c>
      <c r="U92" s="34">
        <v>1.6628314875754</v>
      </c>
      <c r="V92" s="34">
        <v>1.63618259110172</v>
      </c>
      <c r="W92" s="34"/>
    </row>
    <row r="93" spans="1:23">
      <c r="A93" s="1" t="s">
        <v>1209</v>
      </c>
      <c r="B93" s="34"/>
      <c r="C93" s="34"/>
      <c r="D93" s="34"/>
      <c r="E93" s="34"/>
      <c r="F93" s="34"/>
      <c r="G93" s="34"/>
      <c r="H93" s="34"/>
      <c r="I93" s="34"/>
      <c r="J93" s="34"/>
      <c r="K93" s="34"/>
      <c r="L93" s="34"/>
      <c r="M93" s="34"/>
      <c r="N93" s="34"/>
      <c r="O93" s="34"/>
      <c r="P93" s="34"/>
      <c r="Q93" s="34"/>
      <c r="R93" s="34"/>
      <c r="S93" s="34"/>
      <c r="T93" s="34"/>
      <c r="U93" s="34"/>
      <c r="V93" s="34"/>
      <c r="W93" s="34"/>
    </row>
    <row r="94" spans="1:23">
      <c r="A94" s="1" t="s">
        <v>1210</v>
      </c>
      <c r="B94" s="34">
        <v>2.3794419104343398</v>
      </c>
      <c r="C94" s="34">
        <v>2.5051496969989002</v>
      </c>
      <c r="D94" s="34">
        <v>2.6256801788269799</v>
      </c>
      <c r="E94" s="34">
        <v>2.69306767085537</v>
      </c>
      <c r="F94" s="34">
        <v>2.7804389505329001</v>
      </c>
      <c r="G94" s="34">
        <v>2.8492925231540198</v>
      </c>
      <c r="H94" s="34">
        <v>2.9033635485799998</v>
      </c>
      <c r="I94" s="34">
        <v>3.0285916245583402</v>
      </c>
      <c r="J94" s="34">
        <v>3.2502838326935501</v>
      </c>
      <c r="K94" s="34">
        <v>3.3418233575627001</v>
      </c>
      <c r="L94" s="34">
        <v>3.4730423271053601</v>
      </c>
      <c r="M94" s="34">
        <v>3.6365325450897199</v>
      </c>
      <c r="N94" s="34">
        <v>3.6478822231292698</v>
      </c>
      <c r="O94" s="34">
        <v>3.7168335914611799</v>
      </c>
      <c r="P94" s="34">
        <v>3.7668333053588898</v>
      </c>
      <c r="Q94" s="34">
        <v>3.7315721511840798</v>
      </c>
      <c r="R94" s="34">
        <v>3.8576567173004199</v>
      </c>
      <c r="S94" s="34">
        <v>3.9325940608978298</v>
      </c>
      <c r="T94" s="34">
        <v>3.8860728347467801</v>
      </c>
      <c r="U94" s="34">
        <v>3.95843973386688</v>
      </c>
      <c r="V94" s="34">
        <v>4.0147619312471097</v>
      </c>
      <c r="W94" s="34"/>
    </row>
    <row r="95" spans="1:23">
      <c r="A95" s="1" t="s">
        <v>1211</v>
      </c>
      <c r="B95" s="34"/>
      <c r="C95" s="34"/>
      <c r="D95" s="34"/>
      <c r="E95" s="34"/>
      <c r="F95" s="34"/>
      <c r="G95" s="34"/>
      <c r="H95" s="34"/>
      <c r="I95" s="34"/>
      <c r="J95" s="34"/>
      <c r="K95" s="34"/>
      <c r="L95" s="34"/>
      <c r="M95" s="34"/>
      <c r="N95" s="34"/>
      <c r="O95" s="34"/>
      <c r="P95" s="34"/>
      <c r="Q95" s="34"/>
      <c r="R95" s="34"/>
      <c r="S95" s="34"/>
      <c r="T95" s="34"/>
      <c r="U95" s="34"/>
      <c r="V95" s="34"/>
      <c r="W95" s="34"/>
    </row>
    <row r="96" spans="1:23">
      <c r="A96" s="1" t="s">
        <v>1212</v>
      </c>
      <c r="B96" s="34">
        <v>72.335437036180593</v>
      </c>
      <c r="C96" s="34">
        <v>71.0107683828071</v>
      </c>
      <c r="D96" s="34">
        <v>71.735675617447498</v>
      </c>
      <c r="E96" s="34">
        <v>73.7509460598217</v>
      </c>
      <c r="F96" s="34">
        <v>76.683271723613402</v>
      </c>
      <c r="G96" s="34">
        <v>80.042781435640705</v>
      </c>
      <c r="H96" s="34">
        <v>82.063612903420903</v>
      </c>
      <c r="I96" s="34">
        <v>90.0603469298254</v>
      </c>
      <c r="J96" s="34">
        <v>96.924971446233897</v>
      </c>
      <c r="K96" s="34">
        <v>97.052613167353499</v>
      </c>
      <c r="L96" s="34">
        <v>100.091745792518</v>
      </c>
      <c r="M96" s="34">
        <v>100.26947021484401</v>
      </c>
      <c r="N96" s="34">
        <v>104.88816070556599</v>
      </c>
      <c r="O96" s="34">
        <v>102.27834320068401</v>
      </c>
      <c r="P96" s="34">
        <v>101.92862701416</v>
      </c>
      <c r="Q96" s="34">
        <v>102.838325500488</v>
      </c>
      <c r="R96" s="34">
        <v>106.22980499267599</v>
      </c>
      <c r="S96" s="34">
        <v>105.35279083252</v>
      </c>
      <c r="T96" s="34">
        <v>99.911780096738298</v>
      </c>
      <c r="U96" s="34">
        <v>101.06637584005099</v>
      </c>
      <c r="V96" s="34">
        <v>73.602848464295903</v>
      </c>
      <c r="W96" s="34"/>
    </row>
    <row r="97" spans="1:23">
      <c r="A97" s="1" t="s">
        <v>1213</v>
      </c>
      <c r="B97" s="34"/>
      <c r="C97" s="34"/>
      <c r="D97" s="34"/>
      <c r="E97" s="34"/>
      <c r="F97" s="34"/>
      <c r="G97" s="34"/>
      <c r="H97" s="34"/>
      <c r="I97" s="34"/>
      <c r="J97" s="34"/>
      <c r="K97" s="34"/>
      <c r="L97" s="34"/>
      <c r="M97" s="34"/>
      <c r="N97" s="34"/>
      <c r="O97" s="34"/>
      <c r="P97" s="34"/>
      <c r="Q97" s="34"/>
      <c r="R97" s="34"/>
      <c r="S97" s="34"/>
      <c r="T97" s="34"/>
      <c r="U97" s="34"/>
      <c r="V97" s="34"/>
      <c r="W97" s="34"/>
    </row>
    <row r="98" spans="1:23">
      <c r="A98" s="1" t="s">
        <v>1214</v>
      </c>
      <c r="B98" s="34">
        <v>7.1027481460210504</v>
      </c>
      <c r="C98" s="34">
        <v>6.8269980019881498</v>
      </c>
      <c r="D98" s="34">
        <v>6.4920651426788201</v>
      </c>
      <c r="E98" s="34">
        <v>5.9907884990907201</v>
      </c>
      <c r="F98" s="34">
        <v>5.6242514262708996</v>
      </c>
      <c r="G98" s="34">
        <v>5.4461655588728304</v>
      </c>
      <c r="H98" s="34">
        <v>5.2579235205676902</v>
      </c>
      <c r="I98" s="34">
        <v>5.2810257005185699</v>
      </c>
      <c r="J98" s="34">
        <v>5.2466468970111402</v>
      </c>
      <c r="K98" s="34">
        <v>5.1874041123851704</v>
      </c>
      <c r="L98" s="34">
        <v>5.1415324727548297</v>
      </c>
      <c r="M98" s="34">
        <v>5.2326393127441397</v>
      </c>
      <c r="N98" s="34">
        <v>5.4542279243469203</v>
      </c>
      <c r="O98" s="34">
        <v>5.5475788116455096</v>
      </c>
      <c r="P98" s="34">
        <v>5.7064504623413104</v>
      </c>
      <c r="Q98" s="34">
        <v>5.8310532569885298</v>
      </c>
      <c r="R98" s="34">
        <v>5.9322891235351598</v>
      </c>
      <c r="S98" s="34">
        <v>6.0114331245422399</v>
      </c>
      <c r="T98" s="34">
        <v>6.0851998588495801</v>
      </c>
      <c r="U98" s="34">
        <v>6.10086307920038</v>
      </c>
      <c r="V98" s="34">
        <v>6.06649584218854</v>
      </c>
      <c r="W98" s="34"/>
    </row>
    <row r="99" spans="1:23">
      <c r="A99" s="1" t="s">
        <v>287</v>
      </c>
      <c r="B99" s="34">
        <v>6.2602480876111599</v>
      </c>
      <c r="C99" s="34">
        <v>6.6211191103880598</v>
      </c>
      <c r="D99" s="34">
        <v>6.8525203336567699</v>
      </c>
      <c r="E99" s="34">
        <v>7.1150740422183896</v>
      </c>
      <c r="F99" s="34">
        <v>7.3755714417122897</v>
      </c>
      <c r="G99" s="34">
        <v>7.6734285200735304</v>
      </c>
      <c r="H99" s="34">
        <v>7.8464060828005202</v>
      </c>
      <c r="I99" s="34">
        <v>8.1474081728884507</v>
      </c>
      <c r="J99" s="34">
        <v>8.6145684164684706</v>
      </c>
      <c r="K99" s="34">
        <v>9.2037397237623306</v>
      </c>
      <c r="L99" s="34">
        <v>9.5231421127622706</v>
      </c>
      <c r="M99" s="34">
        <v>10.056561470031699</v>
      </c>
      <c r="N99" s="34">
        <v>10.370379447936999</v>
      </c>
      <c r="O99" s="34">
        <v>10.331550598144499</v>
      </c>
      <c r="P99" s="34">
        <v>10.398200988769499</v>
      </c>
      <c r="Q99" s="34">
        <v>10.474433898925801</v>
      </c>
      <c r="R99" s="34">
        <v>10.392535209655801</v>
      </c>
      <c r="S99" s="34">
        <v>10.361558914184601</v>
      </c>
      <c r="T99" s="34">
        <v>10.315644271298201</v>
      </c>
      <c r="U99" s="34">
        <v>10.5529534568496</v>
      </c>
      <c r="V99" s="34">
        <v>10.9105034471389</v>
      </c>
      <c r="W99" s="34"/>
    </row>
    <row r="100" spans="1:23">
      <c r="A100" s="1" t="s">
        <v>1215</v>
      </c>
      <c r="B100" s="34"/>
      <c r="C100" s="34"/>
      <c r="D100" s="34"/>
      <c r="E100" s="34"/>
      <c r="F100" s="34"/>
      <c r="G100" s="34"/>
      <c r="H100" s="34"/>
      <c r="I100" s="34"/>
      <c r="J100" s="34"/>
      <c r="K100" s="34"/>
      <c r="L100" s="34"/>
      <c r="M100" s="34"/>
      <c r="N100" s="34"/>
      <c r="O100" s="34"/>
      <c r="P100" s="34"/>
      <c r="Q100" s="34"/>
      <c r="R100" s="34"/>
      <c r="S100" s="34"/>
      <c r="T100" s="34"/>
      <c r="U100" s="34"/>
      <c r="V100" s="34"/>
      <c r="W100" s="34"/>
    </row>
    <row r="101" spans="1:23">
      <c r="A101" s="1" t="s">
        <v>1216</v>
      </c>
      <c r="B101" s="34">
        <v>3.7870053493703701</v>
      </c>
      <c r="C101" s="34">
        <v>3.87384314829225</v>
      </c>
      <c r="D101" s="34">
        <v>3.87933775920007</v>
      </c>
      <c r="E101" s="34">
        <v>3.9840325096461702</v>
      </c>
      <c r="F101" s="34">
        <v>4.0080633961030996</v>
      </c>
      <c r="G101" s="34">
        <v>4.0934974328739502</v>
      </c>
      <c r="H101" s="34">
        <v>3.91408088001526</v>
      </c>
      <c r="I101" s="34">
        <v>3.8655444934825001</v>
      </c>
      <c r="J101" s="34">
        <v>3.8723968840197398</v>
      </c>
      <c r="K101" s="34">
        <v>3.8425698020325298</v>
      </c>
      <c r="L101" s="34">
        <v>3.8735194617462998</v>
      </c>
      <c r="M101" s="34">
        <v>3.7526257333045101</v>
      </c>
      <c r="N101" s="34">
        <v>3.6641500513419101</v>
      </c>
      <c r="O101" s="34">
        <v>3.5751211981300899</v>
      </c>
      <c r="P101" s="34">
        <v>3.5434770147884902</v>
      </c>
      <c r="Q101" s="34">
        <v>3.5123715045647299</v>
      </c>
      <c r="R101" s="34">
        <v>3.3820051520979901</v>
      </c>
      <c r="S101" s="34">
        <v>3.3246604315163499</v>
      </c>
      <c r="T101" s="34">
        <v>3.3110588139547499</v>
      </c>
      <c r="U101" s="34">
        <v>3.3198952345317898</v>
      </c>
      <c r="V101" s="34">
        <v>3.24782326880542</v>
      </c>
      <c r="W101" s="34"/>
    </row>
    <row r="102" spans="1:23">
      <c r="A102" s="1" t="s">
        <v>1217</v>
      </c>
      <c r="B102" s="34">
        <v>7.2178720792737998</v>
      </c>
      <c r="C102" s="34">
        <v>7.9986746254675101</v>
      </c>
      <c r="D102" s="34">
        <v>8.4723641736742508</v>
      </c>
      <c r="E102" s="34">
        <v>9.5673343759328002</v>
      </c>
      <c r="F102" s="34">
        <v>11.582621599607799</v>
      </c>
      <c r="G102" s="34">
        <v>12.740273972276</v>
      </c>
      <c r="H102" s="34">
        <v>13.520053386586399</v>
      </c>
      <c r="I102" s="34">
        <v>14.3716314610085</v>
      </c>
      <c r="J102" s="34">
        <v>15.470773501644899</v>
      </c>
      <c r="K102" s="34">
        <v>17.049570259659401</v>
      </c>
      <c r="L102" s="34">
        <v>18.0992833884672</v>
      </c>
      <c r="M102" s="34">
        <v>18.4949626922607</v>
      </c>
      <c r="N102" s="34">
        <v>20.128587722778299</v>
      </c>
      <c r="O102" s="34">
        <v>20.9299430847168</v>
      </c>
      <c r="P102" s="34">
        <v>21.5955810546875</v>
      </c>
      <c r="Q102" s="34">
        <v>23.232265472412099</v>
      </c>
      <c r="R102" s="34">
        <v>25.260469436645501</v>
      </c>
      <c r="S102" s="34">
        <v>28.498395919799801</v>
      </c>
      <c r="T102" s="34">
        <v>29.855891591207602</v>
      </c>
      <c r="U102" s="34">
        <v>34.4802586420168</v>
      </c>
      <c r="V102" s="34">
        <v>41.081384928433401</v>
      </c>
      <c r="W102" s="34"/>
    </row>
    <row r="103" spans="1:23">
      <c r="A103" s="1" t="s">
        <v>1218</v>
      </c>
      <c r="B103" s="34">
        <v>110.086598</v>
      </c>
      <c r="C103" s="34">
        <v>114.440223</v>
      </c>
      <c r="D103" s="34">
        <v>118.141282</v>
      </c>
      <c r="E103" s="34">
        <v>122.012198</v>
      </c>
      <c r="F103" s="34">
        <v>128.38200599999999</v>
      </c>
      <c r="G103" s="34">
        <v>130.929945</v>
      </c>
      <c r="H103" s="34">
        <v>131.49053499999999</v>
      </c>
      <c r="I103" s="34">
        <v>134.066824</v>
      </c>
      <c r="J103" s="34">
        <v>131.00535500000001</v>
      </c>
      <c r="K103" s="34">
        <v>127.690292</v>
      </c>
      <c r="L103" s="34">
        <v>126.410628</v>
      </c>
      <c r="M103" s="34">
        <v>124.27183599999999</v>
      </c>
      <c r="N103" s="34">
        <v>125.623608</v>
      </c>
      <c r="O103" s="34">
        <v>124.979432</v>
      </c>
      <c r="P103" s="34">
        <v>129.414974</v>
      </c>
      <c r="Q103" s="34">
        <v>132.55350999999999</v>
      </c>
      <c r="R103" s="34">
        <v>132.03379699999999</v>
      </c>
      <c r="S103" s="34">
        <v>136.03652199999999</v>
      </c>
      <c r="T103" s="34">
        <v>139.09245100000001</v>
      </c>
      <c r="U103" s="34">
        <v>145.14084199999999</v>
      </c>
      <c r="V103" s="34">
        <v>148.80370400000001</v>
      </c>
      <c r="W103" s="34">
        <v>152.550219</v>
      </c>
    </row>
    <row r="104" spans="1:23">
      <c r="A104" s="1" t="s">
        <v>1219</v>
      </c>
      <c r="B104" s="34"/>
      <c r="C104" s="34"/>
      <c r="D104" s="34"/>
      <c r="E104" s="34"/>
      <c r="F104" s="34"/>
      <c r="G104" s="34"/>
      <c r="H104" s="34"/>
      <c r="I104" s="34"/>
      <c r="J104" s="34"/>
      <c r="K104" s="34"/>
      <c r="L104" s="34"/>
      <c r="M104" s="34"/>
      <c r="N104" s="34"/>
      <c r="O104" s="34"/>
      <c r="P104" s="34"/>
      <c r="Q104" s="34"/>
      <c r="R104" s="34"/>
      <c r="S104" s="34"/>
      <c r="T104" s="34"/>
      <c r="U104" s="34"/>
      <c r="V104" s="34"/>
      <c r="W104" s="34"/>
    </row>
    <row r="105" spans="1:23">
      <c r="A105" s="1" t="s">
        <v>1220</v>
      </c>
      <c r="B105" s="34"/>
      <c r="C105" s="34"/>
      <c r="D105" s="34"/>
      <c r="E105" s="34"/>
      <c r="F105" s="34"/>
      <c r="G105" s="34"/>
      <c r="H105" s="34"/>
      <c r="I105" s="34"/>
      <c r="J105" s="34"/>
      <c r="K105" s="34"/>
      <c r="L105" s="34"/>
      <c r="M105" s="34"/>
      <c r="N105" s="34"/>
      <c r="O105" s="34"/>
      <c r="P105" s="34"/>
      <c r="Q105" s="34"/>
      <c r="R105" s="34"/>
      <c r="S105" s="34"/>
      <c r="T105" s="34"/>
      <c r="U105" s="34"/>
      <c r="V105" s="34"/>
      <c r="W105" s="34"/>
    </row>
    <row r="106" spans="1:23">
      <c r="A106" s="1" t="s">
        <v>1221</v>
      </c>
      <c r="B106" s="34"/>
      <c r="C106" s="34"/>
      <c r="D106" s="34"/>
      <c r="E106" s="34"/>
      <c r="F106" s="34"/>
      <c r="G106" s="34"/>
      <c r="H106" s="34"/>
      <c r="I106" s="34"/>
      <c r="J106" s="34"/>
      <c r="K106" s="34"/>
      <c r="L106" s="34"/>
      <c r="M106" s="34"/>
      <c r="N106" s="34"/>
      <c r="O106" s="34"/>
      <c r="P106" s="34"/>
      <c r="Q106" s="34"/>
      <c r="R106" s="34"/>
      <c r="S106" s="34"/>
      <c r="T106" s="34"/>
      <c r="U106" s="34"/>
      <c r="V106" s="34"/>
      <c r="W106" s="34"/>
    </row>
    <row r="107" spans="1:23">
      <c r="A107" s="1" t="s">
        <v>1222</v>
      </c>
      <c r="B107" s="34"/>
      <c r="C107" s="34"/>
      <c r="D107" s="34"/>
      <c r="E107" s="34"/>
      <c r="F107" s="34"/>
      <c r="G107" s="34"/>
      <c r="H107" s="34"/>
      <c r="I107" s="34"/>
      <c r="J107" s="34"/>
      <c r="K107" s="34"/>
      <c r="L107" s="34"/>
      <c r="M107" s="34"/>
      <c r="N107" s="34"/>
      <c r="O107" s="34"/>
      <c r="P107" s="34"/>
      <c r="Q107" s="34"/>
      <c r="R107" s="34"/>
      <c r="S107" s="34"/>
      <c r="T107" s="34"/>
      <c r="U107" s="34"/>
      <c r="V107" s="34"/>
      <c r="W107" s="34"/>
    </row>
    <row r="108" spans="1:23">
      <c r="A108" s="1" t="s">
        <v>301</v>
      </c>
      <c r="B108" s="34">
        <v>1385.0470580128399</v>
      </c>
      <c r="C108" s="34">
        <v>1549.0717125301601</v>
      </c>
      <c r="D108" s="34">
        <v>1614.86248409566</v>
      </c>
      <c r="E108" s="34">
        <v>1672.4185145986801</v>
      </c>
      <c r="F108" s="34">
        <v>1767.8287564582199</v>
      </c>
      <c r="G108" s="34">
        <v>1960.1331910080801</v>
      </c>
      <c r="H108" s="34">
        <v>2170.5793012029899</v>
      </c>
      <c r="I108" s="34">
        <v>2351.7802982653002</v>
      </c>
      <c r="J108" s="34">
        <v>2725.6059469520001</v>
      </c>
      <c r="K108" s="34">
        <v>2928.8152684666402</v>
      </c>
      <c r="L108" s="34">
        <v>3336.99389226419</v>
      </c>
      <c r="M108" s="34">
        <v>3512.75390625</v>
      </c>
      <c r="N108" s="34">
        <v>3569.892578125</v>
      </c>
      <c r="O108" s="34">
        <v>3765.671875</v>
      </c>
      <c r="P108" s="34">
        <v>4030.77465820313</v>
      </c>
      <c r="Q108" s="34">
        <v>4353.3271484375</v>
      </c>
      <c r="R108" s="34">
        <v>4518.10400390625</v>
      </c>
      <c r="S108" s="34">
        <v>4695.65869140625</v>
      </c>
      <c r="T108" s="34">
        <v>4760.65178372434</v>
      </c>
      <c r="U108" s="34">
        <v>4751.9357416655603</v>
      </c>
      <c r="V108" s="34">
        <v>4673.9304450347399</v>
      </c>
      <c r="W108" s="34"/>
    </row>
    <row r="109" spans="1:23">
      <c r="A109" s="1" t="s">
        <v>1223</v>
      </c>
      <c r="B109" s="34"/>
      <c r="C109" s="34"/>
      <c r="D109" s="34"/>
      <c r="E109" s="34"/>
      <c r="F109" s="34"/>
      <c r="G109" s="34"/>
      <c r="H109" s="34"/>
      <c r="I109" s="34"/>
      <c r="J109" s="34"/>
      <c r="K109" s="34"/>
      <c r="L109" s="34"/>
      <c r="M109" s="34"/>
      <c r="N109" s="34"/>
      <c r="O109" s="34"/>
      <c r="P109" s="34"/>
      <c r="Q109" s="34"/>
      <c r="R109" s="34"/>
      <c r="S109" s="34"/>
      <c r="T109" s="34"/>
      <c r="U109" s="34"/>
      <c r="V109" s="34"/>
      <c r="W109" s="34"/>
    </row>
    <row r="110" spans="1:23">
      <c r="A110" s="1" t="s">
        <v>1224</v>
      </c>
      <c r="B110" s="34"/>
      <c r="C110" s="34"/>
      <c r="D110" s="34"/>
      <c r="E110" s="34"/>
      <c r="F110" s="34"/>
      <c r="G110" s="34"/>
      <c r="H110" s="34"/>
      <c r="I110" s="34"/>
      <c r="J110" s="34"/>
      <c r="K110" s="34"/>
      <c r="L110" s="34"/>
      <c r="M110" s="34"/>
      <c r="N110" s="34"/>
      <c r="O110" s="34"/>
      <c r="P110" s="34"/>
      <c r="Q110" s="34"/>
      <c r="R110" s="34"/>
      <c r="S110" s="34"/>
      <c r="T110" s="34"/>
      <c r="U110" s="34"/>
      <c r="V110" s="34"/>
      <c r="W110" s="34"/>
    </row>
    <row r="111" spans="1:23">
      <c r="A111" s="1" t="s">
        <v>189</v>
      </c>
      <c r="B111" s="34">
        <v>9.6643330397365901</v>
      </c>
      <c r="C111" s="34">
        <v>9.7610006194302592</v>
      </c>
      <c r="D111" s="34">
        <v>9.9660492555972304</v>
      </c>
      <c r="E111" s="34">
        <v>10.1627833559142</v>
      </c>
      <c r="F111" s="34">
        <v>10.4629596305065</v>
      </c>
      <c r="G111" s="34">
        <v>10.7173381934026</v>
      </c>
      <c r="H111" s="34">
        <v>11.276446797198</v>
      </c>
      <c r="I111" s="34">
        <v>11.744052423633001</v>
      </c>
      <c r="J111" s="34">
        <v>12.579116650386799</v>
      </c>
      <c r="K111" s="34">
        <v>13.3628606643372</v>
      </c>
      <c r="L111" s="34">
        <v>14.599320835726999</v>
      </c>
      <c r="M111" s="34">
        <v>15.5495491027832</v>
      </c>
      <c r="N111" s="34">
        <v>16.160835266113299</v>
      </c>
      <c r="O111" s="34">
        <v>17.3423252105713</v>
      </c>
      <c r="P111" s="34">
        <v>18.386548995971701</v>
      </c>
      <c r="Q111" s="34">
        <v>19.235002517700199</v>
      </c>
      <c r="R111" s="34">
        <v>19.898727416992202</v>
      </c>
      <c r="S111" s="34">
        <v>20.647792816162099</v>
      </c>
      <c r="T111" s="34">
        <v>20.917233961233201</v>
      </c>
      <c r="U111" s="34">
        <v>21.283205354234099</v>
      </c>
      <c r="V111" s="34">
        <v>21.9995780982483</v>
      </c>
      <c r="W111" s="34"/>
    </row>
    <row r="112" spans="1:23">
      <c r="A112" s="1" t="s">
        <v>1225</v>
      </c>
      <c r="B112" s="34"/>
      <c r="C112" s="34"/>
      <c r="D112" s="34"/>
      <c r="E112" s="34"/>
      <c r="F112" s="34"/>
      <c r="G112" s="34"/>
      <c r="H112" s="34"/>
      <c r="I112" s="34"/>
      <c r="J112" s="34"/>
      <c r="K112" s="34"/>
      <c r="L112" s="34"/>
      <c r="M112" s="34"/>
      <c r="N112" s="34"/>
      <c r="O112" s="34"/>
      <c r="P112" s="34"/>
      <c r="Q112" s="34"/>
      <c r="R112" s="34"/>
      <c r="S112" s="34"/>
      <c r="T112" s="34"/>
      <c r="U112" s="34"/>
      <c r="V112" s="34"/>
      <c r="W112" s="34"/>
    </row>
    <row r="113" spans="1:23">
      <c r="A113" s="1" t="s">
        <v>1226</v>
      </c>
      <c r="B113" s="34">
        <v>0.94394800000000001</v>
      </c>
      <c r="C113" s="34">
        <v>0.96963100000000002</v>
      </c>
      <c r="D113" s="34">
        <v>0.98199700000000001</v>
      </c>
      <c r="E113" s="34">
        <v>1.003935</v>
      </c>
      <c r="F113" s="34">
        <v>0.99115200000000003</v>
      </c>
      <c r="G113" s="34">
        <v>1.0117069999999999</v>
      </c>
      <c r="H113" s="34">
        <v>0.97823199999999999</v>
      </c>
      <c r="I113" s="34">
        <v>0.95779199999999998</v>
      </c>
      <c r="J113" s="34">
        <v>0.94444700000000004</v>
      </c>
      <c r="K113" s="34">
        <v>0.90128399999999997</v>
      </c>
      <c r="L113" s="34">
        <v>0.84950300000000001</v>
      </c>
      <c r="M113" s="34">
        <v>0.83151299999999995</v>
      </c>
      <c r="N113" s="34">
        <v>0.82307200000000003</v>
      </c>
      <c r="O113" s="34">
        <v>0.81122799999999995</v>
      </c>
      <c r="P113" s="34">
        <v>0.81904100000000002</v>
      </c>
      <c r="Q113" s="34">
        <v>0.80968600000000002</v>
      </c>
      <c r="R113" s="34">
        <v>0.79428900000000002</v>
      </c>
      <c r="S113" s="34">
        <v>0.79440500000000003</v>
      </c>
      <c r="T113" s="34">
        <v>0.79221399999999997</v>
      </c>
      <c r="U113" s="34">
        <v>0.82689800000000002</v>
      </c>
      <c r="V113" s="34">
        <v>0.80115599999999998</v>
      </c>
      <c r="W113" s="34">
        <v>0.77547200000000005</v>
      </c>
    </row>
    <row r="114" spans="1:23">
      <c r="A114" s="1" t="s">
        <v>252</v>
      </c>
      <c r="B114" s="34">
        <v>929.15837479378899</v>
      </c>
      <c r="C114" s="34">
        <v>1059.7516630790101</v>
      </c>
      <c r="D114" s="34">
        <v>1348.15302654783</v>
      </c>
      <c r="E114" s="34">
        <v>1496.4416622077099</v>
      </c>
      <c r="F114" s="34">
        <v>1816.4384763189701</v>
      </c>
      <c r="G114" s="34">
        <v>2116.8076032694898</v>
      </c>
      <c r="H114" s="34">
        <v>2354.2486591680599</v>
      </c>
      <c r="I114" s="34">
        <v>2818.5763806407899</v>
      </c>
      <c r="J114" s="34">
        <v>3301.7758570126898</v>
      </c>
      <c r="K114" s="34">
        <v>3427.4791911563002</v>
      </c>
      <c r="L114" s="34">
        <v>3926.1039438236799</v>
      </c>
      <c r="M114" s="34">
        <v>4758.86962890625</v>
      </c>
      <c r="N114" s="34">
        <v>6093.5625</v>
      </c>
      <c r="O114" s="34">
        <v>8503.8466796875</v>
      </c>
      <c r="P114" s="34">
        <v>9758.5537109375</v>
      </c>
      <c r="Q114" s="34">
        <v>10701.5615234375</v>
      </c>
      <c r="R114" s="34">
        <v>11796.810546875</v>
      </c>
      <c r="S114" s="34">
        <v>13061.294921875</v>
      </c>
      <c r="T114" s="34">
        <v>16951.282129063999</v>
      </c>
      <c r="U114" s="34">
        <v>22800.982319278999</v>
      </c>
      <c r="V114" s="34">
        <v>31317.2837555968</v>
      </c>
      <c r="W114" s="34"/>
    </row>
    <row r="115" spans="1:23">
      <c r="A115" s="1" t="s">
        <v>1227</v>
      </c>
      <c r="B115" s="34">
        <v>193.24309085923201</v>
      </c>
      <c r="C115" s="34">
        <v>152.88983169449401</v>
      </c>
      <c r="D115" s="34">
        <v>162.79323879646199</v>
      </c>
      <c r="E115" s="34">
        <v>181.97463339914799</v>
      </c>
      <c r="F115" s="34">
        <v>207.88184623704501</v>
      </c>
      <c r="G115" s="34">
        <v>273.89222374762898</v>
      </c>
      <c r="H115" s="34">
        <v>327.11093905198402</v>
      </c>
      <c r="I115" s="34">
        <v>364.56042253346101</v>
      </c>
      <c r="J115" s="34">
        <v>465.51317552372598</v>
      </c>
      <c r="K115" s="34">
        <v>371.80496004237801</v>
      </c>
      <c r="L115" s="34">
        <v>428.48239146510298</v>
      </c>
      <c r="M115" s="34">
        <v>523.34020996093795</v>
      </c>
      <c r="N115" s="34">
        <v>525.73785400390602</v>
      </c>
      <c r="O115" s="34">
        <v>531.128173828125</v>
      </c>
      <c r="P115" s="34">
        <v>557.27947998046898</v>
      </c>
      <c r="Q115" s="34">
        <v>560.51654052734398</v>
      </c>
      <c r="R115" s="34">
        <v>570.48498535156295</v>
      </c>
      <c r="S115" s="34">
        <v>560.76080322265602</v>
      </c>
      <c r="T115" s="34">
        <v>647.30010232923098</v>
      </c>
      <c r="U115" s="34">
        <v>620.20300852614002</v>
      </c>
      <c r="V115" s="34">
        <v>519.82869502867197</v>
      </c>
      <c r="W115" s="34"/>
    </row>
    <row r="116" spans="1:23">
      <c r="A116" s="1" t="s">
        <v>1228</v>
      </c>
      <c r="B116" s="34">
        <v>84.733553999999998</v>
      </c>
      <c r="C116" s="34">
        <v>88.320978999999994</v>
      </c>
      <c r="D116" s="34">
        <v>91.105412999999999</v>
      </c>
      <c r="E116" s="34">
        <v>92.608203000000003</v>
      </c>
      <c r="F116" s="34">
        <v>93.286739999999995</v>
      </c>
      <c r="G116" s="34">
        <v>95.840665000000001</v>
      </c>
      <c r="H116" s="34">
        <v>101.632762</v>
      </c>
      <c r="I116" s="34">
        <v>107.360854</v>
      </c>
      <c r="J116" s="34">
        <v>114.52700299999999</v>
      </c>
      <c r="K116" s="34">
        <v>121.975931</v>
      </c>
      <c r="L116" s="34">
        <v>132.880921</v>
      </c>
      <c r="M116" s="34">
        <v>135.15200400000001</v>
      </c>
      <c r="N116" s="34">
        <v>136.96767</v>
      </c>
      <c r="O116" s="34">
        <v>137.022617</v>
      </c>
      <c r="P116" s="34">
        <v>138.54786899999999</v>
      </c>
      <c r="Q116" s="34">
        <v>141.97492600000001</v>
      </c>
      <c r="R116" s="34">
        <v>140.02995000000001</v>
      </c>
      <c r="S116" s="34">
        <v>138.277175</v>
      </c>
      <c r="T116" s="34">
        <v>140.97027800000001</v>
      </c>
      <c r="U116" s="34">
        <v>145.01074299999999</v>
      </c>
      <c r="V116" s="34">
        <v>149.685438</v>
      </c>
      <c r="W116" s="34">
        <v>150.09255999999999</v>
      </c>
    </row>
    <row r="117" spans="1:23">
      <c r="A117" s="1" t="s">
        <v>1229</v>
      </c>
      <c r="B117" s="34">
        <v>3.441675</v>
      </c>
      <c r="C117" s="34">
        <v>3.4253480000000001</v>
      </c>
      <c r="D117" s="34">
        <v>3.4626760000000001</v>
      </c>
      <c r="E117" s="34">
        <v>3.6270709999999999</v>
      </c>
      <c r="F117" s="34">
        <v>3.5357889999999998</v>
      </c>
      <c r="G117" s="34">
        <v>3.7169370000000002</v>
      </c>
      <c r="H117" s="34">
        <v>3.7887029999999999</v>
      </c>
      <c r="I117" s="34">
        <v>3.7257669999999998</v>
      </c>
      <c r="J117" s="34">
        <v>3.8672049999999998</v>
      </c>
      <c r="K117" s="34">
        <v>3.9779209999999998</v>
      </c>
      <c r="L117" s="34">
        <v>3.9904839999999999</v>
      </c>
      <c r="M117" s="34">
        <v>3.944763</v>
      </c>
      <c r="N117" s="34">
        <v>3.9553579999999999</v>
      </c>
      <c r="O117" s="34">
        <v>3.839566</v>
      </c>
      <c r="P117" s="34">
        <v>3.9403869999999999</v>
      </c>
      <c r="Q117" s="34">
        <v>3.9239250000000001</v>
      </c>
      <c r="R117" s="34">
        <v>3.7885110000000002</v>
      </c>
      <c r="S117" s="34">
        <v>3.751633</v>
      </c>
      <c r="T117" s="34">
        <v>3.7846639999999998</v>
      </c>
      <c r="U117" s="34">
        <v>3.9162409999999999</v>
      </c>
      <c r="V117" s="34">
        <v>3.851099</v>
      </c>
      <c r="W117" s="34">
        <v>3.7912270000000001</v>
      </c>
    </row>
    <row r="118" spans="1:23">
      <c r="A118" s="1" t="s">
        <v>1230</v>
      </c>
      <c r="B118" s="34">
        <v>0.80536099999999999</v>
      </c>
      <c r="C118" s="34">
        <v>0.81651600000000002</v>
      </c>
      <c r="D118" s="34">
        <v>0.82348900000000003</v>
      </c>
      <c r="E118" s="34">
        <v>0.83346399999999998</v>
      </c>
      <c r="F118" s="34">
        <v>0.85186399999999995</v>
      </c>
      <c r="G118" s="34">
        <v>0.85513899999999998</v>
      </c>
      <c r="H118" s="34">
        <v>0.82284199999999996</v>
      </c>
      <c r="I118" s="34">
        <v>0.80938100000000002</v>
      </c>
      <c r="J118" s="34">
        <v>0.783694</v>
      </c>
      <c r="K118" s="34">
        <v>0.77132299999999998</v>
      </c>
      <c r="L118" s="34">
        <v>0.77312899999999996</v>
      </c>
      <c r="M118" s="34">
        <v>0.758687</v>
      </c>
      <c r="N118" s="34">
        <v>0.74773100000000003</v>
      </c>
      <c r="O118" s="34">
        <v>0.73729900000000004</v>
      </c>
      <c r="P118" s="34">
        <v>0.73964399999999997</v>
      </c>
      <c r="Q118" s="34">
        <v>0.73869399999999996</v>
      </c>
      <c r="R118" s="34">
        <v>0.70054400000000006</v>
      </c>
      <c r="S118" s="34">
        <v>0.68989500000000004</v>
      </c>
      <c r="T118" s="34">
        <v>0.68121900000000002</v>
      </c>
      <c r="U118" s="34">
        <v>0.67783499999999997</v>
      </c>
      <c r="V118" s="34">
        <v>0.66380499999999998</v>
      </c>
      <c r="W118" s="34">
        <v>0.64438099999999998</v>
      </c>
    </row>
    <row r="119" spans="1:23">
      <c r="A119" s="1" t="s">
        <v>1231</v>
      </c>
      <c r="B119" s="34">
        <v>22.941523533242002</v>
      </c>
      <c r="C119" s="34">
        <v>24.201804507670701</v>
      </c>
      <c r="D119" s="34">
        <v>25.989172628054401</v>
      </c>
      <c r="E119" s="34">
        <v>28.481244551259099</v>
      </c>
      <c r="F119" s="34">
        <v>31.3008484917214</v>
      </c>
      <c r="G119" s="34">
        <v>33.836669874793301</v>
      </c>
      <c r="H119" s="34">
        <v>35.748772688968998</v>
      </c>
      <c r="I119" s="34">
        <v>38.7547624482769</v>
      </c>
      <c r="J119" s="34">
        <v>43.165176761213502</v>
      </c>
      <c r="K119" s="34">
        <v>47.832079884635803</v>
      </c>
      <c r="L119" s="34">
        <v>51.919526838417298</v>
      </c>
      <c r="M119" s="34">
        <v>53.804946899414098</v>
      </c>
      <c r="N119" s="34">
        <v>56.475269317627003</v>
      </c>
      <c r="O119" s="34">
        <v>59.334335327148402</v>
      </c>
      <c r="P119" s="34">
        <v>62.759792327880902</v>
      </c>
      <c r="Q119" s="34">
        <v>65.295219421386705</v>
      </c>
      <c r="R119" s="34">
        <v>65.903694152832003</v>
      </c>
      <c r="S119" s="34">
        <v>67.581840515136705</v>
      </c>
      <c r="T119" s="34">
        <v>69.292661079519405</v>
      </c>
      <c r="U119" s="34">
        <v>70.243941363538994</v>
      </c>
      <c r="V119" s="34">
        <v>71.875424240819598</v>
      </c>
      <c r="W119" s="34"/>
    </row>
    <row r="120" spans="1:23">
      <c r="A120" s="1" t="s">
        <v>1232</v>
      </c>
      <c r="B120" s="34">
        <v>0.197230593006476</v>
      </c>
      <c r="C120" s="34">
        <v>0.19450132545223101</v>
      </c>
      <c r="D120" s="34">
        <v>0.19323975770541199</v>
      </c>
      <c r="E120" s="34">
        <v>0.19379204902503</v>
      </c>
      <c r="F120" s="34">
        <v>0.19454628170594701</v>
      </c>
      <c r="G120" s="34">
        <v>0.19245518004243101</v>
      </c>
      <c r="H120" s="34">
        <v>0.206700330641304</v>
      </c>
      <c r="I120" s="34">
        <v>0.211458743919341</v>
      </c>
      <c r="J120" s="34">
        <v>0.25639656948218098</v>
      </c>
      <c r="K120" s="34">
        <v>0.262501613380412</v>
      </c>
      <c r="L120" s="34">
        <v>0.280437269152086</v>
      </c>
      <c r="M120" s="34">
        <v>0.290935188531876</v>
      </c>
      <c r="N120" s="34">
        <v>0.30213180184364302</v>
      </c>
      <c r="O120" s="34">
        <v>0.30802938342094399</v>
      </c>
      <c r="P120" s="34">
        <v>0.319498181343079</v>
      </c>
      <c r="Q120" s="34">
        <v>0.31237363815307601</v>
      </c>
      <c r="R120" s="34">
        <v>0.31383964419364901</v>
      </c>
      <c r="S120" s="34">
        <v>0.300330430269241</v>
      </c>
      <c r="T120" s="34">
        <v>0.298307169729644</v>
      </c>
      <c r="U120" s="34">
        <v>0.29797152291387602</v>
      </c>
      <c r="V120" s="34">
        <v>0.29365149381245498</v>
      </c>
      <c r="W120" s="34"/>
    </row>
    <row r="121" spans="1:23">
      <c r="A121" s="1" t="s">
        <v>1233</v>
      </c>
      <c r="B121" s="34">
        <v>154.691385</v>
      </c>
      <c r="C121" s="34">
        <v>149.64188799999999</v>
      </c>
      <c r="D121" s="34">
        <v>143.77420499999999</v>
      </c>
      <c r="E121" s="34">
        <v>139.579081</v>
      </c>
      <c r="F121" s="34">
        <v>134.401332</v>
      </c>
      <c r="G121" s="34">
        <v>129.55195499999999</v>
      </c>
      <c r="H121" s="34">
        <v>124.44886099999999</v>
      </c>
      <c r="I121" s="34">
        <v>120.31948199999999</v>
      </c>
      <c r="J121" s="34">
        <v>116.845814</v>
      </c>
      <c r="K121" s="34">
        <v>115.219075</v>
      </c>
      <c r="L121" s="34">
        <v>111.709563</v>
      </c>
      <c r="M121" s="34">
        <v>107.45428099999999</v>
      </c>
      <c r="N121" s="34">
        <v>104.273972</v>
      </c>
      <c r="O121" s="34">
        <v>101.302673</v>
      </c>
      <c r="P121" s="34">
        <v>103.052076</v>
      </c>
      <c r="Q121" s="34">
        <v>103.469437</v>
      </c>
      <c r="R121" s="34">
        <v>105.519502</v>
      </c>
      <c r="S121" s="34">
        <v>105.101901</v>
      </c>
      <c r="T121" s="34">
        <v>104.158636</v>
      </c>
      <c r="U121" s="34">
        <v>104.305752</v>
      </c>
      <c r="V121" s="34">
        <v>101.24037</v>
      </c>
      <c r="W121" s="34">
        <v>96.759440999999995</v>
      </c>
    </row>
    <row r="122" spans="1:23">
      <c r="A122" s="1" t="s">
        <v>1234</v>
      </c>
      <c r="B122" s="34">
        <v>22.5868578639326</v>
      </c>
      <c r="C122" s="34">
        <v>24.346846956138599</v>
      </c>
      <c r="D122" s="34">
        <v>25.3586355298842</v>
      </c>
      <c r="E122" s="34">
        <v>27.8187446399393</v>
      </c>
      <c r="F122" s="34">
        <v>31.459406795273399</v>
      </c>
      <c r="G122" s="34">
        <v>35.962509961837</v>
      </c>
      <c r="H122" s="34">
        <v>42.429055382134997</v>
      </c>
      <c r="I122" s="34">
        <v>47.734767111586599</v>
      </c>
      <c r="J122" s="34">
        <v>56.627299316458803</v>
      </c>
      <c r="K122" s="34">
        <v>58.8352039321544</v>
      </c>
      <c r="L122" s="34">
        <v>69.522832218231699</v>
      </c>
      <c r="M122" s="34">
        <v>82.090095520019503</v>
      </c>
      <c r="N122" s="34">
        <v>83.832473754882798</v>
      </c>
      <c r="O122" s="34">
        <v>86.235084533691406</v>
      </c>
      <c r="P122" s="34">
        <v>92.813674926757798</v>
      </c>
      <c r="Q122" s="34">
        <v>100.349800109863</v>
      </c>
      <c r="R122" s="34">
        <v>110.82453918457</v>
      </c>
      <c r="S122" s="34">
        <v>121.253463745117</v>
      </c>
      <c r="T122" s="34">
        <v>129.31085076210101</v>
      </c>
      <c r="U122" s="34">
        <v>136.74049312254601</v>
      </c>
      <c r="V122" s="34">
        <v>140.80149946239399</v>
      </c>
      <c r="W122" s="34"/>
    </row>
    <row r="123" spans="1:23">
      <c r="A123" s="1" t="s">
        <v>226</v>
      </c>
      <c r="B123" s="34">
        <v>21.691178092964499</v>
      </c>
      <c r="C123" s="34">
        <v>21.5595145619031</v>
      </c>
      <c r="D123" s="34">
        <v>21.4218659981237</v>
      </c>
      <c r="E123" s="34">
        <v>22.3346700497607</v>
      </c>
      <c r="F123" s="34">
        <v>23.299163686098801</v>
      </c>
      <c r="G123" s="34">
        <v>23.702424243879801</v>
      </c>
      <c r="H123" s="34">
        <v>24.7976431023571</v>
      </c>
      <c r="I123" s="34">
        <v>26.112119565785999</v>
      </c>
      <c r="J123" s="34">
        <v>29.494701694355602</v>
      </c>
      <c r="K123" s="34">
        <v>32.677969211436299</v>
      </c>
      <c r="L123" s="34">
        <v>32.831062236535097</v>
      </c>
      <c r="M123" s="34">
        <v>35.396121978759801</v>
      </c>
      <c r="N123" s="34">
        <v>37.978683471679702</v>
      </c>
      <c r="O123" s="34">
        <v>37.667854309082003</v>
      </c>
      <c r="P123" s="34">
        <v>38.289257049560497</v>
      </c>
      <c r="Q123" s="34">
        <v>39.040477752685497</v>
      </c>
      <c r="R123" s="34">
        <v>39.384956359863303</v>
      </c>
      <c r="S123" s="34">
        <v>40.1849365234375</v>
      </c>
      <c r="T123" s="34">
        <v>40.904114413550303</v>
      </c>
      <c r="U123" s="34">
        <v>42.031367718905898</v>
      </c>
      <c r="V123" s="34">
        <v>43.682953017939099</v>
      </c>
      <c r="W123" s="34"/>
    </row>
    <row r="124" spans="1:23">
      <c r="A124" s="1" t="s">
        <v>1235</v>
      </c>
      <c r="B124" s="34">
        <v>7.1590826560761203</v>
      </c>
      <c r="C124" s="34">
        <v>7.5191298366260098</v>
      </c>
      <c r="D124" s="34">
        <v>7.5519603262726598</v>
      </c>
      <c r="E124" s="34">
        <v>7.7089550691767599</v>
      </c>
      <c r="F124" s="34">
        <v>7.89035690963662</v>
      </c>
      <c r="G124" s="34">
        <v>8.1974837571564798</v>
      </c>
      <c r="H124" s="34">
        <v>8.7039604451489296</v>
      </c>
      <c r="I124" s="34">
        <v>9.7372402362383994</v>
      </c>
      <c r="J124" s="34">
        <v>11.673401366628701</v>
      </c>
      <c r="K124" s="34">
        <v>12.052575772745101</v>
      </c>
      <c r="L124" s="34">
        <v>13.109164984434001</v>
      </c>
      <c r="M124" s="34">
        <v>15.7278079986572</v>
      </c>
      <c r="N124" s="34">
        <v>15.303433418273899</v>
      </c>
      <c r="O124" s="34">
        <v>15.364942550659199</v>
      </c>
      <c r="P124" s="34">
        <v>16.0363655090332</v>
      </c>
      <c r="Q124" s="34">
        <v>17.145973205566399</v>
      </c>
      <c r="R124" s="34">
        <v>16.7373352050781</v>
      </c>
      <c r="S124" s="34">
        <v>16.958723068237301</v>
      </c>
      <c r="T124" s="34">
        <v>17.132028960387601</v>
      </c>
      <c r="U124" s="34">
        <v>17.496303703007101</v>
      </c>
      <c r="V124" s="34">
        <v>18.283718835260402</v>
      </c>
      <c r="W124" s="34"/>
    </row>
    <row r="125" spans="1:23">
      <c r="A125" s="1" t="s">
        <v>1236</v>
      </c>
      <c r="B125" s="34">
        <v>1077.3239045139401</v>
      </c>
      <c r="C125" s="34">
        <v>1082.1006534038099</v>
      </c>
      <c r="D125" s="34">
        <v>1072.84765206051</v>
      </c>
      <c r="E125" s="34">
        <v>1072.22012882478</v>
      </c>
      <c r="F125" s="34">
        <v>1094.4756130503599</v>
      </c>
      <c r="G125" s="34">
        <v>1125.9118750815701</v>
      </c>
      <c r="H125" s="34">
        <v>1143.4509209077301</v>
      </c>
      <c r="I125" s="34">
        <v>1186.11897129667</v>
      </c>
      <c r="J125" s="34">
        <v>1306.0588933453901</v>
      </c>
      <c r="K125" s="34">
        <v>1328.63875455827</v>
      </c>
      <c r="L125" s="34">
        <v>1354.3189518471499</v>
      </c>
      <c r="M125" s="34">
        <v>1371.2353515625</v>
      </c>
      <c r="N125" s="34">
        <v>1336.79028320313</v>
      </c>
      <c r="O125" s="34">
        <v>1340.06762695313</v>
      </c>
      <c r="P125" s="34">
        <v>1386.03576660156</v>
      </c>
      <c r="Q125" s="34">
        <v>1395.92004394531</v>
      </c>
      <c r="R125" s="34">
        <v>1402.13061523438</v>
      </c>
      <c r="S125" s="34">
        <v>1428.353515625</v>
      </c>
      <c r="T125" s="34">
        <v>1438.26876413531</v>
      </c>
      <c r="U125" s="34">
        <v>1458.7610110793701</v>
      </c>
      <c r="V125" s="34">
        <v>1428.9112992196499</v>
      </c>
      <c r="W125" s="34"/>
    </row>
    <row r="126" spans="1:23">
      <c r="A126" s="1" t="s">
        <v>1237</v>
      </c>
      <c r="B126" s="34">
        <v>0.86822038670771196</v>
      </c>
      <c r="C126" s="34">
        <v>0.90686569686457097</v>
      </c>
      <c r="D126" s="34">
        <v>0.93690986163456902</v>
      </c>
      <c r="E126" s="34">
        <v>0.94410482993878697</v>
      </c>
      <c r="F126" s="34">
        <v>0.93505313508073795</v>
      </c>
      <c r="G126" s="34">
        <v>0.91145013708184897</v>
      </c>
      <c r="H126" s="34">
        <v>0.88241746641207797</v>
      </c>
      <c r="I126" s="34">
        <v>0.91217480392825201</v>
      </c>
      <c r="J126" s="34">
        <v>0.96918721505364802</v>
      </c>
      <c r="K126" s="34">
        <v>0.96348804628625595</v>
      </c>
      <c r="L126" s="34">
        <v>0.963613711260075</v>
      </c>
      <c r="M126" s="34">
        <v>0.96162138169192601</v>
      </c>
      <c r="N126" s="34">
        <v>0.93979341900600899</v>
      </c>
      <c r="O126" s="34">
        <v>0.92483833868472098</v>
      </c>
      <c r="P126" s="34">
        <v>0.95076888734019904</v>
      </c>
      <c r="Q126" s="34">
        <v>0.97461157845701196</v>
      </c>
      <c r="R126" s="34">
        <v>0.96614611553309704</v>
      </c>
      <c r="S126" s="34">
        <v>0.95746757689850204</v>
      </c>
      <c r="T126" s="34">
        <v>0.98776496129958502</v>
      </c>
      <c r="U126" s="34">
        <v>0.94462221273244895</v>
      </c>
      <c r="V126" s="34">
        <v>1.00810786113539</v>
      </c>
      <c r="W126" s="34"/>
    </row>
    <row r="127" spans="1:23">
      <c r="A127" s="1" t="s">
        <v>1238</v>
      </c>
      <c r="B127" s="34">
        <v>1.5789294161273799</v>
      </c>
      <c r="C127" s="34">
        <v>1.60585289357511</v>
      </c>
      <c r="D127" s="34">
        <v>1.6357982239017299</v>
      </c>
      <c r="E127" s="34">
        <v>1.6327837433451799</v>
      </c>
      <c r="F127" s="34">
        <v>1.6510197992804401</v>
      </c>
      <c r="G127" s="34">
        <v>1.5751462084588701</v>
      </c>
      <c r="H127" s="34">
        <v>1.74549585368865</v>
      </c>
      <c r="I127" s="34">
        <v>1.8073477945665199</v>
      </c>
      <c r="J127" s="34">
        <v>1.82073762755441</v>
      </c>
      <c r="K127" s="34">
        <v>1.8747429786325001</v>
      </c>
      <c r="L127" s="34">
        <v>1.8951937543511099</v>
      </c>
      <c r="M127" s="34">
        <v>1.96119391918182</v>
      </c>
      <c r="N127" s="34">
        <v>2.0161473751068102</v>
      </c>
      <c r="O127" s="34">
        <v>2.0336470603942902</v>
      </c>
      <c r="P127" s="34">
        <v>2.0349855422973602</v>
      </c>
      <c r="Q127" s="34">
        <v>2.0349133014678999</v>
      </c>
      <c r="R127" s="34">
        <v>2.0376164913177499</v>
      </c>
      <c r="S127" s="34">
        <v>2.0397644042968799</v>
      </c>
      <c r="T127" s="34">
        <v>1.9720767214512001</v>
      </c>
      <c r="U127" s="34">
        <v>1.9966749878175001</v>
      </c>
      <c r="V127" s="34">
        <v>1.9405645419054001</v>
      </c>
      <c r="W127" s="34"/>
    </row>
    <row r="128" spans="1:23">
      <c r="A128" s="1" t="s">
        <v>1239</v>
      </c>
      <c r="B128" s="34">
        <v>747.73679400000003</v>
      </c>
      <c r="C128" s="34">
        <v>756.69913399999996</v>
      </c>
      <c r="D128" s="34">
        <v>769.77179000000001</v>
      </c>
      <c r="E128" s="34">
        <v>791.29371400000002</v>
      </c>
      <c r="F128" s="34">
        <v>794.71155199999998</v>
      </c>
      <c r="G128" s="34">
        <v>788.92013499999996</v>
      </c>
      <c r="H128" s="34">
        <v>772.21616100000006</v>
      </c>
      <c r="I128" s="34">
        <v>770.08552599999996</v>
      </c>
      <c r="J128" s="34">
        <v>785.71788600000002</v>
      </c>
      <c r="K128" s="34">
        <v>828.42084799999998</v>
      </c>
      <c r="L128" s="34">
        <v>840.99170200000003</v>
      </c>
      <c r="M128" s="34">
        <v>854.58572300000003</v>
      </c>
      <c r="N128" s="34">
        <v>854.88726799999995</v>
      </c>
      <c r="O128" s="34">
        <v>869.08142199999998</v>
      </c>
      <c r="P128" s="34">
        <v>871.878106</v>
      </c>
      <c r="Q128" s="34">
        <v>857.48338699999999</v>
      </c>
      <c r="R128" s="34">
        <v>858.80968700000005</v>
      </c>
      <c r="S128" s="34">
        <v>872.62477100000001</v>
      </c>
      <c r="T128" s="34">
        <v>854.871397</v>
      </c>
      <c r="U128" s="34">
        <v>864.63056700000004</v>
      </c>
      <c r="V128" s="34">
        <v>824.60492399999998</v>
      </c>
      <c r="W128" s="34">
        <v>808.46232999999995</v>
      </c>
    </row>
    <row r="129" spans="1:23">
      <c r="A129" s="1" t="s">
        <v>1240</v>
      </c>
      <c r="B129" s="34">
        <v>0.100704505598938</v>
      </c>
      <c r="C129" s="34">
        <v>9.0936785571650303E-2</v>
      </c>
      <c r="D129" s="34">
        <v>9.4129568163247704E-2</v>
      </c>
      <c r="E129" s="34">
        <v>9.6960702389869993E-2</v>
      </c>
      <c r="F129" s="34">
        <v>0.105155358337872</v>
      </c>
      <c r="G129" s="34">
        <v>0.12418059001208299</v>
      </c>
      <c r="H129" s="34">
        <v>0.14003087208565301</v>
      </c>
      <c r="I129" s="34">
        <v>0.142241505388495</v>
      </c>
      <c r="J129" s="34">
        <v>0.16556745110104501</v>
      </c>
      <c r="K129" s="34">
        <v>0.136107636062446</v>
      </c>
      <c r="L129" s="34">
        <v>0.14947834681361</v>
      </c>
      <c r="M129" s="34">
        <v>0.17168940603733099</v>
      </c>
      <c r="N129" s="34">
        <v>0.17596618831157701</v>
      </c>
      <c r="O129" s="34">
        <v>0.17943559587001801</v>
      </c>
      <c r="P129" s="34">
        <v>0.17893409729003901</v>
      </c>
      <c r="Q129" s="34">
        <v>0.19029478728771199</v>
      </c>
      <c r="R129" s="34">
        <v>0.186951458454132</v>
      </c>
      <c r="S129" s="34">
        <v>0.17748399078846</v>
      </c>
      <c r="T129" s="34">
        <v>0.195132621972682</v>
      </c>
      <c r="U129" s="34">
        <v>0.189148031375829</v>
      </c>
      <c r="V129" s="34">
        <v>0.16059707412142901</v>
      </c>
      <c r="W129" s="34"/>
    </row>
    <row r="130" spans="1:23">
      <c r="A130" s="1" t="s">
        <v>1241</v>
      </c>
      <c r="B130" s="34"/>
      <c r="C130" s="34"/>
      <c r="D130" s="34"/>
      <c r="E130" s="34"/>
      <c r="F130" s="34"/>
      <c r="G130" s="34"/>
      <c r="H130" s="34"/>
      <c r="I130" s="34"/>
      <c r="J130" s="34"/>
      <c r="K130" s="34"/>
      <c r="L130" s="34"/>
      <c r="M130" s="34"/>
      <c r="N130" s="34"/>
      <c r="O130" s="34"/>
      <c r="P130" s="34"/>
      <c r="Q130" s="34"/>
      <c r="R130" s="34"/>
      <c r="S130" s="34"/>
      <c r="T130" s="34"/>
      <c r="U130" s="34"/>
      <c r="V130" s="34"/>
      <c r="W130" s="34"/>
    </row>
    <row r="131" spans="1:23">
      <c r="A131" s="1" t="s">
        <v>1242</v>
      </c>
      <c r="B131" s="34">
        <v>1398.3986331098099</v>
      </c>
      <c r="C131" s="34">
        <v>1489.7334645559899</v>
      </c>
      <c r="D131" s="34">
        <v>1559.1989166257999</v>
      </c>
      <c r="E131" s="34">
        <v>1736.66112136793</v>
      </c>
      <c r="F131" s="34">
        <v>1871.9215389241299</v>
      </c>
      <c r="G131" s="34">
        <v>1972.227836366</v>
      </c>
      <c r="H131" s="34">
        <v>2121.1390423509902</v>
      </c>
      <c r="I131" s="34">
        <v>2219.29887333339</v>
      </c>
      <c r="J131" s="34">
        <v>2369.9075111453799</v>
      </c>
      <c r="K131" s="34">
        <v>2283.0155117707</v>
      </c>
      <c r="L131" s="34">
        <v>2464.2598554544602</v>
      </c>
      <c r="M131" s="34">
        <v>2666.53491210938</v>
      </c>
      <c r="N131" s="34">
        <v>2615.5234375</v>
      </c>
      <c r="O131" s="34">
        <v>2712.92993164063</v>
      </c>
      <c r="P131" s="34">
        <v>2738.37084960938</v>
      </c>
      <c r="Q131" s="34">
        <v>2819.72900390625</v>
      </c>
      <c r="R131" s="34">
        <v>2759.42553710938</v>
      </c>
      <c r="S131" s="34">
        <v>2789.10864257813</v>
      </c>
      <c r="T131" s="34">
        <v>2776.0050803085201</v>
      </c>
      <c r="U131" s="34">
        <v>2783.0524568921901</v>
      </c>
      <c r="V131" s="34">
        <v>2887.16652858009</v>
      </c>
      <c r="W131" s="34"/>
    </row>
    <row r="132" spans="1:23">
      <c r="A132" s="1" t="s">
        <v>1243</v>
      </c>
      <c r="B132" s="34">
        <v>756.37419294379799</v>
      </c>
      <c r="C132" s="34">
        <v>728.85152613970399</v>
      </c>
      <c r="D132" s="34">
        <v>752.81197803410396</v>
      </c>
      <c r="E132" s="34">
        <v>750.77326195295097</v>
      </c>
      <c r="F132" s="34">
        <v>722.06425121007896</v>
      </c>
      <c r="G132" s="34">
        <v>692.81368686291296</v>
      </c>
      <c r="H132" s="34">
        <v>678.38620264838403</v>
      </c>
      <c r="I132" s="34">
        <v>681.33691507398805</v>
      </c>
      <c r="J132" s="34">
        <v>718.684597296692</v>
      </c>
      <c r="K132" s="34">
        <v>786.60135405020503</v>
      </c>
      <c r="L132" s="34">
        <v>782.03995751290802</v>
      </c>
      <c r="M132" s="34">
        <v>788.75180645870296</v>
      </c>
      <c r="N132" s="34">
        <v>808.92030205478898</v>
      </c>
      <c r="O132" s="34">
        <v>798.52602767824101</v>
      </c>
      <c r="P132" s="34">
        <v>771.11485189242899</v>
      </c>
      <c r="Q132" s="34">
        <v>764.82144213490699</v>
      </c>
      <c r="R132" s="34">
        <v>742.68610569779696</v>
      </c>
      <c r="S132" s="34">
        <v>734.77587993388397</v>
      </c>
      <c r="T132" s="34">
        <v>756.68559690799304</v>
      </c>
      <c r="U132" s="34">
        <v>775.81064158690504</v>
      </c>
      <c r="V132" s="34">
        <v>1414.9794051246699</v>
      </c>
      <c r="W132" s="34"/>
    </row>
    <row r="133" spans="1:23">
      <c r="A133" s="1" t="s">
        <v>1244</v>
      </c>
      <c r="B133" s="34">
        <v>0.30887128448302598</v>
      </c>
      <c r="C133" s="34">
        <v>0.304418059774758</v>
      </c>
      <c r="D133" s="34">
        <v>0.29550416606452601</v>
      </c>
      <c r="E133" s="34">
        <v>0.335117812450898</v>
      </c>
      <c r="F133" s="34">
        <v>0.38134625225600699</v>
      </c>
      <c r="G133" s="34">
        <v>0.37163856333488299</v>
      </c>
      <c r="H133" s="34">
        <v>0.393673941090188</v>
      </c>
      <c r="I133" s="34">
        <v>0.42944809447827897</v>
      </c>
      <c r="J133" s="34">
        <v>0.49424210542393399</v>
      </c>
      <c r="K133" s="34">
        <v>0.47714714211382098</v>
      </c>
      <c r="L133" s="34">
        <v>0.50236515756678701</v>
      </c>
      <c r="M133" s="34">
        <v>0.545838707946248</v>
      </c>
      <c r="N133" s="34">
        <v>0.56039926454289701</v>
      </c>
      <c r="O133" s="34">
        <v>0.53903488182800097</v>
      </c>
      <c r="P133" s="34">
        <v>0.52186249940632701</v>
      </c>
      <c r="Q133" s="34">
        <v>0.54979163534734199</v>
      </c>
      <c r="R133" s="34">
        <v>0.51819765629242898</v>
      </c>
      <c r="S133" s="34">
        <v>0.46099355118409702</v>
      </c>
      <c r="T133" s="34">
        <v>0.449239886295421</v>
      </c>
      <c r="U133" s="34">
        <v>0.43888742078216197</v>
      </c>
      <c r="V133" s="34">
        <v>0.43105028636916298</v>
      </c>
      <c r="W133" s="34"/>
    </row>
    <row r="134" spans="1:23">
      <c r="A134" s="1" t="s">
        <v>1245</v>
      </c>
      <c r="B134" s="34">
        <v>0.202760753374537</v>
      </c>
      <c r="C134" s="34">
        <v>0.212664313346523</v>
      </c>
      <c r="D134" s="34">
        <v>0.26639572268912598</v>
      </c>
      <c r="E134" s="34">
        <v>0.29910246227878401</v>
      </c>
      <c r="F134" s="34">
        <v>0.35710169480262299</v>
      </c>
      <c r="G134" s="34">
        <v>0.445251104782734</v>
      </c>
      <c r="H134" s="34">
        <v>0.47305923719693499</v>
      </c>
      <c r="I134" s="34">
        <v>0.51145213693287905</v>
      </c>
      <c r="J134" s="34">
        <v>0.61121100303071696</v>
      </c>
      <c r="K134" s="34">
        <v>0.45304263826074098</v>
      </c>
      <c r="L134" s="34">
        <v>0.51124107417128895</v>
      </c>
      <c r="M134" s="34">
        <v>0.59217624207225505</v>
      </c>
      <c r="N134" s="34">
        <v>0.67670555644760699</v>
      </c>
      <c r="O134" s="34">
        <v>0.66332263732611996</v>
      </c>
      <c r="P134" s="34">
        <v>0.57529794907579102</v>
      </c>
      <c r="Q134" s="34">
        <v>0.49030461875141201</v>
      </c>
      <c r="R134" s="34">
        <v>0.50505690779461798</v>
      </c>
      <c r="S134" s="34">
        <v>0.60611022753967603</v>
      </c>
      <c r="T134" s="34">
        <v>0.69917249521801905</v>
      </c>
      <c r="U134" s="34">
        <v>0.67932919287590499</v>
      </c>
      <c r="V134" s="34">
        <v>0.47684353605951901</v>
      </c>
      <c r="W134" s="34"/>
    </row>
    <row r="135" spans="1:23">
      <c r="A135" s="1" t="s">
        <v>1246</v>
      </c>
      <c r="B135" s="34">
        <v>1.73393142356198</v>
      </c>
      <c r="C135" s="34">
        <v>1.6812388107140299</v>
      </c>
      <c r="D135" s="34">
        <v>1.6618737426124901</v>
      </c>
      <c r="E135" s="34">
        <v>1.7168157214792199</v>
      </c>
      <c r="F135" s="34">
        <v>1.68364577580203</v>
      </c>
      <c r="G135" s="34">
        <v>1.7453976263155699</v>
      </c>
      <c r="H135" s="34">
        <v>1.78181140227332</v>
      </c>
      <c r="I135" s="34">
        <v>1.7975083808877099</v>
      </c>
      <c r="J135" s="34">
        <v>1.80786974960137</v>
      </c>
      <c r="K135" s="34">
        <v>1.7999050910859999</v>
      </c>
      <c r="L135" s="34">
        <v>1.8576024471793799</v>
      </c>
      <c r="M135" s="34">
        <v>1.8296931982040401</v>
      </c>
      <c r="N135" s="34">
        <v>1.8756631612777701</v>
      </c>
      <c r="O135" s="34">
        <v>1.87722980976105</v>
      </c>
      <c r="P135" s="34">
        <v>1.9314279556274401</v>
      </c>
      <c r="Q135" s="34">
        <v>2.0110747814178498</v>
      </c>
      <c r="R135" s="34">
        <v>1.9576119184494001</v>
      </c>
      <c r="S135" s="34">
        <v>1.99576032161713</v>
      </c>
      <c r="T135" s="34">
        <v>1.95837500402512</v>
      </c>
      <c r="U135" s="34">
        <v>1.9752889605302699</v>
      </c>
      <c r="V135" s="34">
        <v>1.8703879392518501</v>
      </c>
      <c r="W135" s="34"/>
    </row>
    <row r="136" spans="1:23">
      <c r="A136" s="1" t="s">
        <v>1247</v>
      </c>
      <c r="B136" s="34"/>
      <c r="C136" s="34"/>
      <c r="D136" s="34"/>
      <c r="E136" s="34"/>
      <c r="F136" s="34"/>
      <c r="G136" s="34"/>
      <c r="H136" s="34"/>
      <c r="I136" s="34"/>
      <c r="J136" s="34"/>
      <c r="K136" s="34"/>
      <c r="L136" s="34"/>
      <c r="M136" s="34"/>
      <c r="N136" s="34"/>
      <c r="O136" s="34"/>
      <c r="P136" s="34"/>
      <c r="Q136" s="34"/>
      <c r="R136" s="34"/>
      <c r="S136" s="34"/>
      <c r="T136" s="34"/>
      <c r="U136" s="34"/>
      <c r="V136" s="34"/>
      <c r="W136" s="34"/>
    </row>
    <row r="137" spans="1:23">
      <c r="A137" s="1" t="s">
        <v>1248</v>
      </c>
      <c r="B137" s="34"/>
      <c r="C137" s="34"/>
      <c r="D137" s="34"/>
      <c r="E137" s="34"/>
      <c r="F137" s="34"/>
      <c r="G137" s="34"/>
      <c r="H137" s="34"/>
      <c r="I137" s="34"/>
      <c r="J137" s="34"/>
      <c r="K137" s="34"/>
      <c r="L137" s="34"/>
      <c r="M137" s="34"/>
      <c r="N137" s="34"/>
      <c r="O137" s="34"/>
      <c r="P137" s="34"/>
      <c r="Q137" s="34"/>
      <c r="R137" s="34"/>
      <c r="S137" s="34"/>
      <c r="T137" s="34"/>
      <c r="U137" s="34"/>
      <c r="V137" s="34"/>
      <c r="W137" s="34"/>
    </row>
    <row r="138" spans="1:23">
      <c r="A138" s="1" t="s">
        <v>1249</v>
      </c>
      <c r="B138" s="34"/>
      <c r="C138" s="34"/>
      <c r="D138" s="34"/>
      <c r="E138" s="34"/>
      <c r="F138" s="34"/>
      <c r="G138" s="34"/>
      <c r="H138" s="34"/>
      <c r="I138" s="34"/>
      <c r="J138" s="34"/>
      <c r="K138" s="34"/>
      <c r="L138" s="34"/>
      <c r="M138" s="34"/>
      <c r="N138" s="34"/>
      <c r="O138" s="34"/>
      <c r="P138" s="34"/>
      <c r="Q138" s="34"/>
      <c r="R138" s="34"/>
      <c r="S138" s="34"/>
      <c r="T138" s="34"/>
      <c r="U138" s="34"/>
      <c r="V138" s="34"/>
      <c r="W138" s="34"/>
    </row>
    <row r="139" spans="1:23">
      <c r="A139" s="1" t="s">
        <v>1250</v>
      </c>
      <c r="B139" s="34"/>
      <c r="C139" s="34"/>
      <c r="D139" s="34"/>
      <c r="E139" s="34"/>
      <c r="F139" s="34"/>
      <c r="G139" s="34"/>
      <c r="H139" s="34"/>
      <c r="I139" s="34"/>
      <c r="J139" s="34"/>
      <c r="K139" s="34"/>
      <c r="L139" s="34"/>
      <c r="M139" s="34"/>
      <c r="N139" s="34"/>
      <c r="O139" s="34"/>
      <c r="P139" s="34"/>
      <c r="Q139" s="34"/>
      <c r="R139" s="34"/>
      <c r="S139" s="34"/>
      <c r="T139" s="34"/>
      <c r="U139" s="34"/>
      <c r="V139" s="34"/>
      <c r="W139" s="34"/>
    </row>
    <row r="140" spans="1:23">
      <c r="A140" s="1" t="s">
        <v>1251</v>
      </c>
      <c r="B140" s="34">
        <v>19.0931378555597</v>
      </c>
      <c r="C140" s="34">
        <v>19.6453635698428</v>
      </c>
      <c r="D140" s="34">
        <v>20.908192976301802</v>
      </c>
      <c r="E140" s="34">
        <v>22.322824508657199</v>
      </c>
      <c r="F140" s="34">
        <v>23.650835562175601</v>
      </c>
      <c r="G140" s="34">
        <v>25.326059346060202</v>
      </c>
      <c r="H140" s="34">
        <v>27.354289731151098</v>
      </c>
      <c r="I140" s="34">
        <v>30.3756947447825</v>
      </c>
      <c r="J140" s="34">
        <v>34.660938391963498</v>
      </c>
      <c r="K140" s="34">
        <v>36.421303090076101</v>
      </c>
      <c r="L140" s="34">
        <v>38.6295440062271</v>
      </c>
      <c r="M140" s="34">
        <v>39.288887023925803</v>
      </c>
      <c r="N140" s="34">
        <v>41.447456359863303</v>
      </c>
      <c r="O140" s="34">
        <v>42.938968658447301</v>
      </c>
      <c r="P140" s="34">
        <v>44.298309326171903</v>
      </c>
      <c r="Q140" s="34">
        <v>45.183189392089801</v>
      </c>
      <c r="R140" s="34">
        <v>46.282962799072301</v>
      </c>
      <c r="S140" s="34">
        <v>49.39013671875</v>
      </c>
      <c r="T140" s="34">
        <v>50.0777672216174</v>
      </c>
      <c r="U140" s="34">
        <v>50.545392618937697</v>
      </c>
      <c r="V140" s="34">
        <v>51.654119072248598</v>
      </c>
      <c r="W140" s="34"/>
    </row>
    <row r="141" spans="1:23">
      <c r="A141" s="1" t="s">
        <v>1252</v>
      </c>
      <c r="B141" s="34"/>
      <c r="C141" s="34"/>
      <c r="D141" s="34"/>
      <c r="E141" s="34"/>
      <c r="F141" s="34"/>
      <c r="G141" s="34"/>
      <c r="H141" s="34"/>
      <c r="I141" s="34"/>
      <c r="J141" s="34"/>
      <c r="K141" s="34"/>
      <c r="L141" s="34"/>
      <c r="M141" s="34"/>
      <c r="N141" s="34"/>
      <c r="O141" s="34"/>
      <c r="P141" s="34"/>
      <c r="Q141" s="34"/>
      <c r="R141" s="34"/>
      <c r="S141" s="34"/>
      <c r="T141" s="34"/>
      <c r="U141" s="34"/>
      <c r="V141" s="34"/>
      <c r="W141" s="34"/>
    </row>
    <row r="142" spans="1:23">
      <c r="A142" s="1" t="s">
        <v>1253</v>
      </c>
      <c r="B142" s="34"/>
      <c r="C142" s="34"/>
      <c r="D142" s="34"/>
      <c r="E142" s="34"/>
      <c r="F142" s="34"/>
      <c r="G142" s="34"/>
      <c r="H142" s="34"/>
      <c r="I142" s="34"/>
      <c r="J142" s="34"/>
      <c r="K142" s="34"/>
      <c r="L142" s="34"/>
      <c r="M142" s="34"/>
      <c r="N142" s="34"/>
      <c r="O142" s="34"/>
      <c r="P142" s="34"/>
      <c r="Q142" s="34"/>
      <c r="R142" s="34"/>
      <c r="S142" s="34"/>
      <c r="T142" s="34"/>
      <c r="U142" s="34"/>
      <c r="V142" s="34"/>
      <c r="W142" s="34"/>
    </row>
    <row r="143" spans="1:23">
      <c r="A143" s="1" t="s">
        <v>1254</v>
      </c>
      <c r="B143" s="34">
        <v>2.4113208979156902</v>
      </c>
      <c r="C143" s="34">
        <v>2.6302798350344099</v>
      </c>
      <c r="D143" s="34">
        <v>2.9571862394571</v>
      </c>
      <c r="E143" s="34">
        <v>2.9740750813594001</v>
      </c>
      <c r="F143" s="34">
        <v>3.17414329252018</v>
      </c>
      <c r="G143" s="34">
        <v>3.2605776989328401</v>
      </c>
      <c r="H143" s="34">
        <v>3.45947881714544</v>
      </c>
      <c r="I143" s="34">
        <v>3.1436491752190499</v>
      </c>
      <c r="J143" s="34">
        <v>3.5993593178153298</v>
      </c>
      <c r="K143" s="34">
        <v>3.6560057144483</v>
      </c>
      <c r="L143" s="34">
        <v>3.80698626188375</v>
      </c>
      <c r="M143" s="34">
        <v>4.0807523727417001</v>
      </c>
      <c r="N143" s="34">
        <v>4.3733577728271502</v>
      </c>
      <c r="O143" s="34">
        <v>4.3930802345275897</v>
      </c>
      <c r="P143" s="34">
        <v>4.6232328414917001</v>
      </c>
      <c r="Q143" s="34">
        <v>4.75158739089966</v>
      </c>
      <c r="R143" s="34">
        <v>5.0115408897399902</v>
      </c>
      <c r="S143" s="34">
        <v>5.5058526992797896</v>
      </c>
      <c r="T143" s="34">
        <v>5.8941526084362996</v>
      </c>
      <c r="U143" s="34">
        <v>5.9729896600498096</v>
      </c>
      <c r="V143" s="34">
        <v>5.89992242225523</v>
      </c>
      <c r="W143" s="34"/>
    </row>
    <row r="144" spans="1:23">
      <c r="A144" s="1" t="s">
        <v>1255</v>
      </c>
      <c r="B144" s="34"/>
      <c r="C144" s="34"/>
      <c r="D144" s="34"/>
      <c r="E144" s="34"/>
      <c r="F144" s="34"/>
      <c r="G144" s="34"/>
      <c r="H144" s="34"/>
      <c r="I144" s="34"/>
      <c r="J144" s="34"/>
      <c r="K144" s="34"/>
      <c r="L144" s="34"/>
      <c r="M144" s="34"/>
      <c r="N144" s="34"/>
      <c r="O144" s="34"/>
      <c r="P144" s="34"/>
      <c r="Q144" s="34"/>
      <c r="R144" s="34"/>
      <c r="S144" s="34"/>
      <c r="T144" s="34"/>
      <c r="U144" s="34"/>
      <c r="V144" s="34"/>
      <c r="W144" s="34"/>
    </row>
    <row r="145" spans="1:23">
      <c r="A145" s="1" t="s">
        <v>1256</v>
      </c>
      <c r="B145" s="34">
        <v>0.45172299999999999</v>
      </c>
      <c r="C145" s="34">
        <v>0.43287500000000001</v>
      </c>
      <c r="D145" s="34">
        <v>0.42072999999999999</v>
      </c>
      <c r="E145" s="34">
        <v>0.40399200000000002</v>
      </c>
      <c r="F145" s="34">
        <v>0.41404099999999999</v>
      </c>
      <c r="G145" s="34">
        <v>0.43516300000000002</v>
      </c>
      <c r="H145" s="34">
        <v>0.44625199999999998</v>
      </c>
      <c r="I145" s="34">
        <v>0.47019499999999997</v>
      </c>
      <c r="J145" s="34">
        <v>0.49282900000000002</v>
      </c>
      <c r="K145" s="34">
        <v>0.469393</v>
      </c>
      <c r="L145" s="34">
        <v>0.45037700000000003</v>
      </c>
      <c r="M145" s="34">
        <v>0.45192100000000002</v>
      </c>
      <c r="N145" s="34">
        <v>0.45265699999999998</v>
      </c>
      <c r="O145" s="34">
        <v>0.44334699999999999</v>
      </c>
      <c r="P145" s="34">
        <v>0.44262000000000001</v>
      </c>
      <c r="Q145" s="34">
        <v>0.44585799999999998</v>
      </c>
      <c r="R145" s="34">
        <v>0.43844</v>
      </c>
      <c r="S145" s="34">
        <v>0.44272</v>
      </c>
      <c r="T145" s="34">
        <v>0.44662000000000002</v>
      </c>
      <c r="U145" s="34">
        <v>0.45371600000000001</v>
      </c>
      <c r="V145" s="34">
        <v>0.45558799999999999</v>
      </c>
      <c r="W145" s="34">
        <v>0.45589499999999999</v>
      </c>
    </row>
    <row r="146" spans="1:23">
      <c r="A146" s="1" t="s">
        <v>1257</v>
      </c>
      <c r="B146" s="34">
        <v>0.95585299999999995</v>
      </c>
      <c r="C146" s="34">
        <v>0.96364899999999998</v>
      </c>
      <c r="D146" s="34">
        <v>0.95699599999999996</v>
      </c>
      <c r="E146" s="34">
        <v>0.96471499999999999</v>
      </c>
      <c r="F146" s="34">
        <v>0.95120800000000005</v>
      </c>
      <c r="G146" s="34">
        <v>0.94636299999999995</v>
      </c>
      <c r="H146" s="34">
        <v>0.91669100000000003</v>
      </c>
      <c r="I146" s="34">
        <v>0.92141799999999996</v>
      </c>
      <c r="J146" s="34">
        <v>0.90004499999999998</v>
      </c>
      <c r="K146" s="34">
        <v>0.90300499999999995</v>
      </c>
      <c r="L146" s="34">
        <v>0.92563799999999996</v>
      </c>
      <c r="M146" s="34">
        <v>0.90509899999999999</v>
      </c>
      <c r="N146" s="34">
        <v>0.90678999999999998</v>
      </c>
      <c r="O146" s="34">
        <v>0.89525399999999999</v>
      </c>
      <c r="P146" s="34">
        <v>0.88413799999999998</v>
      </c>
      <c r="Q146" s="34">
        <v>0.88126099999999996</v>
      </c>
      <c r="R146" s="34">
        <v>0.85189400000000004</v>
      </c>
      <c r="S146" s="34">
        <v>0.84831000000000001</v>
      </c>
      <c r="T146" s="34">
        <v>0.84886600000000001</v>
      </c>
      <c r="U146" s="34">
        <v>0.86188799999999999</v>
      </c>
      <c r="V146" s="34">
        <v>0.86443700000000001</v>
      </c>
      <c r="W146" s="34">
        <v>0.839453</v>
      </c>
    </row>
    <row r="147" spans="1:23">
      <c r="A147" s="1" t="s">
        <v>1258</v>
      </c>
      <c r="B147" s="34">
        <v>0.36085499999999998</v>
      </c>
      <c r="C147" s="34">
        <v>0.35342699999999999</v>
      </c>
      <c r="D147" s="34">
        <v>0.360954</v>
      </c>
      <c r="E147" s="34">
        <v>0.37822800000000001</v>
      </c>
      <c r="F147" s="34">
        <v>0.39933600000000002</v>
      </c>
      <c r="G147" s="34">
        <v>0.43859399999999998</v>
      </c>
      <c r="H147" s="34">
        <v>0.48889100000000002</v>
      </c>
      <c r="I147" s="34">
        <v>0.56580699999999995</v>
      </c>
      <c r="J147" s="34">
        <v>0.575542</v>
      </c>
      <c r="K147" s="34">
        <v>0.52112999999999998</v>
      </c>
      <c r="L147" s="34">
        <v>0.48700599999999999</v>
      </c>
      <c r="M147" s="34">
        <v>0.498506</v>
      </c>
      <c r="N147" s="34">
        <v>0.50620299999999996</v>
      </c>
      <c r="O147" s="34">
        <v>0.49927100000000002</v>
      </c>
      <c r="P147" s="34">
        <v>0.497558</v>
      </c>
      <c r="Q147" s="34">
        <v>0.49756899999999998</v>
      </c>
      <c r="R147" s="34">
        <v>0.48453499999999999</v>
      </c>
      <c r="S147" s="34">
        <v>0.484537</v>
      </c>
      <c r="T147" s="34">
        <v>0.48993100000000001</v>
      </c>
      <c r="U147" s="34">
        <v>0.50225799999999998</v>
      </c>
      <c r="V147" s="34">
        <v>0.49323699999999998</v>
      </c>
      <c r="W147" s="34">
        <v>0.498172</v>
      </c>
    </row>
    <row r="148" spans="1:23">
      <c r="A148" s="1" t="s">
        <v>1259</v>
      </c>
      <c r="B148" s="34">
        <v>3.6357942423321399</v>
      </c>
      <c r="C148" s="34">
        <v>3.5051393234649102</v>
      </c>
      <c r="D148" s="34">
        <v>3.40441567767727</v>
      </c>
      <c r="E148" s="34">
        <v>3.3440306798560102</v>
      </c>
      <c r="F148" s="34">
        <v>3.3193292297868102</v>
      </c>
      <c r="G148" s="34">
        <v>3.3982959264236499</v>
      </c>
      <c r="H148" s="34">
        <v>3.55393917028645</v>
      </c>
      <c r="I148" s="34">
        <v>3.7642185539849402</v>
      </c>
      <c r="J148" s="34">
        <v>4.0643391913805003</v>
      </c>
      <c r="K148" s="34">
        <v>4.0707934393615401</v>
      </c>
      <c r="L148" s="34">
        <v>4.21667181431574</v>
      </c>
      <c r="M148" s="34">
        <v>4.4397869110107404</v>
      </c>
      <c r="N148" s="34">
        <v>4.5652909278869602</v>
      </c>
      <c r="O148" s="34">
        <v>4.6438708305358896</v>
      </c>
      <c r="P148" s="34">
        <v>4.8606619834899902</v>
      </c>
      <c r="Q148" s="34">
        <v>5.13702344894409</v>
      </c>
      <c r="R148" s="34">
        <v>5.1178541183471697</v>
      </c>
      <c r="S148" s="34">
        <v>5.1549162864685103</v>
      </c>
      <c r="T148" s="34">
        <v>5.2124297847307597</v>
      </c>
      <c r="U148" s="34">
        <v>5.2441022317366697</v>
      </c>
      <c r="V148" s="34">
        <v>5.1694380083102702</v>
      </c>
      <c r="W148" s="34"/>
    </row>
    <row r="149" spans="1:23">
      <c r="A149" s="1" t="s">
        <v>1260</v>
      </c>
      <c r="B149" s="34"/>
      <c r="C149" s="34"/>
      <c r="D149" s="34"/>
      <c r="E149" s="34"/>
      <c r="F149" s="34"/>
      <c r="G149" s="34"/>
      <c r="H149" s="34"/>
      <c r="I149" s="34"/>
      <c r="J149" s="34"/>
      <c r="K149" s="34"/>
      <c r="L149" s="34"/>
      <c r="M149" s="34"/>
      <c r="N149" s="34"/>
      <c r="O149" s="34"/>
      <c r="P149" s="34"/>
      <c r="Q149" s="34"/>
      <c r="R149" s="34"/>
      <c r="S149" s="34"/>
      <c r="T149" s="34"/>
      <c r="U149" s="34"/>
      <c r="V149" s="34"/>
      <c r="W149" s="34"/>
    </row>
    <row r="150" spans="1:23">
      <c r="A150" s="1" t="s">
        <v>1261</v>
      </c>
      <c r="B150" s="34">
        <v>3.9630406173091202</v>
      </c>
      <c r="C150" s="34">
        <v>3.90327676462352</v>
      </c>
      <c r="D150" s="34">
        <v>3.8889358522705999</v>
      </c>
      <c r="E150" s="34">
        <v>3.8586019672148</v>
      </c>
      <c r="F150" s="34">
        <v>3.8032551602266</v>
      </c>
      <c r="G150" s="34">
        <v>3.7322762054796699</v>
      </c>
      <c r="H150" s="34">
        <v>3.6787271765406202</v>
      </c>
      <c r="I150" s="34">
        <v>3.7112839953119998</v>
      </c>
      <c r="J150" s="34">
        <v>3.8054034990071699</v>
      </c>
      <c r="K150" s="34">
        <v>3.7821607996274</v>
      </c>
      <c r="L150" s="34">
        <v>3.7750713414924202</v>
      </c>
      <c r="M150" s="34">
        <v>3.6722760200500502</v>
      </c>
      <c r="N150" s="34">
        <v>3.7496287822723402</v>
      </c>
      <c r="O150" s="34">
        <v>3.7939896583557098</v>
      </c>
      <c r="P150" s="34">
        <v>4.0338625907897896</v>
      </c>
      <c r="Q150" s="34">
        <v>3.9964454174041699</v>
      </c>
      <c r="R150" s="34">
        <v>3.9940369129180899</v>
      </c>
      <c r="S150" s="34">
        <v>4.0234403610229501</v>
      </c>
      <c r="T150" s="34">
        <v>3.9719161767410398</v>
      </c>
      <c r="U150" s="34">
        <v>3.9552116157327499</v>
      </c>
      <c r="V150" s="34">
        <v>3.9416259281361499</v>
      </c>
      <c r="W150" s="34"/>
    </row>
    <row r="151" spans="1:23">
      <c r="A151" s="1" t="s">
        <v>1262</v>
      </c>
      <c r="B151" s="34"/>
      <c r="C151" s="34"/>
      <c r="D151" s="34"/>
      <c r="E151" s="34"/>
      <c r="F151" s="34"/>
      <c r="G151" s="34"/>
      <c r="H151" s="34"/>
      <c r="I151" s="34"/>
      <c r="J151" s="34"/>
      <c r="K151" s="34"/>
      <c r="L151" s="34"/>
      <c r="M151" s="34"/>
      <c r="N151" s="34"/>
      <c r="O151" s="34"/>
      <c r="P151" s="34"/>
      <c r="Q151" s="34"/>
      <c r="R151" s="34"/>
      <c r="S151" s="34"/>
      <c r="T151" s="34"/>
      <c r="U151" s="34"/>
      <c r="V151" s="34"/>
      <c r="W151" s="34"/>
    </row>
    <row r="152" spans="1:23">
      <c r="A152" s="1" t="s">
        <v>1263</v>
      </c>
      <c r="B152" s="34">
        <v>1.7767580098686599</v>
      </c>
      <c r="C152" s="34">
        <v>1.9488090724946801</v>
      </c>
      <c r="D152" s="34">
        <v>2.1069986506344001</v>
      </c>
      <c r="E152" s="34">
        <v>2.3760980844764501</v>
      </c>
      <c r="F152" s="34">
        <v>2.4986111898915602</v>
      </c>
      <c r="G152" s="34">
        <v>2.6495529720890199</v>
      </c>
      <c r="H152" s="34">
        <v>2.91680523629877</v>
      </c>
      <c r="I152" s="34">
        <v>3.29238872300968</v>
      </c>
      <c r="J152" s="34">
        <v>3.52811877213303</v>
      </c>
      <c r="K152" s="34">
        <v>3.5773852927277399</v>
      </c>
      <c r="L152" s="34">
        <v>4.7139022427626198</v>
      </c>
      <c r="M152" s="34">
        <v>4.9956541061401403</v>
      </c>
      <c r="N152" s="34">
        <v>5.00982761383057</v>
      </c>
      <c r="O152" s="34">
        <v>4.9887223243713397</v>
      </c>
      <c r="P152" s="34">
        <v>5.2930145263671902</v>
      </c>
      <c r="Q152" s="34">
        <v>5.5560870170593297</v>
      </c>
      <c r="R152" s="34">
        <v>5.4087381362915004</v>
      </c>
      <c r="S152" s="34">
        <v>5.5724015235900897</v>
      </c>
      <c r="T152" s="34">
        <v>5.6147950155958197</v>
      </c>
      <c r="U152" s="34">
        <v>5.8142090577805998</v>
      </c>
      <c r="V152" s="34">
        <v>6.0579304837115897</v>
      </c>
      <c r="W152" s="34"/>
    </row>
    <row r="153" spans="1:23">
      <c r="A153" s="1" t="s">
        <v>1264</v>
      </c>
      <c r="B153" s="34">
        <v>306.66888926678502</v>
      </c>
      <c r="C153" s="34">
        <v>323.84441070293002</v>
      </c>
      <c r="D153" s="34">
        <v>371.39930664540702</v>
      </c>
      <c r="E153" s="34">
        <v>358.41454532565501</v>
      </c>
      <c r="F153" s="34">
        <v>397.72652711554201</v>
      </c>
      <c r="G153" s="34">
        <v>456.54326948961898</v>
      </c>
      <c r="H153" s="34">
        <v>490.83926084800902</v>
      </c>
      <c r="I153" s="34">
        <v>527.17524135967903</v>
      </c>
      <c r="J153" s="34">
        <v>555.82954618997303</v>
      </c>
      <c r="K153" s="34">
        <v>589.84715992590998</v>
      </c>
      <c r="L153" s="34">
        <v>642.63265349253504</v>
      </c>
      <c r="M153" s="34">
        <v>694.86267089843795</v>
      </c>
      <c r="N153" s="34">
        <v>742.898193359375</v>
      </c>
      <c r="O153" s="34">
        <v>777.65881347656295</v>
      </c>
      <c r="P153" s="34">
        <v>823.95611572265602</v>
      </c>
      <c r="Q153" s="34">
        <v>886.09130859375</v>
      </c>
      <c r="R153" s="34">
        <v>941.01086425781295</v>
      </c>
      <c r="S153" s="34">
        <v>1013.43463134766</v>
      </c>
      <c r="T153" s="34">
        <v>1071.7957556132801</v>
      </c>
      <c r="U153" s="34">
        <v>1121.67563641425</v>
      </c>
      <c r="V153" s="34">
        <v>1156.5469042314501</v>
      </c>
      <c r="W153" s="34"/>
    </row>
    <row r="154" spans="1:23">
      <c r="A154" s="1" t="s">
        <v>1265</v>
      </c>
      <c r="B154" s="34">
        <v>3.1905403494975801</v>
      </c>
      <c r="C154" s="34">
        <v>4.7109650459062102</v>
      </c>
      <c r="D154" s="34">
        <v>4.6606827996952704</v>
      </c>
      <c r="E154" s="34">
        <v>4.5970298066516202</v>
      </c>
      <c r="F154" s="34">
        <v>4.9228226922329004</v>
      </c>
      <c r="G154" s="34">
        <v>5.2113331665043701</v>
      </c>
      <c r="H154" s="34">
        <v>5.4308429302525898</v>
      </c>
      <c r="I154" s="34">
        <v>5.8238933137574698</v>
      </c>
      <c r="J154" s="34">
        <v>6.3440362098938401</v>
      </c>
      <c r="K154" s="34">
        <v>7.0066617089841197</v>
      </c>
      <c r="L154" s="34">
        <v>7.1255368260270604</v>
      </c>
      <c r="M154" s="34">
        <v>7.8616256713867196</v>
      </c>
      <c r="N154" s="34">
        <v>8.1541557312011701</v>
      </c>
      <c r="O154" s="34">
        <v>8.2464456558227504</v>
      </c>
      <c r="P154" s="34">
        <v>8.1737174987793004</v>
      </c>
      <c r="Q154" s="34">
        <v>8.2779111862182599</v>
      </c>
      <c r="R154" s="34">
        <v>8.1288604736328107</v>
      </c>
      <c r="S154" s="34">
        <v>8.1607799530029297</v>
      </c>
      <c r="T154" s="34">
        <v>8.2204518065891605</v>
      </c>
      <c r="U154" s="34">
        <v>7.9888876775433504</v>
      </c>
      <c r="V154" s="34">
        <v>7.9221843754709704</v>
      </c>
      <c r="W154" s="34"/>
    </row>
    <row r="155" spans="1:23">
      <c r="A155" s="1" t="s">
        <v>1266</v>
      </c>
      <c r="B155" s="34"/>
      <c r="C155" s="34"/>
      <c r="D155" s="34"/>
      <c r="E155" s="34"/>
      <c r="F155" s="34"/>
      <c r="G155" s="34"/>
      <c r="H155" s="34"/>
      <c r="I155" s="34"/>
      <c r="J155" s="34"/>
      <c r="K155" s="34"/>
      <c r="L155" s="34"/>
      <c r="M155" s="34"/>
      <c r="N155" s="34"/>
      <c r="O155" s="34"/>
      <c r="P155" s="34"/>
      <c r="Q155" s="34"/>
      <c r="R155" s="34"/>
      <c r="S155" s="34"/>
      <c r="T155" s="34"/>
      <c r="U155" s="34"/>
      <c r="V155" s="34"/>
      <c r="W155" s="34"/>
    </row>
    <row r="156" spans="1:23">
      <c r="A156" s="1" t="s">
        <v>281</v>
      </c>
      <c r="B156" s="34">
        <v>6.103205</v>
      </c>
      <c r="C156" s="34">
        <v>6.3293359999999996</v>
      </c>
      <c r="D156" s="34">
        <v>6.5536969999999997</v>
      </c>
      <c r="E156" s="34">
        <v>6.6446899999999998</v>
      </c>
      <c r="F156" s="34">
        <v>6.986186</v>
      </c>
      <c r="G156" s="34">
        <v>7.126862</v>
      </c>
      <c r="H156" s="34">
        <v>7.1554229999999999</v>
      </c>
      <c r="I156" s="34">
        <v>7.370463</v>
      </c>
      <c r="J156" s="34">
        <v>7.4695320000000001</v>
      </c>
      <c r="K156" s="34">
        <v>7.4340669999999998</v>
      </c>
      <c r="L156" s="34">
        <v>7.6796620000000004</v>
      </c>
      <c r="M156" s="34">
        <v>7.6730130000000001</v>
      </c>
      <c r="N156" s="34">
        <v>7.858708</v>
      </c>
      <c r="O156" s="34">
        <v>7.8843589999999999</v>
      </c>
      <c r="P156" s="34">
        <v>8.045318</v>
      </c>
      <c r="Q156" s="34">
        <v>8.3275950000000005</v>
      </c>
      <c r="R156" s="34">
        <v>8.4460429999999995</v>
      </c>
      <c r="S156" s="34">
        <v>8.9135519999999993</v>
      </c>
      <c r="T156" s="34">
        <v>9.2763629999999999</v>
      </c>
      <c r="U156" s="34">
        <v>9.6501649999999994</v>
      </c>
      <c r="V156" s="34">
        <v>9.7028130000000008</v>
      </c>
      <c r="W156" s="34">
        <v>9.9044080000000001</v>
      </c>
    </row>
    <row r="157" spans="1:23">
      <c r="A157" s="1" t="s">
        <v>1267</v>
      </c>
      <c r="B157" s="34">
        <v>0.93978629993656004</v>
      </c>
      <c r="C157" s="34">
        <v>0.91665073488263105</v>
      </c>
      <c r="D157" s="34">
        <v>0.93296276344368501</v>
      </c>
      <c r="E157" s="34">
        <v>0.92859573077127699</v>
      </c>
      <c r="F157" s="34">
        <v>0.90284939031601597</v>
      </c>
      <c r="G157" s="34">
        <v>0.88205027703061401</v>
      </c>
      <c r="H157" s="34">
        <v>0.89033838181344005</v>
      </c>
      <c r="I157" s="34">
        <v>0.88045669188046205</v>
      </c>
      <c r="J157" s="34">
        <v>0.94258586668598898</v>
      </c>
      <c r="K157" s="34">
        <v>0.89387564563729105</v>
      </c>
      <c r="L157" s="34">
        <v>0.88717418948768201</v>
      </c>
      <c r="M157" s="34">
        <v>0.93859516440826896</v>
      </c>
      <c r="N157" s="34">
        <v>0.98771575128731404</v>
      </c>
      <c r="O157" s="34">
        <v>0.95596315248349695</v>
      </c>
      <c r="P157" s="34">
        <v>0.93377652455397997</v>
      </c>
      <c r="Q157" s="34">
        <v>0.91862828146250897</v>
      </c>
      <c r="R157" s="34">
        <v>0.98369325735042001</v>
      </c>
      <c r="S157" s="34">
        <v>0.98940724082460496</v>
      </c>
      <c r="T157" s="34">
        <v>0.96954845436487103</v>
      </c>
      <c r="U157" s="34">
        <v>0.96523914920145804</v>
      </c>
      <c r="V157" s="34">
        <v>0.99563949478298297</v>
      </c>
      <c r="W157" s="34"/>
    </row>
    <row r="158" spans="1:23">
      <c r="A158" s="1" t="s">
        <v>1268</v>
      </c>
      <c r="B158" s="34"/>
      <c r="C158" s="34"/>
      <c r="D158" s="34"/>
      <c r="E158" s="34"/>
      <c r="F158" s="34"/>
      <c r="G158" s="34"/>
      <c r="H158" s="34"/>
      <c r="I158" s="34"/>
      <c r="J158" s="34"/>
      <c r="K158" s="34"/>
      <c r="L158" s="34"/>
      <c r="M158" s="34"/>
      <c r="N158" s="34"/>
      <c r="O158" s="34"/>
      <c r="P158" s="34"/>
      <c r="Q158" s="34"/>
      <c r="R158" s="34"/>
      <c r="S158" s="34"/>
      <c r="T158" s="34"/>
      <c r="U158" s="34"/>
      <c r="V158" s="34"/>
      <c r="W158" s="34"/>
    </row>
    <row r="159" spans="1:23">
      <c r="A159" s="1" t="s">
        <v>1269</v>
      </c>
      <c r="B159" s="34">
        <v>19.9464232315513</v>
      </c>
      <c r="C159" s="34">
        <v>20.501647323719801</v>
      </c>
      <c r="D159" s="34">
        <v>20.014998770592602</v>
      </c>
      <c r="E159" s="34">
        <v>20.100566455955999</v>
      </c>
      <c r="F159" s="34">
        <v>19.2617131653119</v>
      </c>
      <c r="G159" s="34">
        <v>19.2935694925525</v>
      </c>
      <c r="H159" s="34">
        <v>18.885435874610501</v>
      </c>
      <c r="I159" s="34">
        <v>19.513654773841601</v>
      </c>
      <c r="J159" s="34">
        <v>19.263834145433101</v>
      </c>
      <c r="K159" s="34">
        <v>18.3640880056778</v>
      </c>
      <c r="L159" s="34">
        <v>18.730350939597798</v>
      </c>
      <c r="M159" s="34">
        <v>19.289542537252199</v>
      </c>
      <c r="N159" s="34">
        <v>19.003523753943</v>
      </c>
      <c r="O159" s="34">
        <v>19.105370231430701</v>
      </c>
      <c r="P159" s="34">
        <v>18.995829989682399</v>
      </c>
      <c r="Q159" s="34">
        <v>19.440586586154801</v>
      </c>
      <c r="R159" s="34">
        <v>18.958609627896301</v>
      </c>
      <c r="S159" s="34">
        <v>18.970170161921601</v>
      </c>
      <c r="T159" s="34">
        <v>18.951155661657001</v>
      </c>
      <c r="U159" s="34">
        <v>19.009558148236302</v>
      </c>
      <c r="V159" s="34">
        <v>18.929175214331998</v>
      </c>
      <c r="W159" s="34"/>
    </row>
    <row r="160" spans="1:23">
      <c r="A160" s="1" t="s">
        <v>1270</v>
      </c>
      <c r="B160" s="34">
        <v>169.356442511404</v>
      </c>
      <c r="C160" s="34">
        <v>173.47451609929601</v>
      </c>
      <c r="D160" s="34">
        <v>176.772351016198</v>
      </c>
      <c r="E160" s="34">
        <v>160.36954111662399</v>
      </c>
      <c r="F160" s="34">
        <v>161.785041632679</v>
      </c>
      <c r="G160" s="34">
        <v>168.66778231265101</v>
      </c>
      <c r="H160" s="34">
        <v>171.32103543152701</v>
      </c>
      <c r="I160" s="34">
        <v>174.43887288309801</v>
      </c>
      <c r="J160" s="34">
        <v>183.56117987938799</v>
      </c>
      <c r="K160" s="34">
        <v>190.61777705315899</v>
      </c>
      <c r="L160" s="34">
        <v>196.64681444213599</v>
      </c>
      <c r="M160" s="34">
        <v>216.09016418457</v>
      </c>
      <c r="N160" s="34">
        <v>225.37870788574199</v>
      </c>
      <c r="O160" s="34">
        <v>219.31239318847699</v>
      </c>
      <c r="P160" s="34">
        <v>218.68270874023401</v>
      </c>
      <c r="Q160" s="34">
        <v>218.57096862793</v>
      </c>
      <c r="R160" s="34">
        <v>211.35667419433599</v>
      </c>
      <c r="S160" s="34">
        <v>214.50868225097699</v>
      </c>
      <c r="T160" s="34">
        <v>212.53325803780001</v>
      </c>
      <c r="U160" s="34">
        <v>212.83684184670901</v>
      </c>
      <c r="V160" s="34">
        <v>211.42179876394999</v>
      </c>
      <c r="W160" s="34"/>
    </row>
    <row r="161" spans="1:23">
      <c r="A161" s="1" t="s">
        <v>1271</v>
      </c>
      <c r="B161" s="34">
        <v>0.58005698242349701</v>
      </c>
      <c r="C161" s="34">
        <v>0.58910365722421798</v>
      </c>
      <c r="D161" s="34">
        <v>0.58183427587902603</v>
      </c>
      <c r="E161" s="34">
        <v>0.57390033658977102</v>
      </c>
      <c r="F161" s="34">
        <v>0.56625464646052004</v>
      </c>
      <c r="G161" s="34">
        <v>0.57273032484175501</v>
      </c>
      <c r="H161" s="34">
        <v>0.57161489794620701</v>
      </c>
      <c r="I161" s="34">
        <v>0.56811122778484002</v>
      </c>
      <c r="J161" s="34">
        <v>0.57155271406846497</v>
      </c>
      <c r="K161" s="34">
        <v>0.56945472116938201</v>
      </c>
      <c r="L161" s="34">
        <v>0.57247807100529002</v>
      </c>
      <c r="M161" s="34">
        <v>0.57414817409972196</v>
      </c>
      <c r="N161" s="34">
        <v>0.57972991940428598</v>
      </c>
      <c r="O161" s="34">
        <v>0.57747806890979403</v>
      </c>
      <c r="P161" s="34">
        <v>0.58635933738392798</v>
      </c>
      <c r="Q161" s="34">
        <v>0.59969879951117799</v>
      </c>
      <c r="R161" s="34">
        <v>0.58301612981620499</v>
      </c>
      <c r="S161" s="34">
        <v>0.58642412755963902</v>
      </c>
      <c r="T161" s="34">
        <v>0.58672142043296605</v>
      </c>
      <c r="U161" s="34">
        <v>0.58762474914112695</v>
      </c>
      <c r="V161" s="34">
        <v>0.58605221481981395</v>
      </c>
      <c r="W161" s="34"/>
    </row>
    <row r="162" spans="1:23">
      <c r="A162" s="1" t="s">
        <v>1272</v>
      </c>
      <c r="B162" s="34">
        <v>61.461031903148097</v>
      </c>
      <c r="C162" s="34">
        <v>68.787040698692195</v>
      </c>
      <c r="D162" s="34">
        <v>91.149874814940702</v>
      </c>
      <c r="E162" s="34">
        <v>115.188688654732</v>
      </c>
      <c r="F162" s="34">
        <v>124.19588897920799</v>
      </c>
      <c r="G162" s="34">
        <v>134.913868186526</v>
      </c>
      <c r="H162" s="34">
        <v>157.62245673574901</v>
      </c>
      <c r="I162" s="34">
        <v>188.180507488215</v>
      </c>
      <c r="J162" s="34">
        <v>217.381164574569</v>
      </c>
      <c r="K162" s="34">
        <v>234.63900087171299</v>
      </c>
      <c r="L162" s="34">
        <v>245.912552699965</v>
      </c>
      <c r="M162" s="34">
        <v>261.783935546875</v>
      </c>
      <c r="N162" s="34">
        <v>267.49615478515602</v>
      </c>
      <c r="O162" s="34">
        <v>278.55938720703102</v>
      </c>
      <c r="P162" s="34">
        <v>294.00662231445301</v>
      </c>
      <c r="Q162" s="34">
        <v>318.97854614257801</v>
      </c>
      <c r="R162" s="34">
        <v>347.07058715820301</v>
      </c>
      <c r="S162" s="34">
        <v>366.71325683593801</v>
      </c>
      <c r="T162" s="34">
        <v>377.61670611236502</v>
      </c>
      <c r="U162" s="34">
        <v>394.23748197079698</v>
      </c>
      <c r="V162" s="34">
        <v>409.24188264698199</v>
      </c>
      <c r="W162" s="34"/>
    </row>
    <row r="163" spans="1:23">
      <c r="A163" s="1" t="s">
        <v>1273</v>
      </c>
      <c r="B163" s="34"/>
      <c r="C163" s="34"/>
      <c r="D163" s="34"/>
      <c r="E163" s="34"/>
      <c r="F163" s="34"/>
      <c r="G163" s="34"/>
      <c r="H163" s="34"/>
      <c r="I163" s="34"/>
      <c r="J163" s="34"/>
      <c r="K163" s="34"/>
      <c r="L163" s="34"/>
      <c r="M163" s="34"/>
      <c r="N163" s="34"/>
      <c r="O163" s="34"/>
      <c r="P163" s="34"/>
      <c r="Q163" s="34"/>
      <c r="R163" s="34"/>
      <c r="S163" s="34"/>
      <c r="T163" s="34"/>
      <c r="U163" s="34"/>
      <c r="V163" s="34"/>
      <c r="W163" s="34"/>
    </row>
    <row r="164" spans="1:23">
      <c r="A164" s="1" t="s">
        <v>1274</v>
      </c>
      <c r="B164" s="34">
        <v>0.29351762634149597</v>
      </c>
      <c r="C164" s="34">
        <v>0.314943461200974</v>
      </c>
      <c r="D164" s="34">
        <v>0.314170969592656</v>
      </c>
      <c r="E164" s="34">
        <v>0.33598965602167302</v>
      </c>
      <c r="F164" s="34">
        <v>0.34714104815979702</v>
      </c>
      <c r="G164" s="34">
        <v>0.35541061733854101</v>
      </c>
      <c r="H164" s="34">
        <v>0.33729811788643699</v>
      </c>
      <c r="I164" s="34">
        <v>0.35044884295628398</v>
      </c>
      <c r="J164" s="34">
        <v>0.36405294683591399</v>
      </c>
      <c r="K164" s="34">
        <v>0.37184135421228298</v>
      </c>
      <c r="L164" s="34">
        <v>0.36998509055407103</v>
      </c>
      <c r="M164" s="34">
        <v>0.36380103314871798</v>
      </c>
      <c r="N164" s="34">
        <v>0.36976958933861298</v>
      </c>
      <c r="O164" s="34">
        <v>0.36400559819934197</v>
      </c>
      <c r="P164" s="34">
        <v>0.36178565287171799</v>
      </c>
      <c r="Q164" s="34">
        <v>0.35963841564229698</v>
      </c>
      <c r="R164" s="34">
        <v>0.34914143272762599</v>
      </c>
      <c r="S164" s="34">
        <v>0.35095449988326299</v>
      </c>
      <c r="T164" s="34">
        <v>0.34835467419022298</v>
      </c>
      <c r="U164" s="34">
        <v>0.34495322970169101</v>
      </c>
      <c r="V164" s="34">
        <v>0.337010778411103</v>
      </c>
      <c r="W164" s="34"/>
    </row>
    <row r="165" spans="1:23">
      <c r="A165" s="1" t="s">
        <v>206</v>
      </c>
      <c r="B165" s="34">
        <v>136.91095019149799</v>
      </c>
      <c r="C165" s="34">
        <v>147.97052888015199</v>
      </c>
      <c r="D165" s="34">
        <v>154.94492740058399</v>
      </c>
      <c r="E165" s="34">
        <v>167.691784300309</v>
      </c>
      <c r="F165" s="34">
        <v>190.55195050325401</v>
      </c>
      <c r="G165" s="34">
        <v>221.936716829294</v>
      </c>
      <c r="H165" s="34">
        <v>262.781140725098</v>
      </c>
      <c r="I165" s="34">
        <v>285.665063108884</v>
      </c>
      <c r="J165" s="34">
        <v>340.31704433681</v>
      </c>
      <c r="K165" s="34">
        <v>343.91181664420799</v>
      </c>
      <c r="L165" s="34">
        <v>473.137003092643</v>
      </c>
      <c r="M165" s="34">
        <v>533.52697753906295</v>
      </c>
      <c r="N165" s="34">
        <v>577.66015625</v>
      </c>
      <c r="O165" s="34">
        <v>630.67980957031295</v>
      </c>
      <c r="P165" s="34">
        <v>683.76745605468795</v>
      </c>
      <c r="Q165" s="34">
        <v>717.072265625</v>
      </c>
      <c r="R165" s="34">
        <v>729.22277832031295</v>
      </c>
      <c r="S165" s="34">
        <v>791.43603515625</v>
      </c>
      <c r="T165" s="34">
        <v>834.40530398361705</v>
      </c>
      <c r="U165" s="34">
        <v>901.520473730601</v>
      </c>
      <c r="V165" s="34">
        <v>923.80363231112904</v>
      </c>
      <c r="W165" s="34"/>
    </row>
    <row r="166" spans="1:23">
      <c r="A166" s="1" t="s">
        <v>1275</v>
      </c>
      <c r="B166" s="34"/>
      <c r="C166" s="34"/>
      <c r="D166" s="34"/>
      <c r="E166" s="34"/>
      <c r="F166" s="34"/>
      <c r="G166" s="34"/>
      <c r="H166" s="34"/>
      <c r="I166" s="34"/>
      <c r="J166" s="34"/>
      <c r="K166" s="34"/>
      <c r="L166" s="34"/>
      <c r="M166" s="34"/>
      <c r="N166" s="34"/>
      <c r="O166" s="34"/>
      <c r="P166" s="34"/>
      <c r="Q166" s="34"/>
      <c r="R166" s="34"/>
      <c r="S166" s="34"/>
      <c r="T166" s="34"/>
      <c r="U166" s="34"/>
      <c r="V166" s="34"/>
      <c r="W166" s="34"/>
    </row>
    <row r="167" spans="1:23">
      <c r="A167" s="1" t="s">
        <v>1276</v>
      </c>
      <c r="B167" s="34">
        <v>10.1669327999182</v>
      </c>
      <c r="C167" s="34">
        <v>11.517836405325999</v>
      </c>
      <c r="D167" s="34">
        <v>12.4770014022601</v>
      </c>
      <c r="E167" s="34">
        <v>12.78181142046</v>
      </c>
      <c r="F167" s="34">
        <v>13.257955568797</v>
      </c>
      <c r="G167" s="34">
        <v>13.782080178857701</v>
      </c>
      <c r="H167" s="34">
        <v>14.4305979183045</v>
      </c>
      <c r="I167" s="34">
        <v>15.1127077077078</v>
      </c>
      <c r="J167" s="34">
        <v>15.6073934689925</v>
      </c>
      <c r="K167" s="34">
        <v>15.6547384559485</v>
      </c>
      <c r="L167" s="34">
        <v>16.712162552441999</v>
      </c>
      <c r="M167" s="34">
        <v>16.893541336059599</v>
      </c>
      <c r="N167" s="34">
        <v>18.019264221191399</v>
      </c>
      <c r="O167" s="34">
        <v>18.425573348998999</v>
      </c>
      <c r="P167" s="34">
        <v>18.5511798858643</v>
      </c>
      <c r="Q167" s="34">
        <v>18.264247894287099</v>
      </c>
      <c r="R167" s="34">
        <v>19.8335285186768</v>
      </c>
      <c r="S167" s="34">
        <v>22.855552673339801</v>
      </c>
      <c r="T167" s="34">
        <v>22.989512722609302</v>
      </c>
      <c r="U167" s="34">
        <v>23.7282109292012</v>
      </c>
      <c r="V167" s="34">
        <v>24.031780497421199</v>
      </c>
      <c r="W167" s="34"/>
    </row>
    <row r="168" spans="1:23">
      <c r="A168" s="1" t="s">
        <v>1277</v>
      </c>
      <c r="B168" s="34">
        <v>5.1591698847302796</v>
      </c>
      <c r="C168" s="34">
        <v>5.3425893457687996</v>
      </c>
      <c r="D168" s="34">
        <v>5.6125557275955202</v>
      </c>
      <c r="E168" s="34">
        <v>5.7573856383837301</v>
      </c>
      <c r="F168" s="34">
        <v>6.2196556977456501</v>
      </c>
      <c r="G168" s="34">
        <v>6.9115187757193404</v>
      </c>
      <c r="H168" s="34">
        <v>7.6538054160855804</v>
      </c>
      <c r="I168" s="34">
        <v>8.1166211511827608</v>
      </c>
      <c r="J168" s="34">
        <v>8.8149614037544897</v>
      </c>
      <c r="K168" s="34">
        <v>8.7168689752071096</v>
      </c>
      <c r="L168" s="34">
        <v>10.541657002796301</v>
      </c>
      <c r="M168" s="34">
        <v>11.9681709289551</v>
      </c>
      <c r="N168" s="34">
        <v>12.154086303710899</v>
      </c>
      <c r="O168" s="34">
        <v>12.041706085205099</v>
      </c>
      <c r="P168" s="34">
        <v>11.820645904540999</v>
      </c>
      <c r="Q168" s="34">
        <v>11.7810821533203</v>
      </c>
      <c r="R168" s="34">
        <v>11.521932983398401</v>
      </c>
      <c r="S168" s="34">
        <v>11.1257583618164</v>
      </c>
      <c r="T168" s="34">
        <v>11.202027141579</v>
      </c>
      <c r="U168" s="34">
        <v>11.483524682621301</v>
      </c>
      <c r="V168" s="34">
        <v>11.746393304886199</v>
      </c>
      <c r="W168" s="34"/>
    </row>
    <row r="169" spans="1:23">
      <c r="A169" s="1" t="s">
        <v>1278</v>
      </c>
      <c r="B169" s="34">
        <v>11.424814285588999</v>
      </c>
      <c r="C169" s="34">
        <v>11.876312103377799</v>
      </c>
      <c r="D169" s="34">
        <v>12.4185024284657</v>
      </c>
      <c r="E169" s="34">
        <v>12.877668181295901</v>
      </c>
      <c r="F169" s="34">
        <v>13.3984867988621</v>
      </c>
      <c r="G169" s="34">
        <v>13.5067450876957</v>
      </c>
      <c r="H169" s="34">
        <v>14.557763415594</v>
      </c>
      <c r="I169" s="34">
        <v>15.3547956622594</v>
      </c>
      <c r="J169" s="34">
        <v>15.9183429865595</v>
      </c>
      <c r="K169" s="34">
        <v>15.694557595986099</v>
      </c>
      <c r="L169" s="34">
        <v>15.6885333416298</v>
      </c>
      <c r="M169" s="34">
        <v>15.8533592224121</v>
      </c>
      <c r="N169" s="34">
        <v>16.458938598632798</v>
      </c>
      <c r="O169" s="34">
        <v>16.5601921081543</v>
      </c>
      <c r="P169" s="34">
        <v>16.817884445190401</v>
      </c>
      <c r="Q169" s="34">
        <v>16.882137298583999</v>
      </c>
      <c r="R169" s="34">
        <v>16.622360229492202</v>
      </c>
      <c r="S169" s="34">
        <v>16.8822021484375</v>
      </c>
      <c r="T169" s="34">
        <v>16.724970172161601</v>
      </c>
      <c r="U169" s="34">
        <v>16.514527679341899</v>
      </c>
      <c r="V169" s="34">
        <v>16.535339883342498</v>
      </c>
      <c r="W169" s="34"/>
    </row>
    <row r="170" spans="1:23">
      <c r="A170" s="1" t="s">
        <v>1279</v>
      </c>
      <c r="B170" s="34">
        <v>17.941320776198602</v>
      </c>
      <c r="C170" s="34">
        <v>22.054579095984</v>
      </c>
      <c r="D170" s="34">
        <v>35.207827787239097</v>
      </c>
      <c r="E170" s="34">
        <v>38.1421272312109</v>
      </c>
      <c r="F170" s="34">
        <v>42.656542187920202</v>
      </c>
      <c r="G170" s="34">
        <v>45.811383864464801</v>
      </c>
      <c r="H170" s="34">
        <v>53.344352414398998</v>
      </c>
      <c r="I170" s="34">
        <v>54.078619706734301</v>
      </c>
      <c r="J170" s="34">
        <v>59.393661608688298</v>
      </c>
      <c r="K170" s="34">
        <v>63.600794818671901</v>
      </c>
      <c r="L170" s="34">
        <v>70.492364685104107</v>
      </c>
      <c r="M170" s="34">
        <v>78.769287109375</v>
      </c>
      <c r="N170" s="34">
        <v>94.331245422363295</v>
      </c>
      <c r="O170" s="34">
        <v>114.54124450683599</v>
      </c>
      <c r="P170" s="34">
        <v>146.20370483398401</v>
      </c>
      <c r="Q170" s="34">
        <v>186.61488342285199</v>
      </c>
      <c r="R170" s="34">
        <v>221.197341918945</v>
      </c>
      <c r="S170" s="34">
        <v>251.07423400878901</v>
      </c>
      <c r="T170" s="34">
        <v>260.21509454768199</v>
      </c>
      <c r="U170" s="34">
        <v>275.40895534887801</v>
      </c>
      <c r="V170" s="34">
        <v>299.895002012254</v>
      </c>
      <c r="W170" s="34"/>
    </row>
    <row r="171" spans="1:23">
      <c r="A171" s="1" t="s">
        <v>180</v>
      </c>
      <c r="B171" s="34">
        <v>1.1899412192386301</v>
      </c>
      <c r="C171" s="34">
        <v>1.1459815986908499</v>
      </c>
      <c r="D171" s="34">
        <v>1.1634352362273299</v>
      </c>
      <c r="E171" s="34">
        <v>1.1799042387347001</v>
      </c>
      <c r="F171" s="34">
        <v>1.2180164329168199</v>
      </c>
      <c r="G171" s="34">
        <v>1.2859088724877299</v>
      </c>
      <c r="H171" s="34">
        <v>1.29782518024416</v>
      </c>
      <c r="I171" s="34">
        <v>1.3255677763043101</v>
      </c>
      <c r="J171" s="34">
        <v>1.4353600489404601</v>
      </c>
      <c r="K171" s="34">
        <v>1.3391414371678501</v>
      </c>
      <c r="L171" s="34">
        <v>1.41990928162038</v>
      </c>
      <c r="M171" s="34">
        <v>1.4661344289779701</v>
      </c>
      <c r="N171" s="34">
        <v>1.4536314010620099</v>
      </c>
      <c r="O171" s="34">
        <v>1.4722597599029501</v>
      </c>
      <c r="P171" s="34">
        <v>1.50547206401825</v>
      </c>
      <c r="Q171" s="34">
        <v>1.5676306486129801</v>
      </c>
      <c r="R171" s="34">
        <v>1.5942581892013501</v>
      </c>
      <c r="S171" s="34">
        <v>1.6547869443893399</v>
      </c>
      <c r="T171" s="34">
        <v>1.6260829372126799</v>
      </c>
      <c r="U171" s="34">
        <v>1.59875169692803</v>
      </c>
      <c r="V171" s="34">
        <v>1.5674258162982</v>
      </c>
      <c r="W171" s="34"/>
    </row>
    <row r="172" spans="1:23">
      <c r="A172" s="1" t="s">
        <v>1280</v>
      </c>
      <c r="B172" s="34"/>
      <c r="C172" s="34"/>
      <c r="D172" s="34"/>
      <c r="E172" s="34"/>
      <c r="F172" s="34"/>
      <c r="G172" s="34"/>
      <c r="H172" s="34"/>
      <c r="I172" s="34"/>
      <c r="J172" s="34"/>
      <c r="K172" s="34"/>
      <c r="L172" s="34"/>
      <c r="M172" s="34"/>
      <c r="N172" s="34"/>
      <c r="O172" s="34"/>
      <c r="P172" s="34"/>
      <c r="Q172" s="34"/>
      <c r="R172" s="34"/>
      <c r="S172" s="34"/>
      <c r="T172" s="34"/>
      <c r="U172" s="34"/>
      <c r="V172" s="34"/>
      <c r="W172" s="34"/>
    </row>
    <row r="173" spans="1:23">
      <c r="A173" s="1" t="s">
        <v>1281</v>
      </c>
      <c r="B173" s="34">
        <v>2.9153679274133601</v>
      </c>
      <c r="C173" s="34">
        <v>3.1724143399366</v>
      </c>
      <c r="D173" s="34">
        <v>3.4354296786454799</v>
      </c>
      <c r="E173" s="34">
        <v>3.4156655349728799</v>
      </c>
      <c r="F173" s="34">
        <v>3.3939805897936699</v>
      </c>
      <c r="G173" s="34">
        <v>3.4757119681880599</v>
      </c>
      <c r="H173" s="34">
        <v>3.6909617415537901</v>
      </c>
      <c r="I173" s="34">
        <v>3.92819812088208</v>
      </c>
      <c r="J173" s="34">
        <v>4.2756177212872002</v>
      </c>
      <c r="K173" s="34">
        <v>4.5379813575308603</v>
      </c>
      <c r="L173" s="34">
        <v>4.6528446393567302</v>
      </c>
      <c r="M173" s="34">
        <v>4.7315082550048801</v>
      </c>
      <c r="N173" s="34">
        <v>5.2124400138854998</v>
      </c>
      <c r="O173" s="34">
        <v>5.4001631736755398</v>
      </c>
      <c r="P173" s="34">
        <v>5.6662178039550799</v>
      </c>
      <c r="Q173" s="34">
        <v>5.9320945739746103</v>
      </c>
      <c r="R173" s="34">
        <v>6.4141111373901403</v>
      </c>
      <c r="S173" s="34">
        <v>7.0205979347229004</v>
      </c>
      <c r="T173" s="34">
        <v>7.1596033123345997</v>
      </c>
      <c r="U173" s="34">
        <v>7.0771313685838697</v>
      </c>
      <c r="V173" s="34">
        <v>7.3998780559088599</v>
      </c>
      <c r="W173" s="34"/>
    </row>
    <row r="174" spans="1:23">
      <c r="A174" s="1" t="s">
        <v>1282</v>
      </c>
      <c r="B174" s="34"/>
      <c r="C174" s="34"/>
      <c r="D174" s="34"/>
      <c r="E174" s="34"/>
      <c r="F174" s="34"/>
      <c r="G174" s="34"/>
      <c r="H174" s="34"/>
      <c r="I174" s="34"/>
      <c r="J174" s="34"/>
      <c r="K174" s="34"/>
      <c r="L174" s="34"/>
      <c r="M174" s="34"/>
      <c r="N174" s="34"/>
      <c r="O174" s="34"/>
      <c r="P174" s="34"/>
      <c r="Q174" s="34"/>
      <c r="R174" s="34"/>
      <c r="S174" s="34"/>
      <c r="T174" s="34"/>
      <c r="U174" s="34"/>
      <c r="V174" s="34"/>
      <c r="W174" s="34"/>
    </row>
    <row r="175" spans="1:23">
      <c r="A175" s="1" t="s">
        <v>1283</v>
      </c>
      <c r="B175" s="34">
        <v>180.80824667990601</v>
      </c>
      <c r="C175" s="34">
        <v>185.79600130758001</v>
      </c>
      <c r="D175" s="34">
        <v>187.60772581985299</v>
      </c>
      <c r="E175" s="34">
        <v>183.84003570995799</v>
      </c>
      <c r="F175" s="34">
        <v>179.71313135532799</v>
      </c>
      <c r="G175" s="34">
        <v>189.24638036701799</v>
      </c>
      <c r="H175" s="34">
        <v>186.43594685463199</v>
      </c>
      <c r="I175" s="34">
        <v>194.33444728584499</v>
      </c>
      <c r="J175" s="34">
        <v>209.93529044250499</v>
      </c>
      <c r="K175" s="34">
        <v>217.07681996055501</v>
      </c>
      <c r="L175" s="34">
        <v>222.03309102743501</v>
      </c>
      <c r="M175" s="34">
        <v>226.12777709960901</v>
      </c>
      <c r="N175" s="34">
        <v>233.42677307128901</v>
      </c>
      <c r="O175" s="34">
        <v>242.08447265625</v>
      </c>
      <c r="P175" s="34">
        <v>243.99969482421901</v>
      </c>
      <c r="Q175" s="34">
        <v>249.92111206054699</v>
      </c>
      <c r="R175" s="34">
        <v>257.01895141601602</v>
      </c>
      <c r="S175" s="34">
        <v>258.46008300781301</v>
      </c>
      <c r="T175" s="34">
        <v>257.89169523951199</v>
      </c>
      <c r="U175" s="34">
        <v>254.399513645121</v>
      </c>
      <c r="V175" s="34">
        <v>253.631411632946</v>
      </c>
      <c r="W175" s="34"/>
    </row>
    <row r="176" spans="1:23">
      <c r="A176" s="1" t="s">
        <v>1284</v>
      </c>
      <c r="B176" s="34">
        <v>23.301021356644601</v>
      </c>
      <c r="C176" s="34">
        <v>25.098428185855301</v>
      </c>
      <c r="D176" s="34">
        <v>29.92315455388</v>
      </c>
      <c r="E176" s="34">
        <v>32.257858368831798</v>
      </c>
      <c r="F176" s="34">
        <v>37.923189838506097</v>
      </c>
      <c r="G176" s="34">
        <v>44.081064755288899</v>
      </c>
      <c r="H176" s="34">
        <v>52.9969421307555</v>
      </c>
      <c r="I176" s="34">
        <v>55.2747485454721</v>
      </c>
      <c r="J176" s="34">
        <v>58.5150800295037</v>
      </c>
      <c r="K176" s="34">
        <v>58.470799203488902</v>
      </c>
      <c r="L176" s="34">
        <v>73.258537836973005</v>
      </c>
      <c r="M176" s="34">
        <v>78.776527404785199</v>
      </c>
      <c r="N176" s="34">
        <v>86.8260498046875</v>
      </c>
      <c r="O176" s="34">
        <v>90.261184692382798</v>
      </c>
      <c r="P176" s="34">
        <v>92.782028198242202</v>
      </c>
      <c r="Q176" s="34">
        <v>96.8323974609375</v>
      </c>
      <c r="R176" s="34">
        <v>105.373916625977</v>
      </c>
      <c r="S176" s="34">
        <v>115.977828979492</v>
      </c>
      <c r="T176" s="34">
        <v>124.843143623728</v>
      </c>
      <c r="U176" s="34">
        <v>135.39089577020499</v>
      </c>
      <c r="V176" s="34">
        <v>144.27906574906501</v>
      </c>
      <c r="W176" s="34"/>
    </row>
    <row r="177" spans="1:23">
      <c r="A177" s="1" t="s">
        <v>1285</v>
      </c>
      <c r="B177" s="34">
        <v>4.5936476496718797</v>
      </c>
      <c r="C177" s="34">
        <v>4.8205616522115804</v>
      </c>
      <c r="D177" s="34">
        <v>4.8996508871227302</v>
      </c>
      <c r="E177" s="34">
        <v>5.0667604923408396</v>
      </c>
      <c r="F177" s="34">
        <v>5.3804937348113997</v>
      </c>
      <c r="G177" s="34">
        <v>5.7328181374245597</v>
      </c>
      <c r="H177" s="34">
        <v>6.0022314205008103</v>
      </c>
      <c r="I177" s="34">
        <v>6.4106776199829998</v>
      </c>
      <c r="J177" s="34">
        <v>7.3070301571458804</v>
      </c>
      <c r="K177" s="34">
        <v>7.6894990777601704</v>
      </c>
      <c r="L177" s="34">
        <v>8.0674384298803208</v>
      </c>
      <c r="M177" s="34">
        <v>8.7095584869384801</v>
      </c>
      <c r="N177" s="34">
        <v>9.3616819381713903</v>
      </c>
      <c r="O177" s="34">
        <v>9.7149305343627894</v>
      </c>
      <c r="P177" s="34">
        <v>10.159691810607899</v>
      </c>
      <c r="Q177" s="34">
        <v>10.554167747497599</v>
      </c>
      <c r="R177" s="34">
        <v>10.5936603546143</v>
      </c>
      <c r="S177" s="34">
        <v>10.8068704605103</v>
      </c>
      <c r="T177" s="34">
        <v>10.8340977520888</v>
      </c>
      <c r="U177" s="34">
        <v>11.230753900541499</v>
      </c>
      <c r="V177" s="34">
        <v>11.747565543867101</v>
      </c>
      <c r="W177" s="34"/>
    </row>
    <row r="178" spans="1:23">
      <c r="A178" s="1" t="s">
        <v>1286</v>
      </c>
      <c r="B178" s="34">
        <v>0.89054999999999995</v>
      </c>
      <c r="C178" s="34">
        <v>0.90508500000000003</v>
      </c>
      <c r="D178" s="34">
        <v>0.90086299999999997</v>
      </c>
      <c r="E178" s="34">
        <v>0.92550299999999996</v>
      </c>
      <c r="F178" s="34">
        <v>0.90779299999999996</v>
      </c>
      <c r="G178" s="34">
        <v>0.89713900000000002</v>
      </c>
      <c r="H178" s="34">
        <v>0.87191600000000002</v>
      </c>
      <c r="I178" s="34">
        <v>0.86019999999999996</v>
      </c>
      <c r="J178" s="34">
        <v>0.84777499999999995</v>
      </c>
      <c r="K178" s="34">
        <v>0.84834399999999999</v>
      </c>
      <c r="L178" s="34">
        <v>0.85404599999999997</v>
      </c>
      <c r="M178" s="34">
        <v>0.83606499999999995</v>
      </c>
      <c r="N178" s="34">
        <v>0.82440800000000003</v>
      </c>
      <c r="O178" s="34">
        <v>0.79816600000000004</v>
      </c>
      <c r="P178" s="34">
        <v>0.80879800000000002</v>
      </c>
      <c r="Q178" s="34">
        <v>0.80997799999999998</v>
      </c>
      <c r="R178" s="34">
        <v>0.79544800000000004</v>
      </c>
      <c r="S178" s="34">
        <v>0.78215000000000001</v>
      </c>
      <c r="T178" s="34">
        <v>0.77674699999999997</v>
      </c>
      <c r="U178" s="34">
        <v>0.79444700000000001</v>
      </c>
      <c r="V178" s="34">
        <v>0.77400800000000003</v>
      </c>
      <c r="W178" s="34">
        <v>0.75790599999999997</v>
      </c>
    </row>
    <row r="179" spans="1:23">
      <c r="A179" s="1" t="s">
        <v>1287</v>
      </c>
      <c r="B179" s="34">
        <v>9.0865570000000009</v>
      </c>
      <c r="C179" s="34">
        <v>9.1770390000000006</v>
      </c>
      <c r="D179" s="34">
        <v>9.0567299999999999</v>
      </c>
      <c r="E179" s="34">
        <v>9.1974850000000004</v>
      </c>
      <c r="F179" s="34">
        <v>9.1256509999999995</v>
      </c>
      <c r="G179" s="34">
        <v>9.0052040000000009</v>
      </c>
      <c r="H179" s="34">
        <v>8.7801179999999999</v>
      </c>
      <c r="I179" s="34">
        <v>8.9229420000000008</v>
      </c>
      <c r="J179" s="34">
        <v>8.8592809999999993</v>
      </c>
      <c r="K179" s="34">
        <v>9.0839130000000008</v>
      </c>
      <c r="L179" s="34">
        <v>9.1512270000000004</v>
      </c>
      <c r="M179" s="34">
        <v>9.0827360000000006</v>
      </c>
      <c r="N179" s="34">
        <v>9.0370849999999994</v>
      </c>
      <c r="O179" s="34">
        <v>9.0293489999999998</v>
      </c>
      <c r="P179" s="34">
        <v>9.2784580000000005</v>
      </c>
      <c r="Q179" s="34">
        <v>9.9325159999999997</v>
      </c>
      <c r="R179" s="34">
        <v>10.0419</v>
      </c>
      <c r="S179" s="34">
        <v>9.7498299999999993</v>
      </c>
      <c r="T179" s="34">
        <v>9.5839990000000004</v>
      </c>
      <c r="U179" s="34">
        <v>9.9751820000000002</v>
      </c>
      <c r="V179" s="34">
        <v>10.119987</v>
      </c>
      <c r="W179" s="34">
        <v>11.194525000000001</v>
      </c>
    </row>
    <row r="180" spans="1:23">
      <c r="A180" s="1" t="s">
        <v>1288</v>
      </c>
      <c r="B180" s="34">
        <v>12.5630060589405</v>
      </c>
      <c r="C180" s="34">
        <v>12.712869650631299</v>
      </c>
      <c r="D180" s="34">
        <v>13.0073574384348</v>
      </c>
      <c r="E180" s="34">
        <v>13.1622867828351</v>
      </c>
      <c r="F180" s="34">
        <v>13.3512401670312</v>
      </c>
      <c r="G180" s="34">
        <v>13.7402536963404</v>
      </c>
      <c r="H180" s="34">
        <v>14.3182424468727</v>
      </c>
      <c r="I180" s="34">
        <v>15.0038544152399</v>
      </c>
      <c r="J180" s="34">
        <v>15.5446846178668</v>
      </c>
      <c r="K180" s="34">
        <v>17.8812665443211</v>
      </c>
      <c r="L180" s="34">
        <v>20.352571458604501</v>
      </c>
      <c r="M180" s="34">
        <v>25.254611968994102</v>
      </c>
      <c r="N180" s="34">
        <v>26.004440307617202</v>
      </c>
      <c r="O180" s="34">
        <v>26.799869537353501</v>
      </c>
      <c r="P180" s="34">
        <v>28.152746200561499</v>
      </c>
      <c r="Q180" s="34">
        <v>29.9425354003906</v>
      </c>
      <c r="R180" s="34">
        <v>31.9988098144531</v>
      </c>
      <c r="S180" s="34">
        <v>31.234983444213899</v>
      </c>
      <c r="T180" s="34">
        <v>31.831272279629001</v>
      </c>
      <c r="U180" s="34">
        <v>32.740067087247198</v>
      </c>
      <c r="V180" s="34">
        <v>33.517695149922503</v>
      </c>
      <c r="W180" s="34"/>
    </row>
    <row r="181" spans="1:23">
      <c r="A181" s="1" t="s">
        <v>1289</v>
      </c>
      <c r="B181" s="34"/>
      <c r="C181" s="34"/>
      <c r="D181" s="34"/>
      <c r="E181" s="34"/>
      <c r="F181" s="34">
        <v>1.03512141243235</v>
      </c>
      <c r="G181" s="34">
        <v>0.96620755128343505</v>
      </c>
      <c r="H181" s="34">
        <v>0.79619597302829603</v>
      </c>
      <c r="I181" s="34">
        <v>0.74738646971348999</v>
      </c>
      <c r="J181" s="34">
        <v>0.86872007348342495</v>
      </c>
      <c r="K181" s="34">
        <v>1.12900266832653</v>
      </c>
      <c r="L181" s="34">
        <v>0.90395877678365699</v>
      </c>
      <c r="M181" s="34">
        <v>0.998753796315207</v>
      </c>
      <c r="N181" s="34">
        <v>1.2345760316785399</v>
      </c>
      <c r="O181" s="34">
        <v>0.94868476773310095</v>
      </c>
      <c r="P181" s="34">
        <v>0.87395727779362198</v>
      </c>
      <c r="Q181" s="34">
        <v>0.76156540949598295</v>
      </c>
      <c r="R181" s="34">
        <v>0.95856460401591703</v>
      </c>
      <c r="S181" s="34">
        <v>1.0565376986869399</v>
      </c>
      <c r="T181" s="34">
        <v>1.07306853477025</v>
      </c>
      <c r="U181" s="34">
        <v>1.09378292217275</v>
      </c>
      <c r="V181" s="34">
        <v>1.1006592969561899</v>
      </c>
      <c r="W181" s="34"/>
    </row>
    <row r="182" spans="1:23">
      <c r="A182" s="1" t="s">
        <v>1290</v>
      </c>
      <c r="B182" s="50">
        <v>1.4439580000000001</v>
      </c>
      <c r="C182" s="50">
        <v>1.473589</v>
      </c>
      <c r="D182" s="50">
        <v>1.4689620000000001</v>
      </c>
      <c r="E182" s="50">
        <v>1.496707</v>
      </c>
      <c r="F182" s="50">
        <v>1.507009</v>
      </c>
      <c r="G182" s="50">
        <v>1.5349999999999999</v>
      </c>
      <c r="H182" s="50">
        <v>1.4809319999999999</v>
      </c>
      <c r="I182" s="50">
        <v>1.504794</v>
      </c>
      <c r="J182" s="50">
        <v>1.4907090000000001</v>
      </c>
      <c r="K182" s="50">
        <v>1.471921</v>
      </c>
      <c r="L182" s="50">
        <v>1.496928</v>
      </c>
      <c r="M182" s="50">
        <v>1.4859150000000001</v>
      </c>
      <c r="N182" s="50">
        <v>1.495622</v>
      </c>
      <c r="O182" s="50">
        <v>1.4459789999999999</v>
      </c>
      <c r="P182" s="50">
        <v>1.4407300000000001</v>
      </c>
      <c r="Q182" s="50">
        <v>1.4780139999999999</v>
      </c>
      <c r="R182" s="50">
        <v>1.4410080000000001</v>
      </c>
      <c r="S182" s="50">
        <v>1.4309590000000001</v>
      </c>
      <c r="T182" s="50">
        <v>1.4700599999999999</v>
      </c>
      <c r="U182" s="50">
        <v>1.4282589999999999</v>
      </c>
      <c r="V182" s="50">
        <v>1.4363509999999999</v>
      </c>
      <c r="W182" s="50">
        <v>1.431543</v>
      </c>
    </row>
    <row r="183" spans="1:23">
      <c r="A183" s="1" t="s">
        <v>1291</v>
      </c>
      <c r="B183" s="34"/>
      <c r="C183" s="34"/>
      <c r="D183" s="34"/>
      <c r="E183" s="34"/>
      <c r="F183" s="34"/>
      <c r="G183" s="34"/>
      <c r="H183" s="34"/>
      <c r="I183" s="34"/>
      <c r="J183" s="34"/>
      <c r="K183" s="34"/>
      <c r="L183" s="34"/>
      <c r="M183" s="34"/>
      <c r="N183" s="34"/>
      <c r="O183" s="34"/>
      <c r="P183" s="34"/>
      <c r="Q183" s="34"/>
      <c r="R183" s="34"/>
      <c r="S183" s="34"/>
      <c r="T183" s="34"/>
      <c r="U183" s="34"/>
      <c r="V183" s="34"/>
      <c r="W183" s="34"/>
    </row>
    <row r="184" spans="1:23">
      <c r="A184" s="1" t="s">
        <v>1292</v>
      </c>
      <c r="B184" s="34">
        <v>9.2208037107066501E-2</v>
      </c>
      <c r="C184" s="34">
        <v>8.6112207435405499E-2</v>
      </c>
      <c r="D184" s="34">
        <v>8.8758770677527896E-2</v>
      </c>
      <c r="E184" s="34">
        <v>9.6156590925011096E-2</v>
      </c>
      <c r="F184" s="34">
        <v>0.10581574976616499</v>
      </c>
      <c r="G184" s="34">
        <v>0.12567224094666399</v>
      </c>
      <c r="H184" s="34">
        <v>0.13860700362775999</v>
      </c>
      <c r="I184" s="34">
        <v>0.14613602183417601</v>
      </c>
      <c r="J184" s="34">
        <v>0.19172914781660599</v>
      </c>
      <c r="K184" s="34">
        <v>0.14246510301519899</v>
      </c>
      <c r="L184" s="34">
        <v>0.16284240604304401</v>
      </c>
      <c r="M184" s="34">
        <v>0.184847801923752</v>
      </c>
      <c r="N184" s="34">
        <v>0.18895140290260301</v>
      </c>
      <c r="O184" s="34">
        <v>0.190663322806358</v>
      </c>
      <c r="P184" s="34">
        <v>0.19944606721401201</v>
      </c>
      <c r="Q184" s="34">
        <v>0.19808240234851801</v>
      </c>
      <c r="R184" s="34">
        <v>0.19432105123996701</v>
      </c>
      <c r="S184" s="34">
        <v>0.200041279196739</v>
      </c>
      <c r="T184" s="34">
        <v>0.21827008782419299</v>
      </c>
      <c r="U184" s="34">
        <v>0.20872564980566999</v>
      </c>
      <c r="V184" s="34">
        <v>0.178971015846109</v>
      </c>
      <c r="W184" s="34"/>
    </row>
    <row r="185" spans="1:23">
      <c r="A185" s="1" t="s">
        <v>1293</v>
      </c>
      <c r="B185" s="34"/>
      <c r="C185" s="34"/>
      <c r="D185" s="34"/>
      <c r="E185" s="34"/>
      <c r="F185" s="34"/>
      <c r="G185" s="34"/>
      <c r="H185" s="34"/>
      <c r="I185" s="34"/>
      <c r="J185" s="34"/>
      <c r="K185" s="34"/>
      <c r="L185" s="34"/>
      <c r="M185" s="34"/>
      <c r="N185" s="34"/>
      <c r="O185" s="34"/>
      <c r="P185" s="34"/>
      <c r="Q185" s="34"/>
      <c r="R185" s="34"/>
      <c r="S185" s="34"/>
      <c r="T185" s="34"/>
      <c r="U185" s="34"/>
      <c r="V185" s="34"/>
      <c r="W185" s="34"/>
    </row>
    <row r="186" spans="1:23">
      <c r="A186" s="1" t="s">
        <v>1294</v>
      </c>
      <c r="B186" s="34">
        <v>11.192215272299499</v>
      </c>
      <c r="C186" s="34">
        <v>11.533611887333</v>
      </c>
      <c r="D186" s="34">
        <v>11.7774110775523</v>
      </c>
      <c r="E186" s="34">
        <v>11.939463157181301</v>
      </c>
      <c r="F186" s="34">
        <v>12.478744562832899</v>
      </c>
      <c r="G186" s="34">
        <v>13.050532091106801</v>
      </c>
      <c r="H186" s="34">
        <v>13.992221072660501</v>
      </c>
      <c r="I186" s="34">
        <v>14.6173958914541</v>
      </c>
      <c r="J186" s="34">
        <v>16.231749377182101</v>
      </c>
      <c r="K186" s="34">
        <v>19.438100075548299</v>
      </c>
      <c r="L186" s="34">
        <v>21.298993837906998</v>
      </c>
      <c r="M186" s="34">
        <v>24.9616813659668</v>
      </c>
      <c r="N186" s="34">
        <v>26.635309219360401</v>
      </c>
      <c r="O186" s="34">
        <v>28.521720886230501</v>
      </c>
      <c r="P186" s="34">
        <v>30.403480529785199</v>
      </c>
      <c r="Q186" s="34">
        <v>31.467857360839801</v>
      </c>
      <c r="R186" s="34">
        <v>32.377647399902301</v>
      </c>
      <c r="S186" s="34">
        <v>33.588920593261697</v>
      </c>
      <c r="T186" s="34">
        <v>33.608045423432898</v>
      </c>
      <c r="U186" s="34">
        <v>35.917228851201102</v>
      </c>
      <c r="V186" s="34">
        <v>39.088642385420599</v>
      </c>
      <c r="W186" s="34"/>
    </row>
    <row r="187" spans="1:23">
      <c r="A187" s="1" t="s">
        <v>1295</v>
      </c>
      <c r="B187" s="34">
        <v>0.48523516262441702</v>
      </c>
      <c r="C187" s="34">
        <v>0.479702504337228</v>
      </c>
      <c r="D187" s="34">
        <v>0.48012549631402601</v>
      </c>
      <c r="E187" s="34">
        <v>0.47670460601609799</v>
      </c>
      <c r="F187" s="34">
        <v>0.47332885656891599</v>
      </c>
      <c r="G187" s="34">
        <v>0.46705565149082401</v>
      </c>
      <c r="H187" s="34">
        <v>0.46226741885077699</v>
      </c>
      <c r="I187" s="34">
        <v>0.471895124881346</v>
      </c>
      <c r="J187" s="34">
        <v>0.49773539969889402</v>
      </c>
      <c r="K187" s="34">
        <v>0.52593419628110505</v>
      </c>
      <c r="L187" s="34">
        <v>0.533341933825493</v>
      </c>
      <c r="M187" s="34">
        <v>0.55296015739440896</v>
      </c>
      <c r="N187" s="34">
        <v>0.57401180267333995</v>
      </c>
      <c r="O187" s="34">
        <v>0.57132041454315197</v>
      </c>
      <c r="P187" s="34">
        <v>0.55884391069412198</v>
      </c>
      <c r="Q187" s="34">
        <v>0.53833818435668901</v>
      </c>
      <c r="R187" s="34">
        <v>0.51544106006622303</v>
      </c>
      <c r="S187" s="34">
        <v>0.49747046828269997</v>
      </c>
      <c r="T187" s="34">
        <v>0.48907768909292498</v>
      </c>
      <c r="U187" s="34">
        <v>0.48136458236850999</v>
      </c>
      <c r="V187" s="34">
        <v>0.46709016355151001</v>
      </c>
      <c r="W187" s="34"/>
    </row>
    <row r="188" spans="1:23">
      <c r="A188" s="1" t="s">
        <v>234</v>
      </c>
      <c r="B188" s="34">
        <v>1.3532510450592099</v>
      </c>
      <c r="C188" s="34">
        <v>1.3302340076052701</v>
      </c>
      <c r="D188" s="34">
        <v>1.31094809710305</v>
      </c>
      <c r="E188" s="34">
        <v>1.3102611935261399</v>
      </c>
      <c r="F188" s="34">
        <v>1.3560259054653501</v>
      </c>
      <c r="G188" s="34">
        <v>1.3611386060203401</v>
      </c>
      <c r="H188" s="34">
        <v>1.42230878007809</v>
      </c>
      <c r="I188" s="34">
        <v>1.4057484703879599</v>
      </c>
      <c r="J188" s="34">
        <v>1.3941399027499299</v>
      </c>
      <c r="K188" s="34">
        <v>1.41214525551035</v>
      </c>
      <c r="L188" s="34">
        <v>1.4755946635674</v>
      </c>
      <c r="M188" s="34">
        <v>1.5429053306579601</v>
      </c>
      <c r="N188" s="34">
        <v>1.5993064641952499</v>
      </c>
      <c r="O188" s="34">
        <v>1.6161588430404701</v>
      </c>
      <c r="P188" s="34">
        <v>1.6458592414855999</v>
      </c>
      <c r="Q188" s="34">
        <v>1.7140855789184599</v>
      </c>
      <c r="R188" s="34">
        <v>1.74326360225677</v>
      </c>
      <c r="S188" s="34">
        <v>1.7494549751281701</v>
      </c>
      <c r="T188" s="34">
        <v>1.7471704573658799</v>
      </c>
      <c r="U188" s="34">
        <v>1.7505986938321101</v>
      </c>
      <c r="V188" s="34">
        <v>1.8026497447232199</v>
      </c>
      <c r="W188" s="34"/>
    </row>
    <row r="189" spans="1:23">
      <c r="A189" s="1" t="s">
        <v>200</v>
      </c>
      <c r="B189" s="34">
        <v>13.783701887970899</v>
      </c>
      <c r="C189" s="34">
        <v>14.245719881720699</v>
      </c>
      <c r="D189" s="34">
        <v>14.6172589746417</v>
      </c>
      <c r="E189" s="34">
        <v>14.8088466964437</v>
      </c>
      <c r="F189" s="34">
        <v>15.2700967018061</v>
      </c>
      <c r="G189" s="34">
        <v>15.6841438098671</v>
      </c>
      <c r="H189" s="34">
        <v>16.001610920699999</v>
      </c>
      <c r="I189" s="34">
        <v>16.076099388261301</v>
      </c>
      <c r="J189" s="34">
        <v>16.901481247143</v>
      </c>
      <c r="K189" s="34">
        <v>17.232912399556898</v>
      </c>
      <c r="L189" s="34">
        <v>17.778973487945802</v>
      </c>
      <c r="M189" s="34">
        <v>18.097654342651399</v>
      </c>
      <c r="N189" s="34">
        <v>18.068983078002901</v>
      </c>
      <c r="O189" s="34">
        <v>18.425867080688501</v>
      </c>
      <c r="P189" s="34">
        <v>18.876012802123999</v>
      </c>
      <c r="Q189" s="34">
        <v>19.0010089874268</v>
      </c>
      <c r="R189" s="34">
        <v>18.948604583740199</v>
      </c>
      <c r="S189" s="34">
        <v>19.385011672973601</v>
      </c>
      <c r="T189" s="34">
        <v>19.6386183371934</v>
      </c>
      <c r="U189" s="34">
        <v>19.428683056435201</v>
      </c>
      <c r="V189" s="34">
        <v>19.511847849240901</v>
      </c>
      <c r="W189" s="34"/>
    </row>
    <row r="190" spans="1:23">
      <c r="A190" s="1" t="s">
        <v>1296</v>
      </c>
      <c r="B190" s="34">
        <v>0.77754336564380999</v>
      </c>
      <c r="C190" s="34">
        <v>0.76666246329806098</v>
      </c>
      <c r="D190" s="34">
        <v>0.75779242372978295</v>
      </c>
      <c r="E190" s="34">
        <v>0.72561287009313902</v>
      </c>
      <c r="F190" s="34">
        <v>0.722987813934443</v>
      </c>
      <c r="G190" s="34">
        <v>0.77760219563759803</v>
      </c>
      <c r="H190" s="34">
        <v>0.76551347064240205</v>
      </c>
      <c r="I190" s="34">
        <v>0.755465458788524</v>
      </c>
      <c r="J190" s="34">
        <v>0.78410017877238702</v>
      </c>
      <c r="K190" s="34">
        <v>0.78785930688460803</v>
      </c>
      <c r="L190" s="34">
        <v>0.77055862045384904</v>
      </c>
      <c r="M190" s="34">
        <v>0.749237503264511</v>
      </c>
      <c r="N190" s="34">
        <v>0.77991115815568601</v>
      </c>
      <c r="O190" s="34">
        <v>0.82590120776115505</v>
      </c>
      <c r="P190" s="34">
        <v>0.83379547334625803</v>
      </c>
      <c r="Q190" s="34">
        <v>0.89129409438368701</v>
      </c>
      <c r="R190" s="34">
        <v>0.92875477350882396</v>
      </c>
      <c r="S190" s="34">
        <v>0.90149033526445999</v>
      </c>
      <c r="T190" s="34">
        <v>0.87944473010269597</v>
      </c>
      <c r="U190" s="34">
        <v>0.84823945302115</v>
      </c>
      <c r="V190" s="34">
        <v>0.87267965023040805</v>
      </c>
      <c r="W190" s="34"/>
    </row>
    <row r="191" spans="1:23">
      <c r="A191" s="1" t="s">
        <v>1297</v>
      </c>
      <c r="B191" s="34">
        <v>1.2547537561886399</v>
      </c>
      <c r="C191" s="34">
        <v>1.3127129728250999</v>
      </c>
      <c r="D191" s="34">
        <v>1.45109812790377</v>
      </c>
      <c r="E191" s="34">
        <v>1.5035568674488</v>
      </c>
      <c r="F191" s="34">
        <v>1.4349680393328099</v>
      </c>
      <c r="G191" s="34">
        <v>1.5611522941926801</v>
      </c>
      <c r="H191" s="34">
        <v>1.65818983329558</v>
      </c>
      <c r="I191" s="34">
        <v>1.6769378111331801</v>
      </c>
      <c r="J191" s="34">
        <v>1.77263135597444</v>
      </c>
      <c r="K191" s="34">
        <v>1.67338214889921</v>
      </c>
      <c r="L191" s="34">
        <v>1.8181481713649199</v>
      </c>
      <c r="M191" s="34">
        <v>1.85903340416986</v>
      </c>
      <c r="N191" s="34">
        <v>1.8135676870508499</v>
      </c>
      <c r="O191" s="34">
        <v>1.84621958922329</v>
      </c>
      <c r="P191" s="34">
        <v>1.91125095239322</v>
      </c>
      <c r="Q191" s="34">
        <v>1.8699097103012601</v>
      </c>
      <c r="R191" s="34">
        <v>1.89708603066574</v>
      </c>
      <c r="S191" s="34">
        <v>2.0054490313694702</v>
      </c>
      <c r="T191" s="34">
        <v>2.1503065646758199</v>
      </c>
      <c r="U191" s="34">
        <v>2.1350745807803402</v>
      </c>
      <c r="V191" s="34">
        <v>2.2255157902348399</v>
      </c>
      <c r="W191" s="34"/>
    </row>
    <row r="192" spans="1:23">
      <c r="A192" s="1" t="s">
        <v>1298</v>
      </c>
      <c r="B192" s="34">
        <v>1.8331660000000001</v>
      </c>
      <c r="C192" s="34">
        <v>1.8376060000000001</v>
      </c>
      <c r="D192" s="34">
        <v>1.799795</v>
      </c>
      <c r="E192" s="34">
        <v>1.804465</v>
      </c>
      <c r="F192" s="34">
        <v>1.8300449999999999</v>
      </c>
      <c r="G192" s="34">
        <v>1.8675949999999999</v>
      </c>
      <c r="H192" s="34">
        <v>1.8504529999999999</v>
      </c>
      <c r="I192" s="34">
        <v>1.853936</v>
      </c>
      <c r="J192" s="34">
        <v>1.8422430000000001</v>
      </c>
      <c r="K192" s="34">
        <v>1.869157</v>
      </c>
      <c r="L192" s="34">
        <v>1.8048150000000001</v>
      </c>
      <c r="M192" s="34">
        <v>1.8014239999999999</v>
      </c>
      <c r="N192" s="34">
        <v>1.796168</v>
      </c>
      <c r="O192" s="34">
        <v>1.7620450000000001</v>
      </c>
      <c r="P192" s="34">
        <v>1.767142</v>
      </c>
      <c r="Q192" s="34">
        <v>1.7651159999999999</v>
      </c>
      <c r="R192" s="34">
        <v>1.7328429999999999</v>
      </c>
      <c r="S192" s="34">
        <v>1.7428790000000001</v>
      </c>
      <c r="T192" s="34">
        <v>1.748426</v>
      </c>
      <c r="U192" s="34">
        <v>1.787166</v>
      </c>
      <c r="V192" s="34">
        <v>1.7905</v>
      </c>
      <c r="W192" s="34">
        <v>1.8069230000000001</v>
      </c>
    </row>
    <row r="193" spans="1:23">
      <c r="A193" s="1" t="s">
        <v>1299</v>
      </c>
      <c r="B193" s="34"/>
      <c r="C193" s="34"/>
      <c r="D193" s="34"/>
      <c r="E193" s="34"/>
      <c r="F193" s="34"/>
      <c r="G193" s="34"/>
      <c r="H193" s="34"/>
      <c r="I193" s="34"/>
      <c r="J193" s="34"/>
      <c r="K193" s="34"/>
      <c r="L193" s="34"/>
      <c r="M193" s="34"/>
      <c r="N193" s="34"/>
      <c r="O193" s="34"/>
      <c r="P193" s="34"/>
      <c r="Q193" s="34"/>
      <c r="R193" s="34"/>
      <c r="S193" s="34"/>
      <c r="T193" s="34"/>
      <c r="U193" s="34"/>
      <c r="V193" s="34"/>
      <c r="W193" s="34"/>
    </row>
    <row r="194" spans="1:23">
      <c r="A194" s="1" t="s">
        <v>1300</v>
      </c>
      <c r="B194" s="34">
        <v>0.70519236318396294</v>
      </c>
      <c r="C194" s="34">
        <v>0.72804348500601102</v>
      </c>
      <c r="D194" s="34">
        <v>0.73498131681307499</v>
      </c>
      <c r="E194" s="34">
        <v>0.753456512445564</v>
      </c>
      <c r="F194" s="34">
        <v>0.72422289614524404</v>
      </c>
      <c r="G194" s="34">
        <v>0.74863065899054704</v>
      </c>
      <c r="H194" s="34">
        <v>0.76655441644190103</v>
      </c>
      <c r="I194" s="34">
        <v>0.77473760162249805</v>
      </c>
      <c r="J194" s="34">
        <v>0.80982266428838601</v>
      </c>
      <c r="K194" s="34">
        <v>0.84374027479214098</v>
      </c>
      <c r="L194" s="34">
        <v>0.85482315760877703</v>
      </c>
      <c r="M194" s="34">
        <v>0.85717541246428897</v>
      </c>
      <c r="N194" s="34">
        <v>0.85765760483111197</v>
      </c>
      <c r="O194" s="34">
        <v>0.85953782591803896</v>
      </c>
      <c r="P194" s="34">
        <v>0.86042176680707705</v>
      </c>
      <c r="Q194" s="34">
        <v>0.87498438215726304</v>
      </c>
      <c r="R194" s="34">
        <v>0.89170179934851501</v>
      </c>
      <c r="S194" s="34">
        <v>0.90527827664661698</v>
      </c>
      <c r="T194" s="34">
        <v>0.89983207184085401</v>
      </c>
      <c r="U194" s="34">
        <v>0.90555148889328596</v>
      </c>
      <c r="V194" s="34">
        <v>0.91534729662158998</v>
      </c>
      <c r="W194" s="34"/>
    </row>
    <row r="195" spans="1:23">
      <c r="A195" s="1" t="s">
        <v>1301</v>
      </c>
      <c r="B195" s="34"/>
      <c r="C195" s="34"/>
      <c r="D195" s="34"/>
      <c r="E195" s="34"/>
      <c r="F195" s="34"/>
      <c r="G195" s="34"/>
      <c r="H195" s="34"/>
      <c r="I195" s="34"/>
      <c r="J195" s="34"/>
      <c r="K195" s="34"/>
      <c r="L195" s="34"/>
      <c r="M195" s="34"/>
      <c r="N195" s="34"/>
      <c r="O195" s="34"/>
      <c r="P195" s="34"/>
      <c r="Q195" s="34"/>
      <c r="R195" s="34"/>
      <c r="S195" s="34"/>
      <c r="T195" s="34"/>
      <c r="U195" s="34"/>
      <c r="V195" s="34"/>
      <c r="W195" s="34"/>
    </row>
    <row r="196" spans="1:23">
      <c r="A196" s="1" t="s">
        <v>1302</v>
      </c>
      <c r="B196" s="34">
        <v>0.66111600000000004</v>
      </c>
      <c r="C196" s="34">
        <v>0.67105400000000004</v>
      </c>
      <c r="D196" s="34">
        <v>0.67208100000000004</v>
      </c>
      <c r="E196" s="34">
        <v>0.66979699999999998</v>
      </c>
      <c r="F196" s="34">
        <v>0.67614700000000005</v>
      </c>
      <c r="G196" s="34">
        <v>0.66425900000000004</v>
      </c>
      <c r="H196" s="34">
        <v>0.64015599999999995</v>
      </c>
      <c r="I196" s="34">
        <v>0.64681599999999995</v>
      </c>
      <c r="J196" s="34">
        <v>0.63614800000000005</v>
      </c>
      <c r="K196" s="34">
        <v>0.62732900000000003</v>
      </c>
      <c r="L196" s="34">
        <v>0.62312199999999995</v>
      </c>
      <c r="M196" s="34">
        <v>0.62308300000000005</v>
      </c>
      <c r="N196" s="34">
        <v>0.60539799999999999</v>
      </c>
      <c r="O196" s="34">
        <v>0.58360699999999999</v>
      </c>
      <c r="P196" s="34">
        <v>0.57886800000000005</v>
      </c>
      <c r="Q196" s="34">
        <v>0.58494699999999999</v>
      </c>
      <c r="R196" s="34">
        <v>0.57141600000000004</v>
      </c>
      <c r="S196" s="34">
        <v>0.57568799999999998</v>
      </c>
      <c r="T196" s="34">
        <v>0.57122700000000004</v>
      </c>
      <c r="U196" s="34">
        <v>0.57615899999999998</v>
      </c>
      <c r="V196" s="34">
        <v>0.56855299999999998</v>
      </c>
      <c r="W196" s="34">
        <v>0.56425199999999998</v>
      </c>
    </row>
    <row r="197" spans="1:23">
      <c r="A197" s="1" t="s">
        <v>267</v>
      </c>
      <c r="B197" s="34">
        <v>871.61984530457005</v>
      </c>
      <c r="C197" s="34">
        <v>971.77028562913404</v>
      </c>
      <c r="D197" s="34">
        <v>1128.3492567144301</v>
      </c>
      <c r="E197" s="34">
        <v>1275.5421002097</v>
      </c>
      <c r="F197" s="34">
        <v>1389.10492321115</v>
      </c>
      <c r="G197" s="34">
        <v>1521.6351820641801</v>
      </c>
      <c r="H197" s="34">
        <v>1607.7352874998501</v>
      </c>
      <c r="I197" s="34">
        <v>1763.5080263080999</v>
      </c>
      <c r="J197" s="34">
        <v>1941.33111590064</v>
      </c>
      <c r="K197" s="34">
        <v>1996.9266240791801</v>
      </c>
      <c r="L197" s="34">
        <v>2065.82552140501</v>
      </c>
      <c r="M197" s="34">
        <v>2126.669921875</v>
      </c>
      <c r="N197" s="34">
        <v>2288.408203125</v>
      </c>
      <c r="O197" s="34">
        <v>2309.77734375</v>
      </c>
      <c r="P197" s="34">
        <v>2383.45092773438</v>
      </c>
      <c r="Q197" s="34">
        <v>2453.15966796875</v>
      </c>
      <c r="R197" s="34">
        <v>2507.39965820313</v>
      </c>
      <c r="S197" s="34">
        <v>2534.37670898438</v>
      </c>
      <c r="T197" s="34">
        <v>2523.4687740783502</v>
      </c>
      <c r="U197" s="34">
        <v>2553.88228899251</v>
      </c>
      <c r="V197" s="34">
        <v>2591.03944022015</v>
      </c>
      <c r="W197" s="34"/>
    </row>
    <row r="198" spans="1:23">
      <c r="A198" s="1" t="s">
        <v>1303</v>
      </c>
      <c r="B198" s="34">
        <v>0.55568997124252595</v>
      </c>
      <c r="C198" s="34">
        <v>0.55651249390521296</v>
      </c>
      <c r="D198" s="34">
        <v>0.55599805929216894</v>
      </c>
      <c r="E198" s="34">
        <v>0.53425799846607802</v>
      </c>
      <c r="F198" s="34">
        <v>0.49499254129180698</v>
      </c>
      <c r="G198" s="34">
        <v>0.48030946191736201</v>
      </c>
      <c r="H198" s="34">
        <v>0.491344065398028</v>
      </c>
      <c r="I198" s="34">
        <v>0.50131559266507797</v>
      </c>
      <c r="J198" s="34">
        <v>0.57538905543860697</v>
      </c>
      <c r="K198" s="34">
        <v>0.58161553506695396</v>
      </c>
      <c r="L198" s="34">
        <v>0.65078409521543501</v>
      </c>
      <c r="M198" s="34">
        <v>0.67201765050687001</v>
      </c>
      <c r="N198" s="34">
        <v>0.61193669032312403</v>
      </c>
      <c r="O198" s="34">
        <v>0.64711780264122598</v>
      </c>
      <c r="P198" s="34">
        <v>0.608354215297364</v>
      </c>
      <c r="Q198" s="34">
        <v>0.54953545159436201</v>
      </c>
      <c r="R198" s="34">
        <v>0.55945989311000699</v>
      </c>
      <c r="S198" s="34">
        <v>0.56552749456804596</v>
      </c>
      <c r="T198" s="34">
        <v>0.550599844397338</v>
      </c>
      <c r="U198" s="34">
        <v>0.56176663073597899</v>
      </c>
      <c r="V198" s="34">
        <v>0.56937824842331297</v>
      </c>
      <c r="W198" s="34"/>
    </row>
    <row r="199" spans="1:23">
      <c r="A199" s="1" t="s">
        <v>1304</v>
      </c>
      <c r="B199" s="34"/>
      <c r="C199" s="34"/>
      <c r="D199" s="34"/>
      <c r="E199" s="34"/>
      <c r="F199" s="34"/>
      <c r="G199" s="34"/>
      <c r="H199" s="34"/>
      <c r="I199" s="34"/>
      <c r="J199" s="34"/>
      <c r="K199" s="34"/>
      <c r="L199" s="34"/>
      <c r="M199" s="34"/>
      <c r="N199" s="34"/>
      <c r="O199" s="34"/>
      <c r="P199" s="34"/>
      <c r="Q199" s="34"/>
      <c r="R199" s="34"/>
      <c r="S199" s="34"/>
      <c r="T199" s="34"/>
      <c r="U199" s="34"/>
      <c r="V199" s="34"/>
      <c r="W199" s="34"/>
    </row>
    <row r="200" spans="1:23">
      <c r="A200" s="1" t="s">
        <v>1305</v>
      </c>
      <c r="B200" s="34"/>
      <c r="C200" s="34"/>
      <c r="D200" s="34"/>
      <c r="E200" s="34"/>
      <c r="F200" s="34"/>
      <c r="G200" s="34"/>
      <c r="H200" s="34"/>
      <c r="I200" s="34"/>
      <c r="J200" s="34"/>
      <c r="K200" s="34"/>
      <c r="L200" s="34"/>
      <c r="M200" s="34"/>
      <c r="N200" s="34"/>
      <c r="O200" s="34"/>
      <c r="P200" s="34"/>
      <c r="Q200" s="34"/>
      <c r="R200" s="34"/>
      <c r="S200" s="34"/>
      <c r="T200" s="34"/>
      <c r="U200" s="34"/>
      <c r="V200" s="34"/>
      <c r="W200" s="34"/>
    </row>
    <row r="201" spans="1:23">
      <c r="A201" s="1" t="s">
        <v>1306</v>
      </c>
      <c r="B201" s="34"/>
      <c r="C201" s="34"/>
      <c r="D201" s="34"/>
      <c r="E201" s="34"/>
      <c r="F201" s="34"/>
      <c r="G201" s="34"/>
      <c r="H201" s="34"/>
      <c r="I201" s="34"/>
      <c r="J201" s="34"/>
      <c r="K201" s="34"/>
      <c r="L201" s="34"/>
      <c r="M201" s="34"/>
      <c r="N201" s="34"/>
      <c r="O201" s="34"/>
      <c r="P201" s="34"/>
      <c r="Q201" s="34"/>
      <c r="R201" s="34"/>
      <c r="S201" s="34"/>
      <c r="T201" s="34"/>
      <c r="U201" s="34"/>
      <c r="V201" s="34"/>
      <c r="W201" s="34"/>
    </row>
    <row r="202" spans="1:23">
      <c r="A202" s="1" t="s">
        <v>1307</v>
      </c>
      <c r="B202" s="34">
        <v>1.1269339157179501</v>
      </c>
      <c r="C202" s="34">
        <v>1.04813867409901</v>
      </c>
      <c r="D202" s="34">
        <v>1.06286521230772</v>
      </c>
      <c r="E202" s="34">
        <v>1.22272082287128</v>
      </c>
      <c r="F202" s="34">
        <v>1.3467235555122801</v>
      </c>
      <c r="G202" s="34">
        <v>1.7049413483196501</v>
      </c>
      <c r="H202" s="34">
        <v>1.7932349942469901</v>
      </c>
      <c r="I202" s="34">
        <v>1.93789315807731</v>
      </c>
      <c r="J202" s="34">
        <v>2.33621970525222</v>
      </c>
      <c r="K202" s="34">
        <v>1.7570368898090101</v>
      </c>
      <c r="L202" s="34">
        <v>1.8580157520545999</v>
      </c>
      <c r="M202" s="34">
        <v>2.1525144577026398</v>
      </c>
      <c r="N202" s="34">
        <v>2.1864457130432098</v>
      </c>
      <c r="O202" s="34">
        <v>2.2396368980407702</v>
      </c>
      <c r="P202" s="34">
        <v>2.3649780750274698</v>
      </c>
      <c r="Q202" s="34">
        <v>2.4681804180145299</v>
      </c>
      <c r="R202" s="34">
        <v>2.5038185119628902</v>
      </c>
      <c r="S202" s="34">
        <v>2.3459498882293701</v>
      </c>
      <c r="T202" s="34">
        <v>2.57535186204225</v>
      </c>
      <c r="U202" s="34">
        <v>2.4174414000975499</v>
      </c>
      <c r="V202" s="34">
        <v>2.0279566203653099</v>
      </c>
      <c r="W202" s="34"/>
    </row>
    <row r="203" spans="1:23">
      <c r="A203" s="1" t="s">
        <v>1308</v>
      </c>
      <c r="B203" s="34">
        <v>0.616183506661794</v>
      </c>
      <c r="C203" s="34">
        <v>0.81368603168821696</v>
      </c>
      <c r="D203" s="34">
        <v>0.97834603721006497</v>
      </c>
      <c r="E203" s="34">
        <v>1.17667679172482</v>
      </c>
      <c r="F203" s="34">
        <v>1.26874719169969</v>
      </c>
      <c r="G203" s="34">
        <v>1.4012823347335801</v>
      </c>
      <c r="H203" s="34">
        <v>1.39944045272461</v>
      </c>
      <c r="I203" s="34">
        <v>1.4879163738857899</v>
      </c>
      <c r="J203" s="34">
        <v>1.5662300983830399</v>
      </c>
      <c r="K203" s="34">
        <v>1.56721984808903</v>
      </c>
      <c r="L203" s="34">
        <v>1.5376482430315399</v>
      </c>
      <c r="M203" s="34">
        <v>1.5500361527509601</v>
      </c>
      <c r="N203" s="34">
        <v>1.5635937857823501</v>
      </c>
      <c r="O203" s="34">
        <v>1.60622871818549</v>
      </c>
      <c r="P203" s="34">
        <v>1.6283675341052399</v>
      </c>
      <c r="Q203" s="34">
        <v>1.6628711091941599</v>
      </c>
      <c r="R203" s="34">
        <v>1.59692123955867</v>
      </c>
      <c r="S203" s="34">
        <v>1.6135717522969799</v>
      </c>
      <c r="T203" s="34">
        <v>1.6655905810862099</v>
      </c>
      <c r="U203" s="34">
        <v>1.7154256947515201</v>
      </c>
      <c r="V203" s="34">
        <v>1.7075796352847601</v>
      </c>
      <c r="W203" s="34"/>
    </row>
    <row r="204" spans="1:23">
      <c r="A204" s="1" t="s">
        <v>1309</v>
      </c>
      <c r="B204" s="34">
        <v>7.3014039999999998</v>
      </c>
      <c r="C204" s="34">
        <v>8.3228170000000006</v>
      </c>
      <c r="D204" s="34">
        <v>9.2735040000000009</v>
      </c>
      <c r="E204" s="34">
        <v>9.8667870000000004</v>
      </c>
      <c r="F204" s="34">
        <v>11.556843000000001</v>
      </c>
      <c r="G204" s="34">
        <v>12.736131</v>
      </c>
      <c r="H204" s="34">
        <v>12.618288</v>
      </c>
      <c r="I204" s="34">
        <v>13.984503</v>
      </c>
      <c r="J204" s="34">
        <v>14.341196</v>
      </c>
      <c r="K204" s="34">
        <v>14.016913000000001</v>
      </c>
      <c r="L204" s="34">
        <v>15.821142</v>
      </c>
      <c r="M204" s="34">
        <v>18.443729000000001</v>
      </c>
      <c r="N204" s="34">
        <v>19.568259999999999</v>
      </c>
      <c r="O204" s="34">
        <v>19.505592</v>
      </c>
      <c r="P204" s="34">
        <v>20.998875000000002</v>
      </c>
      <c r="Q204" s="34">
        <v>23.562632000000001</v>
      </c>
      <c r="R204" s="34">
        <v>24.192336999999998</v>
      </c>
      <c r="S204" s="34">
        <v>24.124181</v>
      </c>
      <c r="T204" s="34">
        <v>24.542904</v>
      </c>
      <c r="U204" s="34">
        <v>24.838260999999999</v>
      </c>
      <c r="V204" s="34">
        <v>24.492858999999999</v>
      </c>
      <c r="W204" s="34">
        <v>26.37</v>
      </c>
    </row>
    <row r="205" spans="1:23">
      <c r="A205" s="1" t="s">
        <v>1310</v>
      </c>
      <c r="B205" s="34">
        <v>158.48355041381899</v>
      </c>
      <c r="C205" s="34">
        <v>156.85995823914399</v>
      </c>
      <c r="D205" s="34">
        <v>146.340676959929</v>
      </c>
      <c r="E205" s="34">
        <v>172.941307844779</v>
      </c>
      <c r="F205" s="34">
        <v>187.09652493075899</v>
      </c>
      <c r="G205" s="34">
        <v>197.823327120138</v>
      </c>
      <c r="H205" s="34">
        <v>196.738293977354</v>
      </c>
      <c r="I205" s="34">
        <v>216.36567446676401</v>
      </c>
      <c r="J205" s="34">
        <v>242.926848453574</v>
      </c>
      <c r="K205" s="34">
        <v>258.31952326698803</v>
      </c>
      <c r="L205" s="34">
        <v>263.476889085317</v>
      </c>
      <c r="M205" s="34">
        <v>276.64923095703102</v>
      </c>
      <c r="N205" s="34">
        <v>299.23913574218801</v>
      </c>
      <c r="O205" s="34">
        <v>302.89480590820301</v>
      </c>
      <c r="P205" s="34">
        <v>297.07180786132801</v>
      </c>
      <c r="Q205" s="34">
        <v>299.61502075195301</v>
      </c>
      <c r="R205" s="34">
        <v>311.47610473632801</v>
      </c>
      <c r="S205" s="34">
        <v>325.126220703125</v>
      </c>
      <c r="T205" s="34">
        <v>315.515359817177</v>
      </c>
      <c r="U205" s="34">
        <v>317.73453083078601</v>
      </c>
      <c r="V205" s="34">
        <v>339.90344409267101</v>
      </c>
      <c r="W205" s="34"/>
    </row>
    <row r="206" spans="1:23">
      <c r="A206" s="1" t="s">
        <v>1311</v>
      </c>
      <c r="B206" s="34"/>
      <c r="C206" s="34"/>
      <c r="D206" s="34"/>
      <c r="E206" s="34"/>
      <c r="F206" s="34"/>
      <c r="G206" s="34"/>
      <c r="H206" s="34"/>
      <c r="I206" s="34"/>
      <c r="J206" s="34"/>
      <c r="K206" s="34"/>
      <c r="L206" s="34"/>
      <c r="M206" s="34"/>
      <c r="N206" s="34"/>
      <c r="O206" s="34"/>
      <c r="P206" s="34"/>
      <c r="Q206" s="34"/>
      <c r="R206" s="34"/>
      <c r="S206" s="34"/>
      <c r="T206" s="34"/>
      <c r="U206" s="34"/>
      <c r="V206" s="34"/>
      <c r="W206" s="34"/>
    </row>
    <row r="207" spans="1:23">
      <c r="A207" s="1" t="s">
        <v>1312</v>
      </c>
      <c r="B207" s="34">
        <v>0.86234267720594104</v>
      </c>
      <c r="C207" s="34">
        <v>0.82993859018973504</v>
      </c>
      <c r="D207" s="34">
        <v>0.86568392064561595</v>
      </c>
      <c r="E207" s="34">
        <v>0.86958890270501099</v>
      </c>
      <c r="F207" s="34">
        <v>0.94041684275182202</v>
      </c>
      <c r="G207" s="34">
        <v>1.0957744526017399</v>
      </c>
      <c r="H207" s="34">
        <v>1.18667035953292</v>
      </c>
      <c r="I207" s="34">
        <v>1.2531087490277899</v>
      </c>
      <c r="J207" s="34">
        <v>1.44664204413401</v>
      </c>
      <c r="K207" s="34">
        <v>1.2101026290356101</v>
      </c>
      <c r="L207" s="34">
        <v>1.40180079116764</v>
      </c>
      <c r="M207" s="34">
        <v>1.58635425567627</v>
      </c>
      <c r="N207" s="34">
        <v>1.6501966714859</v>
      </c>
      <c r="O207" s="34">
        <v>1.6664663553237899</v>
      </c>
      <c r="P207" s="34">
        <v>1.6462805271148699</v>
      </c>
      <c r="Q207" s="34">
        <v>1.59129655361176</v>
      </c>
      <c r="R207" s="34">
        <v>1.6389201879501301</v>
      </c>
      <c r="S207" s="34">
        <v>1.6490272283554099</v>
      </c>
      <c r="T207" s="34">
        <v>1.7956907540367599</v>
      </c>
      <c r="U207" s="34">
        <v>1.7727779267446</v>
      </c>
      <c r="V207" s="34">
        <v>1.6127938095857901</v>
      </c>
      <c r="W207" s="34"/>
    </row>
    <row r="208" spans="1:23">
      <c r="A208" s="1" t="s">
        <v>1313</v>
      </c>
      <c r="B208" s="34">
        <v>0.35549528040573702</v>
      </c>
      <c r="C208" s="34">
        <v>0.421382902215925</v>
      </c>
      <c r="D208" s="34">
        <v>0.45962724695371299</v>
      </c>
      <c r="E208" s="34">
        <v>0.49546903661171499</v>
      </c>
      <c r="F208" s="34">
        <v>0.56582318722334901</v>
      </c>
      <c r="G208" s="34">
        <v>0.64780057066292596</v>
      </c>
      <c r="H208" s="34">
        <v>0.67688790453728498</v>
      </c>
      <c r="I208" s="34">
        <v>0.76007873906502799</v>
      </c>
      <c r="J208" s="34">
        <v>0.81186561064679497</v>
      </c>
      <c r="K208" s="34">
        <v>0.82072680838244605</v>
      </c>
      <c r="L208" s="34">
        <v>0.99518441732365504</v>
      </c>
      <c r="M208" s="34">
        <v>1.2314757108688399</v>
      </c>
      <c r="N208" s="34">
        <v>1.6391863822937001</v>
      </c>
      <c r="O208" s="34">
        <v>2.2071690559387198</v>
      </c>
      <c r="P208" s="34">
        <v>2.6209602355957</v>
      </c>
      <c r="Q208" s="34">
        <v>2.96842265129089</v>
      </c>
      <c r="R208" s="34">
        <v>3.3734300136566202</v>
      </c>
      <c r="S208" s="34">
        <v>4.6189689636230504</v>
      </c>
      <c r="T208" s="34">
        <v>7.0355301236113403</v>
      </c>
      <c r="U208" s="34">
        <v>10.5049908178352</v>
      </c>
      <c r="V208" s="34">
        <v>22.345600264528802</v>
      </c>
      <c r="W208" s="34"/>
    </row>
    <row r="209" spans="1:23">
      <c r="A209" s="1" t="s">
        <v>1314</v>
      </c>
      <c r="B209" s="34">
        <v>217.99644781446</v>
      </c>
      <c r="C209" s="34">
        <v>228.23890801274399</v>
      </c>
      <c r="D209" s="34">
        <v>228.96437587244</v>
      </c>
      <c r="E209" s="34">
        <v>222.715274908483</v>
      </c>
      <c r="F209" s="34">
        <v>216.58385694482999</v>
      </c>
      <c r="G209" s="34">
        <v>219.95698496085399</v>
      </c>
      <c r="H209" s="34">
        <v>219.65656888702</v>
      </c>
      <c r="I209" s="34">
        <v>228.00427776615501</v>
      </c>
      <c r="J209" s="34">
        <v>242.03053402758101</v>
      </c>
      <c r="K209" s="34">
        <v>236.14231378249201</v>
      </c>
      <c r="L209" s="34">
        <v>237.16742365862001</v>
      </c>
      <c r="M209" s="34">
        <v>241.27606201171901</v>
      </c>
      <c r="N209" s="34">
        <v>245.59980773925801</v>
      </c>
      <c r="O209" s="34">
        <v>247.2119140625</v>
      </c>
      <c r="P209" s="34">
        <v>243.61833190918</v>
      </c>
      <c r="Q209" s="34">
        <v>242.59521484375</v>
      </c>
      <c r="R209" s="34">
        <v>244.65771484375</v>
      </c>
      <c r="S209" s="34">
        <v>246.78666687011699</v>
      </c>
      <c r="T209" s="34">
        <v>238.97674965567001</v>
      </c>
      <c r="U209" s="34">
        <v>239.16411681189601</v>
      </c>
      <c r="V209" s="34">
        <v>241.85236321725301</v>
      </c>
      <c r="W209" s="34"/>
    </row>
    <row r="210" spans="1:23">
      <c r="A210" s="1" t="s">
        <v>1315</v>
      </c>
      <c r="B210" s="34">
        <v>0.93813347259049595</v>
      </c>
      <c r="C210" s="34">
        <v>0.90132460337563303</v>
      </c>
      <c r="D210" s="34">
        <v>0.87940559275277297</v>
      </c>
      <c r="E210" s="34">
        <v>0.847940655254668</v>
      </c>
      <c r="F210" s="34">
        <v>0.85934605723394497</v>
      </c>
      <c r="G210" s="34">
        <v>0.84928286829452404</v>
      </c>
      <c r="H210" s="34">
        <v>0.83955152466431804</v>
      </c>
      <c r="I210" s="34">
        <v>0.86595923064444602</v>
      </c>
      <c r="J210" s="34">
        <v>0.83766197314744895</v>
      </c>
      <c r="K210" s="34">
        <v>0.85594065569077105</v>
      </c>
      <c r="L210" s="34">
        <v>0.85541066060853999</v>
      </c>
      <c r="M210" s="34">
        <v>0.84673774242401101</v>
      </c>
      <c r="N210" s="34">
        <v>0.84587192535400402</v>
      </c>
      <c r="O210" s="34">
        <v>0.85881692171096802</v>
      </c>
      <c r="P210" s="34">
        <v>0.86395078897476196</v>
      </c>
      <c r="Q210" s="34">
        <v>0.879599809646606</v>
      </c>
      <c r="R210" s="34">
        <v>0.87830555438995395</v>
      </c>
      <c r="S210" s="34">
        <v>0.88597989082336404</v>
      </c>
      <c r="T210" s="34">
        <v>0.89417043581195899</v>
      </c>
      <c r="U210" s="34">
        <v>0.87300462146764601</v>
      </c>
      <c r="V210" s="34">
        <v>0.83742320282747296</v>
      </c>
      <c r="W210" s="34"/>
    </row>
    <row r="211" spans="1:23">
      <c r="A211" s="1" t="s">
        <v>1316</v>
      </c>
      <c r="B211" s="34">
        <v>3.1699858789480402</v>
      </c>
      <c r="C211" s="34">
        <v>3.4081911904762499</v>
      </c>
      <c r="D211" s="34">
        <v>3.7343605687735102</v>
      </c>
      <c r="E211" s="34">
        <v>3.89505166012591</v>
      </c>
      <c r="F211" s="34">
        <v>3.9998998706732398</v>
      </c>
      <c r="G211" s="34">
        <v>4.4349738008391402</v>
      </c>
      <c r="H211" s="34">
        <v>4.6857927800098196</v>
      </c>
      <c r="I211" s="34">
        <v>5.0582261481150104</v>
      </c>
      <c r="J211" s="34">
        <v>5.3523927978736499</v>
      </c>
      <c r="K211" s="34">
        <v>5.6680718493289399</v>
      </c>
      <c r="L211" s="34">
        <v>5.9423225934380399</v>
      </c>
      <c r="M211" s="34">
        <v>6.3748621240379801</v>
      </c>
      <c r="N211" s="34">
        <v>6.70474408892842</v>
      </c>
      <c r="O211" s="34">
        <v>6.6990839810404701</v>
      </c>
      <c r="P211" s="34">
        <v>6.8344012826840297</v>
      </c>
      <c r="Q211" s="34">
        <v>7.01087665854158</v>
      </c>
      <c r="R211" s="34">
        <v>6.9404404580897596</v>
      </c>
      <c r="S211" s="34">
        <v>6.9070920757796097</v>
      </c>
      <c r="T211" s="34">
        <v>6.9433195659230904</v>
      </c>
      <c r="U211" s="34">
        <v>6.9077932218689</v>
      </c>
      <c r="V211" s="34">
        <v>7.0579051264407404</v>
      </c>
      <c r="W211" s="34"/>
    </row>
    <row r="212" spans="1:23">
      <c r="A212" s="1" t="s">
        <v>1317</v>
      </c>
      <c r="B212" s="34">
        <v>418.71079016639698</v>
      </c>
      <c r="C212" s="34">
        <v>712.25201424526995</v>
      </c>
      <c r="D212" s="34">
        <v>673.70230895332304</v>
      </c>
      <c r="E212" s="34">
        <v>748.35255488945302</v>
      </c>
      <c r="F212" s="34">
        <v>822.126970996522</v>
      </c>
      <c r="G212" s="34">
        <v>929.88110107979298</v>
      </c>
      <c r="H212" s="34">
        <v>1013.84459238328</v>
      </c>
      <c r="I212" s="34">
        <v>1054.42406658199</v>
      </c>
      <c r="J212" s="34">
        <v>1137.6709969199801</v>
      </c>
      <c r="K212" s="34">
        <v>1216.9246206062701</v>
      </c>
      <c r="L212" s="34">
        <v>1409.5326042709401</v>
      </c>
      <c r="M212" s="34">
        <v>1620.57507324219</v>
      </c>
      <c r="N212" s="34">
        <v>1750.4375</v>
      </c>
      <c r="O212" s="34">
        <v>1778.18005371094</v>
      </c>
      <c r="P212" s="34">
        <v>1808.75476074219</v>
      </c>
      <c r="Q212" s="34">
        <v>1881.81066894531</v>
      </c>
      <c r="R212" s="34">
        <v>1975.34399414063</v>
      </c>
      <c r="S212" s="34">
        <v>2244.99462890625</v>
      </c>
      <c r="T212" s="34">
        <v>2499.76863407173</v>
      </c>
      <c r="U212" s="34">
        <v>2645.0886974473201</v>
      </c>
      <c r="V212" s="34">
        <v>2898.8755696087801</v>
      </c>
      <c r="W212" s="34"/>
    </row>
    <row r="213" spans="1:23">
      <c r="A213" s="1" t="s">
        <v>1318</v>
      </c>
      <c r="B213" s="34">
        <v>0.44808295224004102</v>
      </c>
      <c r="C213" s="34">
        <v>0.452994670864524</v>
      </c>
      <c r="D213" s="34">
        <v>0.45267747309900203</v>
      </c>
      <c r="E213" s="34">
        <v>0.45760425289043799</v>
      </c>
      <c r="F213" s="34">
        <v>0.45771771016921098</v>
      </c>
      <c r="G213" s="34">
        <v>0.462821552159915</v>
      </c>
      <c r="H213" s="34">
        <v>0.46865554786418401</v>
      </c>
      <c r="I213" s="34">
        <v>0.47639909551721199</v>
      </c>
      <c r="J213" s="34">
        <v>0.48380709039973802</v>
      </c>
      <c r="K213" s="34">
        <v>0.479878820003248</v>
      </c>
      <c r="L213" s="34">
        <v>0.48690089117829299</v>
      </c>
      <c r="M213" s="34">
        <v>0.50512027740478505</v>
      </c>
      <c r="N213" s="34">
        <v>0.52412414550781306</v>
      </c>
      <c r="O213" s="34">
        <v>0.51031726598739602</v>
      </c>
      <c r="P213" s="34">
        <v>0.49619051814079301</v>
      </c>
      <c r="Q213" s="34">
        <v>0.48772457242012002</v>
      </c>
      <c r="R213" s="34">
        <v>0.47346323728561401</v>
      </c>
      <c r="S213" s="34">
        <v>0.46253019571304299</v>
      </c>
      <c r="T213" s="34">
        <v>0.45934842189720498</v>
      </c>
      <c r="U213" s="34">
        <v>0.45562610584537</v>
      </c>
      <c r="V213" s="34">
        <v>0.45111843049052702</v>
      </c>
      <c r="W213" s="34"/>
    </row>
    <row r="214" spans="1:23">
      <c r="A214" s="1" t="s">
        <v>1319</v>
      </c>
      <c r="B214" s="34">
        <v>0.757151780678465</v>
      </c>
      <c r="C214" s="34">
        <v>0.76093076732078802</v>
      </c>
      <c r="D214" s="34">
        <v>0.76696092227260704</v>
      </c>
      <c r="E214" s="34">
        <v>0.77143912528577996</v>
      </c>
      <c r="F214" s="34">
        <v>0.76632087757802603</v>
      </c>
      <c r="G214" s="34">
        <v>0.75556668729045495</v>
      </c>
      <c r="H214" s="34">
        <v>0.74812931235679303</v>
      </c>
      <c r="I214" s="34">
        <v>0.71418822254760705</v>
      </c>
      <c r="J214" s="34">
        <v>0.72040106771118495</v>
      </c>
      <c r="K214" s="34">
        <v>0.72209569576822996</v>
      </c>
      <c r="L214" s="34">
        <v>0.72398795940771499</v>
      </c>
      <c r="M214" s="34">
        <v>0.71025689999999997</v>
      </c>
      <c r="N214" s="34">
        <v>0.71452112755585595</v>
      </c>
      <c r="O214" s="34">
        <v>0.72622698102306305</v>
      </c>
      <c r="P214" s="34">
        <v>0.69003746306645097</v>
      </c>
      <c r="Q214" s="34">
        <v>0.69140223664803402</v>
      </c>
      <c r="R214" s="34">
        <v>0.68913126741554598</v>
      </c>
      <c r="S214" s="34">
        <v>0.68267809471537999</v>
      </c>
      <c r="T214" s="34">
        <v>0.68009273609748899</v>
      </c>
      <c r="U214" s="34">
        <v>0.67223739443934905</v>
      </c>
      <c r="V214" s="34"/>
      <c r="W214" s="34"/>
    </row>
    <row r="215" spans="1:23">
      <c r="A215" s="1" t="s">
        <v>229</v>
      </c>
      <c r="B215" s="34"/>
      <c r="C215" s="34"/>
      <c r="D215" s="34"/>
      <c r="E215" s="34"/>
      <c r="F215" s="34"/>
      <c r="G215" s="34"/>
      <c r="H215" s="34"/>
      <c r="I215" s="34"/>
      <c r="J215" s="34"/>
      <c r="K215" s="34"/>
      <c r="L215" s="34"/>
      <c r="M215" s="34">
        <v>8001.0313137900903</v>
      </c>
      <c r="N215" s="34">
        <v>8005.5929977191699</v>
      </c>
      <c r="O215" s="34">
        <v>8325.8633473100508</v>
      </c>
      <c r="P215" s="34">
        <v>8129.2714312595999</v>
      </c>
      <c r="Q215" s="34">
        <v>7941.6353301305398</v>
      </c>
      <c r="R215" s="34">
        <v>7916.9107517724897</v>
      </c>
      <c r="S215" s="34">
        <v>8229.5310858614394</v>
      </c>
      <c r="T215" s="34">
        <v>8073.3866116252602</v>
      </c>
      <c r="U215" s="34">
        <v>8500.2322997002993</v>
      </c>
      <c r="V215" s="34">
        <v>9062.7708143232394</v>
      </c>
      <c r="W215" s="34"/>
    </row>
    <row r="216" spans="1:23">
      <c r="A216" s="1" t="s">
        <v>1320</v>
      </c>
      <c r="B216" s="34">
        <v>9.5999601289165</v>
      </c>
      <c r="C216" s="34">
        <v>17.830747835300699</v>
      </c>
      <c r="D216" s="34">
        <v>20.357593639865598</v>
      </c>
      <c r="E216" s="34">
        <v>22.635826286840199</v>
      </c>
      <c r="F216" s="34">
        <v>24.093787018504099</v>
      </c>
      <c r="G216" s="34">
        <v>27.0328608511231</v>
      </c>
      <c r="H216" s="34">
        <v>28.824473834806401</v>
      </c>
      <c r="I216" s="34">
        <v>30.4251573121531</v>
      </c>
      <c r="J216" s="34">
        <v>31.324601967660801</v>
      </c>
      <c r="K216" s="34">
        <v>33.262612687434903</v>
      </c>
      <c r="L216" s="34">
        <v>34.833460732152197</v>
      </c>
      <c r="M216" s="34">
        <v>36.323675206666998</v>
      </c>
      <c r="N216" s="34">
        <v>37.982521589456802</v>
      </c>
      <c r="O216" s="34">
        <v>39.322877589888598</v>
      </c>
      <c r="P216" s="34">
        <v>39.8019603347472</v>
      </c>
      <c r="Q216" s="34">
        <v>40.737258284810601</v>
      </c>
      <c r="R216" s="34">
        <v>40.455009408480798</v>
      </c>
      <c r="S216" s="34">
        <v>40.8209385686622</v>
      </c>
      <c r="T216" s="34">
        <v>41.004354077369598</v>
      </c>
      <c r="U216" s="34">
        <v>41.474880097962497</v>
      </c>
      <c r="V216" s="34">
        <v>41.768581566444603</v>
      </c>
      <c r="W216" s="34"/>
    </row>
    <row r="217" spans="1:23">
      <c r="A217" s="1" t="s">
        <v>1321</v>
      </c>
      <c r="B217" s="34"/>
      <c r="C217" s="34"/>
      <c r="D217" s="34"/>
      <c r="E217" s="34"/>
      <c r="F217" s="34"/>
      <c r="G217" s="34"/>
      <c r="H217" s="34"/>
      <c r="I217" s="34"/>
      <c r="J217" s="34"/>
      <c r="K217" s="34"/>
      <c r="L217" s="34"/>
      <c r="M217" s="34"/>
      <c r="N217" s="34"/>
      <c r="O217" s="34"/>
      <c r="P217" s="34"/>
      <c r="Q217" s="34"/>
      <c r="R217" s="34"/>
      <c r="S217" s="34"/>
      <c r="T217" s="34"/>
      <c r="U217" s="34"/>
      <c r="V217" s="34"/>
      <c r="W217" s="34"/>
    </row>
    <row r="218" spans="1:23">
      <c r="A218" s="1" t="s">
        <v>236</v>
      </c>
      <c r="B218" s="34"/>
      <c r="C218" s="34"/>
      <c r="D218" s="34"/>
      <c r="E218" s="34"/>
      <c r="F218" s="34"/>
      <c r="G218" s="34"/>
      <c r="H218" s="34"/>
      <c r="I218" s="34"/>
      <c r="J218" s="34">
        <v>1.1995743855402501</v>
      </c>
      <c r="K218" s="34">
        <v>1.0496706145991099</v>
      </c>
      <c r="L218" s="34">
        <v>1.1717019985358199</v>
      </c>
      <c r="M218" s="34">
        <v>1.5934278790787799</v>
      </c>
      <c r="N218" s="34">
        <v>2.29091910386011</v>
      </c>
      <c r="O218" s="34">
        <v>2.5006409141290402</v>
      </c>
      <c r="P218" s="34">
        <v>2.6093578209665198</v>
      </c>
      <c r="Q218" s="34">
        <v>3.2682952304697199</v>
      </c>
      <c r="R218" s="34"/>
      <c r="S218" s="34"/>
      <c r="T218" s="34"/>
      <c r="U218" s="34"/>
      <c r="V218" s="34"/>
      <c r="W218" s="34"/>
    </row>
    <row r="219" spans="1:23">
      <c r="A219" s="1" t="s">
        <v>1322</v>
      </c>
      <c r="B219" s="34"/>
      <c r="C219" s="34"/>
      <c r="D219" s="34"/>
      <c r="E219" s="34"/>
      <c r="F219" s="34"/>
      <c r="G219" s="34"/>
      <c r="H219" s="34"/>
      <c r="I219" s="34"/>
      <c r="J219" s="34"/>
      <c r="K219" s="34"/>
      <c r="L219" s="34"/>
      <c r="M219" s="34"/>
      <c r="N219" s="34"/>
      <c r="O219" s="34"/>
      <c r="P219" s="34"/>
      <c r="Q219" s="34"/>
      <c r="R219" s="34"/>
      <c r="S219" s="34"/>
      <c r="T219" s="34"/>
      <c r="U219" s="34"/>
      <c r="V219" s="34"/>
      <c r="W219" s="34"/>
    </row>
    <row r="220" spans="1:23">
      <c r="A220" s="1" t="s">
        <v>1323</v>
      </c>
      <c r="B220" s="34"/>
      <c r="C220" s="34"/>
      <c r="D220" s="34"/>
      <c r="E220" s="34"/>
      <c r="F220" s="34"/>
      <c r="G220" s="34"/>
      <c r="H220" s="34"/>
      <c r="I220" s="34"/>
      <c r="J220" s="34"/>
      <c r="K220" s="34"/>
      <c r="L220" s="34"/>
      <c r="M220" s="34"/>
      <c r="N220" s="34"/>
      <c r="O220" s="34"/>
      <c r="P220" s="34"/>
      <c r="Q220" s="34"/>
      <c r="R220" s="34"/>
      <c r="S220" s="34"/>
      <c r="T220" s="34"/>
      <c r="U220" s="34"/>
      <c r="V220" s="34"/>
      <c r="W220" s="34"/>
    </row>
    <row r="221" spans="1:23">
      <c r="A221" s="1" t="s">
        <v>1324</v>
      </c>
      <c r="B221" s="34"/>
      <c r="C221" s="34">
        <v>2.5188108422858702</v>
      </c>
      <c r="D221" s="34">
        <v>2.7916680384722499</v>
      </c>
      <c r="E221" s="34">
        <v>3.1703843542210701</v>
      </c>
      <c r="F221" s="34">
        <v>3.5353492430355402</v>
      </c>
      <c r="G221" s="34">
        <v>4.0648821776917403</v>
      </c>
      <c r="H221" s="34">
        <v>4.46099435847617</v>
      </c>
      <c r="I221" s="34">
        <v>4.7793450967918698</v>
      </c>
      <c r="J221" s="34">
        <v>5.9303944583473402</v>
      </c>
      <c r="K221" s="34">
        <v>6.3310729825276404</v>
      </c>
      <c r="L221" s="34">
        <v>7.0390620910046104</v>
      </c>
      <c r="M221" s="34">
        <v>7.4313936233520499</v>
      </c>
      <c r="N221" s="34">
        <v>8.6515598297119105</v>
      </c>
      <c r="O221" s="34">
        <v>8.7667951583862305</v>
      </c>
      <c r="P221" s="34">
        <v>8.6241178512573207</v>
      </c>
      <c r="Q221" s="34">
        <v>9.1860589981079102</v>
      </c>
      <c r="R221" s="34">
        <v>9.7386798858642596</v>
      </c>
      <c r="S221" s="34">
        <v>10.0551843643188</v>
      </c>
      <c r="T221" s="34">
        <v>9.9879033776710404</v>
      </c>
      <c r="U221" s="34">
        <v>10.497486897273401</v>
      </c>
      <c r="V221" s="34">
        <v>10.940261716610699</v>
      </c>
      <c r="W221" s="34"/>
    </row>
    <row r="222" spans="1:23">
      <c r="A222" s="1" t="s">
        <v>1325</v>
      </c>
      <c r="B222" s="34">
        <v>0.45186355661953298</v>
      </c>
      <c r="C222" s="34">
        <v>0.61695383017671102</v>
      </c>
      <c r="D222" s="34">
        <v>0.79126026662825599</v>
      </c>
      <c r="E222" s="34">
        <v>0.94243896902850199</v>
      </c>
      <c r="F222" s="34">
        <v>1.0355494169038999</v>
      </c>
      <c r="G222" s="34">
        <v>1.1603282915114701</v>
      </c>
      <c r="H222" s="34">
        <v>1.27208285563093</v>
      </c>
      <c r="I222" s="34">
        <v>1.31840081613589</v>
      </c>
      <c r="J222" s="34">
        <v>1.49397197254644</v>
      </c>
      <c r="K222" s="34">
        <v>1.5787995236285699</v>
      </c>
      <c r="L222" s="34">
        <v>1.67292492018062</v>
      </c>
      <c r="M222" s="34">
        <v>1.86556231975555</v>
      </c>
      <c r="N222" s="34">
        <v>1.92353367805481</v>
      </c>
      <c r="O222" s="34">
        <v>1.8451941013336199</v>
      </c>
      <c r="P222" s="34">
        <v>1.8108571767807</v>
      </c>
      <c r="Q222" s="34">
        <v>1.82014083862305</v>
      </c>
      <c r="R222" s="34">
        <v>2.4285078048706099</v>
      </c>
      <c r="S222" s="34">
        <v>2.57821440696716</v>
      </c>
      <c r="T222" s="34">
        <v>2.66033997377694</v>
      </c>
      <c r="U222" s="34">
        <v>2.7292761649953299</v>
      </c>
      <c r="V222" s="34">
        <v>3.9067259303730899</v>
      </c>
      <c r="W222" s="34"/>
    </row>
    <row r="223" spans="1:23">
      <c r="A223" s="1" t="s">
        <v>1326</v>
      </c>
      <c r="B223" s="34">
        <v>0.51645099999999999</v>
      </c>
      <c r="C223" s="34">
        <v>0.51582399999999995</v>
      </c>
      <c r="D223" s="34">
        <v>0.52151800000000004</v>
      </c>
      <c r="E223" s="34">
        <v>0.54434700000000003</v>
      </c>
      <c r="F223" s="34">
        <v>0.56448799999999999</v>
      </c>
      <c r="G223" s="34">
        <v>0.56471499999999997</v>
      </c>
      <c r="H223" s="34">
        <v>0.55459599999999998</v>
      </c>
      <c r="I223" s="34">
        <v>0.55376199999999998</v>
      </c>
      <c r="J223" s="34">
        <v>0.53742999999999996</v>
      </c>
      <c r="K223" s="34">
        <v>0.51556299999999999</v>
      </c>
      <c r="L223" s="34">
        <v>0.50208600000000003</v>
      </c>
      <c r="M223" s="34">
        <v>0.50640700000000005</v>
      </c>
      <c r="N223" s="34">
        <v>0.50454200000000005</v>
      </c>
      <c r="O223" s="34">
        <v>0.491124</v>
      </c>
      <c r="P223" s="34">
        <v>0.48541200000000001</v>
      </c>
      <c r="Q223" s="34">
        <v>0.49154799999999998</v>
      </c>
      <c r="R223" s="34">
        <v>0.50319400000000003</v>
      </c>
      <c r="S223" s="34">
        <v>0.51643300000000003</v>
      </c>
      <c r="T223" s="34">
        <v>0.52600100000000005</v>
      </c>
      <c r="U223" s="34">
        <v>0.53942000000000001</v>
      </c>
      <c r="V223" s="34">
        <v>0.53794200000000003</v>
      </c>
      <c r="W223" s="34">
        <v>0.53329499999999996</v>
      </c>
    </row>
    <row r="224" spans="1:23">
      <c r="A224" s="1" t="s">
        <v>1327</v>
      </c>
      <c r="B224" s="34">
        <v>0.52657799999999999</v>
      </c>
      <c r="C224" s="34">
        <v>0.56026399999999998</v>
      </c>
      <c r="D224" s="34">
        <v>0.58328599999999997</v>
      </c>
      <c r="E224" s="34">
        <v>0.60789099999999996</v>
      </c>
      <c r="F224" s="34">
        <v>0.60782899999999995</v>
      </c>
      <c r="G224" s="34">
        <v>0.61013499999999998</v>
      </c>
      <c r="H224" s="34">
        <v>0.60968299999999997</v>
      </c>
      <c r="I224" s="34">
        <v>0.63036499999999995</v>
      </c>
      <c r="J224" s="34">
        <v>0.63378900000000005</v>
      </c>
      <c r="K224" s="34">
        <v>0.64547399999999999</v>
      </c>
      <c r="L224" s="34">
        <v>0.63790000000000002</v>
      </c>
      <c r="M224" s="34">
        <v>0.62397000000000002</v>
      </c>
      <c r="N224" s="34">
        <v>0.60679300000000003</v>
      </c>
      <c r="O224" s="34">
        <v>0.59040700000000002</v>
      </c>
      <c r="P224" s="34">
        <v>0.59123800000000004</v>
      </c>
      <c r="Q224" s="34">
        <v>0.59529799999999999</v>
      </c>
      <c r="R224" s="34">
        <v>0.57710600000000001</v>
      </c>
      <c r="S224" s="34">
        <v>0.57014900000000002</v>
      </c>
      <c r="T224" s="34">
        <v>0.56761200000000001</v>
      </c>
      <c r="U224" s="34">
        <v>0.56979900000000006</v>
      </c>
      <c r="V224" s="34">
        <v>0.56176400000000004</v>
      </c>
      <c r="W224" s="34">
        <v>0.55805800000000005</v>
      </c>
    </row>
    <row r="225" spans="1:23">
      <c r="A225" s="1" t="s">
        <v>1328</v>
      </c>
      <c r="B225" s="34">
        <v>9.1642519999999994</v>
      </c>
      <c r="C225" s="34">
        <v>9.4042239999999993</v>
      </c>
      <c r="D225" s="34">
        <v>9.4136550000000003</v>
      </c>
      <c r="E225" s="34">
        <v>9.4859829999999992</v>
      </c>
      <c r="F225" s="34">
        <v>9.2943029999999993</v>
      </c>
      <c r="G225" s="34">
        <v>9.4791819999999998</v>
      </c>
      <c r="H225" s="34">
        <v>9.1114610000000003</v>
      </c>
      <c r="I225" s="34">
        <v>8.8729080000000007</v>
      </c>
      <c r="J225" s="34">
        <v>8.7789859999999997</v>
      </c>
      <c r="K225" s="34">
        <v>8.9207409999999996</v>
      </c>
      <c r="L225" s="34">
        <v>9.0246220000000008</v>
      </c>
      <c r="M225" s="34">
        <v>8.844042</v>
      </c>
      <c r="N225" s="34">
        <v>8.6547680000000007</v>
      </c>
      <c r="O225" s="34">
        <v>8.5976809999999997</v>
      </c>
      <c r="P225" s="34">
        <v>8.727131</v>
      </c>
      <c r="Q225" s="34">
        <v>8.8543830000000003</v>
      </c>
      <c r="R225" s="34">
        <v>8.8225859999999994</v>
      </c>
      <c r="S225" s="34">
        <v>8.8522470000000002</v>
      </c>
      <c r="T225" s="34">
        <v>8.8658809999999999</v>
      </c>
      <c r="U225" s="34">
        <v>8.9976599999999998</v>
      </c>
      <c r="V225" s="34">
        <v>8.7478809999999996</v>
      </c>
      <c r="W225" s="34">
        <v>8.5546410000000002</v>
      </c>
    </row>
    <row r="226" spans="1:23">
      <c r="A226" s="1" t="s">
        <v>1329</v>
      </c>
      <c r="B226" s="34">
        <v>2.5406570188374702</v>
      </c>
      <c r="C226" s="34">
        <v>2.70845046620938</v>
      </c>
      <c r="D226" s="34">
        <v>2.9039729129035399</v>
      </c>
      <c r="E226" s="34">
        <v>3.0222449153546398</v>
      </c>
      <c r="F226" s="34">
        <v>3.0569452643219099</v>
      </c>
      <c r="G226" s="34">
        <v>3.1589832510037601</v>
      </c>
      <c r="H226" s="34">
        <v>3.1901038104930799</v>
      </c>
      <c r="I226" s="34">
        <v>3.2624272241357901</v>
      </c>
      <c r="J226" s="34">
        <v>3.5338166683685501</v>
      </c>
      <c r="K226" s="34">
        <v>3.8497195452659598</v>
      </c>
      <c r="L226" s="34">
        <v>3.9270419560627601</v>
      </c>
      <c r="M226" s="34">
        <v>4.0521378517150897</v>
      </c>
      <c r="N226" s="34">
        <v>4.4966244697570801</v>
      </c>
      <c r="O226" s="34">
        <v>4.6900162696838397</v>
      </c>
      <c r="P226" s="34">
        <v>4.9823050498962402</v>
      </c>
      <c r="Q226" s="34">
        <v>5.3229084014892596</v>
      </c>
      <c r="R226" s="34">
        <v>5.7878603935241699</v>
      </c>
      <c r="S226" s="34">
        <v>6.2055931091308603</v>
      </c>
      <c r="T226" s="34">
        <v>6.2305362365221901</v>
      </c>
      <c r="U226" s="34">
        <v>6.2736403463535604</v>
      </c>
      <c r="V226" s="34">
        <v>6.36144912050319</v>
      </c>
      <c r="W226" s="34"/>
    </row>
    <row r="227" spans="1:23">
      <c r="A227" s="1" t="s">
        <v>1330</v>
      </c>
      <c r="B227" s="34"/>
      <c r="C227" s="34"/>
      <c r="D227" s="34"/>
      <c r="E227" s="34"/>
      <c r="F227" s="34"/>
      <c r="G227" s="34"/>
      <c r="H227" s="34"/>
      <c r="I227" s="34"/>
      <c r="J227" s="34"/>
      <c r="K227" s="34">
        <v>1.37052062234182</v>
      </c>
      <c r="L227" s="34">
        <v>1.3700262415466</v>
      </c>
      <c r="M227" s="34">
        <v>1.34595239162445</v>
      </c>
      <c r="N227" s="34">
        <v>1.54946506023407</v>
      </c>
      <c r="O227" s="34">
        <v>1.5400362014770499</v>
      </c>
      <c r="P227" s="34">
        <v>1.52214002609253</v>
      </c>
      <c r="Q227" s="34">
        <v>1.5118891000747701</v>
      </c>
      <c r="R227" s="34">
        <v>1.4803508520126301</v>
      </c>
      <c r="S227" s="34">
        <v>1.3865706920623799</v>
      </c>
      <c r="T227" s="34">
        <v>1.4422666008139</v>
      </c>
      <c r="U227" s="34"/>
      <c r="V227" s="34"/>
      <c r="W227" s="34"/>
    </row>
    <row r="228" spans="1:23">
      <c r="A228" s="1" t="s">
        <v>1331</v>
      </c>
      <c r="B228" s="34">
        <v>3.0343188836242998</v>
      </c>
      <c r="C228" s="34">
        <v>3.1519978605384198</v>
      </c>
      <c r="D228" s="34">
        <v>3.21503058705522</v>
      </c>
      <c r="E228" s="34">
        <v>3.3441195586952701</v>
      </c>
      <c r="F228" s="34">
        <v>4.0599491924343001</v>
      </c>
      <c r="G228" s="34">
        <v>3.9553626854836499</v>
      </c>
      <c r="H228" s="34">
        <v>3.8945554293021099</v>
      </c>
      <c r="I228" s="34">
        <v>4.24020300434319</v>
      </c>
      <c r="J228" s="34">
        <v>5.6136034275428601</v>
      </c>
      <c r="K228" s="34">
        <v>7.1028688967890599</v>
      </c>
      <c r="L228" s="34">
        <v>6.7252783086179502</v>
      </c>
      <c r="M228" s="34">
        <v>6.8838653564453098</v>
      </c>
      <c r="N228" s="34">
        <v>7.6246895790100098</v>
      </c>
      <c r="O228" s="34">
        <v>7.9590930938720703</v>
      </c>
      <c r="P228" s="34">
        <v>7.8436746597290004</v>
      </c>
      <c r="Q228" s="34">
        <v>8.1570787429809606</v>
      </c>
      <c r="R228" s="34">
        <v>7.8153324127197301</v>
      </c>
      <c r="S228" s="34">
        <v>7.9686732292175302</v>
      </c>
      <c r="T228" s="34">
        <v>7.8931597184366904</v>
      </c>
      <c r="U228" s="34">
        <v>7.9062347930194203</v>
      </c>
      <c r="V228" s="34">
        <v>7.3524000766108903</v>
      </c>
      <c r="W228" s="34"/>
    </row>
    <row r="229" spans="1:23">
      <c r="A229" s="1" t="s">
        <v>1332</v>
      </c>
      <c r="B229" s="34"/>
      <c r="C229" s="34"/>
      <c r="D229" s="34"/>
      <c r="E229" s="34"/>
      <c r="F229" s="34"/>
      <c r="G229" s="34"/>
      <c r="H229" s="34"/>
      <c r="I229" s="34"/>
      <c r="J229" s="34"/>
      <c r="K229" s="34"/>
      <c r="L229" s="34"/>
      <c r="M229" s="34"/>
      <c r="N229" s="34"/>
      <c r="O229" s="34"/>
      <c r="P229" s="34"/>
      <c r="Q229" s="34"/>
      <c r="R229" s="34"/>
      <c r="S229" s="34"/>
      <c r="T229" s="34"/>
      <c r="U229" s="34"/>
      <c r="V229" s="34"/>
      <c r="W229" s="34"/>
    </row>
    <row r="230" spans="1:23">
      <c r="A230" s="1" t="s">
        <v>1333</v>
      </c>
      <c r="B230" s="34"/>
      <c r="C230" s="34"/>
      <c r="D230" s="34"/>
      <c r="E230" s="34"/>
      <c r="F230" s="34"/>
      <c r="G230" s="34"/>
      <c r="H230" s="34"/>
      <c r="I230" s="34"/>
      <c r="J230" s="34"/>
      <c r="K230" s="34"/>
      <c r="L230" s="34"/>
      <c r="M230" s="34">
        <v>1.02840805053711</v>
      </c>
      <c r="N230" s="34">
        <v>1.1017311811447099</v>
      </c>
      <c r="O230" s="34">
        <v>1.0793150663375899</v>
      </c>
      <c r="P230" s="34">
        <v>1.0793718099594101</v>
      </c>
      <c r="Q230" s="34">
        <v>1.08652007579803</v>
      </c>
      <c r="R230" s="34">
        <v>1.0716539621353101</v>
      </c>
      <c r="S230" s="34">
        <v>1.01790571212769</v>
      </c>
      <c r="T230" s="34">
        <v>1.0248330131491801</v>
      </c>
      <c r="U230" s="34">
        <v>1.0282982971610799</v>
      </c>
      <c r="V230" s="34">
        <v>1.0715312035204301</v>
      </c>
      <c r="W230" s="34"/>
    </row>
    <row r="231" spans="1:23">
      <c r="A231" s="1" t="s">
        <v>1334</v>
      </c>
      <c r="B231" s="1">
        <v>160.56127384664899</v>
      </c>
      <c r="C231" s="1">
        <v>178.793264095995</v>
      </c>
      <c r="D231" s="1">
        <v>179.36715346774099</v>
      </c>
      <c r="E231" s="1">
        <v>176.23599178795899</v>
      </c>
      <c r="F231" s="1">
        <v>188.321247769526</v>
      </c>
      <c r="G231" s="1">
        <v>224.64004329236801</v>
      </c>
      <c r="H231" s="1">
        <v>239.81186859732199</v>
      </c>
      <c r="I231" s="1">
        <v>241.24966011448001</v>
      </c>
      <c r="J231" s="1">
        <v>257.11370821039702</v>
      </c>
      <c r="K231" s="1">
        <v>230.77750781033001</v>
      </c>
      <c r="L231" s="1">
        <v>242.69889823788699</v>
      </c>
      <c r="M231" s="1">
        <v>258.13131713867199</v>
      </c>
      <c r="N231" s="1">
        <v>285.353515625</v>
      </c>
      <c r="O231" s="1">
        <v>308.41970825195301</v>
      </c>
      <c r="P231" s="1">
        <v>300.38610839843801</v>
      </c>
      <c r="Q231" s="1">
        <v>252.0751953125</v>
      </c>
      <c r="R231" s="1">
        <v>246.88441467285199</v>
      </c>
      <c r="S231" s="1">
        <v>243.65457153320301</v>
      </c>
      <c r="T231" s="1">
        <v>249.873596592871</v>
      </c>
      <c r="U231" s="1">
        <v>252.50251916518701</v>
      </c>
      <c r="V231" s="1">
        <v>236.81755742803699</v>
      </c>
    </row>
    <row r="232" spans="1:23">
      <c r="A232" s="1" t="s">
        <v>1335</v>
      </c>
    </row>
    <row r="233" spans="1:23">
      <c r="A233" s="1" t="s">
        <v>1336</v>
      </c>
    </row>
    <row r="234" spans="1:23">
      <c r="A234" s="1" t="s">
        <v>1337</v>
      </c>
      <c r="B234" s="1">
        <v>221.25823437788799</v>
      </c>
      <c r="C234" s="1">
        <v>220.04714245427999</v>
      </c>
      <c r="D234" s="1">
        <v>227.51209283448799</v>
      </c>
      <c r="E234" s="1">
        <v>216.90185071294201</v>
      </c>
      <c r="F234" s="1">
        <v>207.18572501980501</v>
      </c>
      <c r="G234" s="1">
        <v>212.733751372184</v>
      </c>
      <c r="H234" s="1">
        <v>205.43456978173299</v>
      </c>
      <c r="I234" s="1">
        <v>210.000811365837</v>
      </c>
      <c r="J234" s="1">
        <v>230.25216898306499</v>
      </c>
      <c r="K234" s="1">
        <v>232.13122787327401</v>
      </c>
      <c r="L234" s="1">
        <v>230.91394854851899</v>
      </c>
      <c r="M234" s="1">
        <v>228.62496948242199</v>
      </c>
      <c r="N234" s="1">
        <v>237.89924621582</v>
      </c>
      <c r="O234" s="1">
        <v>240.65126037597699</v>
      </c>
      <c r="P234" s="1">
        <v>238.234451293945</v>
      </c>
      <c r="Q234" s="1">
        <v>241.55215454101599</v>
      </c>
      <c r="R234" s="1">
        <v>243.55308532714801</v>
      </c>
      <c r="S234" s="1">
        <v>239.72172546386699</v>
      </c>
      <c r="T234" s="1">
        <v>237.228319517215</v>
      </c>
      <c r="U234" s="1">
        <v>236.66881978397399</v>
      </c>
      <c r="V234" s="1">
        <v>236.84878290593301</v>
      </c>
    </row>
    <row r="235" spans="1:23">
      <c r="A235" s="1" t="s">
        <v>193</v>
      </c>
      <c r="B235" s="1">
        <v>11.0276693437961</v>
      </c>
      <c r="C235" s="1">
        <v>10.997897781961299</v>
      </c>
      <c r="D235" s="1">
        <v>11.0096658101522</v>
      </c>
      <c r="E235" s="1">
        <v>11.0412769488306</v>
      </c>
      <c r="F235" s="1">
        <v>11.1355754543617</v>
      </c>
      <c r="G235" s="1">
        <v>11.3490336787979</v>
      </c>
      <c r="H235" s="1">
        <v>11.577940392658199</v>
      </c>
      <c r="I235" s="1">
        <v>11.5539311465692</v>
      </c>
      <c r="J235" s="1">
        <v>11.9153160044527</v>
      </c>
      <c r="K235" s="1">
        <v>11.848198975824401</v>
      </c>
      <c r="L235" s="1">
        <v>12.1896823596256</v>
      </c>
      <c r="M235" s="1">
        <v>12.3871974945068</v>
      </c>
      <c r="N235" s="1">
        <v>12.249703407287599</v>
      </c>
      <c r="O235" s="1">
        <v>12.300760269165</v>
      </c>
      <c r="P235" s="1">
        <v>12.487942695617701</v>
      </c>
      <c r="Q235" s="1">
        <v>12.6408605575562</v>
      </c>
      <c r="R235" s="1">
        <v>12.7310800552368</v>
      </c>
      <c r="S235" s="1">
        <v>12.8447160720825</v>
      </c>
      <c r="T235" s="1">
        <v>12.7232026379071</v>
      </c>
      <c r="U235" s="1">
        <v>12.6183363508257</v>
      </c>
      <c r="V235" s="1">
        <v>12.335128948505099</v>
      </c>
    </row>
    <row r="236" spans="1:23">
      <c r="A236" s="1" t="s">
        <v>1338</v>
      </c>
      <c r="B236" s="1">
        <v>0.27410078932460302</v>
      </c>
      <c r="C236" s="1">
        <v>0.35122484191396403</v>
      </c>
      <c r="D236" s="1">
        <v>0.41082601868886498</v>
      </c>
      <c r="E236" s="1">
        <v>0.51258508745870501</v>
      </c>
      <c r="F236" s="1">
        <v>0.58615619140224995</v>
      </c>
      <c r="G236" s="1">
        <v>0.62253343682626605</v>
      </c>
      <c r="H236" s="1">
        <v>0.73151696116188303</v>
      </c>
      <c r="I236" s="1">
        <v>0.90641864089906199</v>
      </c>
      <c r="J236" s="1">
        <v>1.13953233730904</v>
      </c>
      <c r="K236" s="1">
        <v>1.26804736567718</v>
      </c>
      <c r="L236" s="1">
        <v>1.40964136148176</v>
      </c>
      <c r="M236" s="1">
        <v>1.56478023529053</v>
      </c>
      <c r="N236" s="1">
        <v>1.66968774795532</v>
      </c>
      <c r="O236" s="1">
        <v>1.6493602991104099</v>
      </c>
      <c r="P236" s="1">
        <v>1.6505599021911601</v>
      </c>
      <c r="Q236" s="1">
        <v>1.91402864456177</v>
      </c>
      <c r="R236" s="1">
        <v>2.03031325340271</v>
      </c>
      <c r="S236" s="1">
        <v>2.2305700778961199</v>
      </c>
      <c r="T236" s="1">
        <v>2.2325576616521099</v>
      </c>
      <c r="U236" s="1">
        <v>2.27365177224029</v>
      </c>
      <c r="V236" s="1">
        <v>2.2984661547868801</v>
      </c>
    </row>
    <row r="237" spans="1:23">
      <c r="A237" s="1" t="s">
        <v>1339</v>
      </c>
      <c r="B237" s="1">
        <v>0.45644552645495201</v>
      </c>
      <c r="C237" s="1">
        <v>0.51205810591799905</v>
      </c>
      <c r="D237" s="1">
        <v>0.54620042840602201</v>
      </c>
      <c r="E237" s="1">
        <v>0.60131807527435099</v>
      </c>
      <c r="F237" s="1">
        <v>0.62085499340172601</v>
      </c>
      <c r="G237" s="1">
        <v>0.64440823036345596</v>
      </c>
      <c r="H237" s="1">
        <v>0.702100964295721</v>
      </c>
      <c r="I237" s="1">
        <v>0.74711162060428105</v>
      </c>
      <c r="J237" s="1">
        <v>1.1706679497863</v>
      </c>
      <c r="K237" s="1">
        <v>1.27521543255088</v>
      </c>
      <c r="L237" s="1">
        <v>1.2895960001673801</v>
      </c>
      <c r="M237" s="1">
        <v>1.4256252771395499</v>
      </c>
      <c r="N237" s="1">
        <v>1.5778361046542</v>
      </c>
      <c r="O237" s="1">
        <v>1.63410950636299</v>
      </c>
      <c r="P237" s="1">
        <v>1.6820401023637801</v>
      </c>
      <c r="Q237" s="1">
        <v>1.6445134199831299</v>
      </c>
      <c r="R237" s="1">
        <v>1.61278636436468</v>
      </c>
      <c r="S237" s="1">
        <v>1.62300465233047</v>
      </c>
      <c r="T237" s="1">
        <v>1.60414207686379</v>
      </c>
      <c r="U237" s="1">
        <v>1.6450285155393001</v>
      </c>
    </row>
    <row r="238" spans="1:23">
      <c r="A238" s="1" t="s">
        <v>1340</v>
      </c>
    </row>
    <row r="239" spans="1:23">
      <c r="A239" s="1" t="s">
        <v>1341</v>
      </c>
      <c r="B239" s="1">
        <v>0.33183588088170102</v>
      </c>
      <c r="C239" s="1">
        <v>0.36298989495391498</v>
      </c>
      <c r="D239" s="1">
        <v>0.37663455621599601</v>
      </c>
      <c r="E239" s="1">
        <v>0.39487041845484999</v>
      </c>
      <c r="F239" s="1">
        <v>0.34419534038366401</v>
      </c>
      <c r="G239" s="1">
        <v>0.339938232882046</v>
      </c>
      <c r="H239" s="1">
        <v>0.337817760358057</v>
      </c>
      <c r="I239" s="1">
        <v>0.35686941486580598</v>
      </c>
      <c r="J239" s="1">
        <v>0.37545980698485298</v>
      </c>
      <c r="K239" s="1">
        <v>0.37919462948925498</v>
      </c>
      <c r="L239" s="1">
        <v>0.415923415551885</v>
      </c>
      <c r="M239" s="1">
        <v>0.45453202700875001</v>
      </c>
      <c r="N239" s="1">
        <v>0.43664579446148899</v>
      </c>
      <c r="O239" s="1">
        <v>0.48729369600391798</v>
      </c>
      <c r="P239" s="1">
        <v>0.452933233030273</v>
      </c>
      <c r="Q239" s="1">
        <v>0.45757380041426898</v>
      </c>
      <c r="R239" s="1">
        <v>0.43242795316652799</v>
      </c>
      <c r="S239" s="1">
        <v>0.408969540137466</v>
      </c>
      <c r="T239" s="1">
        <v>0.39424654646314899</v>
      </c>
      <c r="U239" s="1">
        <v>0.41896686395135102</v>
      </c>
      <c r="V239" s="1">
        <v>0.34837689516473402</v>
      </c>
    </row>
    <row r="240" spans="1:23">
      <c r="A240" s="1" t="s">
        <v>1342</v>
      </c>
    </row>
    <row r="241" spans="1:23">
      <c r="A241" s="1" t="s">
        <v>1343</v>
      </c>
      <c r="B241" s="1">
        <v>0.93921127100625901</v>
      </c>
      <c r="C241" s="1">
        <v>0.93521280321364697</v>
      </c>
      <c r="D241" s="1">
        <v>0.98684003422539501</v>
      </c>
      <c r="E241" s="1">
        <v>1.0554910445774299</v>
      </c>
      <c r="F241" s="1">
        <v>1.11920541439895</v>
      </c>
      <c r="G241" s="1">
        <v>1.1663064586623699</v>
      </c>
      <c r="H241" s="1">
        <v>1.31162767272029</v>
      </c>
      <c r="I241" s="1">
        <v>1.2972290641454001</v>
      </c>
      <c r="J241" s="1">
        <v>1.33030292866397</v>
      </c>
      <c r="K241" s="1">
        <v>1.38591188070664</v>
      </c>
      <c r="L241" s="1">
        <v>1.47599090542698</v>
      </c>
      <c r="M241" s="1">
        <v>1.45268475139735</v>
      </c>
      <c r="N241" s="1">
        <v>1.48512882711451</v>
      </c>
      <c r="O241" s="1">
        <v>1.42490350686838</v>
      </c>
      <c r="P241" s="1">
        <v>1.3991887333422599</v>
      </c>
      <c r="Q241" s="1">
        <v>1.4592135619925499</v>
      </c>
      <c r="R241" s="1">
        <v>1.4881772515571099</v>
      </c>
      <c r="S241" s="1">
        <v>1.54271700684063</v>
      </c>
      <c r="T241" s="1">
        <v>1.5841271373680399</v>
      </c>
      <c r="U241" s="1">
        <v>1.6756001111991301</v>
      </c>
      <c r="V241" s="1">
        <v>1.5957545446194401</v>
      </c>
    </row>
    <row r="242" spans="1:23">
      <c r="A242" s="1" t="s">
        <v>1344</v>
      </c>
    </row>
    <row r="243" spans="1:23">
      <c r="A243" s="1" t="s">
        <v>1345</v>
      </c>
    </row>
    <row r="244" spans="1:23">
      <c r="A244" s="1" t="s">
        <v>1346</v>
      </c>
      <c r="B244" s="1">
        <v>2.7867878209335499</v>
      </c>
      <c r="C244" s="1">
        <v>2.8031639057720299</v>
      </c>
      <c r="D244" s="1">
        <v>2.6162261438976802</v>
      </c>
      <c r="E244" s="1">
        <v>2.8376707599673501</v>
      </c>
      <c r="F244" s="1">
        <v>3.0087732484101002</v>
      </c>
      <c r="G244" s="1">
        <v>3.3065864791586401</v>
      </c>
      <c r="H244" s="1">
        <v>3.2649600194845498</v>
      </c>
      <c r="I244" s="1">
        <v>3.5849997411831902</v>
      </c>
      <c r="J244" s="1">
        <v>4.3532844417550898</v>
      </c>
      <c r="K244" s="1">
        <v>3.1265586182035099</v>
      </c>
      <c r="L244" s="1">
        <v>3.4840756260541301</v>
      </c>
      <c r="M244" s="1">
        <v>3.94960689544678</v>
      </c>
      <c r="N244" s="1">
        <v>4.0971779823303196</v>
      </c>
      <c r="O244" s="1">
        <v>4.31729984283447</v>
      </c>
      <c r="P244" s="1">
        <v>4.3745689392089799</v>
      </c>
      <c r="Q244" s="1">
        <v>4.2398777008056596</v>
      </c>
      <c r="R244" s="1">
        <v>4.1067261695861799</v>
      </c>
      <c r="S244" s="1">
        <v>4.1624517440795898</v>
      </c>
      <c r="T244" s="1">
        <v>4.2915631444095697</v>
      </c>
      <c r="U244" s="1">
        <v>4.1742862368298699</v>
      </c>
      <c r="V244" s="1">
        <v>4.1616557490716799</v>
      </c>
    </row>
    <row r="245" spans="1:23">
      <c r="A245" s="1" t="s">
        <v>293</v>
      </c>
      <c r="B245" s="1">
        <v>0.50763427471230704</v>
      </c>
      <c r="C245" s="1">
        <v>0.51617893716086405</v>
      </c>
      <c r="D245" s="1">
        <v>0.51975137320089804</v>
      </c>
      <c r="E245" s="1">
        <v>0.52397472077752305</v>
      </c>
      <c r="F245" s="1">
        <v>0.52733921728023403</v>
      </c>
      <c r="G245" s="1">
        <v>0.53276472413778897</v>
      </c>
      <c r="H245" s="1">
        <v>0.53694106369246497</v>
      </c>
      <c r="I245" s="1">
        <v>0.53401388692153295</v>
      </c>
      <c r="J245" s="1">
        <v>0.55703699531611495</v>
      </c>
      <c r="K245" s="1">
        <v>0.56953462719608094</v>
      </c>
      <c r="L245" s="1">
        <v>0.584451240074083</v>
      </c>
      <c r="M245" s="1">
        <v>0.59633147716522195</v>
      </c>
      <c r="N245" s="1">
        <v>0.63482326269149802</v>
      </c>
      <c r="O245" s="1">
        <v>0.67052507400512695</v>
      </c>
      <c r="P245" s="1">
        <v>0.69972884654998802</v>
      </c>
      <c r="Q245" s="1">
        <v>0.74201995134353604</v>
      </c>
      <c r="R245" s="1">
        <v>0.76676547527313199</v>
      </c>
      <c r="S245" s="1">
        <v>0.79418015480041504</v>
      </c>
      <c r="T245" s="1">
        <v>0.83567912391476695</v>
      </c>
      <c r="U245" s="1">
        <v>0.88147085817050497</v>
      </c>
      <c r="V245" s="1">
        <v>0.91511272726935</v>
      </c>
    </row>
    <row r="246" spans="1:23">
      <c r="A246" s="1" t="s">
        <v>616</v>
      </c>
      <c r="B246" s="1">
        <v>0.28162999999999999</v>
      </c>
      <c r="C246" s="1">
        <v>0.41507100000000002</v>
      </c>
      <c r="D246" s="1">
        <v>0.59125099999999997</v>
      </c>
      <c r="E246" s="1">
        <v>0.73654600000000003</v>
      </c>
      <c r="F246" s="1">
        <v>0.79217300000000002</v>
      </c>
      <c r="G246" s="1">
        <v>0.83458900000000003</v>
      </c>
      <c r="H246" s="1">
        <v>0.84180500000000003</v>
      </c>
      <c r="I246" s="1">
        <v>0.85130899999999998</v>
      </c>
      <c r="J246" s="1">
        <v>0.87995999999999996</v>
      </c>
      <c r="K246" s="1">
        <v>0.90462799999999999</v>
      </c>
      <c r="L246" s="1">
        <v>0.92030900000000004</v>
      </c>
      <c r="M246" s="1">
        <v>0.96617600000000003</v>
      </c>
      <c r="N246" s="1">
        <v>1.0198560000000001</v>
      </c>
      <c r="O246" s="1">
        <v>1.0702940000000001</v>
      </c>
      <c r="P246" s="1">
        <v>1.1045039999999999</v>
      </c>
      <c r="Q246" s="1">
        <v>1.162452</v>
      </c>
      <c r="R246" s="1">
        <v>1.241052</v>
      </c>
      <c r="S246" s="1">
        <v>1.38398</v>
      </c>
      <c r="T246" s="1">
        <v>1.6326099999999999</v>
      </c>
      <c r="U246" s="1">
        <v>1.9262570000000001</v>
      </c>
      <c r="V246" s="1">
        <v>2.1971530000000001</v>
      </c>
      <c r="W246" s="1">
        <v>2.6062240000000001</v>
      </c>
    </row>
    <row r="247" spans="1:23">
      <c r="A247" s="1" t="s">
        <v>1347</v>
      </c>
      <c r="B247" s="1">
        <v>1.03896993333411</v>
      </c>
      <c r="C247" s="1">
        <v>1.07679247035111</v>
      </c>
      <c r="D247" s="1">
        <v>1.0951771236135699</v>
      </c>
      <c r="E247" s="1">
        <v>1.0994360387701201</v>
      </c>
      <c r="F247" s="1">
        <v>1.13056343513857</v>
      </c>
      <c r="G247" s="1">
        <v>1.11282902537163</v>
      </c>
      <c r="H247" s="1">
        <v>1.1247008081454</v>
      </c>
      <c r="I247" s="1">
        <v>1.0938386646686</v>
      </c>
      <c r="J247" s="1">
        <v>1.11077368180866</v>
      </c>
      <c r="K247" s="1">
        <v>1.10996538334392</v>
      </c>
      <c r="L247" s="1">
        <v>1.12618221901819</v>
      </c>
      <c r="M247" s="1">
        <v>1.1099262718756799</v>
      </c>
      <c r="N247" s="1">
        <v>1.09784800144485</v>
      </c>
      <c r="O247" s="1">
        <v>1.1016923927912701</v>
      </c>
      <c r="P247" s="1">
        <v>1.1364757522222</v>
      </c>
      <c r="Q247" s="1">
        <v>1.1778824179907901</v>
      </c>
      <c r="R247" s="1">
        <v>1.1773112021285701</v>
      </c>
      <c r="S247" s="1">
        <v>1.1967517071090701</v>
      </c>
      <c r="T247" s="1">
        <v>1.2262388139217999</v>
      </c>
      <c r="U247" s="1">
        <v>1.30947144097098</v>
      </c>
      <c r="V247" s="1">
        <v>1.2938776061174</v>
      </c>
    </row>
    <row r="248" spans="1:23">
      <c r="A248" s="1" t="s">
        <v>1348</v>
      </c>
      <c r="B248" s="1">
        <v>276.018793482776</v>
      </c>
      <c r="C248" s="1">
        <v>283.10213951953301</v>
      </c>
      <c r="D248" s="1">
        <v>298.85187569845903</v>
      </c>
      <c r="E248" s="1">
        <v>318.10377672802701</v>
      </c>
      <c r="F248" s="1">
        <v>331.09346552638499</v>
      </c>
      <c r="G248" s="1">
        <v>341.72564532231002</v>
      </c>
      <c r="H248" s="1">
        <v>349.96441462841801</v>
      </c>
      <c r="I248" s="1">
        <v>371.82089368840502</v>
      </c>
      <c r="J248" s="1">
        <v>424.47143351694501</v>
      </c>
      <c r="K248" s="1">
        <v>459.34886175789501</v>
      </c>
      <c r="L248" s="1">
        <v>496.86978466257699</v>
      </c>
      <c r="M248" s="1">
        <v>546.07312011718795</v>
      </c>
      <c r="N248" s="1">
        <v>649.70495605468795</v>
      </c>
      <c r="O248" s="1">
        <v>706.30926513671898</v>
      </c>
      <c r="P248" s="1">
        <v>759.031494140625</v>
      </c>
      <c r="Q248" s="1">
        <v>803.8115234375</v>
      </c>
      <c r="R248" s="1">
        <v>848.67956542968795</v>
      </c>
      <c r="S248" s="1">
        <v>885.08288574218795</v>
      </c>
      <c r="T248" s="1">
        <v>890.04894405431003</v>
      </c>
      <c r="U248" s="1">
        <v>895.99335853811601</v>
      </c>
      <c r="V248" s="1">
        <v>888.36639640629903</v>
      </c>
    </row>
    <row r="249" spans="1:23">
      <c r="A249" s="1" t="s">
        <v>1349</v>
      </c>
      <c r="B249" s="1">
        <v>560.94083862534103</v>
      </c>
      <c r="C249" s="1">
        <v>573.79089044947602</v>
      </c>
      <c r="D249" s="1">
        <v>546.95276834543495</v>
      </c>
      <c r="E249" s="1">
        <v>578.90120713096996</v>
      </c>
      <c r="F249" s="1">
        <v>651.59539200221002</v>
      </c>
      <c r="G249" s="1">
        <v>620.90895294627001</v>
      </c>
      <c r="H249" s="1">
        <v>617.16887122512196</v>
      </c>
      <c r="I249" s="1">
        <v>645.02612977664796</v>
      </c>
      <c r="J249" s="1">
        <v>672.98689502162301</v>
      </c>
      <c r="K249" s="1">
        <v>765.18462134812</v>
      </c>
      <c r="L249" s="1">
        <v>799.01226386481801</v>
      </c>
      <c r="M249" s="1">
        <v>856.168212890625</v>
      </c>
      <c r="N249" s="1">
        <v>1003.27728271484</v>
      </c>
      <c r="O249" s="1">
        <v>1042.08117675781</v>
      </c>
      <c r="P249" s="1">
        <v>1073.74743652344</v>
      </c>
      <c r="Q249" s="1">
        <v>1125.47131347656</v>
      </c>
      <c r="R249" s="1">
        <v>1211.94018554688</v>
      </c>
      <c r="S249" s="1">
        <v>1270.6083984375</v>
      </c>
      <c r="T249" s="1">
        <v>1295.9508887398299</v>
      </c>
      <c r="U249" s="1">
        <v>1311.41875647397</v>
      </c>
      <c r="V249" s="1">
        <v>1331.06677456788</v>
      </c>
    </row>
    <row r="250" spans="1:23">
      <c r="A250" s="1" t="s">
        <v>1350</v>
      </c>
      <c r="B250" s="1">
        <v>0.83972921321897198</v>
      </c>
      <c r="C250" s="1">
        <v>0.90552722030659105</v>
      </c>
      <c r="D250" s="1">
        <v>0.93826022449114799</v>
      </c>
      <c r="E250" s="1">
        <v>0.99635963012316897</v>
      </c>
      <c r="F250" s="1">
        <v>1.1187894405582499</v>
      </c>
      <c r="G250" s="1">
        <v>1.3464329885549899</v>
      </c>
      <c r="H250" s="1">
        <v>1.50098889170834</v>
      </c>
      <c r="I250" s="1">
        <v>1.7956147189343901</v>
      </c>
      <c r="J250" s="1">
        <v>2.2725010267558301</v>
      </c>
      <c r="K250" s="1">
        <v>2.54015144814589</v>
      </c>
      <c r="L250" s="1">
        <v>2.8542134151096001</v>
      </c>
      <c r="M250" s="1">
        <v>3.19231104850769</v>
      </c>
      <c r="N250" s="1">
        <v>3.2973940372467001</v>
      </c>
      <c r="O250" s="1">
        <v>3.0125505924224898</v>
      </c>
      <c r="P250" s="1">
        <v>3.43497610092163</v>
      </c>
      <c r="Q250" s="1">
        <v>4.5662255287170401</v>
      </c>
      <c r="R250" s="1">
        <v>5.0142064094543501</v>
      </c>
      <c r="S250" s="1">
        <v>5.9162887122680496</v>
      </c>
      <c r="T250" s="1">
        <v>6.6672312617524403</v>
      </c>
      <c r="U250" s="1">
        <v>7.0904509433616996</v>
      </c>
      <c r="V250" s="1">
        <v>7.69183196532145</v>
      </c>
    </row>
    <row r="251" spans="1:23">
      <c r="A251" s="1" t="s">
        <v>1351</v>
      </c>
    </row>
    <row r="252" spans="1:23">
      <c r="A252" s="1" t="s">
        <v>212</v>
      </c>
      <c r="B252" s="1">
        <v>8.1115787280977099</v>
      </c>
      <c r="C252" s="1">
        <v>8.3205877916887001</v>
      </c>
      <c r="D252" s="1">
        <v>9.2244275815231394</v>
      </c>
      <c r="E252" s="1">
        <v>10.5542954232774</v>
      </c>
      <c r="F252" s="1">
        <v>11.3161579126446</v>
      </c>
      <c r="G252" s="1">
        <v>11.048705753072801</v>
      </c>
      <c r="H252" s="1">
        <v>11.424816349552501</v>
      </c>
      <c r="I252" s="1">
        <v>12.1737251875011</v>
      </c>
      <c r="J252" s="1">
        <v>12.899574741838901</v>
      </c>
      <c r="K252" s="1">
        <v>13.793817557842001</v>
      </c>
      <c r="L252" s="1">
        <v>14.3040061606831</v>
      </c>
      <c r="M252" s="1">
        <v>15.2736978530884</v>
      </c>
      <c r="N252" s="1">
        <v>16.9381217956543</v>
      </c>
      <c r="O252" s="1">
        <v>18.172880172729499</v>
      </c>
      <c r="P252" s="1">
        <v>19.472618103027301</v>
      </c>
      <c r="Q252" s="1">
        <v>21.104578018188501</v>
      </c>
      <c r="R252" s="1">
        <v>22.453821182251001</v>
      </c>
      <c r="S252" s="1">
        <v>23.293806076049801</v>
      </c>
      <c r="T252" s="1">
        <v>24.363152039618001</v>
      </c>
      <c r="U252" s="1">
        <v>25.9759061422792</v>
      </c>
      <c r="V252" s="1">
        <v>28.456062985243602</v>
      </c>
    </row>
    <row r="253" spans="1:23">
      <c r="A253" s="1" t="s">
        <v>151</v>
      </c>
      <c r="B253" s="1">
        <v>1</v>
      </c>
      <c r="C253" s="1">
        <v>1</v>
      </c>
      <c r="D253" s="1">
        <v>1</v>
      </c>
      <c r="E253" s="1">
        <v>1</v>
      </c>
      <c r="F253" s="1">
        <v>1</v>
      </c>
      <c r="G253" s="1">
        <v>1</v>
      </c>
      <c r="H253" s="1">
        <v>1</v>
      </c>
      <c r="I253" s="1">
        <v>1</v>
      </c>
      <c r="J253" s="1">
        <v>1</v>
      </c>
      <c r="K253" s="1">
        <v>1</v>
      </c>
      <c r="L253" s="1">
        <v>1</v>
      </c>
      <c r="M253" s="1">
        <v>1</v>
      </c>
      <c r="N253" s="1">
        <v>1</v>
      </c>
      <c r="O253" s="1">
        <v>1</v>
      </c>
      <c r="P253" s="1">
        <v>1</v>
      </c>
      <c r="Q253" s="1">
        <v>1</v>
      </c>
      <c r="R253" s="1">
        <v>1</v>
      </c>
      <c r="S253" s="1">
        <v>1</v>
      </c>
      <c r="T253" s="1">
        <v>1</v>
      </c>
      <c r="U253" s="1">
        <v>1</v>
      </c>
      <c r="V253" s="1">
        <v>1</v>
      </c>
      <c r="W253" s="1">
        <v>1</v>
      </c>
    </row>
    <row r="254" spans="1:23">
      <c r="A254" s="1" t="s">
        <v>1352</v>
      </c>
      <c r="B254" s="1">
        <v>52.900701346450703</v>
      </c>
      <c r="C254" s="1">
        <v>75.183605329003498</v>
      </c>
      <c r="D254" s="1">
        <v>107.676276893213</v>
      </c>
      <c r="E254" s="1">
        <v>134.00738495191999</v>
      </c>
      <c r="F254" s="1">
        <v>151.266629492091</v>
      </c>
      <c r="G254" s="1">
        <v>178.13555904779199</v>
      </c>
      <c r="H254" s="1">
        <v>213.47627876930201</v>
      </c>
      <c r="I254" s="1">
        <v>253.41398638730499</v>
      </c>
      <c r="J254" s="1">
        <v>315.17700212054302</v>
      </c>
      <c r="K254" s="1">
        <v>366.78529794983098</v>
      </c>
      <c r="L254" s="1">
        <v>505.295734418878</v>
      </c>
      <c r="M254" s="1">
        <v>601.99839932491204</v>
      </c>
      <c r="N254" s="1">
        <v>706.90461325190802</v>
      </c>
      <c r="O254" s="1">
        <v>804.31010352320004</v>
      </c>
      <c r="P254" s="1">
        <v>935.23724584663205</v>
      </c>
      <c r="Q254" s="1">
        <v>1058.67768324759</v>
      </c>
      <c r="R254" s="1">
        <v>1179.95670461133</v>
      </c>
      <c r="S254" s="1">
        <v>1432.90717805091</v>
      </c>
      <c r="T254" s="1">
        <v>1776.8838900574899</v>
      </c>
      <c r="U254" s="1">
        <v>2058.3786902145798</v>
      </c>
      <c r="V254" s="1">
        <v>2275.91291494189</v>
      </c>
    </row>
    <row r="255" spans="1:23">
      <c r="A255" s="1" t="s">
        <v>1353</v>
      </c>
      <c r="B255" s="1">
        <v>1.5954468214333399</v>
      </c>
      <c r="C255" s="1">
        <v>1.6657962435334399</v>
      </c>
      <c r="D255" s="1">
        <v>1.6565732004273499</v>
      </c>
      <c r="E255" s="1">
        <v>1.5753798135000501</v>
      </c>
      <c r="F255" s="1">
        <v>1.59564972255712</v>
      </c>
      <c r="G255" s="1">
        <v>1.59305559915553</v>
      </c>
      <c r="H255" s="1">
        <v>1.5928281211970501</v>
      </c>
      <c r="I255" s="1">
        <v>1.68160210436971</v>
      </c>
      <c r="J255" s="1">
        <v>1.6498495253996399</v>
      </c>
      <c r="K255" s="1">
        <v>1.62315534944491</v>
      </c>
      <c r="L255" s="1">
        <v>1.67559418346064</v>
      </c>
      <c r="M255" s="1">
        <v>1.63591921329498</v>
      </c>
      <c r="N255" s="1">
        <v>1.6499547958373999</v>
      </c>
      <c r="O255" s="1">
        <v>1.6432464122772199</v>
      </c>
      <c r="P255" s="1">
        <v>1.59582412242889</v>
      </c>
      <c r="Q255" s="1">
        <v>1.6051045656204199</v>
      </c>
      <c r="R255" s="1">
        <v>1.5334950685501101</v>
      </c>
      <c r="S255" s="1">
        <v>1.59044253826141</v>
      </c>
      <c r="T255" s="1">
        <v>1.55701554761922</v>
      </c>
      <c r="U255" s="1">
        <v>1.54735291403325</v>
      </c>
      <c r="V255" s="1">
        <v>1.5466836061643601</v>
      </c>
    </row>
    <row r="256" spans="1:23">
      <c r="A256" s="1" t="s">
        <v>1354</v>
      </c>
      <c r="B256" s="1">
        <v>0.28024409208483297</v>
      </c>
      <c r="C256" s="1">
        <v>0.29615891847278802</v>
      </c>
      <c r="D256" s="1">
        <v>0.38782464436353498</v>
      </c>
      <c r="E256" s="1">
        <v>0.51376524854165495</v>
      </c>
      <c r="F256" s="1">
        <v>0.67016541033515598</v>
      </c>
      <c r="G256" s="1">
        <v>0.842323679174382</v>
      </c>
      <c r="H256" s="1">
        <v>0.96396443224873496</v>
      </c>
      <c r="I256" s="1">
        <v>1.0837691997246299</v>
      </c>
      <c r="J256" s="1">
        <v>1.38342598543665</v>
      </c>
      <c r="K256" s="1">
        <v>1.48048481712201</v>
      </c>
      <c r="L256" s="1">
        <v>2.13578073803312</v>
      </c>
      <c r="M256" s="1">
        <v>2.6809825897216801</v>
      </c>
    </row>
    <row r="257" spans="1:22">
      <c r="A257" s="1" t="s">
        <v>1355</v>
      </c>
      <c r="M257" s="1">
        <v>1.0275467634201001</v>
      </c>
      <c r="N257" s="1">
        <v>1.09735071659088</v>
      </c>
      <c r="O257" s="1">
        <v>1.09354901313782</v>
      </c>
      <c r="P257" s="1">
        <v>1.0894138813018801</v>
      </c>
      <c r="Q257" s="1">
        <v>1.10523045063019</v>
      </c>
      <c r="R257" s="1">
        <v>1.0975375175476101</v>
      </c>
      <c r="S257" s="1">
        <v>1.0687785148620601</v>
      </c>
    </row>
    <row r="258" spans="1:22">
      <c r="A258" s="1" t="s">
        <v>1356</v>
      </c>
    </row>
    <row r="259" spans="1:22">
      <c r="A259" s="1" t="s">
        <v>1366</v>
      </c>
      <c r="B259" s="1">
        <v>2781.0378954881498</v>
      </c>
      <c r="C259" s="1">
        <v>2792.7081054779601</v>
      </c>
      <c r="D259" s="1">
        <v>2878.4058936507099</v>
      </c>
      <c r="E259" s="1">
        <v>3026.83784945972</v>
      </c>
      <c r="F259" s="1">
        <v>3196.0559276980898</v>
      </c>
      <c r="G259" s="1">
        <v>3682.5416055834498</v>
      </c>
      <c r="H259" s="1">
        <v>3880.6599678529901</v>
      </c>
      <c r="I259" s="1">
        <v>4143.0815521614704</v>
      </c>
      <c r="J259" s="1">
        <v>4985.48135352596</v>
      </c>
      <c r="K259" s="1">
        <v>5255.2963355968204</v>
      </c>
      <c r="L259" s="1">
        <v>5821.9955208609999</v>
      </c>
      <c r="M259" s="1">
        <v>6915.33544921875</v>
      </c>
      <c r="N259" s="1">
        <v>7167.056640625</v>
      </c>
      <c r="O259" s="1">
        <v>7369.89453125</v>
      </c>
      <c r="P259" s="1">
        <v>7473.41943359375</v>
      </c>
      <c r="Q259" s="1">
        <v>7413.45556640625</v>
      </c>
      <c r="R259" s="1">
        <v>7315.61279296875</v>
      </c>
      <c r="S259" s="1">
        <v>7395.33837890625</v>
      </c>
      <c r="T259" s="1">
        <v>7467.3500787053599</v>
      </c>
      <c r="U259" s="1">
        <v>7467.6029685869898</v>
      </c>
      <c r="V259" s="1">
        <v>7474.1173110216296</v>
      </c>
    </row>
    <row r="260" spans="1:22">
      <c r="A260" s="1" t="s">
        <v>1358</v>
      </c>
      <c r="B260" s="1">
        <v>91.016613794632093</v>
      </c>
      <c r="C260" s="1">
        <v>92.291534159228206</v>
      </c>
      <c r="D260" s="1">
        <v>93.465971454764102</v>
      </c>
      <c r="E260" s="1">
        <v>92.494807526929094</v>
      </c>
      <c r="F260" s="1">
        <v>91.976604635011299</v>
      </c>
      <c r="G260" s="1">
        <v>89.5723577240921</v>
      </c>
      <c r="H260" s="1">
        <v>90.308327008441395</v>
      </c>
      <c r="I260" s="1">
        <v>93.026453080380705</v>
      </c>
      <c r="J260" s="1">
        <v>97.787417209207703</v>
      </c>
      <c r="K260" s="1">
        <v>99.526918874394894</v>
      </c>
      <c r="L260" s="1">
        <v>99.826625234685594</v>
      </c>
      <c r="M260" s="1">
        <v>100.51104325685201</v>
      </c>
      <c r="N260" s="1">
        <v>98.162053771356597</v>
      </c>
      <c r="O260" s="1">
        <v>99.364946855207506</v>
      </c>
      <c r="P260" s="1">
        <v>98.928292163458707</v>
      </c>
      <c r="Q260" s="1">
        <v>103.735876111981</v>
      </c>
      <c r="R260" s="1">
        <v>104.27772215828401</v>
      </c>
      <c r="S260" s="1">
        <v>107.843186970521</v>
      </c>
      <c r="T260" s="1">
        <v>108.692881342577</v>
      </c>
      <c r="U260" s="1">
        <v>109.342492604456</v>
      </c>
      <c r="V260" s="1">
        <v>109.985664961162</v>
      </c>
    </row>
    <row r="261" spans="1:22">
      <c r="A261" s="1" t="s">
        <v>1359</v>
      </c>
    </row>
    <row r="262" spans="1:22">
      <c r="A262" s="1" t="s">
        <v>1360</v>
      </c>
      <c r="B262" s="1">
        <v>1.40384007035304</v>
      </c>
      <c r="C262" s="1">
        <v>1.4070455620846301</v>
      </c>
      <c r="D262" s="1">
        <v>1.4188494716331801</v>
      </c>
      <c r="E262" s="1">
        <v>1.42944357782958</v>
      </c>
      <c r="F262" s="1">
        <v>1.4896177212902599</v>
      </c>
      <c r="G262" s="1">
        <v>1.4569858286336099</v>
      </c>
      <c r="H262" s="1">
        <v>1.54518998049281</v>
      </c>
      <c r="I262" s="1">
        <v>1.5026959865034</v>
      </c>
      <c r="J262" s="1">
        <v>1.6008199412865001</v>
      </c>
      <c r="K262" s="1">
        <v>1.62743862858271</v>
      </c>
      <c r="L262" s="1">
        <v>1.687696575461</v>
      </c>
      <c r="M262" s="1">
        <v>1.66056811905465</v>
      </c>
      <c r="N262" s="1">
        <v>1.68869178943971</v>
      </c>
      <c r="O262" s="1">
        <v>1.67480073002597</v>
      </c>
      <c r="P262" s="1">
        <v>1.6418889246953501</v>
      </c>
      <c r="Q262" s="1">
        <v>1.6945336953190699</v>
      </c>
      <c r="R262" s="1">
        <v>1.69669174747897</v>
      </c>
      <c r="S262" s="1">
        <v>1.6640120172961499</v>
      </c>
      <c r="T262" s="1">
        <v>1.64377749662756</v>
      </c>
      <c r="U262" s="1">
        <v>1.6373278244337599</v>
      </c>
      <c r="V262" s="1">
        <v>1.6213081649338399</v>
      </c>
    </row>
    <row r="263" spans="1:22">
      <c r="A263" s="1" t="s">
        <v>1361</v>
      </c>
      <c r="J263" s="1">
        <v>0.30959734980008602</v>
      </c>
      <c r="K263" s="1">
        <v>0.298549973702609</v>
      </c>
      <c r="L263" s="1">
        <v>0.31397596123486599</v>
      </c>
      <c r="M263" s="1">
        <v>0.32693860000000002</v>
      </c>
      <c r="N263" s="1">
        <v>0.33021563497346201</v>
      </c>
      <c r="O263" s="1">
        <v>0.33272096456969102</v>
      </c>
      <c r="P263" s="1">
        <v>0.33962210370302398</v>
      </c>
      <c r="Q263" s="1">
        <v>0.33912802953966598</v>
      </c>
      <c r="R263" s="1">
        <v>0.33937771715279402</v>
      </c>
      <c r="S263" s="1">
        <v>0.34007729291405198</v>
      </c>
      <c r="T263" s="1">
        <v>0.33708151756416199</v>
      </c>
      <c r="U263" s="1">
        <v>0.33435857337870001</v>
      </c>
      <c r="V263" s="1">
        <v>0.33493972375489101</v>
      </c>
    </row>
    <row r="264" spans="1:22">
      <c r="A264" s="1" t="s">
        <v>1362</v>
      </c>
      <c r="B264" s="1">
        <v>30.287587645151699</v>
      </c>
      <c r="C264" s="1">
        <v>30.424429258621299</v>
      </c>
      <c r="D264" s="1">
        <v>32.5392328559033</v>
      </c>
      <c r="E264" s="1">
        <v>35.421756051139198</v>
      </c>
      <c r="F264" s="1">
        <v>39.358577569389801</v>
      </c>
      <c r="G264" s="1">
        <v>45.225987273075198</v>
      </c>
      <c r="H264" s="1">
        <v>49.881713622591903</v>
      </c>
      <c r="I264" s="1">
        <v>53.869262723466797</v>
      </c>
      <c r="J264" s="1">
        <v>63.609319343499301</v>
      </c>
      <c r="K264" s="1">
        <v>57.6325942608986</v>
      </c>
      <c r="L264" s="1">
        <v>70.422675411162501</v>
      </c>
      <c r="M264" s="1">
        <v>81.476760864257798</v>
      </c>
      <c r="N264" s="1">
        <v>88.792991638183594</v>
      </c>
      <c r="O264" s="1">
        <v>93.631317138671903</v>
      </c>
    </row>
    <row r="265" spans="1:22">
      <c r="A265" s="1" t="s">
        <v>315</v>
      </c>
      <c r="B265" s="1">
        <v>2.7557592128983801</v>
      </c>
      <c r="C265" s="1">
        <v>2.90695953317329</v>
      </c>
      <c r="D265" s="1">
        <v>3.2204923393469298</v>
      </c>
      <c r="E265" s="1">
        <v>3.3639948291569199</v>
      </c>
      <c r="F265" s="1">
        <v>3.4737329103790402</v>
      </c>
      <c r="G265" s="1">
        <v>3.55734871940611</v>
      </c>
      <c r="H265" s="1">
        <v>3.6622614797016699</v>
      </c>
      <c r="I265" s="1">
        <v>3.86053812501076</v>
      </c>
      <c r="J265" s="1">
        <v>4.0841608664998903</v>
      </c>
      <c r="K265" s="1">
        <v>4.4043965145159198</v>
      </c>
      <c r="L265" s="1">
        <v>4.6204768473451203</v>
      </c>
      <c r="M265" s="1">
        <v>4.7766284942626998</v>
      </c>
      <c r="N265" s="1">
        <v>5.1078166961669904</v>
      </c>
      <c r="O265" s="1">
        <v>5.2957382202148402</v>
      </c>
      <c r="P265" s="1">
        <v>5.5718913078308097</v>
      </c>
      <c r="Q265" s="1">
        <v>5.82525587081909</v>
      </c>
      <c r="R265" s="1">
        <v>6.1590933799743697</v>
      </c>
      <c r="S265" s="1">
        <v>6.4267010688781703</v>
      </c>
      <c r="T265" s="1">
        <v>6.5243240187589198</v>
      </c>
      <c r="U265" s="1">
        <v>6.69830769087487</v>
      </c>
      <c r="V265" s="1">
        <v>6.9675517867432104</v>
      </c>
    </row>
    <row r="266" spans="1:22">
      <c r="A266" s="1" t="s">
        <v>1363</v>
      </c>
      <c r="B266" s="1">
        <v>0.65375302977399696</v>
      </c>
      <c r="C266" s="1">
        <v>0.80177065861595098</v>
      </c>
      <c r="D266" s="1">
        <v>0.94233587159666099</v>
      </c>
      <c r="E266" s="1">
        <v>1.0880535772676101</v>
      </c>
      <c r="F266" s="1">
        <v>1.26843423713298</v>
      </c>
      <c r="G266" s="1">
        <v>1.43493370508165</v>
      </c>
      <c r="H266" s="1">
        <v>1.5953275149064901</v>
      </c>
      <c r="I266" s="1">
        <v>1.7550980273394501</v>
      </c>
      <c r="J266" s="1">
        <v>1.90479400220755</v>
      </c>
      <c r="K266" s="1">
        <v>1.9954820043763399</v>
      </c>
      <c r="L266" s="1">
        <v>2.2476788762725901</v>
      </c>
      <c r="M266" s="1">
        <v>2.4463460445404102</v>
      </c>
      <c r="N266" s="1">
        <v>2.6514914035797101</v>
      </c>
      <c r="O266" s="1">
        <v>2.8328611850738499</v>
      </c>
      <c r="P266" s="1">
        <v>3.0648221969604501</v>
      </c>
      <c r="Q266" s="1">
        <v>3.3664817810058598</v>
      </c>
      <c r="R266" s="1">
        <v>3.8788266181945801</v>
      </c>
      <c r="S266" s="1">
        <v>4.1925802230834996</v>
      </c>
      <c r="T266" s="1">
        <v>4.39772767007846</v>
      </c>
      <c r="U266" s="1">
        <v>4.6504100471447396</v>
      </c>
      <c r="V266" s="1">
        <v>5.2265487977720797</v>
      </c>
    </row>
    <row r="267" spans="1:22">
      <c r="A267" s="1" t="s">
        <v>1364</v>
      </c>
      <c r="B267" s="1">
        <v>0.38832318632398399</v>
      </c>
      <c r="C267" s="1">
        <v>0.379491056315376</v>
      </c>
      <c r="D267" s="1">
        <v>0.38371696702144298</v>
      </c>
      <c r="E267" s="1">
        <v>0.409877145862373</v>
      </c>
      <c r="F267" s="1">
        <v>0.42951167912894</v>
      </c>
      <c r="G267" s="1">
        <v>0.43793263166531798</v>
      </c>
      <c r="H267" s="1">
        <v>0.41649263866195402</v>
      </c>
      <c r="I267" s="1">
        <v>0.40922680320320798</v>
      </c>
      <c r="J267" s="1">
        <v>0.406834712234659</v>
      </c>
      <c r="K267" s="1">
        <v>0.50338476408203003</v>
      </c>
      <c r="L267" s="1">
        <v>0.51797974827051296</v>
      </c>
      <c r="M267" s="1">
        <v>0.52033537626266502</v>
      </c>
      <c r="N267" s="1">
        <v>0.54924583435058605</v>
      </c>
      <c r="O267" s="1">
        <v>0.558424472808838</v>
      </c>
      <c r="P267" s="1">
        <v>0.54925185441970803</v>
      </c>
      <c r="Q267" s="1">
        <v>0.53930419683456399</v>
      </c>
      <c r="R267" s="1">
        <v>0.521861791610718</v>
      </c>
      <c r="S267" s="1">
        <v>0.40788508420243902</v>
      </c>
      <c r="T267" s="1">
        <v>0.636531060784711</v>
      </c>
      <c r="U267" s="1">
        <v>3.3821726978708999</v>
      </c>
      <c r="V267" s="1">
        <v>22.0083918081849</v>
      </c>
    </row>
  </sheetData>
  <sheetProtection algorithmName="SHA-512" hashValue="ij/AqGNGD4G3ssP6krKe8CHV6isNsdaZXGKs3IxpQAz0VQZBMsFFFQlhOpBQoW1qdoaof3nrzVio17WUYsMmJg==" saltValue="KjtwItToyqDz4XLRMLAdCw==" spinCount="100000" sheet="1" objects="1" scenario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4FBCB-6DC6-4A99-A131-383CE6A5D4A2}">
  <sheetPr codeName="Sheet10"/>
  <dimension ref="A1:AK184"/>
  <sheetViews>
    <sheetView topLeftCell="Q1" zoomScale="170" zoomScaleNormal="170" workbookViewId="0">
      <pane ySplit="2" topLeftCell="A73" activePane="bottomLeft" state="frozen"/>
      <selection activeCell="Z64" sqref="Z64:AA184"/>
      <selection pane="bottomLeft" activeCell="AA169" sqref="AA169"/>
    </sheetView>
  </sheetViews>
  <sheetFormatPr baseColWidth="10" defaultColWidth="9.1640625" defaultRowHeight="15"/>
  <cols>
    <col min="1" max="1" width="22.1640625" style="141" bestFit="1" customWidth="1"/>
    <col min="2" max="3" width="9.1640625" style="140"/>
    <col min="4" max="4" width="7.33203125" style="141" bestFit="1" customWidth="1"/>
    <col min="5" max="5" width="8.33203125" style="141" bestFit="1" customWidth="1"/>
    <col min="6" max="6" width="7.33203125" style="141" bestFit="1" customWidth="1"/>
    <col min="7" max="7" width="8.33203125" style="141" bestFit="1" customWidth="1"/>
    <col min="8" max="9" width="9.1640625" style="141"/>
    <col min="10" max="10" width="22.1640625" style="141" bestFit="1" customWidth="1"/>
    <col min="11" max="13" width="14.1640625" style="141" bestFit="1" customWidth="1"/>
    <col min="14" max="14" width="12.33203125" style="141" bestFit="1" customWidth="1"/>
    <col min="15" max="18" width="5.33203125" style="141" bestFit="1" customWidth="1"/>
    <col min="19" max="19" width="9.33203125" style="153" bestFit="1" customWidth="1"/>
    <col min="20" max="20" width="10.1640625" style="153" bestFit="1" customWidth="1"/>
    <col min="21" max="21" width="9.1640625" style="141"/>
    <col min="22" max="22" width="20.1640625" style="141" bestFit="1" customWidth="1"/>
    <col min="23" max="25" width="8.33203125" style="141" customWidth="1"/>
    <col min="26" max="27" width="8.33203125" style="153" customWidth="1"/>
    <col min="28" max="28" width="9.1640625" style="141"/>
    <col min="29" max="29" width="26" style="29" bestFit="1" customWidth="1"/>
    <col min="30" max="30" width="11.6640625" style="28" customWidth="1"/>
    <col min="31" max="32" width="11.6640625" style="136" customWidth="1"/>
    <col min="33" max="36" width="11.6640625" style="28" customWidth="1"/>
    <col min="37" max="37" width="9.1640625" style="140"/>
    <col min="38" max="16384" width="9.1640625" style="141"/>
  </cols>
  <sheetData>
    <row r="1" spans="1:36">
      <c r="A1" s="139"/>
      <c r="D1" s="232" t="s">
        <v>1391</v>
      </c>
      <c r="E1" s="232"/>
      <c r="F1" s="232" t="s">
        <v>1392</v>
      </c>
      <c r="G1" s="232"/>
      <c r="J1" s="234" t="s">
        <v>1393</v>
      </c>
      <c r="K1" s="234"/>
      <c r="L1" s="234"/>
      <c r="M1" s="234"/>
      <c r="N1" s="234"/>
      <c r="O1" s="234"/>
      <c r="P1" s="234"/>
      <c r="Q1" s="234"/>
      <c r="R1" s="234"/>
      <c r="S1" s="234"/>
      <c r="T1" s="234"/>
      <c r="V1" s="233" t="s">
        <v>1391</v>
      </c>
      <c r="W1" s="233"/>
      <c r="X1" s="233"/>
      <c r="Y1" s="233"/>
      <c r="Z1" s="233"/>
      <c r="AA1" s="233"/>
      <c r="AC1" s="235" t="s">
        <v>1394</v>
      </c>
      <c r="AD1" s="235"/>
      <c r="AE1" s="235"/>
      <c r="AF1" s="235"/>
      <c r="AG1" s="235"/>
      <c r="AH1" s="235"/>
      <c r="AI1" s="235"/>
      <c r="AJ1" s="235"/>
    </row>
    <row r="2" spans="1:36">
      <c r="A2" s="142" t="str">
        <f>J2</f>
        <v>country</v>
      </c>
      <c r="D2" s="142" t="s">
        <v>1395</v>
      </c>
      <c r="E2" s="142" t="s">
        <v>1396</v>
      </c>
      <c r="F2" s="143" t="s">
        <v>1395</v>
      </c>
      <c r="G2" s="143" t="s">
        <v>1396</v>
      </c>
      <c r="H2" s="142"/>
      <c r="I2" s="142"/>
      <c r="J2" s="142" t="s">
        <v>91</v>
      </c>
      <c r="K2" s="142" t="s">
        <v>1397</v>
      </c>
      <c r="L2" s="142" t="s">
        <v>1398</v>
      </c>
      <c r="M2" s="142" t="s">
        <v>1399</v>
      </c>
      <c r="N2" s="142" t="s">
        <v>1400</v>
      </c>
      <c r="O2" s="142" t="s">
        <v>1401</v>
      </c>
      <c r="P2" s="142" t="s">
        <v>1402</v>
      </c>
      <c r="Q2" s="142" t="s">
        <v>1403</v>
      </c>
      <c r="R2" s="142" t="s">
        <v>1404</v>
      </c>
      <c r="S2" s="144" t="s">
        <v>1395</v>
      </c>
      <c r="T2" s="144" t="s">
        <v>1396</v>
      </c>
      <c r="V2" s="142" t="s">
        <v>91</v>
      </c>
      <c r="W2" s="142" t="s">
        <v>1405</v>
      </c>
      <c r="X2" s="142" t="s">
        <v>1406</v>
      </c>
      <c r="Y2" s="142" t="s">
        <v>116</v>
      </c>
      <c r="Z2" s="144" t="s">
        <v>1395</v>
      </c>
      <c r="AA2" s="144" t="s">
        <v>1396</v>
      </c>
      <c r="AC2" s="142" t="s">
        <v>91</v>
      </c>
      <c r="AD2" s="27" t="s">
        <v>1407</v>
      </c>
      <c r="AE2" s="154" t="s">
        <v>1405</v>
      </c>
      <c r="AF2" s="154" t="s">
        <v>1406</v>
      </c>
      <c r="AG2" s="27" t="s">
        <v>116</v>
      </c>
      <c r="AH2" s="27" t="s">
        <v>1408</v>
      </c>
      <c r="AI2" s="154" t="s">
        <v>1395</v>
      </c>
      <c r="AJ2" s="154" t="s">
        <v>1396</v>
      </c>
    </row>
    <row r="3" spans="1:36">
      <c r="A3" s="145" t="str">
        <f>J3</f>
        <v>Albania</v>
      </c>
      <c r="D3" s="145">
        <f t="shared" ref="D3:D34" si="0">VLOOKUP(J3,$V$3:$AA$184,5,FALSE)</f>
        <v>0.15907185425211301</v>
      </c>
      <c r="E3" s="145">
        <f t="shared" ref="E3:E34" si="1">VLOOKUP(J3,$V$3:$AA$184,6,FALSE)</f>
        <v>0.59187419274432929</v>
      </c>
      <c r="F3" s="146">
        <f>MIN(B3:E3)</f>
        <v>0.15907185425211301</v>
      </c>
      <c r="G3" s="146">
        <f>MAX(B3:E3)</f>
        <v>0.59187419274432929</v>
      </c>
      <c r="J3" s="141" t="s">
        <v>1136</v>
      </c>
      <c r="K3" s="147">
        <v>3259</v>
      </c>
      <c r="L3" s="147">
        <v>2087</v>
      </c>
      <c r="M3" s="147">
        <v>3338</v>
      </c>
      <c r="N3" s="147">
        <v>2761</v>
      </c>
      <c r="O3" s="145">
        <v>0.83</v>
      </c>
      <c r="P3" s="145">
        <v>0.53</v>
      </c>
      <c r="Q3" s="145">
        <v>0.85</v>
      </c>
      <c r="R3" s="145">
        <v>0.7</v>
      </c>
      <c r="S3" s="148">
        <f>MIN(O3:R3)</f>
        <v>0.53</v>
      </c>
      <c r="T3" s="148">
        <f>MAX(O3:R3)</f>
        <v>0.85</v>
      </c>
      <c r="U3" s="145"/>
      <c r="V3" s="141" t="s">
        <v>1133</v>
      </c>
      <c r="W3" s="149">
        <v>19</v>
      </c>
      <c r="X3" s="149">
        <v>349</v>
      </c>
      <c r="Y3" s="149">
        <f t="shared" ref="Y3:Y34" si="2">VLOOKUP(V3,gdppc,55,FALSE)</f>
        <v>638.70000000000005</v>
      </c>
      <c r="Z3" s="150">
        <f>W3/$Y3</f>
        <v>2.9747925473618285E-2</v>
      </c>
      <c r="AA3" s="150">
        <f>X3/$Y3</f>
        <v>0.5464224205417253</v>
      </c>
      <c r="AC3" s="29" t="s">
        <v>1133</v>
      </c>
      <c r="AD3" s="28">
        <v>320</v>
      </c>
      <c r="AE3" s="136">
        <v>101</v>
      </c>
      <c r="AF3" s="136">
        <v>503</v>
      </c>
      <c r="AG3" s="137">
        <f t="shared" ref="AG3:AG34" si="3">VLOOKUP(AC3,gdppc,61,FALSE)</f>
        <v>497.7</v>
      </c>
      <c r="AH3" s="138">
        <f t="shared" ref="AH3:AH34" si="4">AD3/AG3</f>
        <v>0.64295760498292143</v>
      </c>
      <c r="AI3" s="138">
        <f>AE3/AG3</f>
        <v>0.20293349407273459</v>
      </c>
      <c r="AJ3" s="138">
        <f>AF3/AG3</f>
        <v>1.0106489853325296</v>
      </c>
    </row>
    <row r="4" spans="1:36">
      <c r="A4" s="145" t="str">
        <f t="shared" ref="A4:A11" si="5">J4</f>
        <v>Algeria</v>
      </c>
      <c r="D4" s="145">
        <f t="shared" si="0"/>
        <v>0.1674193921948153</v>
      </c>
      <c r="E4" s="145">
        <f t="shared" si="1"/>
        <v>0.61922014326600161</v>
      </c>
      <c r="F4" s="146">
        <f t="shared" ref="F4:F67" si="6">MIN(B4:E4)</f>
        <v>0.1674193921948153</v>
      </c>
      <c r="G4" s="146">
        <f t="shared" ref="G4:G67" si="7">MAX(B4:E4)</f>
        <v>0.61922014326600161</v>
      </c>
      <c r="H4" s="145"/>
      <c r="I4" s="145"/>
      <c r="J4" s="141" t="s">
        <v>294</v>
      </c>
      <c r="K4" s="147">
        <v>4646</v>
      </c>
      <c r="L4" s="147">
        <v>4086</v>
      </c>
      <c r="M4" s="147">
        <v>6485</v>
      </c>
      <c r="N4" s="147">
        <v>5475</v>
      </c>
      <c r="O4" s="145">
        <v>1.1000000000000001</v>
      </c>
      <c r="P4" s="145">
        <v>0.97</v>
      </c>
      <c r="Q4" s="145">
        <v>1.54</v>
      </c>
      <c r="R4" s="145">
        <v>1.3</v>
      </c>
      <c r="S4" s="148">
        <f t="shared" ref="S4:S34" si="8">MIN(O4:R4)</f>
        <v>0.97</v>
      </c>
      <c r="T4" s="148">
        <f t="shared" ref="T4:T34" si="9">MAX(O4:R4)</f>
        <v>1.54</v>
      </c>
      <c r="U4" s="145"/>
      <c r="V4" s="141" t="s">
        <v>1136</v>
      </c>
      <c r="W4" s="149">
        <v>702</v>
      </c>
      <c r="X4" s="149">
        <v>2612</v>
      </c>
      <c r="Y4" s="149">
        <f t="shared" si="2"/>
        <v>4413.1000000000004</v>
      </c>
      <c r="Z4" s="150">
        <f t="shared" ref="Z4:Z67" si="10">W4/$Y4</f>
        <v>0.15907185425211301</v>
      </c>
      <c r="AA4" s="150">
        <f t="shared" ref="AA4:AA67" si="11">X4/$Y4</f>
        <v>0.59187419274432929</v>
      </c>
      <c r="AC4" s="29" t="s">
        <v>294</v>
      </c>
      <c r="AD4" s="28">
        <v>2099</v>
      </c>
      <c r="AE4" s="136">
        <v>1072</v>
      </c>
      <c r="AF4" s="136">
        <v>2663</v>
      </c>
      <c r="AG4" s="137">
        <f t="shared" si="3"/>
        <v>4530.1000000000004</v>
      </c>
      <c r="AH4" s="138">
        <f t="shared" si="4"/>
        <v>0.4633451800181011</v>
      </c>
      <c r="AI4" s="138">
        <f t="shared" ref="AI4:AI67" si="12">AE4/AG4</f>
        <v>0.23663936778437561</v>
      </c>
      <c r="AJ4" s="138">
        <f t="shared" ref="AJ4:AJ67" si="13">AF4/AG4</f>
        <v>0.58784574291958225</v>
      </c>
    </row>
    <row r="5" spans="1:36">
      <c r="A5" s="145" t="str">
        <f t="shared" si="5"/>
        <v>Argentina</v>
      </c>
      <c r="D5" s="145" t="e">
        <f t="shared" si="0"/>
        <v>#N/A</v>
      </c>
      <c r="E5" s="145" t="e">
        <f t="shared" si="1"/>
        <v>#N/A</v>
      </c>
      <c r="F5" s="146" t="e">
        <f t="shared" si="6"/>
        <v>#N/A</v>
      </c>
      <c r="G5" s="146" t="e">
        <f t="shared" si="7"/>
        <v>#N/A</v>
      </c>
      <c r="H5" s="145"/>
      <c r="I5" s="145"/>
      <c r="J5" s="141" t="s">
        <v>221</v>
      </c>
      <c r="K5" s="147">
        <v>6794</v>
      </c>
      <c r="L5" s="147">
        <v>4936</v>
      </c>
      <c r="M5" s="147">
        <v>7469</v>
      </c>
      <c r="N5" s="147">
        <v>6582</v>
      </c>
      <c r="O5" s="145">
        <v>0.51</v>
      </c>
      <c r="P5" s="145">
        <v>0.37</v>
      </c>
      <c r="Q5" s="145">
        <v>0.56000000000000005</v>
      </c>
      <c r="R5" s="145">
        <v>0.49</v>
      </c>
      <c r="S5" s="148">
        <f t="shared" si="8"/>
        <v>0.37</v>
      </c>
      <c r="T5" s="148">
        <f t="shared" si="9"/>
        <v>0.56000000000000005</v>
      </c>
      <c r="U5" s="145"/>
      <c r="V5" s="141" t="s">
        <v>294</v>
      </c>
      <c r="W5" s="149">
        <v>1012</v>
      </c>
      <c r="X5" s="149">
        <v>3743</v>
      </c>
      <c r="Y5" s="149">
        <f t="shared" si="2"/>
        <v>6044.7</v>
      </c>
      <c r="Z5" s="150">
        <f t="shared" si="10"/>
        <v>0.1674193921948153</v>
      </c>
      <c r="AA5" s="150">
        <f t="shared" si="11"/>
        <v>0.61922014326600161</v>
      </c>
      <c r="AC5" s="29" t="s">
        <v>1135</v>
      </c>
      <c r="AD5" s="28">
        <v>462</v>
      </c>
      <c r="AE5" s="136">
        <v>236</v>
      </c>
      <c r="AF5" s="136">
        <v>587</v>
      </c>
      <c r="AG5" s="137">
        <f t="shared" si="3"/>
        <v>2191.3000000000002</v>
      </c>
      <c r="AH5" s="138">
        <f t="shared" si="4"/>
        <v>0.21083375165426912</v>
      </c>
      <c r="AI5" s="138">
        <f t="shared" si="12"/>
        <v>0.10769862638616345</v>
      </c>
      <c r="AJ5" s="138">
        <f t="shared" si="13"/>
        <v>0.26787751562999129</v>
      </c>
    </row>
    <row r="6" spans="1:36">
      <c r="A6" s="145" t="str">
        <f t="shared" si="5"/>
        <v>Armenia</v>
      </c>
      <c r="D6" s="145">
        <f t="shared" si="0"/>
        <v>0.10096003339246583</v>
      </c>
      <c r="E6" s="145">
        <f t="shared" si="1"/>
        <v>0.4698424293018888</v>
      </c>
      <c r="F6" s="146">
        <f t="shared" si="6"/>
        <v>0.10096003339246583</v>
      </c>
      <c r="G6" s="146">
        <f t="shared" si="7"/>
        <v>0.4698424293018888</v>
      </c>
      <c r="H6" s="145"/>
      <c r="I6" s="145"/>
      <c r="J6" s="141" t="s">
        <v>1140</v>
      </c>
      <c r="K6" s="147">
        <v>1312</v>
      </c>
      <c r="L6" s="147">
        <v>954</v>
      </c>
      <c r="M6" s="147">
        <v>1422</v>
      </c>
      <c r="N6" s="147">
        <v>1268</v>
      </c>
      <c r="O6" s="145">
        <v>0.38</v>
      </c>
      <c r="P6" s="145">
        <v>0.27</v>
      </c>
      <c r="Q6" s="145">
        <v>0.41</v>
      </c>
      <c r="R6" s="145">
        <v>0.36</v>
      </c>
      <c r="S6" s="148">
        <f t="shared" si="8"/>
        <v>0.27</v>
      </c>
      <c r="T6" s="148">
        <f t="shared" si="9"/>
        <v>0.41</v>
      </c>
      <c r="U6" s="145"/>
      <c r="V6" s="141" t="s">
        <v>1135</v>
      </c>
      <c r="W6" s="149">
        <v>603</v>
      </c>
      <c r="X6" s="149">
        <v>2897</v>
      </c>
      <c r="Y6" s="149">
        <f t="shared" si="2"/>
        <v>5061.3</v>
      </c>
      <c r="Z6" s="150">
        <f t="shared" si="10"/>
        <v>0.11913935154999704</v>
      </c>
      <c r="AA6" s="150">
        <f t="shared" si="11"/>
        <v>0.57238258945330245</v>
      </c>
      <c r="AC6" s="29" t="s">
        <v>1142</v>
      </c>
      <c r="AD6" s="28">
        <v>6302</v>
      </c>
      <c r="AE6" s="136">
        <v>5364</v>
      </c>
      <c r="AF6" s="136">
        <v>7893</v>
      </c>
      <c r="AG6" s="137">
        <f t="shared" si="3"/>
        <v>18730</v>
      </c>
      <c r="AH6" s="138">
        <f t="shared" si="4"/>
        <v>0.33646556326748533</v>
      </c>
      <c r="AI6" s="138">
        <f t="shared" si="12"/>
        <v>0.28638547784303259</v>
      </c>
      <c r="AJ6" s="138">
        <f t="shared" si="13"/>
        <v>0.42140950347036837</v>
      </c>
    </row>
    <row r="7" spans="1:36">
      <c r="A7" s="145" t="str">
        <f t="shared" si="5"/>
        <v>Azerbaijan</v>
      </c>
      <c r="D7" s="145">
        <f t="shared" si="0"/>
        <v>0.24138762967759958</v>
      </c>
      <c r="E7" s="145">
        <f t="shared" si="1"/>
        <v>0.64137239216283826</v>
      </c>
      <c r="F7" s="146">
        <f t="shared" si="6"/>
        <v>0.24138762967759958</v>
      </c>
      <c r="G7" s="146">
        <f t="shared" si="7"/>
        <v>0.64137239216283826</v>
      </c>
      <c r="H7" s="145"/>
      <c r="I7" s="145"/>
      <c r="J7" s="141" t="s">
        <v>1145</v>
      </c>
      <c r="K7" s="147">
        <v>1599</v>
      </c>
      <c r="L7" s="147">
        <v>1345</v>
      </c>
      <c r="M7" s="147">
        <v>1954</v>
      </c>
      <c r="N7" s="147">
        <v>1794</v>
      </c>
      <c r="O7" s="145">
        <v>0.28999999999999998</v>
      </c>
      <c r="P7" s="145">
        <v>0.24</v>
      </c>
      <c r="Q7" s="145">
        <v>0.36</v>
      </c>
      <c r="R7" s="145">
        <v>0.33</v>
      </c>
      <c r="S7" s="148">
        <f t="shared" si="8"/>
        <v>0.24</v>
      </c>
      <c r="T7" s="148">
        <f t="shared" si="9"/>
        <v>0.36</v>
      </c>
      <c r="U7" s="145"/>
      <c r="V7" s="141" t="s">
        <v>1142</v>
      </c>
      <c r="W7" s="149">
        <v>3965</v>
      </c>
      <c r="X7" s="149">
        <v>8090</v>
      </c>
      <c r="Y7" s="149">
        <f t="shared" si="2"/>
        <v>14977.1</v>
      </c>
      <c r="Z7" s="150">
        <f t="shared" si="10"/>
        <v>0.26473749924885326</v>
      </c>
      <c r="AA7" s="150">
        <f t="shared" si="11"/>
        <v>0.5401579745077485</v>
      </c>
      <c r="AC7" s="29" t="s">
        <v>221</v>
      </c>
      <c r="AD7" s="28">
        <v>9329</v>
      </c>
      <c r="AE7" s="136">
        <v>6805</v>
      </c>
      <c r="AF7" s="136">
        <v>16419</v>
      </c>
      <c r="AG7" s="137">
        <f t="shared" si="3"/>
        <v>9963.7000000000007</v>
      </c>
      <c r="AH7" s="138">
        <f t="shared" si="4"/>
        <v>0.93629876451519012</v>
      </c>
      <c r="AI7" s="138">
        <f t="shared" si="12"/>
        <v>0.68297921454881216</v>
      </c>
      <c r="AJ7" s="138">
        <f t="shared" si="13"/>
        <v>1.6478818109738349</v>
      </c>
    </row>
    <row r="8" spans="1:36">
      <c r="A8" s="145" t="str">
        <f t="shared" si="5"/>
        <v>Bangladesh</v>
      </c>
      <c r="D8" s="145">
        <f t="shared" si="0"/>
        <v>3.0807147258163897E-2</v>
      </c>
      <c r="E8" s="145">
        <f t="shared" si="1"/>
        <v>0.43848839597453276</v>
      </c>
      <c r="F8" s="146">
        <f t="shared" si="6"/>
        <v>3.0807147258163897E-2</v>
      </c>
      <c r="G8" s="146">
        <f t="shared" si="7"/>
        <v>0.43848839597453276</v>
      </c>
      <c r="H8" s="145"/>
      <c r="I8" s="145"/>
      <c r="J8" s="141" t="s">
        <v>1150</v>
      </c>
      <c r="K8" s="147">
        <v>132</v>
      </c>
      <c r="L8" s="147">
        <v>114</v>
      </c>
      <c r="M8" s="147">
        <v>165</v>
      </c>
      <c r="N8" s="147">
        <v>151</v>
      </c>
      <c r="O8" s="145">
        <v>0.11</v>
      </c>
      <c r="P8" s="145">
        <v>0.09</v>
      </c>
      <c r="Q8" s="145">
        <v>0.14000000000000001</v>
      </c>
      <c r="R8" s="145">
        <v>0.12</v>
      </c>
      <c r="S8" s="148">
        <f t="shared" si="8"/>
        <v>0.09</v>
      </c>
      <c r="T8" s="148">
        <f t="shared" si="9"/>
        <v>0.14000000000000001</v>
      </c>
      <c r="U8" s="145"/>
      <c r="V8" s="141" t="s">
        <v>1140</v>
      </c>
      <c r="W8" s="149">
        <v>387</v>
      </c>
      <c r="X8" s="149">
        <v>1801</v>
      </c>
      <c r="Y8" s="149">
        <f t="shared" si="2"/>
        <v>3833.2</v>
      </c>
      <c r="Z8" s="150">
        <f t="shared" si="10"/>
        <v>0.10096003339246583</v>
      </c>
      <c r="AA8" s="150">
        <f t="shared" si="11"/>
        <v>0.4698424293018888</v>
      </c>
      <c r="AC8" s="29" t="s">
        <v>1140</v>
      </c>
      <c r="AD8" s="28">
        <v>4958</v>
      </c>
      <c r="AE8" s="136">
        <v>3616</v>
      </c>
      <c r="AF8" s="136">
        <v>8726</v>
      </c>
      <c r="AG8" s="137">
        <f t="shared" si="3"/>
        <v>4828.5</v>
      </c>
      <c r="AH8" s="138">
        <f t="shared" si="4"/>
        <v>1.0268199233716475</v>
      </c>
      <c r="AI8" s="138">
        <f t="shared" si="12"/>
        <v>0.74888681785233513</v>
      </c>
      <c r="AJ8" s="138">
        <f t="shared" si="13"/>
        <v>1.8071864968416693</v>
      </c>
    </row>
    <row r="9" spans="1:36">
      <c r="A9" s="145" t="str">
        <f t="shared" si="5"/>
        <v>Belarus</v>
      </c>
      <c r="D9" s="145">
        <f t="shared" si="0"/>
        <v>0.23693127117690452</v>
      </c>
      <c r="E9" s="145">
        <f t="shared" si="1"/>
        <v>0.60726922644127979</v>
      </c>
      <c r="F9" s="146">
        <f t="shared" si="6"/>
        <v>0.23693127117690452</v>
      </c>
      <c r="G9" s="146">
        <f t="shared" si="7"/>
        <v>0.60726922644127979</v>
      </c>
      <c r="H9" s="145"/>
      <c r="I9" s="145"/>
      <c r="J9" s="141" t="s">
        <v>1155</v>
      </c>
      <c r="K9" s="147">
        <v>4967</v>
      </c>
      <c r="L9" s="147">
        <v>3113</v>
      </c>
      <c r="M9" s="147">
        <v>4225</v>
      </c>
      <c r="N9" s="147">
        <v>4074</v>
      </c>
      <c r="O9" s="145">
        <v>0.87</v>
      </c>
      <c r="P9" s="145">
        <v>0.54</v>
      </c>
      <c r="Q9" s="145">
        <v>0.74</v>
      </c>
      <c r="R9" s="145">
        <v>0.71</v>
      </c>
      <c r="S9" s="148">
        <f t="shared" si="8"/>
        <v>0.54</v>
      </c>
      <c r="T9" s="148">
        <f t="shared" si="9"/>
        <v>0.87</v>
      </c>
      <c r="U9" s="145"/>
      <c r="V9" s="141" t="s">
        <v>1143</v>
      </c>
      <c r="W9" s="149">
        <v>32771</v>
      </c>
      <c r="X9" s="149">
        <v>41732</v>
      </c>
      <c r="Y9" s="149">
        <f t="shared" si="2"/>
        <v>68198.399999999994</v>
      </c>
      <c r="Z9" s="150">
        <f t="shared" si="10"/>
        <v>0.4805244697822823</v>
      </c>
      <c r="AA9" s="150">
        <f t="shared" si="11"/>
        <v>0.6119205142642643</v>
      </c>
      <c r="AC9" s="29" t="s">
        <v>1143</v>
      </c>
      <c r="AD9" s="28">
        <v>49211</v>
      </c>
      <c r="AE9" s="136">
        <v>41884</v>
      </c>
      <c r="AF9" s="136">
        <v>61634</v>
      </c>
      <c r="AG9" s="137">
        <f t="shared" si="3"/>
        <v>55049.599999999999</v>
      </c>
      <c r="AH9" s="138">
        <f t="shared" si="4"/>
        <v>0.89393928384584087</v>
      </c>
      <c r="AI9" s="138">
        <f t="shared" si="12"/>
        <v>0.76084113236063478</v>
      </c>
      <c r="AJ9" s="138">
        <f t="shared" si="13"/>
        <v>1.1196084985177004</v>
      </c>
    </row>
    <row r="10" spans="1:36">
      <c r="A10" s="145" t="str">
        <f t="shared" si="5"/>
        <v>Belize</v>
      </c>
      <c r="D10" s="145">
        <f t="shared" si="0"/>
        <v>9.9565254454010738E-2</v>
      </c>
      <c r="E10" s="145">
        <f t="shared" si="1"/>
        <v>0.42673258886710425</v>
      </c>
      <c r="F10" s="146">
        <f t="shared" si="6"/>
        <v>9.9565254454010738E-2</v>
      </c>
      <c r="G10" s="146">
        <f t="shared" si="7"/>
        <v>0.42673258886710425</v>
      </c>
      <c r="H10" s="145"/>
      <c r="I10" s="145"/>
      <c r="J10" s="141" t="s">
        <v>1156</v>
      </c>
      <c r="K10" s="147">
        <v>4808</v>
      </c>
      <c r="L10" s="147">
        <v>2935</v>
      </c>
      <c r="M10" s="147">
        <v>4378</v>
      </c>
      <c r="N10" s="147">
        <v>3879</v>
      </c>
      <c r="O10" s="145">
        <v>0.99</v>
      </c>
      <c r="P10" s="145">
        <v>0.6</v>
      </c>
      <c r="Q10" s="145">
        <v>0.9</v>
      </c>
      <c r="R10" s="145">
        <v>0.8</v>
      </c>
      <c r="S10" s="148">
        <f t="shared" si="8"/>
        <v>0.6</v>
      </c>
      <c r="T10" s="148">
        <f t="shared" si="9"/>
        <v>0.99</v>
      </c>
      <c r="U10" s="145"/>
      <c r="V10" s="141" t="s">
        <v>1144</v>
      </c>
      <c r="W10" s="149">
        <v>23727</v>
      </c>
      <c r="X10" s="149">
        <v>30759</v>
      </c>
      <c r="Y10" s="149">
        <f t="shared" si="2"/>
        <v>50731.1</v>
      </c>
      <c r="Z10" s="150">
        <f t="shared" si="10"/>
        <v>0.46770127200080425</v>
      </c>
      <c r="AA10" s="150">
        <f t="shared" si="11"/>
        <v>0.60631446982225889</v>
      </c>
      <c r="AC10" s="29" t="s">
        <v>1144</v>
      </c>
      <c r="AD10" s="28">
        <v>46380</v>
      </c>
      <c r="AE10" s="136">
        <v>39475</v>
      </c>
      <c r="AF10" s="136">
        <v>58089</v>
      </c>
      <c r="AG10" s="137">
        <f t="shared" si="3"/>
        <v>50067.6</v>
      </c>
      <c r="AH10" s="138">
        <f t="shared" si="4"/>
        <v>0.92634757807444335</v>
      </c>
      <c r="AI10" s="138">
        <f t="shared" si="12"/>
        <v>0.78843403718173033</v>
      </c>
      <c r="AJ10" s="138">
        <f t="shared" si="13"/>
        <v>1.1602113941950483</v>
      </c>
    </row>
    <row r="11" spans="1:36">
      <c r="A11" s="145" t="str">
        <f t="shared" si="5"/>
        <v>Benin</v>
      </c>
      <c r="D11" s="145">
        <f t="shared" si="0"/>
        <v>1.647039446594746E-2</v>
      </c>
      <c r="E11" s="145">
        <f t="shared" si="1"/>
        <v>0.34093716544511243</v>
      </c>
      <c r="F11" s="146">
        <f t="shared" si="6"/>
        <v>1.647039446594746E-2</v>
      </c>
      <c r="G11" s="146">
        <f t="shared" si="7"/>
        <v>0.34093716544511243</v>
      </c>
      <c r="H11" s="145"/>
      <c r="I11" s="145"/>
      <c r="J11" s="141" t="s">
        <v>1148</v>
      </c>
      <c r="K11" s="147">
        <v>200</v>
      </c>
      <c r="L11" s="147">
        <v>171</v>
      </c>
      <c r="M11" s="147">
        <v>202</v>
      </c>
      <c r="N11" s="147">
        <v>223</v>
      </c>
      <c r="O11" s="145">
        <v>0.26</v>
      </c>
      <c r="P11" s="145">
        <v>0.22</v>
      </c>
      <c r="Q11" s="145">
        <v>0.26</v>
      </c>
      <c r="R11" s="145">
        <v>0.28999999999999998</v>
      </c>
      <c r="S11" s="148">
        <f t="shared" si="8"/>
        <v>0.22</v>
      </c>
      <c r="T11" s="148">
        <f t="shared" si="9"/>
        <v>0.28999999999999998</v>
      </c>
      <c r="U11" s="145"/>
      <c r="V11" s="141" t="s">
        <v>1145</v>
      </c>
      <c r="W11" s="149">
        <v>1901</v>
      </c>
      <c r="X11" s="149">
        <v>5051</v>
      </c>
      <c r="Y11" s="149">
        <f t="shared" si="2"/>
        <v>7875.3</v>
      </c>
      <c r="Z11" s="150">
        <f t="shared" si="10"/>
        <v>0.24138762967759958</v>
      </c>
      <c r="AA11" s="150">
        <f t="shared" si="11"/>
        <v>0.64137239216283826</v>
      </c>
      <c r="AC11" s="29" t="s">
        <v>1145</v>
      </c>
      <c r="AD11" s="28">
        <v>1821</v>
      </c>
      <c r="AE11" s="136">
        <v>1329</v>
      </c>
      <c r="AF11" s="136">
        <v>3206</v>
      </c>
      <c r="AG11" s="137">
        <f t="shared" si="3"/>
        <v>4805.8</v>
      </c>
      <c r="AH11" s="138">
        <f t="shared" si="4"/>
        <v>0.37891714178700736</v>
      </c>
      <c r="AI11" s="138">
        <f t="shared" si="12"/>
        <v>0.27654084647717342</v>
      </c>
      <c r="AJ11" s="138">
        <f t="shared" si="13"/>
        <v>0.66711057472221069</v>
      </c>
    </row>
    <row r="12" spans="1:36">
      <c r="A12" s="145" t="str">
        <f t="shared" ref="A12:A43" si="14">J12</f>
        <v>Bolivia</v>
      </c>
      <c r="D12" s="145">
        <f t="shared" si="0"/>
        <v>8.7602494919055293E-2</v>
      </c>
      <c r="E12" s="145">
        <f t="shared" si="1"/>
        <v>0.51650431004274999</v>
      </c>
      <c r="F12" s="146">
        <f t="shared" si="6"/>
        <v>8.7602494919055293E-2</v>
      </c>
      <c r="G12" s="146">
        <f t="shared" si="7"/>
        <v>0.51650431004274999</v>
      </c>
      <c r="H12" s="145"/>
      <c r="I12" s="145"/>
      <c r="J12" s="141" t="s">
        <v>1158</v>
      </c>
      <c r="K12" s="147">
        <v>2505</v>
      </c>
      <c r="L12" s="147">
        <v>2106</v>
      </c>
      <c r="M12" s="147">
        <v>3053</v>
      </c>
      <c r="N12" s="147">
        <v>2799</v>
      </c>
      <c r="O12" s="145">
        <v>0.81</v>
      </c>
      <c r="P12" s="145">
        <v>0.68</v>
      </c>
      <c r="Q12" s="145">
        <v>0.99</v>
      </c>
      <c r="R12" s="145">
        <v>0.91</v>
      </c>
      <c r="S12" s="148">
        <f t="shared" si="8"/>
        <v>0.68</v>
      </c>
      <c r="T12" s="148">
        <f t="shared" si="9"/>
        <v>0.99</v>
      </c>
      <c r="U12" s="145"/>
      <c r="V12" s="141" t="s">
        <v>1152</v>
      </c>
      <c r="W12" s="149">
        <v>11962</v>
      </c>
      <c r="X12" s="149">
        <v>15358</v>
      </c>
      <c r="Y12" s="149">
        <f t="shared" si="2"/>
        <v>25790.7</v>
      </c>
      <c r="Z12" s="150">
        <f t="shared" si="10"/>
        <v>0.46381059839399474</v>
      </c>
      <c r="AA12" s="150">
        <f t="shared" si="11"/>
        <v>0.59548596974878543</v>
      </c>
      <c r="AC12" s="29" t="s">
        <v>1153</v>
      </c>
      <c r="AD12" s="28">
        <v>15932</v>
      </c>
      <c r="AE12" s="136">
        <v>13561</v>
      </c>
      <c r="AF12" s="136">
        <v>19954</v>
      </c>
      <c r="AG12" s="137">
        <f t="shared" si="3"/>
        <v>32174</v>
      </c>
      <c r="AH12" s="138">
        <f t="shared" si="4"/>
        <v>0.49518244545285012</v>
      </c>
      <c r="AI12" s="138">
        <f t="shared" si="12"/>
        <v>0.4214894013799963</v>
      </c>
      <c r="AJ12" s="138">
        <f t="shared" si="13"/>
        <v>0.62019021570211974</v>
      </c>
    </row>
    <row r="13" spans="1:36">
      <c r="A13" s="145" t="str">
        <f t="shared" si="14"/>
        <v>Botswana</v>
      </c>
      <c r="D13" s="145">
        <f t="shared" si="0"/>
        <v>0.25184103408631886</v>
      </c>
      <c r="E13" s="145">
        <f t="shared" si="1"/>
        <v>0.75179442562843735</v>
      </c>
      <c r="F13" s="146">
        <f t="shared" si="6"/>
        <v>0.25184103408631886</v>
      </c>
      <c r="G13" s="146">
        <f t="shared" si="7"/>
        <v>0.75179442562843735</v>
      </c>
      <c r="H13" s="145"/>
      <c r="I13" s="145"/>
      <c r="J13" s="141" t="s">
        <v>1161</v>
      </c>
      <c r="K13" s="147">
        <v>3411</v>
      </c>
      <c r="L13" s="147">
        <v>2097</v>
      </c>
      <c r="M13" s="147">
        <v>2629</v>
      </c>
      <c r="N13" s="147">
        <v>2702</v>
      </c>
      <c r="O13" s="145">
        <v>0.54</v>
      </c>
      <c r="P13" s="145">
        <v>0.33</v>
      </c>
      <c r="Q13" s="145">
        <v>0.41</v>
      </c>
      <c r="R13" s="145">
        <v>0.42</v>
      </c>
      <c r="S13" s="148">
        <f t="shared" si="8"/>
        <v>0.33</v>
      </c>
      <c r="T13" s="148">
        <f t="shared" si="9"/>
        <v>0.54</v>
      </c>
      <c r="U13" s="145"/>
      <c r="V13" s="141" t="s">
        <v>1150</v>
      </c>
      <c r="W13" s="149">
        <v>30</v>
      </c>
      <c r="X13" s="149">
        <v>427</v>
      </c>
      <c r="Y13" s="149">
        <f t="shared" si="2"/>
        <v>973.8</v>
      </c>
      <c r="Z13" s="150">
        <f t="shared" si="10"/>
        <v>3.0807147258163897E-2</v>
      </c>
      <c r="AA13" s="150">
        <f t="shared" si="11"/>
        <v>0.43848839597453276</v>
      </c>
      <c r="AC13" s="29" t="s">
        <v>1152</v>
      </c>
      <c r="AD13" s="28">
        <v>7981</v>
      </c>
      <c r="AE13" s="136">
        <v>6793</v>
      </c>
      <c r="AF13" s="136">
        <v>9996</v>
      </c>
      <c r="AG13" s="137">
        <f t="shared" si="3"/>
        <v>25869.1</v>
      </c>
      <c r="AH13" s="138">
        <f t="shared" si="4"/>
        <v>0.30851479177860847</v>
      </c>
      <c r="AI13" s="138">
        <f t="shared" si="12"/>
        <v>0.26259127685153333</v>
      </c>
      <c r="AJ13" s="138">
        <f t="shared" si="13"/>
        <v>0.38640694883084453</v>
      </c>
    </row>
    <row r="14" spans="1:36">
      <c r="A14" s="145" t="str">
        <f t="shared" si="14"/>
        <v>Brazil</v>
      </c>
      <c r="D14" s="145">
        <f t="shared" si="0"/>
        <v>0.19520989346254874</v>
      </c>
      <c r="E14" s="145">
        <f t="shared" si="1"/>
        <v>0.61540469547909216</v>
      </c>
      <c r="F14" s="146">
        <f t="shared" si="6"/>
        <v>0.19520989346254874</v>
      </c>
      <c r="G14" s="146">
        <f t="shared" si="7"/>
        <v>0.61540469547909216</v>
      </c>
      <c r="H14" s="145"/>
      <c r="I14" s="145"/>
      <c r="J14" s="141" t="s">
        <v>211</v>
      </c>
      <c r="K14" s="147">
        <v>8397</v>
      </c>
      <c r="L14" s="147">
        <v>6048</v>
      </c>
      <c r="M14" s="147">
        <v>9318</v>
      </c>
      <c r="N14" s="147">
        <v>8047</v>
      </c>
      <c r="O14" s="145">
        <v>0.98</v>
      </c>
      <c r="P14" s="145">
        <v>0.71</v>
      </c>
      <c r="Q14" s="145">
        <v>1.0900000000000001</v>
      </c>
      <c r="R14" s="145">
        <v>0.94</v>
      </c>
      <c r="S14" s="148">
        <f t="shared" si="8"/>
        <v>0.71</v>
      </c>
      <c r="T14" s="148">
        <f t="shared" si="9"/>
        <v>1.0900000000000001</v>
      </c>
      <c r="U14" s="145"/>
      <c r="V14" s="141" t="s">
        <v>1155</v>
      </c>
      <c r="W14" s="149">
        <v>1895</v>
      </c>
      <c r="X14" s="149">
        <v>4857</v>
      </c>
      <c r="Y14" s="149">
        <f t="shared" si="2"/>
        <v>7998.1</v>
      </c>
      <c r="Z14" s="150">
        <f t="shared" si="10"/>
        <v>0.23693127117690452</v>
      </c>
      <c r="AA14" s="150">
        <f t="shared" si="11"/>
        <v>0.60726922644127979</v>
      </c>
      <c r="AC14" s="29" t="s">
        <v>1150</v>
      </c>
      <c r="AD14" s="28">
        <v>357</v>
      </c>
      <c r="AE14" s="136">
        <v>182</v>
      </c>
      <c r="AF14" s="136">
        <v>453</v>
      </c>
      <c r="AG14" s="137">
        <f t="shared" si="3"/>
        <v>2122</v>
      </c>
      <c r="AH14" s="138">
        <f t="shared" si="4"/>
        <v>0.16823751178133836</v>
      </c>
      <c r="AI14" s="138">
        <f t="shared" si="12"/>
        <v>8.5768143261074459E-2</v>
      </c>
      <c r="AJ14" s="138">
        <f t="shared" si="13"/>
        <v>0.21347785108388312</v>
      </c>
    </row>
    <row r="15" spans="1:36">
      <c r="A15" s="145" t="str">
        <f t="shared" si="14"/>
        <v>Bulgaria</v>
      </c>
      <c r="D15" s="145">
        <f t="shared" si="0"/>
        <v>0.22373401667598891</v>
      </c>
      <c r="E15" s="145">
        <f t="shared" si="1"/>
        <v>0.65364153127723512</v>
      </c>
      <c r="F15" s="146">
        <f t="shared" si="6"/>
        <v>0.22373401667598891</v>
      </c>
      <c r="G15" s="146">
        <f t="shared" si="7"/>
        <v>0.65364153127723512</v>
      </c>
      <c r="H15" s="145"/>
      <c r="I15" s="145"/>
      <c r="J15" s="141" t="s">
        <v>1151</v>
      </c>
      <c r="K15" s="147">
        <v>5952</v>
      </c>
      <c r="L15" s="147">
        <v>4067</v>
      </c>
      <c r="M15" s="147">
        <v>5787</v>
      </c>
      <c r="N15" s="147">
        <v>5339</v>
      </c>
      <c r="O15" s="145">
        <v>0.85</v>
      </c>
      <c r="P15" s="145">
        <v>0.57999999999999996</v>
      </c>
      <c r="Q15" s="145">
        <v>0.83</v>
      </c>
      <c r="R15" s="145">
        <v>0.76</v>
      </c>
      <c r="S15" s="148">
        <f t="shared" si="8"/>
        <v>0.57999999999999996</v>
      </c>
      <c r="T15" s="148">
        <f t="shared" si="9"/>
        <v>0.85</v>
      </c>
      <c r="U15" s="145"/>
      <c r="V15" s="141" t="s">
        <v>1147</v>
      </c>
      <c r="W15" s="149">
        <v>22570</v>
      </c>
      <c r="X15" s="149">
        <v>26003</v>
      </c>
      <c r="Y15" s="149">
        <f t="shared" si="2"/>
        <v>46758</v>
      </c>
      <c r="Z15" s="150">
        <f t="shared" si="10"/>
        <v>0.48269814791051796</v>
      </c>
      <c r="AA15" s="150">
        <f t="shared" si="11"/>
        <v>0.55611873903930875</v>
      </c>
      <c r="AC15" s="29" t="s">
        <v>1159</v>
      </c>
      <c r="AD15" s="28">
        <v>10017</v>
      </c>
      <c r="AE15" s="136">
        <v>8526</v>
      </c>
      <c r="AF15" s="136">
        <v>12545</v>
      </c>
      <c r="AG15" s="137">
        <f t="shared" si="3"/>
        <v>19156</v>
      </c>
      <c r="AH15" s="138">
        <f t="shared" si="4"/>
        <v>0.52291710169137606</v>
      </c>
      <c r="AI15" s="138">
        <f t="shared" si="12"/>
        <v>0.44508248068490291</v>
      </c>
      <c r="AJ15" s="138">
        <f t="shared" si="13"/>
        <v>0.65488619753602006</v>
      </c>
    </row>
    <row r="16" spans="1:36">
      <c r="A16" s="145" t="str">
        <f t="shared" si="14"/>
        <v>Burkina Faso</v>
      </c>
      <c r="D16" s="145">
        <f t="shared" si="0"/>
        <v>2.2300931391840483E-2</v>
      </c>
      <c r="E16" s="145">
        <f t="shared" si="1"/>
        <v>0.49717958808867901</v>
      </c>
      <c r="F16" s="146">
        <f t="shared" si="6"/>
        <v>2.2300931391840483E-2</v>
      </c>
      <c r="G16" s="146">
        <f t="shared" si="7"/>
        <v>0.49717958808867901</v>
      </c>
      <c r="H16" s="145"/>
      <c r="I16" s="145"/>
      <c r="J16" s="141" t="s">
        <v>1149</v>
      </c>
      <c r="K16" s="147">
        <v>138</v>
      </c>
      <c r="L16" s="147">
        <v>139</v>
      </c>
      <c r="M16" s="147">
        <v>155</v>
      </c>
      <c r="N16" s="147">
        <v>182</v>
      </c>
      <c r="O16" s="145">
        <v>0.23</v>
      </c>
      <c r="P16" s="145">
        <v>0.24</v>
      </c>
      <c r="Q16" s="145">
        <v>0.26</v>
      </c>
      <c r="R16" s="145">
        <v>0.31</v>
      </c>
      <c r="S16" s="148">
        <f t="shared" si="8"/>
        <v>0.23</v>
      </c>
      <c r="T16" s="148">
        <f t="shared" si="9"/>
        <v>0.31</v>
      </c>
      <c r="U16" s="145"/>
      <c r="V16" s="141" t="s">
        <v>1156</v>
      </c>
      <c r="W16" s="149">
        <v>584</v>
      </c>
      <c r="X16" s="149">
        <v>2503</v>
      </c>
      <c r="Y16" s="149">
        <f t="shared" si="2"/>
        <v>5865.5</v>
      </c>
      <c r="Z16" s="150">
        <f t="shared" si="10"/>
        <v>9.9565254454010738E-2</v>
      </c>
      <c r="AA16" s="150">
        <f t="shared" si="11"/>
        <v>0.42673258886710425</v>
      </c>
      <c r="AC16" s="29" t="s">
        <v>1155</v>
      </c>
      <c r="AD16" s="28">
        <v>3757</v>
      </c>
      <c r="AE16" s="136">
        <v>2741</v>
      </c>
      <c r="AF16" s="136">
        <v>6613</v>
      </c>
      <c r="AG16" s="137">
        <f t="shared" si="3"/>
        <v>6837.8</v>
      </c>
      <c r="AH16" s="138">
        <f t="shared" si="4"/>
        <v>0.54944572815817949</v>
      </c>
      <c r="AI16" s="138">
        <f t="shared" si="12"/>
        <v>0.40085992570709877</v>
      </c>
      <c r="AJ16" s="138">
        <f t="shared" si="13"/>
        <v>0.96712392874901276</v>
      </c>
    </row>
    <row r="17" spans="1:36">
      <c r="A17" s="145" t="str">
        <f t="shared" si="14"/>
        <v>Burundi</v>
      </c>
      <c r="D17" s="145">
        <f t="shared" si="0"/>
        <v>1.2422360248447204E-2</v>
      </c>
      <c r="E17" s="145">
        <f t="shared" si="1"/>
        <v>0.56728778467908902</v>
      </c>
      <c r="F17" s="146">
        <f t="shared" si="6"/>
        <v>1.2422360248447204E-2</v>
      </c>
      <c r="G17" s="146">
        <f t="shared" si="7"/>
        <v>0.56728778467908902</v>
      </c>
      <c r="H17" s="145"/>
      <c r="I17" s="145"/>
      <c r="J17" s="141" t="s">
        <v>1146</v>
      </c>
      <c r="K17" s="147">
        <v>107</v>
      </c>
      <c r="L17" s="147">
        <v>99</v>
      </c>
      <c r="M17" s="147">
        <v>113</v>
      </c>
      <c r="N17" s="147">
        <v>131</v>
      </c>
      <c r="O17" s="145">
        <v>0.38</v>
      </c>
      <c r="P17" s="145">
        <v>0.36</v>
      </c>
      <c r="Q17" s="145">
        <v>0.41</v>
      </c>
      <c r="R17" s="145">
        <v>0.47</v>
      </c>
      <c r="S17" s="148">
        <f t="shared" si="8"/>
        <v>0.36</v>
      </c>
      <c r="T17" s="148">
        <f t="shared" si="9"/>
        <v>0.47</v>
      </c>
      <c r="U17" s="145"/>
      <c r="V17" s="141" t="s">
        <v>1148</v>
      </c>
      <c r="W17" s="149">
        <v>20</v>
      </c>
      <c r="X17" s="149">
        <v>414</v>
      </c>
      <c r="Y17" s="149">
        <f t="shared" si="2"/>
        <v>1214.3</v>
      </c>
      <c r="Z17" s="150">
        <f t="shared" si="10"/>
        <v>1.647039446594746E-2</v>
      </c>
      <c r="AA17" s="150">
        <f t="shared" si="11"/>
        <v>0.34093716544511243</v>
      </c>
      <c r="AC17" s="29" t="s">
        <v>1147</v>
      </c>
      <c r="AD17" s="28">
        <v>44231</v>
      </c>
      <c r="AE17" s="136">
        <v>37646</v>
      </c>
      <c r="AF17" s="136">
        <v>55397</v>
      </c>
      <c r="AG17" s="137">
        <f t="shared" si="3"/>
        <v>46641.7</v>
      </c>
      <c r="AH17" s="138">
        <f t="shared" si="4"/>
        <v>0.94831449110988675</v>
      </c>
      <c r="AI17" s="138">
        <f t="shared" si="12"/>
        <v>0.80713181552130397</v>
      </c>
      <c r="AJ17" s="138">
        <f t="shared" si="13"/>
        <v>1.187713998417725</v>
      </c>
    </row>
    <row r="18" spans="1:36">
      <c r="A18" s="145" t="str">
        <f t="shared" si="14"/>
        <v>Cambodia</v>
      </c>
      <c r="D18" s="145">
        <f t="shared" si="0"/>
        <v>4.3341213553979512E-2</v>
      </c>
      <c r="E18" s="145">
        <f t="shared" si="1"/>
        <v>0.51024428684003154</v>
      </c>
      <c r="F18" s="146">
        <f t="shared" si="6"/>
        <v>4.3341213553979512E-2</v>
      </c>
      <c r="G18" s="146">
        <f t="shared" si="7"/>
        <v>0.51024428684003154</v>
      </c>
      <c r="H18" s="145"/>
      <c r="I18" s="145"/>
      <c r="J18" s="141" t="s">
        <v>1236</v>
      </c>
      <c r="K18" s="147">
        <v>276</v>
      </c>
      <c r="L18" s="147">
        <v>189</v>
      </c>
      <c r="M18" s="147">
        <v>262</v>
      </c>
      <c r="N18" s="147">
        <v>248</v>
      </c>
      <c r="O18" s="145">
        <v>0.24</v>
      </c>
      <c r="P18" s="145">
        <v>0.16</v>
      </c>
      <c r="Q18" s="145">
        <v>0.23</v>
      </c>
      <c r="R18" s="145">
        <v>0.21</v>
      </c>
      <c r="S18" s="148">
        <f t="shared" si="8"/>
        <v>0.16</v>
      </c>
      <c r="T18" s="148">
        <f t="shared" si="9"/>
        <v>0.24</v>
      </c>
      <c r="U18" s="145"/>
      <c r="V18" s="141" t="s">
        <v>209</v>
      </c>
      <c r="W18" s="149">
        <v>267</v>
      </c>
      <c r="X18" s="149">
        <v>1258</v>
      </c>
      <c r="Y18" s="149">
        <f t="shared" si="2"/>
        <v>2624.8</v>
      </c>
      <c r="Z18" s="150">
        <f t="shared" si="10"/>
        <v>0.10172203596464492</v>
      </c>
      <c r="AA18" s="150">
        <f t="shared" si="11"/>
        <v>0.47927461139896371</v>
      </c>
      <c r="AC18" s="29" t="s">
        <v>1156</v>
      </c>
      <c r="AD18" s="28">
        <v>2819</v>
      </c>
      <c r="AE18" s="136">
        <v>2056</v>
      </c>
      <c r="AF18" s="136">
        <v>4961</v>
      </c>
      <c r="AG18" s="137">
        <f t="shared" si="3"/>
        <v>6134.2</v>
      </c>
      <c r="AH18" s="138">
        <f t="shared" si="4"/>
        <v>0.45955462815037007</v>
      </c>
      <c r="AI18" s="138">
        <f t="shared" si="12"/>
        <v>0.33517003032180237</v>
      </c>
      <c r="AJ18" s="138">
        <f t="shared" si="13"/>
        <v>0.80874441654983542</v>
      </c>
    </row>
    <row r="19" spans="1:36">
      <c r="A19" s="145" t="str">
        <f t="shared" si="14"/>
        <v>Cameroon</v>
      </c>
      <c r="D19" s="145">
        <f t="shared" si="0"/>
        <v>3.1428388172663718E-2</v>
      </c>
      <c r="E19" s="145">
        <f t="shared" si="1"/>
        <v>0.41947277275351169</v>
      </c>
      <c r="F19" s="146">
        <f t="shared" si="6"/>
        <v>3.1428388172663718E-2</v>
      </c>
      <c r="G19" s="146">
        <f t="shared" si="7"/>
        <v>0.41947277275351169</v>
      </c>
      <c r="H19" s="145"/>
      <c r="I19" s="145"/>
      <c r="J19" s="141" t="s">
        <v>1169</v>
      </c>
      <c r="K19" s="147">
        <v>112</v>
      </c>
      <c r="L19" s="147">
        <v>107</v>
      </c>
      <c r="M19" s="147">
        <v>123</v>
      </c>
      <c r="N19" s="147">
        <v>140</v>
      </c>
      <c r="O19" s="145">
        <v>0.09</v>
      </c>
      <c r="P19" s="145">
        <v>0.09</v>
      </c>
      <c r="Q19" s="145">
        <v>0.1</v>
      </c>
      <c r="R19" s="145">
        <v>0.12</v>
      </c>
      <c r="S19" s="148">
        <f t="shared" si="8"/>
        <v>0.09</v>
      </c>
      <c r="T19" s="148">
        <f t="shared" si="9"/>
        <v>0.12</v>
      </c>
      <c r="U19" s="145"/>
      <c r="V19" s="141" t="s">
        <v>1158</v>
      </c>
      <c r="W19" s="149">
        <v>250</v>
      </c>
      <c r="X19" s="149">
        <v>1474</v>
      </c>
      <c r="Y19" s="149">
        <f t="shared" si="2"/>
        <v>2853.8</v>
      </c>
      <c r="Z19" s="150">
        <f t="shared" si="10"/>
        <v>8.7602494919055293E-2</v>
      </c>
      <c r="AA19" s="150">
        <f t="shared" si="11"/>
        <v>0.51650431004274999</v>
      </c>
      <c r="AC19" s="29" t="s">
        <v>1148</v>
      </c>
      <c r="AD19" s="28">
        <v>190</v>
      </c>
      <c r="AE19" s="136">
        <v>97</v>
      </c>
      <c r="AF19" s="136">
        <v>241</v>
      </c>
      <c r="AG19" s="137">
        <f t="shared" si="3"/>
        <v>1170.9000000000001</v>
      </c>
      <c r="AH19" s="138">
        <f t="shared" si="4"/>
        <v>0.16226834059270645</v>
      </c>
      <c r="AI19" s="138">
        <f t="shared" si="12"/>
        <v>8.2842258092065926E-2</v>
      </c>
      <c r="AJ19" s="138">
        <f t="shared" si="13"/>
        <v>0.20582457938338028</v>
      </c>
    </row>
    <row r="20" spans="1:36">
      <c r="A20" s="145" t="str">
        <f t="shared" si="14"/>
        <v>Cape Verde</v>
      </c>
      <c r="D20" s="145" t="e">
        <f t="shared" si="0"/>
        <v>#N/A</v>
      </c>
      <c r="E20" s="145" t="e">
        <f t="shared" si="1"/>
        <v>#N/A</v>
      </c>
      <c r="F20" s="146" t="e">
        <f t="shared" si="6"/>
        <v>#N/A</v>
      </c>
      <c r="G20" s="146" t="e">
        <f t="shared" si="7"/>
        <v>#N/A</v>
      </c>
      <c r="H20" s="145"/>
      <c r="I20" s="145"/>
      <c r="J20" s="141" t="s">
        <v>1409</v>
      </c>
      <c r="K20" s="147">
        <v>2490</v>
      </c>
      <c r="L20" s="147">
        <v>1938</v>
      </c>
      <c r="M20" s="147">
        <v>2843</v>
      </c>
      <c r="N20" s="147">
        <v>2579</v>
      </c>
      <c r="O20" s="145">
        <v>0.81</v>
      </c>
      <c r="P20" s="145">
        <v>0.63</v>
      </c>
      <c r="Q20" s="145">
        <v>0.92</v>
      </c>
      <c r="R20" s="145">
        <v>0.84</v>
      </c>
      <c r="S20" s="148">
        <f t="shared" si="8"/>
        <v>0.63</v>
      </c>
      <c r="T20" s="148">
        <f t="shared" si="9"/>
        <v>0.92</v>
      </c>
      <c r="U20" s="145"/>
      <c r="V20" s="141" t="s">
        <v>1154</v>
      </c>
      <c r="W20" s="149">
        <v>644</v>
      </c>
      <c r="X20" s="149">
        <v>2421</v>
      </c>
      <c r="Y20" s="149">
        <f t="shared" si="2"/>
        <v>5025.2</v>
      </c>
      <c r="Z20" s="150">
        <f t="shared" si="10"/>
        <v>0.12815410331927088</v>
      </c>
      <c r="AA20" s="150">
        <f t="shared" si="11"/>
        <v>0.48177186977632735</v>
      </c>
      <c r="AC20" s="29" t="s">
        <v>209</v>
      </c>
      <c r="AD20" s="28">
        <v>896</v>
      </c>
      <c r="AE20" s="136">
        <v>458</v>
      </c>
      <c r="AF20" s="136">
        <v>1137</v>
      </c>
      <c r="AG20" s="137">
        <f t="shared" si="3"/>
        <v>3564.6</v>
      </c>
      <c r="AH20" s="138">
        <f t="shared" si="4"/>
        <v>0.25136060147001066</v>
      </c>
      <c r="AI20" s="138">
        <f t="shared" si="12"/>
        <v>0.12848566459069741</v>
      </c>
      <c r="AJ20" s="138">
        <f t="shared" si="13"/>
        <v>0.31896987039218988</v>
      </c>
    </row>
    <row r="21" spans="1:36">
      <c r="A21" s="145" t="str">
        <f t="shared" si="14"/>
        <v>Chad</v>
      </c>
      <c r="D21" s="145">
        <f t="shared" si="0"/>
        <v>3.1629425568819508E-2</v>
      </c>
      <c r="E21" s="145">
        <f t="shared" si="1"/>
        <v>0.55096418732782371</v>
      </c>
      <c r="F21" s="146">
        <f t="shared" si="6"/>
        <v>3.1629425568819508E-2</v>
      </c>
      <c r="G21" s="146">
        <f t="shared" si="7"/>
        <v>0.55096418732782371</v>
      </c>
      <c r="H21" s="145"/>
      <c r="I21" s="145"/>
      <c r="J21" s="141" t="s">
        <v>1334</v>
      </c>
      <c r="K21" s="147">
        <v>124</v>
      </c>
      <c r="L21" s="147">
        <v>127</v>
      </c>
      <c r="M21" s="147">
        <v>139</v>
      </c>
      <c r="N21" s="147">
        <v>165</v>
      </c>
      <c r="O21" s="145">
        <v>0.16</v>
      </c>
      <c r="P21" s="145">
        <v>0.16</v>
      </c>
      <c r="Q21" s="145">
        <v>0.18</v>
      </c>
      <c r="R21" s="145">
        <v>0.21</v>
      </c>
      <c r="S21" s="148">
        <f t="shared" si="8"/>
        <v>0.16</v>
      </c>
      <c r="T21" s="148">
        <f t="shared" si="9"/>
        <v>0.21</v>
      </c>
      <c r="U21" s="145"/>
      <c r="V21" s="141" t="s">
        <v>1161</v>
      </c>
      <c r="W21" s="149">
        <v>1621</v>
      </c>
      <c r="X21" s="149">
        <v>4839</v>
      </c>
      <c r="Y21" s="149">
        <f t="shared" si="2"/>
        <v>6436.6</v>
      </c>
      <c r="Z21" s="150">
        <f t="shared" si="10"/>
        <v>0.25184103408631886</v>
      </c>
      <c r="AA21" s="150">
        <f t="shared" si="11"/>
        <v>0.75179442562843735</v>
      </c>
      <c r="AC21" s="29" t="s">
        <v>1158</v>
      </c>
      <c r="AD21" s="28">
        <v>1889</v>
      </c>
      <c r="AE21" s="136">
        <v>965</v>
      </c>
      <c r="AF21" s="136">
        <v>2396</v>
      </c>
      <c r="AG21" s="137">
        <f t="shared" si="3"/>
        <v>3472.4</v>
      </c>
      <c r="AH21" s="138">
        <f t="shared" si="4"/>
        <v>0.54400414698767419</v>
      </c>
      <c r="AI21" s="138">
        <f t="shared" si="12"/>
        <v>0.27790577122451332</v>
      </c>
      <c r="AJ21" s="138">
        <f t="shared" si="13"/>
        <v>0.69001267135122679</v>
      </c>
    </row>
    <row r="22" spans="1:36">
      <c r="A22" s="145" t="str">
        <f t="shared" si="14"/>
        <v>China</v>
      </c>
      <c r="D22" s="145">
        <f t="shared" si="0"/>
        <v>0.16395077203578146</v>
      </c>
      <c r="E22" s="145">
        <f t="shared" si="1"/>
        <v>0.64811121873397526</v>
      </c>
      <c r="F22" s="146">
        <f t="shared" si="6"/>
        <v>0.16395077203578146</v>
      </c>
      <c r="G22" s="146">
        <f t="shared" si="7"/>
        <v>0.64811121873397526</v>
      </c>
      <c r="H22" s="145"/>
      <c r="I22" s="145"/>
      <c r="J22" s="141" t="s">
        <v>145</v>
      </c>
      <c r="K22" s="147">
        <v>5076</v>
      </c>
      <c r="L22" s="147">
        <v>3650</v>
      </c>
      <c r="M22" s="147">
        <v>5669</v>
      </c>
      <c r="N22" s="147">
        <v>4896</v>
      </c>
      <c r="O22" s="145">
        <v>0.63</v>
      </c>
      <c r="P22" s="145">
        <v>0.45</v>
      </c>
      <c r="Q22" s="145">
        <v>0.71</v>
      </c>
      <c r="R22" s="145">
        <v>0.61</v>
      </c>
      <c r="S22" s="148">
        <f t="shared" si="8"/>
        <v>0.45</v>
      </c>
      <c r="T22" s="148">
        <f t="shared" si="9"/>
        <v>0.71</v>
      </c>
      <c r="U22" s="145"/>
      <c r="V22" s="141" t="s">
        <v>211</v>
      </c>
      <c r="W22" s="149">
        <v>2393</v>
      </c>
      <c r="X22" s="149">
        <v>7544</v>
      </c>
      <c r="Y22" s="149">
        <f t="shared" si="2"/>
        <v>12258.6</v>
      </c>
      <c r="Z22" s="150">
        <f t="shared" si="10"/>
        <v>0.19520989346254874</v>
      </c>
      <c r="AA22" s="150">
        <f t="shared" si="11"/>
        <v>0.61540469547909216</v>
      </c>
      <c r="AC22" s="29" t="s">
        <v>1154</v>
      </c>
      <c r="AD22" s="28">
        <v>5562</v>
      </c>
      <c r="AE22" s="136">
        <v>4057</v>
      </c>
      <c r="AF22" s="136">
        <v>9788</v>
      </c>
      <c r="AG22" s="137">
        <f t="shared" si="3"/>
        <v>6094.7</v>
      </c>
      <c r="AH22" s="138">
        <f t="shared" si="4"/>
        <v>0.91259619013241011</v>
      </c>
      <c r="AI22" s="138">
        <f t="shared" si="12"/>
        <v>0.66566032782581586</v>
      </c>
      <c r="AJ22" s="138">
        <f t="shared" si="13"/>
        <v>1.60598552840993</v>
      </c>
    </row>
    <row r="23" spans="1:36">
      <c r="A23" s="145" t="str">
        <f t="shared" si="14"/>
        <v>Colombia</v>
      </c>
      <c r="D23" s="145">
        <f t="shared" si="0"/>
        <v>0.16578730819497556</v>
      </c>
      <c r="E23" s="145">
        <f t="shared" si="1"/>
        <v>0.6677477128612227</v>
      </c>
      <c r="F23" s="146">
        <f t="shared" si="6"/>
        <v>0.16578730819497556</v>
      </c>
      <c r="G23" s="146">
        <f t="shared" si="7"/>
        <v>0.6677477128612227</v>
      </c>
      <c r="H23" s="145"/>
      <c r="I23" s="145"/>
      <c r="J23" s="141" t="s">
        <v>241</v>
      </c>
      <c r="K23" s="147">
        <v>9555</v>
      </c>
      <c r="L23" s="147">
        <v>7067</v>
      </c>
      <c r="M23" s="147">
        <v>11459</v>
      </c>
      <c r="N23" s="147">
        <v>9484</v>
      </c>
      <c r="O23" s="145">
        <v>1.58</v>
      </c>
      <c r="P23" s="145">
        <v>1.17</v>
      </c>
      <c r="Q23" s="145">
        <v>1.89</v>
      </c>
      <c r="R23" s="145">
        <v>1.57</v>
      </c>
      <c r="S23" s="148">
        <f t="shared" si="8"/>
        <v>1.17</v>
      </c>
      <c r="T23" s="148">
        <f t="shared" si="9"/>
        <v>1.89</v>
      </c>
      <c r="U23" s="145"/>
      <c r="V23" s="141" t="s">
        <v>1160</v>
      </c>
      <c r="W23" s="149">
        <v>16065</v>
      </c>
      <c r="X23" s="149">
        <v>39294</v>
      </c>
      <c r="Y23" s="149">
        <f t="shared" si="2"/>
        <v>43950</v>
      </c>
      <c r="Z23" s="150">
        <f t="shared" si="10"/>
        <v>0.36552901023890783</v>
      </c>
      <c r="AA23" s="150">
        <f t="shared" si="11"/>
        <v>0.89406143344709899</v>
      </c>
      <c r="AC23" s="29" t="s">
        <v>1161</v>
      </c>
      <c r="AD23" s="28">
        <v>4875</v>
      </c>
      <c r="AE23" s="136">
        <v>3556</v>
      </c>
      <c r="AF23" s="136">
        <v>8580</v>
      </c>
      <c r="AG23" s="137">
        <f t="shared" si="3"/>
        <v>6691.2</v>
      </c>
      <c r="AH23" s="138">
        <f t="shared" si="4"/>
        <v>0.72856886657101871</v>
      </c>
      <c r="AI23" s="138">
        <f t="shared" si="12"/>
        <v>0.53144428503108565</v>
      </c>
      <c r="AJ23" s="138">
        <f t="shared" si="13"/>
        <v>1.2822812051649928</v>
      </c>
    </row>
    <row r="24" spans="1:36">
      <c r="A24" s="145" t="str">
        <f t="shared" si="14"/>
        <v>Comoros</v>
      </c>
      <c r="D24" s="145">
        <f t="shared" si="0"/>
        <v>1.1904761904761904E-2</v>
      </c>
      <c r="E24" s="145">
        <f t="shared" si="1"/>
        <v>0.2832080200501253</v>
      </c>
      <c r="F24" s="146">
        <f t="shared" si="6"/>
        <v>1.1904761904761904E-2</v>
      </c>
      <c r="G24" s="146">
        <f t="shared" si="7"/>
        <v>0.2832080200501253</v>
      </c>
      <c r="H24" s="145"/>
      <c r="I24" s="145"/>
      <c r="J24" s="141" t="s">
        <v>1172</v>
      </c>
      <c r="K24" s="147">
        <v>240</v>
      </c>
      <c r="L24" s="147">
        <v>233</v>
      </c>
      <c r="M24" s="147">
        <v>307</v>
      </c>
      <c r="N24" s="147">
        <v>311</v>
      </c>
      <c r="O24" s="145">
        <v>0.33</v>
      </c>
      <c r="P24" s="145">
        <v>0.33</v>
      </c>
      <c r="Q24" s="145">
        <v>0.43</v>
      </c>
      <c r="R24" s="145">
        <v>0.43</v>
      </c>
      <c r="S24" s="148">
        <f t="shared" si="8"/>
        <v>0.33</v>
      </c>
      <c r="T24" s="148">
        <f t="shared" si="9"/>
        <v>0.43</v>
      </c>
      <c r="U24" s="145"/>
      <c r="V24" s="141" t="s">
        <v>1151</v>
      </c>
      <c r="W24" s="149">
        <v>1720</v>
      </c>
      <c r="X24" s="149">
        <v>5025</v>
      </c>
      <c r="Y24" s="149">
        <f t="shared" si="2"/>
        <v>7687.7</v>
      </c>
      <c r="Z24" s="150">
        <f t="shared" si="10"/>
        <v>0.22373401667598891</v>
      </c>
      <c r="AA24" s="150">
        <f t="shared" si="11"/>
        <v>0.65364153127723512</v>
      </c>
      <c r="AC24" s="29" t="s">
        <v>211</v>
      </c>
      <c r="AD24" s="28">
        <v>8462</v>
      </c>
      <c r="AE24" s="136">
        <v>6173</v>
      </c>
      <c r="AF24" s="136">
        <v>14894</v>
      </c>
      <c r="AG24" s="137">
        <f t="shared" si="3"/>
        <v>8845.2999999999993</v>
      </c>
      <c r="AH24" s="138">
        <f t="shared" si="4"/>
        <v>0.95666625213390166</v>
      </c>
      <c r="AI24" s="138">
        <f t="shared" si="12"/>
        <v>0.69788475235435776</v>
      </c>
      <c r="AJ24" s="138">
        <f t="shared" si="13"/>
        <v>1.6838320916192782</v>
      </c>
    </row>
    <row r="25" spans="1:36">
      <c r="A25" s="145" t="str">
        <f t="shared" si="14"/>
        <v>Congo</v>
      </c>
      <c r="D25" s="145" t="e">
        <f t="shared" si="0"/>
        <v>#N/A</v>
      </c>
      <c r="E25" s="145" t="e">
        <f t="shared" si="1"/>
        <v>#N/A</v>
      </c>
      <c r="F25" s="146" t="e">
        <f t="shared" si="6"/>
        <v>#N/A</v>
      </c>
      <c r="G25" s="146" t="e">
        <f t="shared" si="7"/>
        <v>#N/A</v>
      </c>
      <c r="H25" s="145"/>
      <c r="I25" s="145"/>
      <c r="J25" s="141" t="s">
        <v>1410</v>
      </c>
      <c r="K25" s="147">
        <v>1366</v>
      </c>
      <c r="L25" s="147">
        <v>1235</v>
      </c>
      <c r="M25" s="147">
        <v>1537</v>
      </c>
      <c r="N25" s="147">
        <v>1613</v>
      </c>
      <c r="O25" s="145">
        <v>0.74</v>
      </c>
      <c r="P25" s="145">
        <v>0.67</v>
      </c>
      <c r="Q25" s="145">
        <v>0.83</v>
      </c>
      <c r="R25" s="145">
        <v>0.87</v>
      </c>
      <c r="S25" s="148">
        <f t="shared" si="8"/>
        <v>0.67</v>
      </c>
      <c r="T25" s="148">
        <f t="shared" si="9"/>
        <v>0.87</v>
      </c>
      <c r="U25" s="145"/>
      <c r="V25" s="141" t="s">
        <v>1149</v>
      </c>
      <c r="W25" s="149">
        <v>17</v>
      </c>
      <c r="X25" s="149">
        <v>379</v>
      </c>
      <c r="Y25" s="149">
        <f t="shared" si="2"/>
        <v>762.3</v>
      </c>
      <c r="Z25" s="150">
        <f t="shared" si="10"/>
        <v>2.2300931391840483E-2</v>
      </c>
      <c r="AA25" s="150">
        <f t="shared" si="11"/>
        <v>0.49717958808867901</v>
      </c>
      <c r="AC25" s="29" t="s">
        <v>1160</v>
      </c>
      <c r="AD25" s="28">
        <v>5510</v>
      </c>
      <c r="AE25" s="136">
        <v>4690</v>
      </c>
      <c r="AF25" s="136">
        <v>6901</v>
      </c>
      <c r="AG25" s="137">
        <f t="shared" si="3"/>
        <v>30748.3</v>
      </c>
      <c r="AH25" s="138">
        <f t="shared" si="4"/>
        <v>0.17919689869033412</v>
      </c>
      <c r="AI25" s="138">
        <f t="shared" si="12"/>
        <v>0.15252875768741686</v>
      </c>
      <c r="AJ25" s="138">
        <f t="shared" si="13"/>
        <v>0.22443517202577054</v>
      </c>
    </row>
    <row r="26" spans="1:36">
      <c r="A26" s="145" t="str">
        <f t="shared" si="14"/>
        <v>Costa Rica</v>
      </c>
      <c r="D26" s="145">
        <f t="shared" si="0"/>
        <v>0.18865262900510663</v>
      </c>
      <c r="E26" s="145">
        <f t="shared" si="1"/>
        <v>0.66084846660961327</v>
      </c>
      <c r="F26" s="146">
        <f t="shared" si="6"/>
        <v>0.18865262900510663</v>
      </c>
      <c r="G26" s="146">
        <f t="shared" si="7"/>
        <v>0.66084846660961327</v>
      </c>
      <c r="H26" s="145"/>
      <c r="I26" s="145"/>
      <c r="J26" s="141" t="s">
        <v>1174</v>
      </c>
      <c r="K26" s="147">
        <v>18262</v>
      </c>
      <c r="L26" s="147">
        <v>12473</v>
      </c>
      <c r="M26" s="147">
        <v>21327</v>
      </c>
      <c r="N26" s="147">
        <v>16739</v>
      </c>
      <c r="O26" s="145">
        <v>1.62</v>
      </c>
      <c r="P26" s="145">
        <v>1.1100000000000001</v>
      </c>
      <c r="Q26" s="145">
        <v>1.89</v>
      </c>
      <c r="R26" s="145">
        <v>1.49</v>
      </c>
      <c r="S26" s="148">
        <f t="shared" si="8"/>
        <v>1.1100000000000001</v>
      </c>
      <c r="T26" s="148">
        <f t="shared" si="9"/>
        <v>1.89</v>
      </c>
      <c r="U26" s="145"/>
      <c r="V26" s="141" t="s">
        <v>1146</v>
      </c>
      <c r="W26" s="149">
        <v>3</v>
      </c>
      <c r="X26" s="149">
        <v>137</v>
      </c>
      <c r="Y26" s="149">
        <f t="shared" si="2"/>
        <v>241.5</v>
      </c>
      <c r="Z26" s="150">
        <f t="shared" si="10"/>
        <v>1.2422360248447204E-2</v>
      </c>
      <c r="AA26" s="150">
        <f t="shared" si="11"/>
        <v>0.56728778467908902</v>
      </c>
      <c r="AC26" s="29" t="s">
        <v>1151</v>
      </c>
      <c r="AD26" s="28">
        <v>6691</v>
      </c>
      <c r="AE26" s="136">
        <v>4881</v>
      </c>
      <c r="AF26" s="136">
        <v>11776</v>
      </c>
      <c r="AG26" s="137">
        <f t="shared" si="3"/>
        <v>9874.2999999999993</v>
      </c>
      <c r="AH26" s="138">
        <f t="shared" si="4"/>
        <v>0.67761765390964424</v>
      </c>
      <c r="AI26" s="138">
        <f t="shared" si="12"/>
        <v>0.49431352095844772</v>
      </c>
      <c r="AJ26" s="138">
        <f t="shared" si="13"/>
        <v>1.1925908672007131</v>
      </c>
    </row>
    <row r="27" spans="1:36">
      <c r="A27" s="145" t="str">
        <f t="shared" si="14"/>
        <v>Cote d'Ivoire</v>
      </c>
      <c r="D27" s="145">
        <f t="shared" si="0"/>
        <v>3.205296621302086E-2</v>
      </c>
      <c r="E27" s="145">
        <f t="shared" si="1"/>
        <v>0.38726288686879307</v>
      </c>
      <c r="F27" s="146">
        <f t="shared" si="6"/>
        <v>3.205296621302086E-2</v>
      </c>
      <c r="G27" s="146">
        <f t="shared" si="7"/>
        <v>0.38726288686879307</v>
      </c>
      <c r="H27" s="145"/>
      <c r="I27" s="145"/>
      <c r="J27" s="141" t="s">
        <v>1168</v>
      </c>
      <c r="K27" s="147">
        <v>214</v>
      </c>
      <c r="L27" s="147">
        <v>205</v>
      </c>
      <c r="M27" s="147">
        <v>236</v>
      </c>
      <c r="N27" s="147">
        <v>268</v>
      </c>
      <c r="O27" s="145">
        <v>0.15</v>
      </c>
      <c r="P27" s="145">
        <v>0.15</v>
      </c>
      <c r="Q27" s="145">
        <v>0.17</v>
      </c>
      <c r="R27" s="145">
        <v>0.19</v>
      </c>
      <c r="S27" s="148">
        <f t="shared" si="8"/>
        <v>0.15</v>
      </c>
      <c r="T27" s="148">
        <f t="shared" si="9"/>
        <v>0.19</v>
      </c>
      <c r="U27" s="145"/>
      <c r="V27" s="141" t="s">
        <v>1173</v>
      </c>
      <c r="W27" s="149">
        <v>343</v>
      </c>
      <c r="X27" s="149">
        <v>1935</v>
      </c>
      <c r="Y27" s="149">
        <f t="shared" si="2"/>
        <v>3757.7</v>
      </c>
      <c r="Z27" s="150">
        <f t="shared" si="10"/>
        <v>9.1279239960614211E-2</v>
      </c>
      <c r="AA27" s="150">
        <f t="shared" si="11"/>
        <v>0.51494265108976234</v>
      </c>
      <c r="AC27" s="29" t="s">
        <v>1149</v>
      </c>
      <c r="AD27" s="28">
        <v>183</v>
      </c>
      <c r="AE27" s="136">
        <v>57</v>
      </c>
      <c r="AF27" s="136">
        <v>287</v>
      </c>
      <c r="AG27" s="137">
        <f t="shared" si="3"/>
        <v>765.2</v>
      </c>
      <c r="AH27" s="138">
        <f t="shared" si="4"/>
        <v>0.23915316257187663</v>
      </c>
      <c r="AI27" s="138">
        <f t="shared" si="12"/>
        <v>7.4490329325666488E-2</v>
      </c>
      <c r="AJ27" s="138">
        <f t="shared" si="13"/>
        <v>0.3750653423941453</v>
      </c>
    </row>
    <row r="28" spans="1:36">
      <c r="A28" s="145" t="str">
        <f t="shared" si="14"/>
        <v>Democratic Republic of the Congo</v>
      </c>
      <c r="D28" s="145" t="e">
        <f t="shared" si="0"/>
        <v>#N/A</v>
      </c>
      <c r="E28" s="145" t="e">
        <f t="shared" si="1"/>
        <v>#N/A</v>
      </c>
      <c r="F28" s="146" t="e">
        <f t="shared" si="6"/>
        <v>#N/A</v>
      </c>
      <c r="G28" s="146" t="e">
        <f t="shared" si="7"/>
        <v>#N/A</v>
      </c>
      <c r="H28" s="145"/>
      <c r="I28" s="145"/>
      <c r="J28" s="141" t="s">
        <v>1411</v>
      </c>
      <c r="K28" s="147">
        <v>54</v>
      </c>
      <c r="L28" s="147">
        <v>54</v>
      </c>
      <c r="M28" s="147">
        <v>64</v>
      </c>
      <c r="N28" s="147">
        <v>69</v>
      </c>
      <c r="O28" s="145">
        <v>0.12</v>
      </c>
      <c r="P28" s="145">
        <v>0.12</v>
      </c>
      <c r="Q28" s="145">
        <v>0.14000000000000001</v>
      </c>
      <c r="R28" s="145">
        <v>0.15</v>
      </c>
      <c r="S28" s="148">
        <f t="shared" si="8"/>
        <v>0.12</v>
      </c>
      <c r="T28" s="148">
        <f t="shared" si="9"/>
        <v>0.15</v>
      </c>
      <c r="U28" s="145"/>
      <c r="V28" s="141" t="s">
        <v>1236</v>
      </c>
      <c r="W28" s="149">
        <v>44</v>
      </c>
      <c r="X28" s="149">
        <v>518</v>
      </c>
      <c r="Y28" s="149">
        <f t="shared" si="2"/>
        <v>1015.2</v>
      </c>
      <c r="Z28" s="150">
        <f t="shared" si="10"/>
        <v>4.3341213553979512E-2</v>
      </c>
      <c r="AA28" s="150">
        <f t="shared" si="11"/>
        <v>0.51024428684003154</v>
      </c>
      <c r="AC28" s="29" t="s">
        <v>1146</v>
      </c>
      <c r="AD28" s="28">
        <v>88</v>
      </c>
      <c r="AE28" s="136">
        <v>28</v>
      </c>
      <c r="AF28" s="136">
        <v>138</v>
      </c>
      <c r="AG28" s="137">
        <f t="shared" si="3"/>
        <v>217</v>
      </c>
      <c r="AH28" s="138">
        <f t="shared" si="4"/>
        <v>0.40552995391705071</v>
      </c>
      <c r="AI28" s="138">
        <f t="shared" si="12"/>
        <v>0.12903225806451613</v>
      </c>
      <c r="AJ28" s="138">
        <f t="shared" si="13"/>
        <v>0.63594470046082952</v>
      </c>
    </row>
    <row r="29" spans="1:36">
      <c r="A29" s="145" t="str">
        <f t="shared" si="14"/>
        <v>Dominican Republic</v>
      </c>
      <c r="D29" s="145">
        <f t="shared" si="0"/>
        <v>0.15183186686759678</v>
      </c>
      <c r="E29" s="145">
        <f t="shared" si="1"/>
        <v>0.59549851733022219</v>
      </c>
      <c r="F29" s="146">
        <f t="shared" si="6"/>
        <v>0.15183186686759678</v>
      </c>
      <c r="G29" s="146">
        <f t="shared" si="7"/>
        <v>0.59549851733022219</v>
      </c>
      <c r="H29" s="145"/>
      <c r="I29" s="145"/>
      <c r="J29" s="141" t="s">
        <v>1184</v>
      </c>
      <c r="K29" s="147">
        <v>4045</v>
      </c>
      <c r="L29" s="147">
        <v>2731</v>
      </c>
      <c r="M29" s="147">
        <v>4005</v>
      </c>
      <c r="N29" s="147">
        <v>3594</v>
      </c>
      <c r="O29" s="145">
        <v>0.63</v>
      </c>
      <c r="P29" s="145">
        <v>0.42</v>
      </c>
      <c r="Q29" s="145">
        <v>0.62</v>
      </c>
      <c r="R29" s="145">
        <v>0.56000000000000005</v>
      </c>
      <c r="S29" s="148">
        <f t="shared" si="8"/>
        <v>0.42</v>
      </c>
      <c r="T29" s="148">
        <f t="shared" si="9"/>
        <v>0.63</v>
      </c>
      <c r="U29" s="145"/>
      <c r="V29" s="141" t="s">
        <v>1169</v>
      </c>
      <c r="W29" s="149">
        <v>49</v>
      </c>
      <c r="X29" s="149">
        <v>654</v>
      </c>
      <c r="Y29" s="149">
        <f t="shared" si="2"/>
        <v>1559.1</v>
      </c>
      <c r="Z29" s="150">
        <f t="shared" si="10"/>
        <v>3.1428388172663718E-2</v>
      </c>
      <c r="AA29" s="150">
        <f t="shared" si="11"/>
        <v>0.41947277275351169</v>
      </c>
      <c r="AC29" s="29" t="s">
        <v>1173</v>
      </c>
      <c r="AD29" s="28">
        <v>1389</v>
      </c>
      <c r="AE29" s="136">
        <v>709</v>
      </c>
      <c r="AF29" s="136">
        <v>1762</v>
      </c>
      <c r="AG29" s="137">
        <f t="shared" si="3"/>
        <v>3903.1</v>
      </c>
      <c r="AH29" s="138">
        <f t="shared" si="4"/>
        <v>0.35587097435371884</v>
      </c>
      <c r="AI29" s="138">
        <f t="shared" si="12"/>
        <v>0.18165048294945044</v>
      </c>
      <c r="AJ29" s="138">
        <f t="shared" si="13"/>
        <v>0.45143603802106019</v>
      </c>
    </row>
    <row r="30" spans="1:36">
      <c r="A30" s="145" t="str">
        <f t="shared" si="14"/>
        <v>Ecuador</v>
      </c>
      <c r="D30" s="145">
        <f t="shared" si="0"/>
        <v>0.13969391077824814</v>
      </c>
      <c r="E30" s="145">
        <f t="shared" si="1"/>
        <v>0.51953760989905573</v>
      </c>
      <c r="F30" s="146">
        <f t="shared" si="6"/>
        <v>0.13969391077824814</v>
      </c>
      <c r="G30" s="146">
        <f t="shared" si="7"/>
        <v>0.51953760989905573</v>
      </c>
      <c r="H30" s="145"/>
      <c r="I30" s="145"/>
      <c r="J30" s="141" t="s">
        <v>286</v>
      </c>
      <c r="K30" s="147">
        <v>5796</v>
      </c>
      <c r="L30" s="147">
        <v>4479</v>
      </c>
      <c r="M30" s="147">
        <v>6965</v>
      </c>
      <c r="N30" s="147">
        <v>5991</v>
      </c>
      <c r="O30" s="145">
        <v>0.93</v>
      </c>
      <c r="P30" s="145">
        <v>0.72</v>
      </c>
      <c r="Q30" s="145">
        <v>1.1200000000000001</v>
      </c>
      <c r="R30" s="145">
        <v>0.97</v>
      </c>
      <c r="S30" s="148">
        <f t="shared" si="8"/>
        <v>0.72</v>
      </c>
      <c r="T30" s="148">
        <f t="shared" si="9"/>
        <v>1.1200000000000001</v>
      </c>
      <c r="U30" s="145"/>
      <c r="V30" s="141" t="s">
        <v>1163</v>
      </c>
      <c r="W30" s="149">
        <v>25292</v>
      </c>
      <c r="X30" s="149">
        <v>31915</v>
      </c>
      <c r="Y30" s="149">
        <f t="shared" si="2"/>
        <v>52638.1</v>
      </c>
      <c r="Z30" s="150">
        <f t="shared" si="10"/>
        <v>0.48048846747887936</v>
      </c>
      <c r="AA30" s="150">
        <f t="shared" si="11"/>
        <v>0.60630987820609028</v>
      </c>
      <c r="AC30" s="29" t="s">
        <v>1236</v>
      </c>
      <c r="AD30" s="28">
        <v>854</v>
      </c>
      <c r="AE30" s="136">
        <v>436</v>
      </c>
      <c r="AF30" s="136">
        <v>1083</v>
      </c>
      <c r="AG30" s="137">
        <f t="shared" si="3"/>
        <v>1671.4</v>
      </c>
      <c r="AH30" s="138">
        <f t="shared" si="4"/>
        <v>0.51094890510948898</v>
      </c>
      <c r="AI30" s="138">
        <f t="shared" si="12"/>
        <v>0.26085915998564074</v>
      </c>
      <c r="AJ30" s="138">
        <f t="shared" si="13"/>
        <v>0.64795979418451599</v>
      </c>
    </row>
    <row r="31" spans="1:36">
      <c r="A31" s="145" t="str">
        <f t="shared" si="14"/>
        <v>Egypt, Arab Rep.</v>
      </c>
      <c r="D31" s="145">
        <f t="shared" si="0"/>
        <v>0.16899219786979183</v>
      </c>
      <c r="E31" s="145">
        <f t="shared" si="1"/>
        <v>0.64521350642623587</v>
      </c>
      <c r="F31" s="146">
        <f t="shared" si="6"/>
        <v>0.16899219786979183</v>
      </c>
      <c r="G31" s="146">
        <f t="shared" si="7"/>
        <v>0.64521350642623587</v>
      </c>
      <c r="H31" s="145"/>
      <c r="I31" s="145"/>
      <c r="J31" s="30" t="s">
        <v>232</v>
      </c>
      <c r="K31" s="147">
        <v>1194</v>
      </c>
      <c r="L31" s="147">
        <v>977</v>
      </c>
      <c r="M31" s="147">
        <v>1474</v>
      </c>
      <c r="N31" s="147">
        <v>1301</v>
      </c>
      <c r="O31" s="145">
        <v>0.33</v>
      </c>
      <c r="P31" s="145">
        <v>0.27</v>
      </c>
      <c r="Q31" s="145">
        <v>0.41</v>
      </c>
      <c r="R31" s="145">
        <v>0.36</v>
      </c>
      <c r="S31" s="148">
        <f t="shared" si="8"/>
        <v>0.27</v>
      </c>
      <c r="T31" s="148">
        <f t="shared" si="9"/>
        <v>0.41</v>
      </c>
      <c r="U31" s="145"/>
      <c r="V31" s="141" t="s">
        <v>1162</v>
      </c>
      <c r="W31" s="149">
        <v>3</v>
      </c>
      <c r="X31" s="149">
        <v>171</v>
      </c>
      <c r="Y31" s="149">
        <f t="shared" si="2"/>
        <v>352.2</v>
      </c>
      <c r="Z31" s="150">
        <f t="shared" si="10"/>
        <v>8.5178875638841564E-3</v>
      </c>
      <c r="AA31" s="150">
        <f t="shared" si="11"/>
        <v>0.48551959114139692</v>
      </c>
      <c r="AC31" s="29" t="s">
        <v>1169</v>
      </c>
      <c r="AD31" s="28">
        <v>331</v>
      </c>
      <c r="AE31" s="136">
        <v>169</v>
      </c>
      <c r="AF31" s="136">
        <v>420</v>
      </c>
      <c r="AG31" s="137">
        <f t="shared" si="3"/>
        <v>1538.6</v>
      </c>
      <c r="AH31" s="138">
        <f t="shared" si="4"/>
        <v>0.21513063824255818</v>
      </c>
      <c r="AI31" s="138">
        <f t="shared" si="12"/>
        <v>0.10984011438970494</v>
      </c>
      <c r="AJ31" s="138">
        <f t="shared" si="13"/>
        <v>0.27297543221110104</v>
      </c>
    </row>
    <row r="32" spans="1:36">
      <c r="A32" s="145" t="str">
        <f t="shared" si="14"/>
        <v>El Salvador</v>
      </c>
      <c r="D32" s="145">
        <f t="shared" si="0"/>
        <v>0.1186993699369937</v>
      </c>
      <c r="E32" s="145">
        <f t="shared" si="1"/>
        <v>0.55327407740774082</v>
      </c>
      <c r="F32" s="146">
        <f t="shared" si="6"/>
        <v>0.1186993699369937</v>
      </c>
      <c r="G32" s="146">
        <f t="shared" si="7"/>
        <v>0.55327407740774082</v>
      </c>
      <c r="H32" s="145"/>
      <c r="I32" s="145"/>
      <c r="J32" s="141" t="s">
        <v>1318</v>
      </c>
      <c r="K32" s="147">
        <v>3832</v>
      </c>
      <c r="L32" s="147">
        <v>2573</v>
      </c>
      <c r="M32" s="147">
        <v>3753</v>
      </c>
      <c r="N32" s="147">
        <v>3424</v>
      </c>
      <c r="O32" s="145">
        <v>0.91</v>
      </c>
      <c r="P32" s="145">
        <v>0.61</v>
      </c>
      <c r="Q32" s="145">
        <v>0.89</v>
      </c>
      <c r="R32" s="145">
        <v>0.81</v>
      </c>
      <c r="S32" s="148">
        <f t="shared" si="8"/>
        <v>0.61</v>
      </c>
      <c r="T32" s="148">
        <f t="shared" si="9"/>
        <v>0.91</v>
      </c>
      <c r="U32" s="145"/>
      <c r="V32" s="141" t="s">
        <v>1334</v>
      </c>
      <c r="W32" s="149">
        <v>31</v>
      </c>
      <c r="X32" s="149">
        <v>540</v>
      </c>
      <c r="Y32" s="149">
        <f t="shared" si="2"/>
        <v>980.1</v>
      </c>
      <c r="Z32" s="150">
        <f t="shared" si="10"/>
        <v>3.1629425568819508E-2</v>
      </c>
      <c r="AA32" s="150">
        <f t="shared" si="11"/>
        <v>0.55096418732782371</v>
      </c>
      <c r="AC32" s="29" t="s">
        <v>1163</v>
      </c>
      <c r="AD32" s="28">
        <v>44638</v>
      </c>
      <c r="AE32" s="136">
        <v>37992</v>
      </c>
      <c r="AF32" s="136">
        <v>55907</v>
      </c>
      <c r="AG32" s="137">
        <f t="shared" si="3"/>
        <v>46352.9</v>
      </c>
      <c r="AH32" s="138">
        <f t="shared" si="4"/>
        <v>0.96300339353093334</v>
      </c>
      <c r="AI32" s="138">
        <f t="shared" si="12"/>
        <v>0.81962509357559077</v>
      </c>
      <c r="AJ32" s="138">
        <f t="shared" si="13"/>
        <v>1.206116553656837</v>
      </c>
    </row>
    <row r="33" spans="1:36">
      <c r="A33" s="145" t="str">
        <f t="shared" si="14"/>
        <v>Eritrea</v>
      </c>
      <c r="D33" s="145" t="e">
        <f t="shared" si="0"/>
        <v>#DIV/0!</v>
      </c>
      <c r="E33" s="145" t="e">
        <f t="shared" si="1"/>
        <v>#DIV/0!</v>
      </c>
      <c r="F33" s="146" t="e">
        <f t="shared" si="6"/>
        <v>#DIV/0!</v>
      </c>
      <c r="G33" s="146" t="e">
        <f t="shared" si="7"/>
        <v>#DIV/0!</v>
      </c>
      <c r="H33" s="145"/>
      <c r="I33" s="145"/>
      <c r="J33" s="141" t="s">
        <v>1190</v>
      </c>
      <c r="K33" s="147">
        <v>120</v>
      </c>
      <c r="L33" s="147">
        <v>112</v>
      </c>
      <c r="M33" s="147">
        <v>137</v>
      </c>
      <c r="N33" s="147">
        <v>147</v>
      </c>
      <c r="O33" s="145">
        <v>0.22</v>
      </c>
      <c r="P33" s="145">
        <v>0.21</v>
      </c>
      <c r="Q33" s="145">
        <v>0.25</v>
      </c>
      <c r="R33" s="145">
        <v>0.27</v>
      </c>
      <c r="S33" s="148">
        <f t="shared" si="8"/>
        <v>0.21</v>
      </c>
      <c r="T33" s="148">
        <f t="shared" si="9"/>
        <v>0.27</v>
      </c>
      <c r="U33" s="145"/>
      <c r="V33" s="141" t="s">
        <v>1167</v>
      </c>
      <c r="W33" s="149">
        <v>4896</v>
      </c>
      <c r="X33" s="149">
        <v>9436</v>
      </c>
      <c r="Y33" s="149">
        <f t="shared" si="2"/>
        <v>15842.2</v>
      </c>
      <c r="Z33" s="150">
        <f t="shared" si="10"/>
        <v>0.30904798575955356</v>
      </c>
      <c r="AA33" s="150">
        <f t="shared" si="11"/>
        <v>0.59562434510358409</v>
      </c>
      <c r="AC33" s="29" t="s">
        <v>1162</v>
      </c>
      <c r="AD33" s="28">
        <v>142</v>
      </c>
      <c r="AE33" s="136">
        <v>45</v>
      </c>
      <c r="AF33" s="136">
        <v>224</v>
      </c>
      <c r="AG33" s="137">
        <f t="shared" si="3"/>
        <v>426.4</v>
      </c>
      <c r="AH33" s="138">
        <f t="shared" si="4"/>
        <v>0.33302063789868669</v>
      </c>
      <c r="AI33" s="138">
        <f t="shared" si="12"/>
        <v>0.10553470919324578</v>
      </c>
      <c r="AJ33" s="138">
        <f t="shared" si="13"/>
        <v>0.52532833020637903</v>
      </c>
    </row>
    <row r="34" spans="1:36">
      <c r="A34" s="145" t="str">
        <f t="shared" si="14"/>
        <v>Ethiopia</v>
      </c>
      <c r="D34" s="145">
        <f t="shared" si="0"/>
        <v>2.0374898125509373E-2</v>
      </c>
      <c r="E34" s="145">
        <f t="shared" si="1"/>
        <v>0.51955990220048898</v>
      </c>
      <c r="F34" s="146">
        <f t="shared" si="6"/>
        <v>2.0374898125509373E-2</v>
      </c>
      <c r="G34" s="146">
        <f t="shared" si="7"/>
        <v>0.51955990220048898</v>
      </c>
      <c r="H34" s="145"/>
      <c r="I34" s="145"/>
      <c r="J34" s="141" t="s">
        <v>246</v>
      </c>
      <c r="K34" s="147">
        <v>176</v>
      </c>
      <c r="L34" s="147">
        <v>167</v>
      </c>
      <c r="M34" s="147">
        <v>206</v>
      </c>
      <c r="N34" s="147">
        <v>221</v>
      </c>
      <c r="O34" s="145">
        <v>0.28000000000000003</v>
      </c>
      <c r="P34" s="145">
        <v>0.27</v>
      </c>
      <c r="Q34" s="145">
        <v>0.33</v>
      </c>
      <c r="R34" s="145">
        <v>0.36</v>
      </c>
      <c r="S34" s="148">
        <f t="shared" si="8"/>
        <v>0.27</v>
      </c>
      <c r="T34" s="148">
        <f t="shared" si="9"/>
        <v>0.36</v>
      </c>
      <c r="U34" s="145"/>
      <c r="V34" s="141" t="s">
        <v>145</v>
      </c>
      <c r="W34" s="149">
        <v>1151</v>
      </c>
      <c r="X34" s="149">
        <v>4550</v>
      </c>
      <c r="Y34" s="149">
        <f t="shared" si="2"/>
        <v>7020.4</v>
      </c>
      <c r="Z34" s="150">
        <f t="shared" si="10"/>
        <v>0.16395077203578146</v>
      </c>
      <c r="AA34" s="150">
        <f t="shared" si="11"/>
        <v>0.64811121873397526</v>
      </c>
      <c r="AC34" s="29" t="s">
        <v>1334</v>
      </c>
      <c r="AD34" s="28">
        <v>105</v>
      </c>
      <c r="AE34" s="136">
        <v>33</v>
      </c>
      <c r="AF34" s="136">
        <v>166</v>
      </c>
      <c r="AG34" s="137">
        <f t="shared" si="3"/>
        <v>701.6</v>
      </c>
      <c r="AH34" s="138">
        <f t="shared" si="4"/>
        <v>0.14965792474344355</v>
      </c>
      <c r="AI34" s="138">
        <f t="shared" si="12"/>
        <v>4.7035347776510833E-2</v>
      </c>
      <c r="AJ34" s="138">
        <f t="shared" si="13"/>
        <v>0.23660205245153934</v>
      </c>
    </row>
    <row r="35" spans="1:36">
      <c r="A35" s="145" t="str">
        <f t="shared" si="14"/>
        <v>Gabon</v>
      </c>
      <c r="D35" s="145">
        <f t="shared" ref="D35:D66" si="15">VLOOKUP(J35,$V$3:$AA$184,5,FALSE)</f>
        <v>0.34205035621236524</v>
      </c>
      <c r="E35" s="145">
        <f t="shared" ref="E35:E66" si="16">VLOOKUP(J35,$V$3:$AA$184,6,FALSE)</f>
        <v>0.78031588847688127</v>
      </c>
      <c r="F35" s="146">
        <f t="shared" si="6"/>
        <v>0.34205035621236524</v>
      </c>
      <c r="G35" s="146">
        <f t="shared" si="7"/>
        <v>0.78031588847688127</v>
      </c>
      <c r="H35" s="145"/>
      <c r="I35" s="145"/>
      <c r="J35" s="141" t="s">
        <v>1200</v>
      </c>
      <c r="K35" s="147">
        <v>2756</v>
      </c>
      <c r="L35" s="147">
        <v>2275</v>
      </c>
      <c r="M35" s="147">
        <v>3047</v>
      </c>
      <c r="N35" s="147">
        <v>2955</v>
      </c>
      <c r="O35" s="145">
        <v>0.33</v>
      </c>
      <c r="P35" s="145">
        <v>0.28000000000000003</v>
      </c>
      <c r="Q35" s="145">
        <v>0.37</v>
      </c>
      <c r="R35" s="145">
        <v>0.36</v>
      </c>
      <c r="S35" s="148">
        <f t="shared" ref="S35:S66" si="17">MIN(O35:R35)</f>
        <v>0.28000000000000003</v>
      </c>
      <c r="T35" s="148">
        <f t="shared" ref="T35:T66" si="18">MAX(O35:R35)</f>
        <v>0.37</v>
      </c>
      <c r="U35" s="145"/>
      <c r="V35" s="141" t="s">
        <v>241</v>
      </c>
      <c r="W35" s="149">
        <v>1370</v>
      </c>
      <c r="X35" s="149">
        <v>5518</v>
      </c>
      <c r="Y35" s="149">
        <f t="shared" ref="Y35:Y66" si="19">VLOOKUP(V35,gdppc,55,FALSE)</f>
        <v>8263.6</v>
      </c>
      <c r="Z35" s="150">
        <f t="shared" si="10"/>
        <v>0.16578730819497556</v>
      </c>
      <c r="AA35" s="150">
        <f t="shared" si="11"/>
        <v>0.6677477128612227</v>
      </c>
      <c r="AC35" s="29" t="s">
        <v>1167</v>
      </c>
      <c r="AD35" s="28">
        <v>11817</v>
      </c>
      <c r="AE35" s="136">
        <v>10058</v>
      </c>
      <c r="AF35" s="136">
        <v>14800</v>
      </c>
      <c r="AG35" s="137">
        <f t="shared" ref="AG35:AG66" si="20">VLOOKUP(AC35,gdppc,61,FALSE)</f>
        <v>14616.2</v>
      </c>
      <c r="AH35" s="138">
        <f t="shared" ref="AH35:AH66" si="21">AD35/AG35</f>
        <v>0.80848647391250805</v>
      </c>
      <c r="AI35" s="138">
        <f t="shared" si="12"/>
        <v>0.68814055636896043</v>
      </c>
      <c r="AJ35" s="138">
        <f t="shared" si="13"/>
        <v>1.0125750879161477</v>
      </c>
    </row>
    <row r="36" spans="1:36">
      <c r="A36" s="145" t="str">
        <f t="shared" si="14"/>
        <v>Georgia</v>
      </c>
      <c r="D36" s="145">
        <f t="shared" si="15"/>
        <v>7.7674023769100167E-2</v>
      </c>
      <c r="E36" s="145">
        <f t="shared" si="16"/>
        <v>0.39261460101867574</v>
      </c>
      <c r="F36" s="146">
        <f t="shared" si="6"/>
        <v>7.7674023769100167E-2</v>
      </c>
      <c r="G36" s="146">
        <f t="shared" si="7"/>
        <v>0.39261460101867574</v>
      </c>
      <c r="H36" s="145"/>
      <c r="I36" s="145"/>
      <c r="J36" s="141" t="s">
        <v>270</v>
      </c>
      <c r="K36" s="147">
        <v>1044</v>
      </c>
      <c r="L36" s="147">
        <v>743</v>
      </c>
      <c r="M36" s="147">
        <v>1032</v>
      </c>
      <c r="N36" s="147">
        <v>981</v>
      </c>
      <c r="O36" s="145">
        <v>0.27</v>
      </c>
      <c r="P36" s="145">
        <v>0.2</v>
      </c>
      <c r="Q36" s="145">
        <v>0.27</v>
      </c>
      <c r="R36" s="145">
        <v>0.26</v>
      </c>
      <c r="S36" s="148">
        <f t="shared" si="17"/>
        <v>0.2</v>
      </c>
      <c r="T36" s="148">
        <f t="shared" si="18"/>
        <v>0.27</v>
      </c>
      <c r="U36" s="145"/>
      <c r="V36" s="141" t="s">
        <v>1172</v>
      </c>
      <c r="W36" s="149">
        <v>19</v>
      </c>
      <c r="X36" s="149">
        <v>452</v>
      </c>
      <c r="Y36" s="149">
        <f t="shared" si="19"/>
        <v>1596</v>
      </c>
      <c r="Z36" s="150">
        <f t="shared" si="10"/>
        <v>1.1904761904761904E-2</v>
      </c>
      <c r="AA36" s="150">
        <f t="shared" si="11"/>
        <v>0.2832080200501253</v>
      </c>
      <c r="AC36" s="29" t="s">
        <v>145</v>
      </c>
      <c r="AD36" s="28">
        <v>5203</v>
      </c>
      <c r="AE36" s="136">
        <v>3795</v>
      </c>
      <c r="AF36" s="136">
        <v>9157</v>
      </c>
      <c r="AG36" s="137">
        <f t="shared" si="20"/>
        <v>10143.9</v>
      </c>
      <c r="AH36" s="138">
        <f t="shared" si="21"/>
        <v>0.51291909423397319</v>
      </c>
      <c r="AI36" s="138">
        <f t="shared" si="12"/>
        <v>0.374116464081862</v>
      </c>
      <c r="AJ36" s="138">
        <f t="shared" si="13"/>
        <v>0.90271000305602389</v>
      </c>
    </row>
    <row r="37" spans="1:36">
      <c r="A37" s="145" t="str">
        <f t="shared" si="14"/>
        <v>Ghana</v>
      </c>
      <c r="D37" s="145">
        <f t="shared" si="15"/>
        <v>4.5566070802663859E-2</v>
      </c>
      <c r="E37" s="145">
        <f t="shared" si="16"/>
        <v>0.41666666666666663</v>
      </c>
      <c r="F37" s="146">
        <f t="shared" si="6"/>
        <v>4.5566070802663859E-2</v>
      </c>
      <c r="G37" s="146">
        <f t="shared" si="7"/>
        <v>0.41666666666666663</v>
      </c>
      <c r="H37" s="145"/>
      <c r="I37" s="145"/>
      <c r="J37" s="141" t="s">
        <v>1202</v>
      </c>
      <c r="K37" s="147">
        <v>411</v>
      </c>
      <c r="L37" s="147">
        <v>371</v>
      </c>
      <c r="M37" s="147">
        <v>460</v>
      </c>
      <c r="N37" s="147">
        <v>491</v>
      </c>
      <c r="O37" s="145">
        <v>0.3</v>
      </c>
      <c r="P37" s="145">
        <v>0.27</v>
      </c>
      <c r="Q37" s="145">
        <v>0.34</v>
      </c>
      <c r="R37" s="145">
        <v>0.36</v>
      </c>
      <c r="S37" s="148">
        <f t="shared" si="17"/>
        <v>0.27</v>
      </c>
      <c r="T37" s="148">
        <f t="shared" si="18"/>
        <v>0.36</v>
      </c>
      <c r="U37" s="145"/>
      <c r="V37" s="141" t="s">
        <v>1170</v>
      </c>
      <c r="W37" s="149">
        <v>5</v>
      </c>
      <c r="X37" s="149">
        <v>230</v>
      </c>
      <c r="Y37" s="149">
        <f t="shared" si="19"/>
        <v>444.9</v>
      </c>
      <c r="Z37" s="150">
        <f t="shared" si="10"/>
        <v>1.1238480557428637E-2</v>
      </c>
      <c r="AA37" s="150">
        <f t="shared" si="11"/>
        <v>0.5169701056417173</v>
      </c>
      <c r="AC37" s="29" t="s">
        <v>241</v>
      </c>
      <c r="AD37" s="28">
        <v>4832</v>
      </c>
      <c r="AE37" s="136">
        <v>3525</v>
      </c>
      <c r="AF37" s="136">
        <v>8505</v>
      </c>
      <c r="AG37" s="137">
        <f t="shared" si="20"/>
        <v>6436.5</v>
      </c>
      <c r="AH37" s="138">
        <f t="shared" si="21"/>
        <v>0.75071855822263656</v>
      </c>
      <c r="AI37" s="138">
        <f t="shared" si="12"/>
        <v>0.54765788860405495</v>
      </c>
      <c r="AJ37" s="138">
        <f t="shared" si="13"/>
        <v>1.3213703099510603</v>
      </c>
    </row>
    <row r="38" spans="1:36">
      <c r="A38" s="145" t="str">
        <f t="shared" si="14"/>
        <v>Guatemala</v>
      </c>
      <c r="D38" s="145">
        <f t="shared" si="15"/>
        <v>0.1021914386283638</v>
      </c>
      <c r="E38" s="145">
        <f t="shared" si="16"/>
        <v>0.50755081185420681</v>
      </c>
      <c r="F38" s="146">
        <f t="shared" si="6"/>
        <v>0.1021914386283638</v>
      </c>
      <c r="G38" s="146">
        <f t="shared" si="7"/>
        <v>0.50755081185420681</v>
      </c>
      <c r="H38" s="145"/>
      <c r="I38" s="145"/>
      <c r="J38" s="141" t="s">
        <v>1210</v>
      </c>
      <c r="K38" s="147">
        <v>1473</v>
      </c>
      <c r="L38" s="147">
        <v>1226</v>
      </c>
      <c r="M38" s="147">
        <v>1726</v>
      </c>
      <c r="N38" s="147">
        <v>1638</v>
      </c>
      <c r="O38" s="145">
        <v>0.38</v>
      </c>
      <c r="P38" s="145">
        <v>0.31</v>
      </c>
      <c r="Q38" s="145">
        <v>0.44</v>
      </c>
      <c r="R38" s="145">
        <v>0.42</v>
      </c>
      <c r="S38" s="148">
        <f t="shared" si="17"/>
        <v>0.31</v>
      </c>
      <c r="T38" s="148">
        <f t="shared" si="18"/>
        <v>0.44</v>
      </c>
      <c r="U38" s="145"/>
      <c r="V38" s="141" t="s">
        <v>1171</v>
      </c>
      <c r="W38" s="149">
        <v>264</v>
      </c>
      <c r="X38" s="149">
        <v>1628</v>
      </c>
      <c r="Y38" s="149">
        <f t="shared" si="19"/>
        <v>3719.7</v>
      </c>
      <c r="Z38" s="150">
        <f t="shared" si="10"/>
        <v>7.0973465602064689E-2</v>
      </c>
      <c r="AA38" s="150">
        <f t="shared" si="11"/>
        <v>0.43766970454606557</v>
      </c>
      <c r="AC38" s="29" t="s">
        <v>1172</v>
      </c>
      <c r="AD38" s="28">
        <v>483</v>
      </c>
      <c r="AE38" s="136">
        <v>246</v>
      </c>
      <c r="AF38" s="136">
        <v>612</v>
      </c>
      <c r="AG38" s="137">
        <f t="shared" si="20"/>
        <v>1510.8</v>
      </c>
      <c r="AH38" s="138">
        <f t="shared" si="21"/>
        <v>0.31969817315329629</v>
      </c>
      <c r="AI38" s="138">
        <f t="shared" si="12"/>
        <v>0.16282764098490865</v>
      </c>
      <c r="AJ38" s="138">
        <f t="shared" si="13"/>
        <v>0.40508339952343131</v>
      </c>
    </row>
    <row r="39" spans="1:36">
      <c r="A39" s="145" t="str">
        <f t="shared" si="14"/>
        <v>Guinea</v>
      </c>
      <c r="D39" s="145">
        <f t="shared" si="15"/>
        <v>1.1878051999472086E-2</v>
      </c>
      <c r="E39" s="145">
        <f t="shared" si="16"/>
        <v>0.35502177642866567</v>
      </c>
      <c r="F39" s="146">
        <f t="shared" si="6"/>
        <v>1.1878051999472086E-2</v>
      </c>
      <c r="G39" s="146">
        <f t="shared" si="7"/>
        <v>0.35502177642866567</v>
      </c>
      <c r="H39" s="145"/>
      <c r="I39" s="145"/>
      <c r="J39" s="141" t="s">
        <v>1204</v>
      </c>
      <c r="K39" s="147">
        <v>115</v>
      </c>
      <c r="L39" s="147">
        <v>111</v>
      </c>
      <c r="M39" s="147">
        <v>126</v>
      </c>
      <c r="N39" s="147">
        <v>145</v>
      </c>
      <c r="O39" s="145">
        <v>0.22</v>
      </c>
      <c r="P39" s="145">
        <v>0.21</v>
      </c>
      <c r="Q39" s="145">
        <v>0.24</v>
      </c>
      <c r="R39" s="145">
        <v>0.27</v>
      </c>
      <c r="S39" s="148">
        <f t="shared" si="17"/>
        <v>0.21</v>
      </c>
      <c r="T39" s="148">
        <f t="shared" si="18"/>
        <v>0.27</v>
      </c>
      <c r="U39" s="145"/>
      <c r="V39" s="141" t="s">
        <v>1174</v>
      </c>
      <c r="W39" s="149">
        <v>2006</v>
      </c>
      <c r="X39" s="149">
        <v>7027</v>
      </c>
      <c r="Y39" s="149">
        <f t="shared" si="19"/>
        <v>10633.3</v>
      </c>
      <c r="Z39" s="150">
        <f t="shared" si="10"/>
        <v>0.18865262900510663</v>
      </c>
      <c r="AA39" s="150">
        <f t="shared" si="11"/>
        <v>0.66084846660961327</v>
      </c>
      <c r="AC39" s="29" t="s">
        <v>1170</v>
      </c>
      <c r="AD39" s="28">
        <v>87</v>
      </c>
      <c r="AE39" s="136">
        <v>28</v>
      </c>
      <c r="AF39" s="136">
        <v>137</v>
      </c>
      <c r="AG39" s="137">
        <f t="shared" si="20"/>
        <v>575.9</v>
      </c>
      <c r="AH39" s="138">
        <f t="shared" si="21"/>
        <v>0.15106789373155063</v>
      </c>
      <c r="AI39" s="138">
        <f t="shared" si="12"/>
        <v>4.8619552005556524E-2</v>
      </c>
      <c r="AJ39" s="138">
        <f t="shared" si="13"/>
        <v>0.23788852231290156</v>
      </c>
    </row>
    <row r="40" spans="1:36">
      <c r="A40" s="145" t="str">
        <f t="shared" si="14"/>
        <v>Guinea-Bissau</v>
      </c>
      <c r="D40" s="145">
        <f t="shared" si="15"/>
        <v>1.3769889840881273E-2</v>
      </c>
      <c r="E40" s="145">
        <f t="shared" si="16"/>
        <v>0.39167686658506728</v>
      </c>
      <c r="F40" s="146">
        <f t="shared" si="6"/>
        <v>1.3769889840881273E-2</v>
      </c>
      <c r="G40" s="146">
        <f t="shared" si="7"/>
        <v>0.39167686658506728</v>
      </c>
      <c r="H40" s="145"/>
      <c r="I40" s="145"/>
      <c r="J40" s="141" t="s">
        <v>1205</v>
      </c>
      <c r="K40" s="147">
        <v>55</v>
      </c>
      <c r="L40" s="147">
        <v>52</v>
      </c>
      <c r="M40" s="147">
        <v>58</v>
      </c>
      <c r="N40" s="147">
        <v>68</v>
      </c>
      <c r="O40" s="145">
        <v>0.1</v>
      </c>
      <c r="P40" s="145">
        <v>0.09</v>
      </c>
      <c r="Q40" s="145">
        <v>0.1</v>
      </c>
      <c r="R40" s="145">
        <v>0.12</v>
      </c>
      <c r="S40" s="148">
        <f t="shared" si="17"/>
        <v>0.09</v>
      </c>
      <c r="T40" s="148">
        <f t="shared" si="18"/>
        <v>0.12</v>
      </c>
      <c r="U40" s="145"/>
      <c r="V40" s="141" t="s">
        <v>1168</v>
      </c>
      <c r="W40" s="149">
        <v>61</v>
      </c>
      <c r="X40" s="149">
        <v>737</v>
      </c>
      <c r="Y40" s="149">
        <f t="shared" si="19"/>
        <v>1903.1</v>
      </c>
      <c r="Z40" s="150">
        <f t="shared" si="10"/>
        <v>3.205296621302086E-2</v>
      </c>
      <c r="AA40" s="150">
        <f t="shared" si="11"/>
        <v>0.38726288686879307</v>
      </c>
      <c r="AC40" s="29" t="s">
        <v>1171</v>
      </c>
      <c r="AD40" s="28">
        <v>342</v>
      </c>
      <c r="AE40" s="136">
        <v>175</v>
      </c>
      <c r="AF40" s="136">
        <v>434</v>
      </c>
      <c r="AG40" s="137">
        <f t="shared" si="20"/>
        <v>2508.9</v>
      </c>
      <c r="AH40" s="138">
        <f t="shared" si="21"/>
        <v>0.1363147195982303</v>
      </c>
      <c r="AI40" s="138">
        <f t="shared" si="12"/>
        <v>6.9751684004942402E-2</v>
      </c>
      <c r="AJ40" s="138">
        <f t="shared" si="13"/>
        <v>0.17298417633225716</v>
      </c>
    </row>
    <row r="41" spans="1:36">
      <c r="A41" s="145" t="str">
        <f t="shared" si="14"/>
        <v>Guyana</v>
      </c>
      <c r="D41" s="145">
        <f t="shared" si="15"/>
        <v>6.2406972365188385E-2</v>
      </c>
      <c r="E41" s="145">
        <f t="shared" si="16"/>
        <v>0.34503165181213347</v>
      </c>
      <c r="F41" s="146">
        <f t="shared" si="6"/>
        <v>6.2406972365188385E-2</v>
      </c>
      <c r="G41" s="146">
        <f t="shared" si="7"/>
        <v>0.34503165181213347</v>
      </c>
      <c r="H41" s="145"/>
      <c r="I41" s="145"/>
      <c r="J41" s="141" t="s">
        <v>1212</v>
      </c>
      <c r="K41" s="147">
        <v>2130</v>
      </c>
      <c r="L41" s="147">
        <v>1566</v>
      </c>
      <c r="M41" s="147">
        <v>2147</v>
      </c>
      <c r="N41" s="147">
        <v>2067</v>
      </c>
      <c r="O41" s="145">
        <v>0.52</v>
      </c>
      <c r="P41" s="145">
        <v>0.38</v>
      </c>
      <c r="Q41" s="145">
        <v>0.52</v>
      </c>
      <c r="R41" s="145">
        <v>0.5</v>
      </c>
      <c r="S41" s="148">
        <f t="shared" si="17"/>
        <v>0.38</v>
      </c>
      <c r="T41" s="148">
        <f t="shared" si="18"/>
        <v>0.52</v>
      </c>
      <c r="U41" s="145"/>
      <c r="V41" s="141" t="s">
        <v>1216</v>
      </c>
      <c r="W41" s="149">
        <v>3953</v>
      </c>
      <c r="X41" s="149">
        <v>8101</v>
      </c>
      <c r="Y41" s="149">
        <f t="shared" si="19"/>
        <v>14002.2</v>
      </c>
      <c r="Z41" s="150">
        <f t="shared" si="10"/>
        <v>0.2823127794203768</v>
      </c>
      <c r="AA41" s="150">
        <f t="shared" si="11"/>
        <v>0.57855194183771119</v>
      </c>
      <c r="AC41" s="29" t="s">
        <v>1174</v>
      </c>
      <c r="AD41" s="28">
        <v>9559</v>
      </c>
      <c r="AE41" s="136">
        <v>6973</v>
      </c>
      <c r="AF41" s="136">
        <v>16825</v>
      </c>
      <c r="AG41" s="137">
        <f t="shared" si="20"/>
        <v>12669.3</v>
      </c>
      <c r="AH41" s="138">
        <f t="shared" si="21"/>
        <v>0.7545010379421121</v>
      </c>
      <c r="AI41" s="138">
        <f t="shared" si="12"/>
        <v>0.55038557773515506</v>
      </c>
      <c r="AJ41" s="138">
        <f t="shared" si="13"/>
        <v>1.3280133866906618</v>
      </c>
    </row>
    <row r="42" spans="1:36">
      <c r="A42" s="145" t="str">
        <f t="shared" si="14"/>
        <v>Haiti</v>
      </c>
      <c r="D42" s="145">
        <f t="shared" si="15"/>
        <v>1.3771259381670455E-2</v>
      </c>
      <c r="E42" s="145">
        <f t="shared" si="16"/>
        <v>0.28988500998416306</v>
      </c>
      <c r="F42" s="146">
        <f t="shared" si="6"/>
        <v>1.3771259381670455E-2</v>
      </c>
      <c r="G42" s="146">
        <f t="shared" si="7"/>
        <v>0.28988500998416306</v>
      </c>
      <c r="H42" s="145"/>
      <c r="I42" s="145"/>
      <c r="J42" s="141" t="s">
        <v>1217</v>
      </c>
      <c r="K42" s="147">
        <v>190</v>
      </c>
      <c r="L42" s="147">
        <v>133</v>
      </c>
      <c r="M42" s="147">
        <v>170</v>
      </c>
      <c r="N42" s="147">
        <v>172</v>
      </c>
      <c r="O42" s="145">
        <v>0.23</v>
      </c>
      <c r="P42" s="145">
        <v>0.16</v>
      </c>
      <c r="Q42" s="145">
        <v>0.21</v>
      </c>
      <c r="R42" s="145">
        <v>0.21</v>
      </c>
      <c r="S42" s="148">
        <f t="shared" si="17"/>
        <v>0.16</v>
      </c>
      <c r="T42" s="148">
        <f t="shared" si="18"/>
        <v>0.23</v>
      </c>
      <c r="U42" s="145"/>
      <c r="V42" s="141" t="s">
        <v>1178</v>
      </c>
      <c r="W42" s="149">
        <v>11020</v>
      </c>
      <c r="X42" s="149">
        <v>14430</v>
      </c>
      <c r="Y42" s="149">
        <f t="shared" si="19"/>
        <v>27797.5</v>
      </c>
      <c r="Z42" s="150">
        <f t="shared" si="10"/>
        <v>0.39643852864466228</v>
      </c>
      <c r="AA42" s="150">
        <f t="shared" si="11"/>
        <v>0.5191114308840723</v>
      </c>
      <c r="AC42" s="29" t="s">
        <v>1168</v>
      </c>
      <c r="AD42" s="28">
        <v>435</v>
      </c>
      <c r="AE42" s="136">
        <v>222</v>
      </c>
      <c r="AF42" s="136">
        <v>552</v>
      </c>
      <c r="AG42" s="137">
        <f t="shared" si="20"/>
        <v>2309.3000000000002</v>
      </c>
      <c r="AH42" s="138">
        <f t="shared" si="21"/>
        <v>0.18836876975706923</v>
      </c>
      <c r="AI42" s="138">
        <f t="shared" si="12"/>
        <v>9.6133027324297404E-2</v>
      </c>
      <c r="AJ42" s="138">
        <f t="shared" si="13"/>
        <v>0.23903347334690164</v>
      </c>
    </row>
    <row r="43" spans="1:36">
      <c r="A43" s="145" t="str">
        <f t="shared" si="14"/>
        <v>Honduras</v>
      </c>
      <c r="D43" s="145">
        <f t="shared" si="15"/>
        <v>7.2168943136685079E-2</v>
      </c>
      <c r="E43" s="145">
        <f t="shared" si="16"/>
        <v>0.57008621524750558</v>
      </c>
      <c r="F43" s="146">
        <f t="shared" si="6"/>
        <v>7.2168943136685079E-2</v>
      </c>
      <c r="G43" s="146">
        <f t="shared" si="7"/>
        <v>0.57008621524750558</v>
      </c>
      <c r="H43" s="145"/>
      <c r="I43" s="145"/>
      <c r="J43" s="141" t="s">
        <v>287</v>
      </c>
      <c r="K43" s="147">
        <v>2242</v>
      </c>
      <c r="L43" s="147">
        <v>1707</v>
      </c>
      <c r="M43" s="147">
        <v>2530</v>
      </c>
      <c r="N43" s="147">
        <v>2282</v>
      </c>
      <c r="O43" s="145">
        <v>0.89</v>
      </c>
      <c r="P43" s="145">
        <v>0.68</v>
      </c>
      <c r="Q43" s="145">
        <v>1</v>
      </c>
      <c r="R43" s="145">
        <v>0.9</v>
      </c>
      <c r="S43" s="148">
        <f t="shared" si="17"/>
        <v>0.68</v>
      </c>
      <c r="T43" s="148">
        <f t="shared" si="18"/>
        <v>1</v>
      </c>
      <c r="U43" s="145"/>
      <c r="V43" s="141" t="s">
        <v>1390</v>
      </c>
      <c r="W43" s="149">
        <v>7325</v>
      </c>
      <c r="X43" s="149">
        <v>10569</v>
      </c>
      <c r="Y43" s="149" t="e">
        <f t="shared" si="19"/>
        <v>#N/A</v>
      </c>
      <c r="Z43" s="150" t="e">
        <f t="shared" si="10"/>
        <v>#N/A</v>
      </c>
      <c r="AA43" s="150" t="e">
        <f t="shared" si="11"/>
        <v>#N/A</v>
      </c>
      <c r="AC43" s="29" t="s">
        <v>1216</v>
      </c>
      <c r="AD43" s="28">
        <v>8725</v>
      </c>
      <c r="AE43" s="136">
        <v>7426</v>
      </c>
      <c r="AF43" s="136">
        <v>10927</v>
      </c>
      <c r="AG43" s="137">
        <f t="shared" si="20"/>
        <v>15218.5</v>
      </c>
      <c r="AH43" s="138">
        <f t="shared" si="21"/>
        <v>0.57331537273712918</v>
      </c>
      <c r="AI43" s="138">
        <f t="shared" si="12"/>
        <v>0.4879587344350626</v>
      </c>
      <c r="AJ43" s="138">
        <f t="shared" si="13"/>
        <v>0.71800768801130199</v>
      </c>
    </row>
    <row r="44" spans="1:36">
      <c r="A44" s="145" t="str">
        <f t="shared" ref="A44:A67" si="22">J44</f>
        <v>India</v>
      </c>
      <c r="D44" s="145">
        <f t="shared" si="15"/>
        <v>7.9966622627077405E-2</v>
      </c>
      <c r="E44" s="145">
        <f t="shared" si="16"/>
        <v>0.53542869063347476</v>
      </c>
      <c r="F44" s="146">
        <f t="shared" si="6"/>
        <v>7.9966622627077405E-2</v>
      </c>
      <c r="G44" s="146">
        <f t="shared" si="7"/>
        <v>0.53542869063347476</v>
      </c>
      <c r="H44" s="145"/>
      <c r="I44" s="145"/>
      <c r="J44" s="141" t="s">
        <v>189</v>
      </c>
      <c r="K44" s="147">
        <v>291</v>
      </c>
      <c r="L44" s="147">
        <v>264</v>
      </c>
      <c r="M44" s="147">
        <v>363</v>
      </c>
      <c r="N44" s="147">
        <v>349</v>
      </c>
      <c r="O44" s="145">
        <v>0.18</v>
      </c>
      <c r="P44" s="145">
        <v>0.17</v>
      </c>
      <c r="Q44" s="145">
        <v>0.23</v>
      </c>
      <c r="R44" s="145">
        <v>0.22</v>
      </c>
      <c r="S44" s="148">
        <f t="shared" si="17"/>
        <v>0.17</v>
      </c>
      <c r="T44" s="148">
        <f t="shared" si="18"/>
        <v>0.23</v>
      </c>
      <c r="U44" s="145"/>
      <c r="V44" s="141" t="s">
        <v>1183</v>
      </c>
      <c r="W44" s="149">
        <v>28767</v>
      </c>
      <c r="X44" s="149">
        <v>35771</v>
      </c>
      <c r="Y44" s="149">
        <f t="shared" si="19"/>
        <v>61191.199999999997</v>
      </c>
      <c r="Z44" s="150">
        <f t="shared" si="10"/>
        <v>0.4701166180758018</v>
      </c>
      <c r="AA44" s="150">
        <f t="shared" si="11"/>
        <v>0.58457752095072502</v>
      </c>
      <c r="AC44" s="29" t="s">
        <v>255</v>
      </c>
      <c r="AD44" s="28">
        <v>10638</v>
      </c>
      <c r="AE44" s="136">
        <v>7760</v>
      </c>
      <c r="AF44" s="136">
        <v>18723</v>
      </c>
      <c r="AG44" s="137">
        <f t="shared" si="20"/>
        <v>9139.4</v>
      </c>
      <c r="AH44" s="138">
        <f t="shared" si="21"/>
        <v>1.1639713766768061</v>
      </c>
      <c r="AI44" s="138">
        <f t="shared" si="12"/>
        <v>0.84907105499266911</v>
      </c>
      <c r="AJ44" s="138">
        <f t="shared" si="13"/>
        <v>2.0486027529159463</v>
      </c>
    </row>
    <row r="45" spans="1:36">
      <c r="A45" s="145" t="str">
        <f t="shared" si="22"/>
        <v>Indonesia</v>
      </c>
      <c r="D45" s="145">
        <f t="shared" si="15"/>
        <v>0.13100557883926836</v>
      </c>
      <c r="E45" s="145">
        <f t="shared" si="16"/>
        <v>0.49571178772655361</v>
      </c>
      <c r="F45" s="146">
        <f t="shared" si="6"/>
        <v>0.13100557883926836</v>
      </c>
      <c r="G45" s="146">
        <f t="shared" si="7"/>
        <v>0.49571178772655361</v>
      </c>
      <c r="H45" s="145"/>
      <c r="I45" s="145"/>
      <c r="J45" s="141" t="s">
        <v>301</v>
      </c>
      <c r="K45" s="147">
        <v>691</v>
      </c>
      <c r="L45" s="147">
        <v>535</v>
      </c>
      <c r="M45" s="147">
        <v>778</v>
      </c>
      <c r="N45" s="147">
        <v>714</v>
      </c>
      <c r="O45" s="145">
        <v>0.21</v>
      </c>
      <c r="P45" s="145">
        <v>0.16</v>
      </c>
      <c r="Q45" s="145">
        <v>0.23</v>
      </c>
      <c r="R45" s="145">
        <v>0.21</v>
      </c>
      <c r="S45" s="148">
        <f t="shared" si="17"/>
        <v>0.16</v>
      </c>
      <c r="T45" s="148">
        <f t="shared" si="18"/>
        <v>0.23</v>
      </c>
      <c r="U45" s="145"/>
      <c r="V45" s="141" t="s">
        <v>1181</v>
      </c>
      <c r="W45" s="149">
        <v>71</v>
      </c>
      <c r="X45" s="149">
        <v>857</v>
      </c>
      <c r="Y45" s="149">
        <f t="shared" si="19"/>
        <v>2102.1999999999998</v>
      </c>
      <c r="Z45" s="150">
        <f t="shared" si="10"/>
        <v>3.3774141375701651E-2</v>
      </c>
      <c r="AA45" s="150">
        <f t="shared" si="11"/>
        <v>0.40766815716868049</v>
      </c>
      <c r="AC45" s="29" t="s">
        <v>1178</v>
      </c>
      <c r="AD45" s="28">
        <v>16922</v>
      </c>
      <c r="AE45" s="136">
        <v>14402</v>
      </c>
      <c r="AF45" s="136">
        <v>21194</v>
      </c>
      <c r="AG45" s="137">
        <f t="shared" si="20"/>
        <v>29420</v>
      </c>
      <c r="AH45" s="138">
        <f t="shared" si="21"/>
        <v>0.57518694765465672</v>
      </c>
      <c r="AI45" s="138">
        <f t="shared" si="12"/>
        <v>0.48953093133922504</v>
      </c>
      <c r="AJ45" s="138">
        <f t="shared" si="13"/>
        <v>0.72039428959891227</v>
      </c>
    </row>
    <row r="46" spans="1:36">
      <c r="A46" s="145" t="str">
        <f t="shared" si="22"/>
        <v>Jamaica</v>
      </c>
      <c r="D46" s="145">
        <f t="shared" si="15"/>
        <v>0.12986760503139763</v>
      </c>
      <c r="E46" s="145">
        <f t="shared" si="16"/>
        <v>0.52860781149756009</v>
      </c>
      <c r="F46" s="146">
        <f t="shared" si="6"/>
        <v>0.12986760503139763</v>
      </c>
      <c r="G46" s="146">
        <f t="shared" si="7"/>
        <v>0.52860781149756009</v>
      </c>
      <c r="H46" s="145"/>
      <c r="I46" s="145"/>
      <c r="J46" s="141" t="s">
        <v>1231</v>
      </c>
      <c r="K46" s="147">
        <v>2466</v>
      </c>
      <c r="L46" s="147">
        <v>2137</v>
      </c>
      <c r="M46" s="147">
        <v>3270</v>
      </c>
      <c r="N46" s="147">
        <v>2868</v>
      </c>
      <c r="O46" s="145">
        <v>0.47</v>
      </c>
      <c r="P46" s="145">
        <v>0.41</v>
      </c>
      <c r="Q46" s="145">
        <v>0.63</v>
      </c>
      <c r="R46" s="145">
        <v>0.55000000000000004</v>
      </c>
      <c r="S46" s="148">
        <f t="shared" si="17"/>
        <v>0.41</v>
      </c>
      <c r="T46" s="148">
        <f t="shared" si="18"/>
        <v>0.63</v>
      </c>
      <c r="U46" s="145"/>
      <c r="V46" s="141" t="s">
        <v>1182</v>
      </c>
      <c r="W46" s="149">
        <v>991</v>
      </c>
      <c r="X46" s="149">
        <v>3611</v>
      </c>
      <c r="Y46" s="149">
        <f t="shared" si="19"/>
        <v>7240.7</v>
      </c>
      <c r="Z46" s="150">
        <f t="shared" si="10"/>
        <v>0.13686522021351527</v>
      </c>
      <c r="AA46" s="150">
        <f t="shared" si="11"/>
        <v>0.49870868838648197</v>
      </c>
      <c r="AC46" s="29" t="s">
        <v>1390</v>
      </c>
      <c r="AD46" s="28">
        <v>15750</v>
      </c>
      <c r="AE46" s="136">
        <v>13405</v>
      </c>
      <c r="AF46" s="136">
        <v>19726</v>
      </c>
      <c r="AG46" s="137" t="e">
        <f t="shared" si="20"/>
        <v>#N/A</v>
      </c>
      <c r="AH46" s="138" t="e">
        <f t="shared" si="21"/>
        <v>#N/A</v>
      </c>
      <c r="AI46" s="138" t="e">
        <f t="shared" si="12"/>
        <v>#N/A</v>
      </c>
      <c r="AJ46" s="138" t="e">
        <f t="shared" si="13"/>
        <v>#N/A</v>
      </c>
    </row>
    <row r="47" spans="1:36">
      <c r="A47" s="145" t="str">
        <f t="shared" si="22"/>
        <v>Jordan</v>
      </c>
      <c r="D47" s="145">
        <f t="shared" si="15"/>
        <v>0.19474718599249596</v>
      </c>
      <c r="E47" s="145">
        <f t="shared" si="16"/>
        <v>0.76648204395211716</v>
      </c>
      <c r="F47" s="146">
        <f t="shared" si="6"/>
        <v>0.19474718599249596</v>
      </c>
      <c r="G47" s="146">
        <f t="shared" si="7"/>
        <v>0.76648204395211716</v>
      </c>
      <c r="H47" s="145"/>
      <c r="I47" s="145"/>
      <c r="J47" s="141" t="s">
        <v>1232</v>
      </c>
      <c r="K47" s="147">
        <v>6162</v>
      </c>
      <c r="L47" s="147">
        <v>4917</v>
      </c>
      <c r="M47" s="147">
        <v>8771</v>
      </c>
      <c r="N47" s="147">
        <v>6618</v>
      </c>
      <c r="O47" s="145">
        <v>1.25</v>
      </c>
      <c r="P47" s="145">
        <v>1</v>
      </c>
      <c r="Q47" s="145">
        <v>1.78</v>
      </c>
      <c r="R47" s="145">
        <v>1.34</v>
      </c>
      <c r="S47" s="148">
        <f t="shared" si="17"/>
        <v>1</v>
      </c>
      <c r="T47" s="148">
        <f t="shared" si="18"/>
        <v>1.78</v>
      </c>
      <c r="U47" s="145"/>
      <c r="V47" s="141" t="s">
        <v>1184</v>
      </c>
      <c r="W47" s="149">
        <v>937</v>
      </c>
      <c r="X47" s="149">
        <v>3675</v>
      </c>
      <c r="Y47" s="149">
        <f t="shared" si="19"/>
        <v>6171.3</v>
      </c>
      <c r="Z47" s="150">
        <f t="shared" si="10"/>
        <v>0.15183186686759678</v>
      </c>
      <c r="AA47" s="150">
        <f t="shared" si="11"/>
        <v>0.59549851733022219</v>
      </c>
      <c r="AC47" s="29" t="s">
        <v>1183</v>
      </c>
      <c r="AD47" s="28">
        <v>52467</v>
      </c>
      <c r="AE47" s="136">
        <v>44656</v>
      </c>
      <c r="AF47" s="136">
        <v>65712</v>
      </c>
      <c r="AG47" s="137">
        <f t="shared" si="20"/>
        <v>59593</v>
      </c>
      <c r="AH47" s="138">
        <f t="shared" si="21"/>
        <v>0.88042219723793058</v>
      </c>
      <c r="AI47" s="138">
        <f t="shared" si="12"/>
        <v>0.74934975584380714</v>
      </c>
      <c r="AJ47" s="138">
        <f t="shared" si="13"/>
        <v>1.1026798449482322</v>
      </c>
    </row>
    <row r="48" spans="1:36">
      <c r="A48" s="145" t="str">
        <f t="shared" si="22"/>
        <v>Kazakhstan</v>
      </c>
      <c r="D48" s="145">
        <f t="shared" si="15"/>
        <v>0.32288022115675347</v>
      </c>
      <c r="E48" s="145">
        <f t="shared" si="16"/>
        <v>0.57722488589405785</v>
      </c>
      <c r="F48" s="146">
        <f t="shared" si="6"/>
        <v>0.32288022115675347</v>
      </c>
      <c r="G48" s="146">
        <f t="shared" si="7"/>
        <v>0.57722488589405785</v>
      </c>
      <c r="H48" s="145"/>
      <c r="I48" s="145"/>
      <c r="J48" s="141" t="s">
        <v>1234</v>
      </c>
      <c r="K48" s="147">
        <v>5809</v>
      </c>
      <c r="L48" s="147">
        <v>3734</v>
      </c>
      <c r="M48" s="147">
        <v>5213</v>
      </c>
      <c r="N48" s="147">
        <v>4917</v>
      </c>
      <c r="O48" s="145">
        <v>0.55000000000000004</v>
      </c>
      <c r="P48" s="145">
        <v>0.36</v>
      </c>
      <c r="Q48" s="145">
        <v>0.5</v>
      </c>
      <c r="R48" s="145">
        <v>0.47</v>
      </c>
      <c r="S48" s="148">
        <f t="shared" si="17"/>
        <v>0.36</v>
      </c>
      <c r="T48" s="148">
        <f t="shared" si="18"/>
        <v>0.55000000000000004</v>
      </c>
      <c r="U48" s="145"/>
      <c r="V48" s="141" t="s">
        <v>286</v>
      </c>
      <c r="W48" s="149">
        <v>858</v>
      </c>
      <c r="X48" s="149">
        <v>3191</v>
      </c>
      <c r="Y48" s="149">
        <f t="shared" si="19"/>
        <v>6142</v>
      </c>
      <c r="Z48" s="150">
        <f t="shared" si="10"/>
        <v>0.13969391077824814</v>
      </c>
      <c r="AA48" s="150">
        <f t="shared" si="11"/>
        <v>0.51953760989905573</v>
      </c>
      <c r="AC48" s="29" t="s">
        <v>1181</v>
      </c>
      <c r="AD48" s="28">
        <v>456</v>
      </c>
      <c r="AE48" s="136">
        <v>233</v>
      </c>
      <c r="AF48" s="136">
        <v>579</v>
      </c>
      <c r="AG48" s="137">
        <f t="shared" si="20"/>
        <v>2876</v>
      </c>
      <c r="AH48" s="138">
        <f t="shared" si="21"/>
        <v>0.15855354659248957</v>
      </c>
      <c r="AI48" s="138">
        <f t="shared" si="12"/>
        <v>8.1015299026425597E-2</v>
      </c>
      <c r="AJ48" s="138">
        <f t="shared" si="13"/>
        <v>0.20132127955493742</v>
      </c>
    </row>
    <row r="49" spans="1:36">
      <c r="A49" s="145" t="str">
        <f t="shared" si="22"/>
        <v>Kenya</v>
      </c>
      <c r="D49" s="145">
        <f t="shared" si="15"/>
        <v>2.3242300987797792E-2</v>
      </c>
      <c r="E49" s="145">
        <f t="shared" si="16"/>
        <v>0.37696106914584543</v>
      </c>
      <c r="F49" s="146">
        <f t="shared" si="6"/>
        <v>2.3242300987797792E-2</v>
      </c>
      <c r="G49" s="146">
        <f t="shared" si="7"/>
        <v>0.37696106914584543</v>
      </c>
      <c r="H49" s="145"/>
      <c r="I49" s="145"/>
      <c r="J49" s="141" t="s">
        <v>226</v>
      </c>
      <c r="K49" s="147">
        <v>542</v>
      </c>
      <c r="L49" s="147">
        <v>491</v>
      </c>
      <c r="M49" s="147">
        <v>623</v>
      </c>
      <c r="N49" s="147">
        <v>647</v>
      </c>
      <c r="O49" s="145">
        <v>0.39</v>
      </c>
      <c r="P49" s="145">
        <v>0.36</v>
      </c>
      <c r="Q49" s="145">
        <v>0.45</v>
      </c>
      <c r="R49" s="145">
        <v>0.47</v>
      </c>
      <c r="S49" s="148">
        <f t="shared" si="17"/>
        <v>0.36</v>
      </c>
      <c r="T49" s="148">
        <f t="shared" si="18"/>
        <v>0.47</v>
      </c>
      <c r="U49" s="145"/>
      <c r="V49" s="141" t="s">
        <v>232</v>
      </c>
      <c r="W49" s="149">
        <v>522</v>
      </c>
      <c r="X49" s="149">
        <v>1993</v>
      </c>
      <c r="Y49" s="149">
        <f t="shared" si="19"/>
        <v>3088.9</v>
      </c>
      <c r="Z49" s="150">
        <f t="shared" si="10"/>
        <v>0.16899219786979183</v>
      </c>
      <c r="AA49" s="150">
        <f t="shared" si="11"/>
        <v>0.64521350642623587</v>
      </c>
      <c r="AC49" s="29" t="s">
        <v>1184</v>
      </c>
      <c r="AD49" s="28">
        <v>4745</v>
      </c>
      <c r="AE49" s="136">
        <v>3461</v>
      </c>
      <c r="AF49" s="136">
        <v>8350</v>
      </c>
      <c r="AG49" s="137">
        <f t="shared" si="20"/>
        <v>8173.3</v>
      </c>
      <c r="AH49" s="138">
        <f t="shared" si="21"/>
        <v>0.58054886031345965</v>
      </c>
      <c r="AI49" s="138">
        <f t="shared" si="12"/>
        <v>0.42345197166383225</v>
      </c>
      <c r="AJ49" s="138">
        <f t="shared" si="13"/>
        <v>1.0216191746295866</v>
      </c>
    </row>
    <row r="50" spans="1:36">
      <c r="A50" s="145" t="str">
        <f t="shared" si="22"/>
        <v>Kyrgyzstan</v>
      </c>
      <c r="D50" s="145" t="e">
        <f t="shared" si="15"/>
        <v>#N/A</v>
      </c>
      <c r="E50" s="145" t="e">
        <f t="shared" si="16"/>
        <v>#N/A</v>
      </c>
      <c r="F50" s="146" t="e">
        <f t="shared" si="6"/>
        <v>#N/A</v>
      </c>
      <c r="G50" s="146" t="e">
        <f t="shared" si="7"/>
        <v>#N/A</v>
      </c>
      <c r="H50" s="145"/>
      <c r="I50" s="145"/>
      <c r="J50" s="141" t="s">
        <v>1412</v>
      </c>
      <c r="K50" s="147">
        <v>973</v>
      </c>
      <c r="L50" s="147">
        <v>644</v>
      </c>
      <c r="M50" s="147">
        <v>883</v>
      </c>
      <c r="N50" s="147">
        <v>847</v>
      </c>
      <c r="O50" s="145">
        <v>0.88</v>
      </c>
      <c r="P50" s="145">
        <v>0.57999999999999996</v>
      </c>
      <c r="Q50" s="145">
        <v>0.8</v>
      </c>
      <c r="R50" s="145">
        <v>0.77</v>
      </c>
      <c r="S50" s="148">
        <f t="shared" si="17"/>
        <v>0.57999999999999996</v>
      </c>
      <c r="T50" s="148">
        <f t="shared" si="18"/>
        <v>0.88</v>
      </c>
      <c r="U50" s="145"/>
      <c r="V50" s="141" t="s">
        <v>1318</v>
      </c>
      <c r="W50" s="149">
        <v>422</v>
      </c>
      <c r="X50" s="149">
        <v>1967</v>
      </c>
      <c r="Y50" s="149">
        <f t="shared" si="19"/>
        <v>3555.2</v>
      </c>
      <c r="Z50" s="150">
        <f t="shared" si="10"/>
        <v>0.1186993699369937</v>
      </c>
      <c r="AA50" s="150">
        <f t="shared" si="11"/>
        <v>0.55327407740774082</v>
      </c>
      <c r="AC50" s="29" t="s">
        <v>286</v>
      </c>
      <c r="AD50" s="28">
        <v>4745</v>
      </c>
      <c r="AE50" s="136">
        <v>3461</v>
      </c>
      <c r="AF50" s="136">
        <v>8352</v>
      </c>
      <c r="AG50" s="137">
        <f t="shared" si="20"/>
        <v>6203.7</v>
      </c>
      <c r="AH50" s="138">
        <f t="shared" si="21"/>
        <v>0.7648661282782856</v>
      </c>
      <c r="AI50" s="138">
        <f t="shared" si="12"/>
        <v>0.5578928703838032</v>
      </c>
      <c r="AJ50" s="138">
        <f t="shared" si="13"/>
        <v>1.3462933410706515</v>
      </c>
    </row>
    <row r="51" spans="1:36">
      <c r="A51" s="145" t="str">
        <f t="shared" si="22"/>
        <v>Lebanon</v>
      </c>
      <c r="D51" s="145">
        <f t="shared" si="15"/>
        <v>0.29314856090706459</v>
      </c>
      <c r="E51" s="145">
        <f t="shared" si="16"/>
        <v>0.77720709371063079</v>
      </c>
      <c r="F51" s="146">
        <f t="shared" si="6"/>
        <v>0.29314856090706459</v>
      </c>
      <c r="G51" s="146">
        <f t="shared" si="7"/>
        <v>0.77720709371063079</v>
      </c>
      <c r="H51" s="145"/>
      <c r="I51" s="145"/>
      <c r="J51" s="141" t="s">
        <v>1243</v>
      </c>
      <c r="K51" s="147">
        <v>6018</v>
      </c>
      <c r="L51" s="147">
        <v>4704</v>
      </c>
      <c r="M51" s="147">
        <v>9105</v>
      </c>
      <c r="N51" s="147">
        <v>6363</v>
      </c>
      <c r="O51" s="145">
        <v>0.75</v>
      </c>
      <c r="P51" s="145">
        <v>0.57999999999999996</v>
      </c>
      <c r="Q51" s="145">
        <v>1.1299999999999999</v>
      </c>
      <c r="R51" s="145">
        <v>0.79</v>
      </c>
      <c r="S51" s="148">
        <f t="shared" si="17"/>
        <v>0.57999999999999996</v>
      </c>
      <c r="T51" s="148">
        <f t="shared" si="18"/>
        <v>1.1299999999999999</v>
      </c>
      <c r="U51" s="145"/>
      <c r="V51" s="141" t="s">
        <v>1206</v>
      </c>
      <c r="W51" s="149">
        <v>9843</v>
      </c>
      <c r="X51" s="149">
        <v>10798</v>
      </c>
      <c r="Y51" s="149">
        <f t="shared" si="19"/>
        <v>17644.599999999999</v>
      </c>
      <c r="Z51" s="150">
        <f t="shared" si="10"/>
        <v>0.55784772678326522</v>
      </c>
      <c r="AA51" s="150">
        <f t="shared" si="11"/>
        <v>0.61197193475624279</v>
      </c>
      <c r="AC51" s="29" t="s">
        <v>232</v>
      </c>
      <c r="AD51" s="28">
        <v>1172</v>
      </c>
      <c r="AE51" s="136">
        <v>598</v>
      </c>
      <c r="AF51" s="136">
        <v>1486</v>
      </c>
      <c r="AG51" s="137">
        <f t="shared" si="20"/>
        <v>3017.3</v>
      </c>
      <c r="AH51" s="138">
        <f t="shared" si="21"/>
        <v>0.38842673913763959</v>
      </c>
      <c r="AI51" s="138">
        <f t="shared" si="12"/>
        <v>0.19819043515725979</v>
      </c>
      <c r="AJ51" s="138">
        <f t="shared" si="13"/>
        <v>0.49249328870181946</v>
      </c>
    </row>
    <row r="52" spans="1:36">
      <c r="A52" s="145" t="str">
        <f t="shared" si="22"/>
        <v>Lesotho</v>
      </c>
      <c r="D52" s="145">
        <f t="shared" si="15"/>
        <v>3.5920799018748902E-2</v>
      </c>
      <c r="E52" s="145">
        <f t="shared" si="16"/>
        <v>0.50902400560714911</v>
      </c>
      <c r="F52" s="146">
        <f t="shared" si="6"/>
        <v>3.5920799018748902E-2</v>
      </c>
      <c r="G52" s="146">
        <f t="shared" si="7"/>
        <v>0.50902400560714911</v>
      </c>
      <c r="H52" s="145"/>
      <c r="I52" s="145"/>
      <c r="J52" s="141" t="s">
        <v>1254</v>
      </c>
      <c r="K52" s="147">
        <v>704</v>
      </c>
      <c r="L52" s="147">
        <v>556</v>
      </c>
      <c r="M52" s="147">
        <v>629</v>
      </c>
      <c r="N52" s="147">
        <v>718</v>
      </c>
      <c r="O52" s="145">
        <v>0.66</v>
      </c>
      <c r="P52" s="145">
        <v>0.52</v>
      </c>
      <c r="Q52" s="145">
        <v>0.59</v>
      </c>
      <c r="R52" s="145">
        <v>0.67</v>
      </c>
      <c r="S52" s="148">
        <f t="shared" si="17"/>
        <v>0.52</v>
      </c>
      <c r="T52" s="148">
        <f t="shared" si="18"/>
        <v>0.67</v>
      </c>
      <c r="U52" s="145"/>
      <c r="V52" s="141" t="s">
        <v>1190</v>
      </c>
      <c r="W52" s="149">
        <v>9</v>
      </c>
      <c r="X52" s="149">
        <v>280</v>
      </c>
      <c r="Y52" s="149">
        <f t="shared" si="19"/>
        <v>0</v>
      </c>
      <c r="Z52" s="150" t="e">
        <f t="shared" si="10"/>
        <v>#DIV/0!</v>
      </c>
      <c r="AA52" s="150" t="e">
        <f t="shared" si="11"/>
        <v>#DIV/0!</v>
      </c>
      <c r="AC52" s="29" t="s">
        <v>1318</v>
      </c>
      <c r="AD52" s="28">
        <v>2363</v>
      </c>
      <c r="AE52" s="136">
        <v>1206</v>
      </c>
      <c r="AF52" s="136">
        <v>2997</v>
      </c>
      <c r="AG52" s="137">
        <f t="shared" si="20"/>
        <v>4280.3</v>
      </c>
      <c r="AH52" s="138">
        <f t="shared" si="21"/>
        <v>0.55206410765600544</v>
      </c>
      <c r="AI52" s="138">
        <f t="shared" si="12"/>
        <v>0.2817559516856295</v>
      </c>
      <c r="AJ52" s="138">
        <f t="shared" si="13"/>
        <v>0.70018456650234795</v>
      </c>
    </row>
    <row r="53" spans="1:36">
      <c r="A53" s="145" t="str">
        <f t="shared" si="22"/>
        <v>Macedonia</v>
      </c>
      <c r="D53" s="145" t="e">
        <f t="shared" si="15"/>
        <v>#N/A</v>
      </c>
      <c r="E53" s="145" t="e">
        <f t="shared" si="16"/>
        <v>#N/A</v>
      </c>
      <c r="F53" s="146" t="e">
        <f t="shared" si="6"/>
        <v>#N/A</v>
      </c>
      <c r="G53" s="146" t="e">
        <f t="shared" si="7"/>
        <v>#N/A</v>
      </c>
      <c r="H53" s="145"/>
      <c r="I53" s="145"/>
      <c r="J53" s="141" t="s">
        <v>1413</v>
      </c>
      <c r="K53" s="147">
        <v>6335</v>
      </c>
      <c r="L53" s="147">
        <v>3373</v>
      </c>
      <c r="M53" s="147">
        <v>5261</v>
      </c>
      <c r="N53" s="147">
        <v>4429</v>
      </c>
      <c r="O53" s="145">
        <v>1.31</v>
      </c>
      <c r="P53" s="145">
        <v>0.7</v>
      </c>
      <c r="Q53" s="145">
        <v>1.08</v>
      </c>
      <c r="R53" s="145">
        <v>0.91</v>
      </c>
      <c r="S53" s="148">
        <f t="shared" si="17"/>
        <v>0.7</v>
      </c>
      <c r="T53" s="148">
        <f t="shared" si="18"/>
        <v>1.31</v>
      </c>
      <c r="U53" s="145"/>
      <c r="V53" s="141" t="s">
        <v>1192</v>
      </c>
      <c r="W53" s="149">
        <v>6574</v>
      </c>
      <c r="X53" s="149">
        <v>10636</v>
      </c>
      <c r="Y53" s="149">
        <f t="shared" si="19"/>
        <v>19056</v>
      </c>
      <c r="Z53" s="150">
        <f t="shared" si="10"/>
        <v>0.34498320738874894</v>
      </c>
      <c r="AA53" s="150">
        <f t="shared" si="11"/>
        <v>0.55814441645675905</v>
      </c>
      <c r="AC53" s="29" t="s">
        <v>1206</v>
      </c>
      <c r="AD53" s="28">
        <v>1840</v>
      </c>
      <c r="AE53" s="136">
        <v>1343</v>
      </c>
      <c r="AF53" s="136">
        <v>3239</v>
      </c>
      <c r="AG53" s="137">
        <f t="shared" si="20"/>
        <v>7317.4</v>
      </c>
      <c r="AH53" s="138">
        <f t="shared" si="21"/>
        <v>0.25145543499057044</v>
      </c>
      <c r="AI53" s="138">
        <f t="shared" si="12"/>
        <v>0.18353513543061745</v>
      </c>
      <c r="AJ53" s="138">
        <f t="shared" si="13"/>
        <v>0.44264356192090087</v>
      </c>
    </row>
    <row r="54" spans="1:36">
      <c r="A54" s="145" t="str">
        <f t="shared" si="22"/>
        <v>Madagascar</v>
      </c>
      <c r="D54" s="145">
        <f t="shared" si="15"/>
        <v>1.708752610594266E-2</v>
      </c>
      <c r="E54" s="145">
        <f t="shared" si="16"/>
        <v>0.44617429276628057</v>
      </c>
      <c r="F54" s="146">
        <f t="shared" si="6"/>
        <v>1.708752610594266E-2</v>
      </c>
      <c r="G54" s="146">
        <f t="shared" si="7"/>
        <v>0.44617429276628057</v>
      </c>
      <c r="H54" s="145"/>
      <c r="I54" s="145"/>
      <c r="J54" s="141" t="s">
        <v>1264</v>
      </c>
      <c r="K54" s="147">
        <v>70</v>
      </c>
      <c r="L54" s="147">
        <v>66</v>
      </c>
      <c r="M54" s="147">
        <v>82</v>
      </c>
      <c r="N54" s="147">
        <v>87</v>
      </c>
      <c r="O54" s="145">
        <v>0.17</v>
      </c>
      <c r="P54" s="145">
        <v>0.16</v>
      </c>
      <c r="Q54" s="145">
        <v>0.2</v>
      </c>
      <c r="R54" s="145">
        <v>0.22</v>
      </c>
      <c r="S54" s="148">
        <f t="shared" si="17"/>
        <v>0.16</v>
      </c>
      <c r="T54" s="148">
        <f t="shared" si="18"/>
        <v>0.22</v>
      </c>
      <c r="U54" s="145"/>
      <c r="V54" s="141" t="s">
        <v>246</v>
      </c>
      <c r="W54" s="149">
        <v>10</v>
      </c>
      <c r="X54" s="149">
        <v>255</v>
      </c>
      <c r="Y54" s="149">
        <f t="shared" si="19"/>
        <v>490.8</v>
      </c>
      <c r="Z54" s="150">
        <f t="shared" si="10"/>
        <v>2.0374898125509373E-2</v>
      </c>
      <c r="AA54" s="150">
        <f t="shared" si="11"/>
        <v>0.51955990220048898</v>
      </c>
      <c r="AC54" s="29" t="s">
        <v>1192</v>
      </c>
      <c r="AD54" s="28">
        <v>13367</v>
      </c>
      <c r="AE54" s="136">
        <v>11377</v>
      </c>
      <c r="AF54" s="136">
        <v>16741</v>
      </c>
      <c r="AG54" s="137">
        <f t="shared" si="20"/>
        <v>23581.7</v>
      </c>
      <c r="AH54" s="138">
        <f t="shared" si="21"/>
        <v>0.56683784459983799</v>
      </c>
      <c r="AI54" s="138">
        <f t="shared" si="12"/>
        <v>0.48245037465492308</v>
      </c>
      <c r="AJ54" s="138">
        <f t="shared" si="13"/>
        <v>0.70991489163207055</v>
      </c>
    </row>
    <row r="55" spans="1:36">
      <c r="A55" s="145" t="str">
        <f t="shared" si="22"/>
        <v>Malawi</v>
      </c>
      <c r="D55" s="145">
        <f t="shared" si="15"/>
        <v>5.9856344772545892E-3</v>
      </c>
      <c r="E55" s="145">
        <f t="shared" si="16"/>
        <v>0.23144453312051078</v>
      </c>
      <c r="F55" s="146">
        <f t="shared" si="6"/>
        <v>5.9856344772545892E-3</v>
      </c>
      <c r="G55" s="146">
        <f t="shared" si="7"/>
        <v>0.23144453312051078</v>
      </c>
      <c r="H55" s="145"/>
      <c r="I55" s="145"/>
      <c r="J55" s="141" t="s">
        <v>1279</v>
      </c>
      <c r="K55" s="147">
        <v>130</v>
      </c>
      <c r="L55" s="147">
        <v>124</v>
      </c>
      <c r="M55" s="147">
        <v>142</v>
      </c>
      <c r="N55" s="147">
        <v>164</v>
      </c>
      <c r="O55" s="145">
        <v>0.35</v>
      </c>
      <c r="P55" s="145">
        <v>0.33</v>
      </c>
      <c r="Q55" s="145">
        <v>0.38</v>
      </c>
      <c r="R55" s="145">
        <v>0.44</v>
      </c>
      <c r="S55" s="148">
        <f t="shared" si="17"/>
        <v>0.33</v>
      </c>
      <c r="T55" s="148">
        <f t="shared" si="18"/>
        <v>0.44</v>
      </c>
      <c r="U55" s="145"/>
      <c r="V55" s="141" t="s">
        <v>1196</v>
      </c>
      <c r="W55" s="149">
        <v>507</v>
      </c>
      <c r="X55" s="149">
        <v>2307</v>
      </c>
      <c r="Y55" s="149">
        <f t="shared" si="19"/>
        <v>4587</v>
      </c>
      <c r="Z55" s="150">
        <f t="shared" si="10"/>
        <v>0.11052975801177239</v>
      </c>
      <c r="AA55" s="150">
        <f t="shared" si="11"/>
        <v>0.50294310006540222</v>
      </c>
      <c r="AC55" s="29" t="s">
        <v>1329</v>
      </c>
      <c r="AD55" s="28">
        <v>1818</v>
      </c>
      <c r="AE55" s="136">
        <v>928</v>
      </c>
      <c r="AF55" s="136">
        <v>2305</v>
      </c>
      <c r="AG55" s="137">
        <f t="shared" si="20"/>
        <v>3843.4</v>
      </c>
      <c r="AH55" s="138">
        <f t="shared" si="21"/>
        <v>0.47301868137586511</v>
      </c>
      <c r="AI55" s="138">
        <f t="shared" si="12"/>
        <v>0.24145288026226777</v>
      </c>
      <c r="AJ55" s="138">
        <f t="shared" si="13"/>
        <v>0.59972940625487847</v>
      </c>
    </row>
    <row r="56" spans="1:36">
      <c r="A56" s="145" t="str">
        <f t="shared" si="22"/>
        <v>Malaysia</v>
      </c>
      <c r="D56" s="145">
        <f t="shared" si="15"/>
        <v>0.32448707551478878</v>
      </c>
      <c r="E56" s="145">
        <f t="shared" si="16"/>
        <v>0.5771973489191532</v>
      </c>
      <c r="F56" s="146">
        <f t="shared" si="6"/>
        <v>0.32448707551478878</v>
      </c>
      <c r="G56" s="146">
        <f t="shared" si="7"/>
        <v>0.5771973489191532</v>
      </c>
      <c r="H56" s="145"/>
      <c r="I56" s="145"/>
      <c r="J56" s="141" t="s">
        <v>180</v>
      </c>
      <c r="K56" s="147">
        <v>6875</v>
      </c>
      <c r="L56" s="147">
        <v>4396</v>
      </c>
      <c r="M56" s="147">
        <v>7314</v>
      </c>
      <c r="N56" s="147">
        <v>5898</v>
      </c>
      <c r="O56" s="145">
        <v>0.7</v>
      </c>
      <c r="P56" s="145">
        <v>0.45</v>
      </c>
      <c r="Q56" s="145">
        <v>0.75</v>
      </c>
      <c r="R56" s="145">
        <v>0.6</v>
      </c>
      <c r="S56" s="148">
        <f t="shared" si="17"/>
        <v>0.45</v>
      </c>
      <c r="T56" s="148">
        <f t="shared" si="18"/>
        <v>0.75</v>
      </c>
      <c r="U56" s="145"/>
      <c r="V56" s="141" t="s">
        <v>1195</v>
      </c>
      <c r="W56" s="149">
        <v>23867</v>
      </c>
      <c r="X56" s="149">
        <v>25653</v>
      </c>
      <c r="Y56" s="149">
        <f t="shared" si="19"/>
        <v>49892.2</v>
      </c>
      <c r="Z56" s="150">
        <f t="shared" si="10"/>
        <v>0.47837136867085439</v>
      </c>
      <c r="AA56" s="150">
        <f t="shared" si="11"/>
        <v>0.51416854738816897</v>
      </c>
      <c r="AC56" s="29" t="s">
        <v>246</v>
      </c>
      <c r="AD56" s="28">
        <v>124</v>
      </c>
      <c r="AE56" s="136">
        <v>39</v>
      </c>
      <c r="AF56" s="136">
        <v>194</v>
      </c>
      <c r="AG56" s="137">
        <f t="shared" si="20"/>
        <v>840.4</v>
      </c>
      <c r="AH56" s="138">
        <f t="shared" si="21"/>
        <v>0.1475487862922418</v>
      </c>
      <c r="AI56" s="138">
        <f t="shared" si="12"/>
        <v>4.6406473108043793E-2</v>
      </c>
      <c r="AJ56" s="138">
        <f t="shared" si="13"/>
        <v>0.23084245597334604</v>
      </c>
    </row>
    <row r="57" spans="1:36">
      <c r="A57" s="145" t="str">
        <f t="shared" si="22"/>
        <v>Mali</v>
      </c>
      <c r="D57" s="145">
        <f t="shared" si="15"/>
        <v>2.1828454031843865E-2</v>
      </c>
      <c r="E57" s="145">
        <f t="shared" si="16"/>
        <v>0.47252182845403184</v>
      </c>
      <c r="F57" s="146">
        <f t="shared" si="6"/>
        <v>2.1828454031843865E-2</v>
      </c>
      <c r="G57" s="146">
        <f t="shared" si="7"/>
        <v>0.47252182845403184</v>
      </c>
      <c r="H57" s="145"/>
      <c r="I57" s="145"/>
      <c r="J57" s="141" t="s">
        <v>1270</v>
      </c>
      <c r="K57" s="147">
        <v>69</v>
      </c>
      <c r="L57" s="147">
        <v>71</v>
      </c>
      <c r="M57" s="147">
        <v>77</v>
      </c>
      <c r="N57" s="147">
        <v>93</v>
      </c>
      <c r="O57" s="145">
        <v>0.1</v>
      </c>
      <c r="P57" s="145">
        <v>0.1</v>
      </c>
      <c r="Q57" s="145">
        <v>0.11</v>
      </c>
      <c r="R57" s="145">
        <v>0.13</v>
      </c>
      <c r="S57" s="148">
        <f t="shared" si="17"/>
        <v>0.1</v>
      </c>
      <c r="T57" s="148">
        <f t="shared" si="18"/>
        <v>0.13</v>
      </c>
      <c r="U57" s="145"/>
      <c r="V57" s="141" t="s">
        <v>1197</v>
      </c>
      <c r="W57" s="149">
        <v>21168</v>
      </c>
      <c r="X57" s="149">
        <v>21713</v>
      </c>
      <c r="Y57" s="149">
        <f t="shared" si="19"/>
        <v>42602.7</v>
      </c>
      <c r="Z57" s="150">
        <f t="shared" si="10"/>
        <v>0.49686991669542074</v>
      </c>
      <c r="AA57" s="150">
        <f t="shared" si="11"/>
        <v>0.50966253312583476</v>
      </c>
      <c r="AC57" s="29" t="s">
        <v>1196</v>
      </c>
      <c r="AD57" s="28">
        <v>2027</v>
      </c>
      <c r="AE57" s="136">
        <v>1479</v>
      </c>
      <c r="AF57" s="136">
        <v>3567</v>
      </c>
      <c r="AG57" s="137">
        <f t="shared" si="20"/>
        <v>5927.7</v>
      </c>
      <c r="AH57" s="138">
        <f t="shared" si="21"/>
        <v>0.34195387755790613</v>
      </c>
      <c r="AI57" s="138">
        <f t="shared" si="12"/>
        <v>0.24950655397540361</v>
      </c>
      <c r="AJ57" s="138">
        <f t="shared" si="13"/>
        <v>0.60175110076420868</v>
      </c>
    </row>
    <row r="58" spans="1:36">
      <c r="A58" s="145" t="str">
        <f t="shared" si="22"/>
        <v>Mauritania</v>
      </c>
      <c r="D58" s="145">
        <f t="shared" si="15"/>
        <v>2.3836667012125608E-2</v>
      </c>
      <c r="E58" s="145">
        <f t="shared" si="16"/>
        <v>0.28500362731889317</v>
      </c>
      <c r="F58" s="146">
        <f t="shared" si="6"/>
        <v>2.3836667012125608E-2</v>
      </c>
      <c r="G58" s="146">
        <f t="shared" si="7"/>
        <v>0.28500362731889317</v>
      </c>
      <c r="H58" s="145"/>
      <c r="I58" s="145"/>
      <c r="J58" s="141" t="s">
        <v>1277</v>
      </c>
      <c r="K58" s="147">
        <v>279</v>
      </c>
      <c r="L58" s="147">
        <v>272</v>
      </c>
      <c r="M58" s="147">
        <v>356</v>
      </c>
      <c r="N58" s="147">
        <v>360</v>
      </c>
      <c r="O58" s="145">
        <v>0.2</v>
      </c>
      <c r="P58" s="145">
        <v>0.2</v>
      </c>
      <c r="Q58" s="145">
        <v>0.26</v>
      </c>
      <c r="R58" s="145">
        <v>0.26</v>
      </c>
      <c r="S58" s="148">
        <f t="shared" si="17"/>
        <v>0.2</v>
      </c>
      <c r="T58" s="148">
        <f t="shared" si="18"/>
        <v>0.26</v>
      </c>
      <c r="U58" s="145"/>
      <c r="V58" s="141" t="s">
        <v>1200</v>
      </c>
      <c r="W58" s="149">
        <v>3164</v>
      </c>
      <c r="X58" s="149">
        <v>7218</v>
      </c>
      <c r="Y58" s="149">
        <f t="shared" si="19"/>
        <v>9250.1</v>
      </c>
      <c r="Z58" s="150">
        <f t="shared" si="10"/>
        <v>0.34205035621236524</v>
      </c>
      <c r="AA58" s="150">
        <f t="shared" si="11"/>
        <v>0.78031588847688127</v>
      </c>
      <c r="AC58" s="29" t="s">
        <v>1195</v>
      </c>
      <c r="AD58" s="28">
        <v>39425</v>
      </c>
      <c r="AE58" s="136">
        <v>33555</v>
      </c>
      <c r="AF58" s="136">
        <v>49378</v>
      </c>
      <c r="AG58" s="137">
        <f t="shared" si="20"/>
        <v>48629.9</v>
      </c>
      <c r="AH58" s="138">
        <f t="shared" si="21"/>
        <v>0.81071521841500804</v>
      </c>
      <c r="AI58" s="138">
        <f t="shared" si="12"/>
        <v>0.69000758792430172</v>
      </c>
      <c r="AJ58" s="138">
        <f t="shared" si="13"/>
        <v>1.0153835397564051</v>
      </c>
    </row>
    <row r="59" spans="1:36">
      <c r="A59" s="145" t="str">
        <f t="shared" si="22"/>
        <v>Mauritius</v>
      </c>
      <c r="D59" s="145">
        <f t="shared" si="15"/>
        <v>0.23021936382442701</v>
      </c>
      <c r="E59" s="145">
        <f t="shared" si="16"/>
        <v>0.60883190299653844</v>
      </c>
      <c r="F59" s="146">
        <f t="shared" si="6"/>
        <v>0.23021936382442701</v>
      </c>
      <c r="G59" s="146">
        <f t="shared" si="7"/>
        <v>0.60883190299653844</v>
      </c>
      <c r="H59" s="145"/>
      <c r="I59" s="145"/>
      <c r="J59" s="141" t="s">
        <v>1278</v>
      </c>
      <c r="K59" s="147">
        <v>4653</v>
      </c>
      <c r="L59" s="147">
        <v>3560</v>
      </c>
      <c r="M59" s="147">
        <v>5442</v>
      </c>
      <c r="N59" s="147">
        <v>4776</v>
      </c>
      <c r="O59" s="145">
        <v>0.5</v>
      </c>
      <c r="P59" s="145">
        <v>0.38</v>
      </c>
      <c r="Q59" s="145">
        <v>0.59</v>
      </c>
      <c r="R59" s="145">
        <v>0.52</v>
      </c>
      <c r="S59" s="148">
        <f t="shared" si="17"/>
        <v>0.38</v>
      </c>
      <c r="T59" s="148">
        <f t="shared" si="18"/>
        <v>0.59</v>
      </c>
      <c r="U59" s="145"/>
      <c r="V59" s="141" t="s">
        <v>217</v>
      </c>
      <c r="W59" s="149">
        <v>12</v>
      </c>
      <c r="X59" s="149">
        <v>252</v>
      </c>
      <c r="Y59" s="149">
        <f t="shared" si="19"/>
        <v>647.4</v>
      </c>
      <c r="Z59" s="150">
        <f t="shared" si="10"/>
        <v>1.8535681186283598E-2</v>
      </c>
      <c r="AA59" s="150">
        <f t="shared" si="11"/>
        <v>0.38924930491195553</v>
      </c>
      <c r="AC59" s="29" t="s">
        <v>1197</v>
      </c>
      <c r="AD59" s="28">
        <v>40006</v>
      </c>
      <c r="AE59" s="136">
        <v>34050</v>
      </c>
      <c r="AF59" s="136">
        <v>50106</v>
      </c>
      <c r="AG59" s="137">
        <f t="shared" si="20"/>
        <v>40494.9</v>
      </c>
      <c r="AH59" s="138">
        <f t="shared" si="21"/>
        <v>0.98792687474225149</v>
      </c>
      <c r="AI59" s="138">
        <f t="shared" si="12"/>
        <v>0.84084662513057196</v>
      </c>
      <c r="AJ59" s="138">
        <f t="shared" si="13"/>
        <v>1.2373409984961068</v>
      </c>
    </row>
    <row r="60" spans="1:36">
      <c r="A60" s="145" t="str">
        <f t="shared" si="22"/>
        <v>Mexico</v>
      </c>
      <c r="D60" s="145">
        <f t="shared" si="15"/>
        <v>0.21294455489286504</v>
      </c>
      <c r="E60" s="145">
        <f t="shared" si="16"/>
        <v>0.59633311243649212</v>
      </c>
      <c r="F60" s="146">
        <f t="shared" si="6"/>
        <v>0.21294455489286504</v>
      </c>
      <c r="G60" s="146">
        <f t="shared" si="7"/>
        <v>0.59633311243649212</v>
      </c>
      <c r="H60" s="145"/>
      <c r="I60" s="145"/>
      <c r="J60" s="141" t="s">
        <v>281</v>
      </c>
      <c r="K60" s="147">
        <v>7449</v>
      </c>
      <c r="L60" s="147">
        <v>5723</v>
      </c>
      <c r="M60" s="147">
        <v>8730</v>
      </c>
      <c r="N60" s="147">
        <v>7700</v>
      </c>
      <c r="O60" s="145">
        <v>0.83</v>
      </c>
      <c r="P60" s="145">
        <v>0.64</v>
      </c>
      <c r="Q60" s="145">
        <v>0.97</v>
      </c>
      <c r="R60" s="145">
        <v>0.86</v>
      </c>
      <c r="S60" s="148">
        <f t="shared" si="17"/>
        <v>0.64</v>
      </c>
      <c r="T60" s="148">
        <f t="shared" si="18"/>
        <v>0.97</v>
      </c>
      <c r="U60" s="145"/>
      <c r="V60" s="141" t="s">
        <v>270</v>
      </c>
      <c r="W60" s="149">
        <v>366</v>
      </c>
      <c r="X60" s="149">
        <v>1850</v>
      </c>
      <c r="Y60" s="149">
        <f t="shared" si="19"/>
        <v>4712</v>
      </c>
      <c r="Z60" s="150">
        <f t="shared" si="10"/>
        <v>7.7674023769100167E-2</v>
      </c>
      <c r="AA60" s="150">
        <f t="shared" si="11"/>
        <v>0.39261460101867574</v>
      </c>
      <c r="AC60" s="29" t="s">
        <v>1200</v>
      </c>
      <c r="AD60" s="28">
        <v>1860</v>
      </c>
      <c r="AE60" s="136">
        <v>1356</v>
      </c>
      <c r="AF60" s="136">
        <v>3273</v>
      </c>
      <c r="AG60" s="137">
        <f t="shared" si="20"/>
        <v>7523.9</v>
      </c>
      <c r="AH60" s="138">
        <f t="shared" si="21"/>
        <v>0.24721221706827579</v>
      </c>
      <c r="AI60" s="138">
        <f t="shared" si="12"/>
        <v>0.1802256808304204</v>
      </c>
      <c r="AJ60" s="138">
        <f t="shared" si="13"/>
        <v>0.4350137561636917</v>
      </c>
    </row>
    <row r="61" spans="1:36">
      <c r="A61" s="145" t="str">
        <f t="shared" si="22"/>
        <v>Moldova</v>
      </c>
      <c r="D61" s="145">
        <f t="shared" si="15"/>
        <v>4.4564890093345376E-2</v>
      </c>
      <c r="E61" s="145">
        <f t="shared" si="16"/>
        <v>0.34658235471243604</v>
      </c>
      <c r="F61" s="146">
        <f t="shared" si="6"/>
        <v>4.4564890093345376E-2</v>
      </c>
      <c r="G61" s="146">
        <f t="shared" si="7"/>
        <v>0.34658235471243604</v>
      </c>
      <c r="H61" s="145"/>
      <c r="I61" s="145"/>
      <c r="J61" s="141" t="s">
        <v>1263</v>
      </c>
      <c r="K61" s="147">
        <v>2314</v>
      </c>
      <c r="L61" s="147">
        <v>1570</v>
      </c>
      <c r="M61" s="147">
        <v>2353</v>
      </c>
      <c r="N61" s="147">
        <v>2084</v>
      </c>
      <c r="O61" s="145">
        <v>1.25</v>
      </c>
      <c r="P61" s="145">
        <v>0.85</v>
      </c>
      <c r="Q61" s="145">
        <v>1.27</v>
      </c>
      <c r="R61" s="145">
        <v>1.1299999999999999</v>
      </c>
      <c r="S61" s="148">
        <f t="shared" si="17"/>
        <v>0.85</v>
      </c>
      <c r="T61" s="148">
        <f t="shared" si="18"/>
        <v>1.27</v>
      </c>
      <c r="U61" s="145"/>
      <c r="V61" s="141" t="s">
        <v>1180</v>
      </c>
      <c r="W61" s="149">
        <v>21933</v>
      </c>
      <c r="X61" s="149">
        <v>27747</v>
      </c>
      <c r="Y61" s="149">
        <f t="shared" si="19"/>
        <v>46298.9</v>
      </c>
      <c r="Z61" s="150">
        <f t="shared" si="10"/>
        <v>0.47372615764089426</v>
      </c>
      <c r="AA61" s="150">
        <f t="shared" si="11"/>
        <v>0.59930149528390519</v>
      </c>
      <c r="AC61" s="29" t="s">
        <v>217</v>
      </c>
      <c r="AD61" s="28">
        <v>125</v>
      </c>
      <c r="AE61" s="136">
        <v>39</v>
      </c>
      <c r="AF61" s="136">
        <v>197</v>
      </c>
      <c r="AG61" s="137">
        <f t="shared" si="20"/>
        <v>722.9</v>
      </c>
      <c r="AH61" s="138">
        <f t="shared" si="21"/>
        <v>0.17291464932909117</v>
      </c>
      <c r="AI61" s="138">
        <f t="shared" si="12"/>
        <v>5.3949370590676442E-2</v>
      </c>
      <c r="AJ61" s="138">
        <f t="shared" si="13"/>
        <v>0.27251348734264769</v>
      </c>
    </row>
    <row r="62" spans="1:36">
      <c r="A62" s="145" t="str">
        <f t="shared" si="22"/>
        <v>Mongolia</v>
      </c>
      <c r="D62" s="145">
        <f t="shared" si="15"/>
        <v>0.12278678515704497</v>
      </c>
      <c r="E62" s="145">
        <f t="shared" si="16"/>
        <v>0.47147411980191301</v>
      </c>
      <c r="F62" s="146">
        <f t="shared" si="6"/>
        <v>0.12278678515704497</v>
      </c>
      <c r="G62" s="146">
        <f t="shared" si="7"/>
        <v>0.47147411980191301</v>
      </c>
      <c r="H62" s="145"/>
      <c r="I62" s="145"/>
      <c r="J62" s="141" t="s">
        <v>206</v>
      </c>
      <c r="K62" s="147">
        <v>1949</v>
      </c>
      <c r="L62" s="147">
        <v>1394</v>
      </c>
      <c r="M62" s="147">
        <v>1865</v>
      </c>
      <c r="N62" s="147">
        <v>1848</v>
      </c>
      <c r="O62" s="145">
        <v>0.49</v>
      </c>
      <c r="P62" s="145">
        <v>0.35</v>
      </c>
      <c r="Q62" s="145">
        <v>0.47</v>
      </c>
      <c r="R62" s="145">
        <v>0.47</v>
      </c>
      <c r="S62" s="148">
        <f t="shared" si="17"/>
        <v>0.35</v>
      </c>
      <c r="T62" s="148">
        <f t="shared" si="18"/>
        <v>0.49</v>
      </c>
      <c r="U62" s="145"/>
      <c r="V62" s="141" t="s">
        <v>1202</v>
      </c>
      <c r="W62" s="149">
        <v>104</v>
      </c>
      <c r="X62" s="149">
        <v>951</v>
      </c>
      <c r="Y62" s="149">
        <f t="shared" si="19"/>
        <v>2282.4</v>
      </c>
      <c r="Z62" s="150">
        <f t="shared" si="10"/>
        <v>4.5566070802663859E-2</v>
      </c>
      <c r="AA62" s="150">
        <f t="shared" si="11"/>
        <v>0.41666666666666663</v>
      </c>
      <c r="AC62" s="29" t="s">
        <v>270</v>
      </c>
      <c r="AD62" s="28">
        <v>2759</v>
      </c>
      <c r="AE62" s="136">
        <v>2012</v>
      </c>
      <c r="AF62" s="136">
        <v>4856</v>
      </c>
      <c r="AG62" s="137">
        <f t="shared" si="20"/>
        <v>4741.3</v>
      </c>
      <c r="AH62" s="138">
        <f t="shared" si="21"/>
        <v>0.58190791555058741</v>
      </c>
      <c r="AI62" s="138">
        <f t="shared" si="12"/>
        <v>0.42435618923080165</v>
      </c>
      <c r="AJ62" s="138">
        <f t="shared" si="13"/>
        <v>1.0241916773880582</v>
      </c>
    </row>
    <row r="63" spans="1:36">
      <c r="A63" s="145" t="str">
        <f t="shared" si="22"/>
        <v>Morocco</v>
      </c>
      <c r="D63" s="145">
        <f t="shared" si="15"/>
        <v>9.3557555660824257E-2</v>
      </c>
      <c r="E63" s="145">
        <f t="shared" si="16"/>
        <v>0.47074846044528662</v>
      </c>
      <c r="F63" s="146">
        <f t="shared" si="6"/>
        <v>9.3557555660824257E-2</v>
      </c>
      <c r="G63" s="146">
        <f t="shared" si="7"/>
        <v>0.47074846044528662</v>
      </c>
      <c r="H63" s="145"/>
      <c r="I63" s="145"/>
      <c r="J63" s="141" t="s">
        <v>1261</v>
      </c>
      <c r="K63" s="147">
        <v>1119</v>
      </c>
      <c r="L63" s="147">
        <v>927</v>
      </c>
      <c r="M63" s="147">
        <v>1484</v>
      </c>
      <c r="N63" s="147">
        <v>1235</v>
      </c>
      <c r="O63" s="145">
        <v>0.39</v>
      </c>
      <c r="P63" s="145">
        <v>0.32</v>
      </c>
      <c r="Q63" s="145">
        <v>0.52</v>
      </c>
      <c r="R63" s="145">
        <v>0.43</v>
      </c>
      <c r="S63" s="148">
        <f t="shared" si="17"/>
        <v>0.32</v>
      </c>
      <c r="T63" s="148">
        <f t="shared" si="18"/>
        <v>0.52</v>
      </c>
      <c r="U63" s="145"/>
      <c r="V63" s="141" t="s">
        <v>1207</v>
      </c>
      <c r="W63" s="149">
        <v>7982</v>
      </c>
      <c r="X63" s="149">
        <v>12520</v>
      </c>
      <c r="Y63" s="149">
        <f t="shared" si="19"/>
        <v>21787.8</v>
      </c>
      <c r="Z63" s="150">
        <f t="shared" si="10"/>
        <v>0.36635181156426994</v>
      </c>
      <c r="AA63" s="150">
        <f t="shared" si="11"/>
        <v>0.57463351049669997</v>
      </c>
      <c r="AC63" s="29" t="s">
        <v>1180</v>
      </c>
      <c r="AD63" s="28">
        <v>47461</v>
      </c>
      <c r="AE63" s="136">
        <v>40395</v>
      </c>
      <c r="AF63" s="136">
        <v>59443</v>
      </c>
      <c r="AG63" s="137">
        <f t="shared" si="20"/>
        <v>46805.1</v>
      </c>
      <c r="AH63" s="138">
        <f t="shared" si="21"/>
        <v>1.0140134301603885</v>
      </c>
      <c r="AI63" s="138">
        <f t="shared" si="12"/>
        <v>0.86304697565008948</v>
      </c>
      <c r="AJ63" s="138">
        <f t="shared" si="13"/>
        <v>1.2700111739959963</v>
      </c>
    </row>
    <row r="64" spans="1:36">
      <c r="A64" s="145" t="str">
        <f t="shared" si="22"/>
        <v>Mozambique</v>
      </c>
      <c r="D64" s="145">
        <f t="shared" si="15"/>
        <v>1.1745705476435178E-2</v>
      </c>
      <c r="E64" s="145">
        <f t="shared" si="16"/>
        <v>0.43165467625899279</v>
      </c>
      <c r="F64" s="146">
        <f t="shared" si="6"/>
        <v>1.1745705476435178E-2</v>
      </c>
      <c r="G64" s="146">
        <f t="shared" si="7"/>
        <v>0.43165467625899279</v>
      </c>
      <c r="H64" s="145"/>
      <c r="I64" s="145"/>
      <c r="J64" s="141" t="s">
        <v>1276</v>
      </c>
      <c r="K64" s="147">
        <v>231</v>
      </c>
      <c r="L64" s="147">
        <v>189</v>
      </c>
      <c r="M64" s="147">
        <v>217</v>
      </c>
      <c r="N64" s="147">
        <v>244</v>
      </c>
      <c r="O64" s="145">
        <v>0.44</v>
      </c>
      <c r="P64" s="145">
        <v>0.36</v>
      </c>
      <c r="Q64" s="145">
        <v>0.41</v>
      </c>
      <c r="R64" s="145">
        <v>0.46</v>
      </c>
      <c r="S64" s="148">
        <f t="shared" si="17"/>
        <v>0.36</v>
      </c>
      <c r="T64" s="148">
        <f t="shared" si="18"/>
        <v>0.46</v>
      </c>
      <c r="U64" s="145"/>
      <c r="V64" s="141" t="s">
        <v>1208</v>
      </c>
      <c r="W64" s="149">
        <v>1272</v>
      </c>
      <c r="X64" s="149">
        <v>4948</v>
      </c>
      <c r="Y64" s="149">
        <f t="shared" si="19"/>
        <v>7205.3</v>
      </c>
      <c r="Z64" s="150">
        <f t="shared" si="10"/>
        <v>0.17653671602847903</v>
      </c>
      <c r="AA64" s="150">
        <f t="shared" si="11"/>
        <v>0.68671672241266846</v>
      </c>
      <c r="AC64" s="29" t="s">
        <v>1202</v>
      </c>
      <c r="AD64" s="28">
        <v>507</v>
      </c>
      <c r="AE64" s="136">
        <v>259</v>
      </c>
      <c r="AF64" s="136">
        <v>643</v>
      </c>
      <c r="AG64" s="137">
        <f t="shared" si="20"/>
        <v>2167.9</v>
      </c>
      <c r="AH64" s="138">
        <f t="shared" si="21"/>
        <v>0.23386687577840307</v>
      </c>
      <c r="AI64" s="138">
        <f t="shared" si="12"/>
        <v>0.11947045527930254</v>
      </c>
      <c r="AJ64" s="138">
        <f t="shared" si="13"/>
        <v>0.29660039669726462</v>
      </c>
    </row>
    <row r="65" spans="1:36">
      <c r="A65" s="145" t="str">
        <f t="shared" si="22"/>
        <v>Namibia</v>
      </c>
      <c r="D65" s="145">
        <f t="shared" si="15"/>
        <v>0.14479223869668681</v>
      </c>
      <c r="E65" s="145">
        <f t="shared" si="16"/>
        <v>0.5414607358594179</v>
      </c>
      <c r="F65" s="146">
        <f t="shared" si="6"/>
        <v>0.14479223869668681</v>
      </c>
      <c r="G65" s="146">
        <f t="shared" si="7"/>
        <v>0.5414607358594179</v>
      </c>
      <c r="H65" s="145"/>
      <c r="I65" s="145"/>
      <c r="J65" s="141" t="s">
        <v>1281</v>
      </c>
      <c r="K65" s="147">
        <v>5014</v>
      </c>
      <c r="L65" s="147">
        <v>3142</v>
      </c>
      <c r="M65" s="147">
        <v>3948</v>
      </c>
      <c r="N65" s="147">
        <v>4061</v>
      </c>
      <c r="O65" s="145">
        <v>1.07</v>
      </c>
      <c r="P65" s="145">
        <v>0.67</v>
      </c>
      <c r="Q65" s="145">
        <v>0.84</v>
      </c>
      <c r="R65" s="145">
        <v>0.87</v>
      </c>
      <c r="S65" s="148">
        <f t="shared" si="17"/>
        <v>0.67</v>
      </c>
      <c r="T65" s="148">
        <f t="shared" si="18"/>
        <v>1.07</v>
      </c>
      <c r="U65" s="145"/>
      <c r="V65" s="141" t="s">
        <v>1210</v>
      </c>
      <c r="W65" s="149">
        <v>360</v>
      </c>
      <c r="X65" s="149">
        <v>1788</v>
      </c>
      <c r="Y65" s="149">
        <f t="shared" si="19"/>
        <v>3522.8</v>
      </c>
      <c r="Z65" s="150">
        <f t="shared" si="10"/>
        <v>0.1021914386283638</v>
      </c>
      <c r="AA65" s="150">
        <f t="shared" si="11"/>
        <v>0.50755081185420681</v>
      </c>
      <c r="AC65" s="29" t="s">
        <v>1207</v>
      </c>
      <c r="AD65" s="28">
        <v>13207</v>
      </c>
      <c r="AE65" s="136">
        <v>11241</v>
      </c>
      <c r="AF65" s="136">
        <v>16541</v>
      </c>
      <c r="AG65" s="137">
        <f t="shared" si="20"/>
        <v>19143.900000000001</v>
      </c>
      <c r="AH65" s="138">
        <f t="shared" si="21"/>
        <v>0.68988032741499894</v>
      </c>
      <c r="AI65" s="138">
        <f t="shared" si="12"/>
        <v>0.58718442950495975</v>
      </c>
      <c r="AJ65" s="138">
        <f t="shared" si="13"/>
        <v>0.86403501898777146</v>
      </c>
    </row>
    <row r="66" spans="1:36">
      <c r="A66" s="145" t="str">
        <f t="shared" si="22"/>
        <v>Nepal</v>
      </c>
      <c r="D66" s="145">
        <f t="shared" si="15"/>
        <v>2.7180627625401532E-2</v>
      </c>
      <c r="E66" s="145">
        <f t="shared" si="16"/>
        <v>0.44106745737583397</v>
      </c>
      <c r="F66" s="146">
        <f t="shared" si="6"/>
        <v>2.7180627625401532E-2</v>
      </c>
      <c r="G66" s="146">
        <f t="shared" si="7"/>
        <v>0.44106745737583397</v>
      </c>
      <c r="H66" s="145"/>
      <c r="I66" s="145"/>
      <c r="J66" s="141" t="s">
        <v>1288</v>
      </c>
      <c r="K66" s="147">
        <v>256</v>
      </c>
      <c r="L66" s="147">
        <v>206</v>
      </c>
      <c r="M66" s="147">
        <v>291</v>
      </c>
      <c r="N66" s="147">
        <v>272</v>
      </c>
      <c r="O66" s="145">
        <v>0.34</v>
      </c>
      <c r="P66" s="145">
        <v>0.28000000000000003</v>
      </c>
      <c r="Q66" s="145">
        <v>0.39</v>
      </c>
      <c r="R66" s="145">
        <v>0.37</v>
      </c>
      <c r="S66" s="148">
        <f t="shared" si="17"/>
        <v>0.28000000000000003</v>
      </c>
      <c r="T66" s="148">
        <f t="shared" si="18"/>
        <v>0.39</v>
      </c>
      <c r="U66" s="145"/>
      <c r="V66" s="141" t="s">
        <v>1204</v>
      </c>
      <c r="W66" s="149">
        <v>9</v>
      </c>
      <c r="X66" s="149">
        <v>269</v>
      </c>
      <c r="Y66" s="149">
        <f t="shared" si="19"/>
        <v>757.7</v>
      </c>
      <c r="Z66" s="150">
        <f t="shared" si="10"/>
        <v>1.1878051999472086E-2</v>
      </c>
      <c r="AA66" s="150">
        <f t="shared" si="11"/>
        <v>0.35502177642866567</v>
      </c>
      <c r="AC66" s="29" t="s">
        <v>1208</v>
      </c>
      <c r="AD66" s="28">
        <v>4935</v>
      </c>
      <c r="AE66" s="136">
        <v>3600</v>
      </c>
      <c r="AF66" s="136">
        <v>8685</v>
      </c>
      <c r="AG66" s="137">
        <f t="shared" si="20"/>
        <v>9887.9</v>
      </c>
      <c r="AH66" s="138">
        <f t="shared" si="21"/>
        <v>0.49909485330555531</v>
      </c>
      <c r="AI66" s="138">
        <f t="shared" si="12"/>
        <v>0.3640813519554203</v>
      </c>
      <c r="AJ66" s="138">
        <f t="shared" si="13"/>
        <v>0.87834626159245144</v>
      </c>
    </row>
    <row r="67" spans="1:36">
      <c r="A67" s="145" t="str">
        <f t="shared" si="22"/>
        <v>Nicaragua</v>
      </c>
      <c r="D67" s="145">
        <f t="shared" ref="D67:D99" si="23">VLOOKUP(J67,$V$3:$AA$184,5,FALSE)</f>
        <v>6.5745486962335634E-2</v>
      </c>
      <c r="E67" s="145">
        <f t="shared" ref="E67:E99" si="24">VLOOKUP(J67,$V$3:$AA$184,6,FALSE)</f>
        <v>0.52206373969244491</v>
      </c>
      <c r="F67" s="146">
        <f t="shared" si="6"/>
        <v>6.5745486962335634E-2</v>
      </c>
      <c r="G67" s="146">
        <f t="shared" si="7"/>
        <v>0.52206373969244491</v>
      </c>
      <c r="H67" s="145"/>
      <c r="I67" s="145"/>
      <c r="J67" s="141" t="s">
        <v>1285</v>
      </c>
      <c r="K67" s="147">
        <v>3674</v>
      </c>
      <c r="L67" s="147">
        <v>1830</v>
      </c>
      <c r="M67" s="147">
        <v>2840</v>
      </c>
      <c r="N67" s="147">
        <v>2403</v>
      </c>
      <c r="O67" s="145">
        <v>1.76</v>
      </c>
      <c r="P67" s="145">
        <v>0.88</v>
      </c>
      <c r="Q67" s="145">
        <v>1.36</v>
      </c>
      <c r="R67" s="145">
        <v>1.1499999999999999</v>
      </c>
      <c r="S67" s="148">
        <f t="shared" ref="S67:S98" si="25">MIN(O67:R67)</f>
        <v>0.88</v>
      </c>
      <c r="T67" s="148">
        <f t="shared" ref="T67:T99" si="26">MAX(O67:R67)</f>
        <v>1.76</v>
      </c>
      <c r="U67" s="145"/>
      <c r="V67" s="141" t="s">
        <v>1205</v>
      </c>
      <c r="W67" s="149">
        <v>9</v>
      </c>
      <c r="X67" s="149">
        <v>256</v>
      </c>
      <c r="Y67" s="149">
        <f t="shared" ref="Y67:Y98" si="27">VLOOKUP(V67,gdppc,55,FALSE)</f>
        <v>653.6</v>
      </c>
      <c r="Z67" s="150">
        <f t="shared" si="10"/>
        <v>1.3769889840881273E-2</v>
      </c>
      <c r="AA67" s="150">
        <f t="shared" si="11"/>
        <v>0.39167686658506728</v>
      </c>
      <c r="AC67" s="29" t="s">
        <v>1210</v>
      </c>
      <c r="AD67" s="28">
        <v>2705</v>
      </c>
      <c r="AE67" s="136">
        <v>1973</v>
      </c>
      <c r="AF67" s="136">
        <v>4761</v>
      </c>
      <c r="AG67" s="137">
        <f t="shared" ref="AG67:AG98" si="28">VLOOKUP(AC67,gdppc,61,FALSE)</f>
        <v>4647.8</v>
      </c>
      <c r="AH67" s="138">
        <f t="shared" ref="AH67:AH98" si="29">AD67/AG67</f>
        <v>0.58199578295107357</v>
      </c>
      <c r="AI67" s="138">
        <f t="shared" si="12"/>
        <v>0.42450191488446143</v>
      </c>
      <c r="AJ67" s="138">
        <f t="shared" si="13"/>
        <v>1.0243556091053831</v>
      </c>
    </row>
    <row r="68" spans="1:36">
      <c r="A68" s="145" t="str">
        <f t="shared" ref="A68:A99" si="30">J68</f>
        <v>Niger</v>
      </c>
      <c r="D68" s="145">
        <f t="shared" si="23"/>
        <v>9.1207588471360814E-3</v>
      </c>
      <c r="E68" s="145">
        <f t="shared" si="24"/>
        <v>0.38854432688799706</v>
      </c>
      <c r="F68" s="146">
        <f t="shared" ref="F68:F99" si="31">MIN(B68:E68)</f>
        <v>9.1207588471360814E-3</v>
      </c>
      <c r="G68" s="146">
        <f t="shared" ref="G68:G99" si="32">MAX(B68:E68)</f>
        <v>0.38854432688799706</v>
      </c>
      <c r="H68" s="145"/>
      <c r="I68" s="145"/>
      <c r="J68" s="141" t="s">
        <v>1283</v>
      </c>
      <c r="K68" s="147">
        <v>88</v>
      </c>
      <c r="L68" s="147">
        <v>90</v>
      </c>
      <c r="M68" s="147">
        <v>98</v>
      </c>
      <c r="N68" s="147">
        <v>118</v>
      </c>
      <c r="O68" s="145">
        <v>0.25</v>
      </c>
      <c r="P68" s="145">
        <v>0.25</v>
      </c>
      <c r="Q68" s="145">
        <v>0.27</v>
      </c>
      <c r="R68" s="145">
        <v>0.33</v>
      </c>
      <c r="S68" s="148">
        <f t="shared" si="25"/>
        <v>0.25</v>
      </c>
      <c r="T68" s="148">
        <f t="shared" si="26"/>
        <v>0.33</v>
      </c>
      <c r="U68" s="145"/>
      <c r="V68" s="141" t="s">
        <v>1212</v>
      </c>
      <c r="W68" s="149">
        <v>348</v>
      </c>
      <c r="X68" s="149">
        <v>1924</v>
      </c>
      <c r="Y68" s="149">
        <f t="shared" si="27"/>
        <v>5576.3</v>
      </c>
      <c r="Z68" s="150">
        <f t="shared" ref="Z68:Z131" si="33">W68/$Y68</f>
        <v>6.2406972365188385E-2</v>
      </c>
      <c r="AA68" s="150">
        <f t="shared" ref="AA68:AA131" si="34">X68/$Y68</f>
        <v>0.34503165181213347</v>
      </c>
      <c r="AC68" s="29" t="s">
        <v>1204</v>
      </c>
      <c r="AD68" s="28">
        <v>191</v>
      </c>
      <c r="AE68" s="136">
        <v>60</v>
      </c>
      <c r="AF68" s="136">
        <v>300</v>
      </c>
      <c r="AG68" s="137">
        <f t="shared" si="28"/>
        <v>1043.9000000000001</v>
      </c>
      <c r="AH68" s="138">
        <f t="shared" si="29"/>
        <v>0.18296771721429253</v>
      </c>
      <c r="AI68" s="138">
        <f t="shared" ref="AI68:AI131" si="35">AE68/AG68</f>
        <v>5.7476769805536926E-2</v>
      </c>
      <c r="AJ68" s="138">
        <f t="shared" ref="AJ68:AJ131" si="36">AF68/AG68</f>
        <v>0.2873838490276846</v>
      </c>
    </row>
    <row r="69" spans="1:36">
      <c r="A69" s="145" t="str">
        <f t="shared" si="30"/>
        <v>Nigeria</v>
      </c>
      <c r="D69" s="145">
        <f t="shared" si="23"/>
        <v>8.0287557108304208E-2</v>
      </c>
      <c r="E69" s="145">
        <f t="shared" si="24"/>
        <v>0.51901370599301255</v>
      </c>
      <c r="F69" s="146">
        <f t="shared" si="31"/>
        <v>8.0287557108304208E-2</v>
      </c>
      <c r="G69" s="146">
        <f t="shared" si="32"/>
        <v>0.51901370599301255</v>
      </c>
      <c r="H69" s="145"/>
      <c r="I69" s="145"/>
      <c r="J69" s="141" t="s">
        <v>1284</v>
      </c>
      <c r="K69" s="147">
        <v>214</v>
      </c>
      <c r="L69" s="147">
        <v>223</v>
      </c>
      <c r="M69" s="147">
        <v>254</v>
      </c>
      <c r="N69" s="147">
        <v>291</v>
      </c>
      <c r="O69" s="145">
        <v>0.08</v>
      </c>
      <c r="P69" s="145">
        <v>0.08</v>
      </c>
      <c r="Q69" s="145">
        <v>0.1</v>
      </c>
      <c r="R69" s="145">
        <v>0.11</v>
      </c>
      <c r="S69" s="148">
        <f t="shared" si="25"/>
        <v>0.08</v>
      </c>
      <c r="T69" s="148">
        <f t="shared" si="26"/>
        <v>0.11</v>
      </c>
      <c r="U69" s="145"/>
      <c r="V69" s="141" t="s">
        <v>1217</v>
      </c>
      <c r="W69" s="149">
        <v>20</v>
      </c>
      <c r="X69" s="149">
        <v>421</v>
      </c>
      <c r="Y69" s="149">
        <f t="shared" si="27"/>
        <v>1452.3</v>
      </c>
      <c r="Z69" s="150">
        <f t="shared" si="33"/>
        <v>1.3771259381670455E-2</v>
      </c>
      <c r="AA69" s="150">
        <f t="shared" si="34"/>
        <v>0.28988500998416306</v>
      </c>
      <c r="AC69" s="29" t="s">
        <v>1205</v>
      </c>
      <c r="AD69" s="28">
        <v>253</v>
      </c>
      <c r="AE69" s="136">
        <v>79</v>
      </c>
      <c r="AF69" s="136">
        <v>397</v>
      </c>
      <c r="AG69" s="137">
        <f t="shared" si="28"/>
        <v>754.4</v>
      </c>
      <c r="AH69" s="138">
        <f t="shared" si="29"/>
        <v>0.33536585365853661</v>
      </c>
      <c r="AI69" s="138">
        <f t="shared" si="35"/>
        <v>0.10471898197242842</v>
      </c>
      <c r="AJ69" s="138">
        <f t="shared" si="36"/>
        <v>0.52624602332979853</v>
      </c>
    </row>
    <row r="70" spans="1:36">
      <c r="A70" s="145" t="str">
        <f t="shared" si="30"/>
        <v>Pakistan</v>
      </c>
      <c r="D70" s="145">
        <f t="shared" si="23"/>
        <v>6.9064062872112406E-2</v>
      </c>
      <c r="E70" s="145">
        <f t="shared" si="24"/>
        <v>0.53107882829245057</v>
      </c>
      <c r="F70" s="146">
        <f t="shared" si="31"/>
        <v>6.9064062872112406E-2</v>
      </c>
      <c r="G70" s="146">
        <f t="shared" si="32"/>
        <v>0.53107882829245057</v>
      </c>
      <c r="H70" s="145"/>
      <c r="I70" s="145"/>
      <c r="J70" s="141" t="s">
        <v>1294</v>
      </c>
      <c r="K70" s="147">
        <v>138</v>
      </c>
      <c r="L70" s="147">
        <v>133</v>
      </c>
      <c r="M70" s="147">
        <v>169</v>
      </c>
      <c r="N70" s="147">
        <v>175</v>
      </c>
      <c r="O70" s="145">
        <v>0.1</v>
      </c>
      <c r="P70" s="145">
        <v>0.09</v>
      </c>
      <c r="Q70" s="145">
        <v>0.12</v>
      </c>
      <c r="R70" s="145">
        <v>0.12</v>
      </c>
      <c r="S70" s="148">
        <f t="shared" si="25"/>
        <v>0.09</v>
      </c>
      <c r="T70" s="148">
        <f t="shared" si="26"/>
        <v>0.12</v>
      </c>
      <c r="U70" s="145"/>
      <c r="V70" s="141" t="s">
        <v>287</v>
      </c>
      <c r="W70" s="149">
        <v>149</v>
      </c>
      <c r="X70" s="149">
        <v>1177</v>
      </c>
      <c r="Y70" s="149">
        <f t="shared" si="27"/>
        <v>2064.6</v>
      </c>
      <c r="Z70" s="150">
        <f t="shared" si="33"/>
        <v>7.2168943136685079E-2</v>
      </c>
      <c r="AA70" s="150">
        <f t="shared" si="34"/>
        <v>0.57008621524750558</v>
      </c>
      <c r="AC70" s="29" t="s">
        <v>1212</v>
      </c>
      <c r="AD70" s="28">
        <v>3134</v>
      </c>
      <c r="AE70" s="136">
        <v>2286</v>
      </c>
      <c r="AF70" s="136">
        <v>5516</v>
      </c>
      <c r="AG70" s="137">
        <f t="shared" si="28"/>
        <v>6477.3</v>
      </c>
      <c r="AH70" s="138">
        <f t="shared" si="29"/>
        <v>0.48384357679897488</v>
      </c>
      <c r="AI70" s="138">
        <f t="shared" si="35"/>
        <v>0.35292482979019035</v>
      </c>
      <c r="AJ70" s="138">
        <f t="shared" si="36"/>
        <v>0.85158939681657475</v>
      </c>
    </row>
    <row r="71" spans="1:36">
      <c r="A71" s="145" t="str">
        <f t="shared" si="30"/>
        <v>Panama</v>
      </c>
      <c r="D71" s="145">
        <f t="shared" si="23"/>
        <v>0.25493827677815678</v>
      </c>
      <c r="E71" s="145">
        <f t="shared" si="24"/>
        <v>0.57566437317197861</v>
      </c>
      <c r="F71" s="146">
        <f t="shared" si="31"/>
        <v>0.25493827677815678</v>
      </c>
      <c r="G71" s="146">
        <f t="shared" si="32"/>
        <v>0.57566437317197861</v>
      </c>
      <c r="H71" s="145"/>
      <c r="I71" s="145"/>
      <c r="J71" s="141" t="s">
        <v>1295</v>
      </c>
      <c r="K71" s="147">
        <v>14446</v>
      </c>
      <c r="L71" s="147">
        <v>11003</v>
      </c>
      <c r="M71" s="147">
        <v>17101</v>
      </c>
      <c r="N71" s="147">
        <v>14711</v>
      </c>
      <c r="O71" s="145">
        <v>1.0900000000000001</v>
      </c>
      <c r="P71" s="145">
        <v>0.83</v>
      </c>
      <c r="Q71" s="145">
        <v>1.29</v>
      </c>
      <c r="R71" s="145">
        <v>1.1100000000000001</v>
      </c>
      <c r="S71" s="148">
        <f t="shared" si="25"/>
        <v>0.83</v>
      </c>
      <c r="T71" s="148">
        <f t="shared" si="26"/>
        <v>1.29</v>
      </c>
      <c r="U71" s="145"/>
      <c r="V71" s="141" t="s">
        <v>1214</v>
      </c>
      <c r="W71" s="149">
        <v>17409</v>
      </c>
      <c r="X71" s="149">
        <v>28801</v>
      </c>
      <c r="Y71" s="149">
        <f t="shared" si="27"/>
        <v>38403.800000000003</v>
      </c>
      <c r="Z71" s="150">
        <f t="shared" si="33"/>
        <v>0.45331451575104542</v>
      </c>
      <c r="AA71" s="150">
        <f t="shared" si="34"/>
        <v>0.74995182768371871</v>
      </c>
      <c r="AC71" s="29" t="s">
        <v>1217</v>
      </c>
      <c r="AD71" s="28">
        <v>261</v>
      </c>
      <c r="AE71" s="136">
        <v>82</v>
      </c>
      <c r="AF71" s="136">
        <v>410</v>
      </c>
      <c r="AG71" s="137">
        <f t="shared" si="28"/>
        <v>1345.5</v>
      </c>
      <c r="AH71" s="138">
        <f t="shared" si="29"/>
        <v>0.1939799331103679</v>
      </c>
      <c r="AI71" s="138">
        <f t="shared" si="35"/>
        <v>6.0943887030843552E-2</v>
      </c>
      <c r="AJ71" s="138">
        <f t="shared" si="36"/>
        <v>0.30471943515421779</v>
      </c>
    </row>
    <row r="72" spans="1:36">
      <c r="A72" s="145" t="str">
        <f t="shared" si="30"/>
        <v>Paraguay</v>
      </c>
      <c r="D72" s="145">
        <f t="shared" si="23"/>
        <v>7.549759780370624E-2</v>
      </c>
      <c r="E72" s="145">
        <f t="shared" si="24"/>
        <v>0.33989517688899978</v>
      </c>
      <c r="F72" s="146">
        <f t="shared" si="31"/>
        <v>7.549759780370624E-2</v>
      </c>
      <c r="G72" s="146">
        <f t="shared" si="32"/>
        <v>0.33989517688899978</v>
      </c>
      <c r="H72" s="145"/>
      <c r="I72" s="145"/>
      <c r="J72" s="141" t="s">
        <v>267</v>
      </c>
      <c r="K72" s="147">
        <v>5797</v>
      </c>
      <c r="L72" s="147">
        <v>3401</v>
      </c>
      <c r="M72" s="147">
        <v>5199</v>
      </c>
      <c r="N72" s="147">
        <v>4467</v>
      </c>
      <c r="O72" s="145">
        <v>1.42</v>
      </c>
      <c r="P72" s="145">
        <v>0.83</v>
      </c>
      <c r="Q72" s="145">
        <v>1.27</v>
      </c>
      <c r="R72" s="145">
        <v>1.0900000000000001</v>
      </c>
      <c r="S72" s="148">
        <f t="shared" si="25"/>
        <v>0.83</v>
      </c>
      <c r="T72" s="148">
        <f t="shared" si="26"/>
        <v>1.42</v>
      </c>
      <c r="U72" s="145"/>
      <c r="V72" s="141" t="s">
        <v>1218</v>
      </c>
      <c r="W72" s="149">
        <v>4268</v>
      </c>
      <c r="X72" s="149">
        <v>7773</v>
      </c>
      <c r="Y72" s="149">
        <f t="shared" si="27"/>
        <v>13715.1</v>
      </c>
      <c r="Z72" s="150">
        <f t="shared" si="33"/>
        <v>0.31118985643560748</v>
      </c>
      <c r="AA72" s="150">
        <f t="shared" si="34"/>
        <v>0.56674759936128793</v>
      </c>
      <c r="AC72" s="29" t="s">
        <v>287</v>
      </c>
      <c r="AD72" s="28">
        <v>1603</v>
      </c>
      <c r="AE72" s="136">
        <v>819</v>
      </c>
      <c r="AF72" s="136">
        <v>2033</v>
      </c>
      <c r="AG72" s="137">
        <f t="shared" si="28"/>
        <v>2498.5</v>
      </c>
      <c r="AH72" s="138">
        <f t="shared" si="29"/>
        <v>0.64158495097058232</v>
      </c>
      <c r="AI72" s="138">
        <f t="shared" si="35"/>
        <v>0.32779667800680407</v>
      </c>
      <c r="AJ72" s="138">
        <f t="shared" si="36"/>
        <v>0.81368821292775662</v>
      </c>
    </row>
    <row r="73" spans="1:36">
      <c r="A73" s="145" t="str">
        <f t="shared" si="30"/>
        <v>Peru</v>
      </c>
      <c r="D73" s="145">
        <f t="shared" si="23"/>
        <v>0.16633817117601385</v>
      </c>
      <c r="E73" s="145">
        <f t="shared" si="24"/>
        <v>0.65445260705966679</v>
      </c>
      <c r="F73" s="146">
        <f t="shared" si="31"/>
        <v>0.16633817117601385</v>
      </c>
      <c r="G73" s="146">
        <f t="shared" si="32"/>
        <v>0.65445260705966679</v>
      </c>
      <c r="H73" s="145"/>
      <c r="I73" s="145"/>
      <c r="J73" s="141" t="s">
        <v>234</v>
      </c>
      <c r="K73" s="147">
        <v>4756</v>
      </c>
      <c r="L73" s="147">
        <v>3836</v>
      </c>
      <c r="M73" s="147">
        <v>6531</v>
      </c>
      <c r="N73" s="147">
        <v>5163</v>
      </c>
      <c r="O73" s="145">
        <v>0.79</v>
      </c>
      <c r="P73" s="145">
        <v>0.64</v>
      </c>
      <c r="Q73" s="145">
        <v>1.08</v>
      </c>
      <c r="R73" s="145">
        <v>0.86</v>
      </c>
      <c r="S73" s="148">
        <f t="shared" si="25"/>
        <v>0.64</v>
      </c>
      <c r="T73" s="148">
        <f t="shared" si="26"/>
        <v>1.08</v>
      </c>
      <c r="U73" s="145"/>
      <c r="V73" s="141" t="s">
        <v>1228</v>
      </c>
      <c r="W73" s="149">
        <v>22567</v>
      </c>
      <c r="X73" s="149">
        <v>25712</v>
      </c>
      <c r="Y73" s="149">
        <f t="shared" si="27"/>
        <v>49805</v>
      </c>
      <c r="Z73" s="150">
        <f t="shared" si="33"/>
        <v>0.4531071177592611</v>
      </c>
      <c r="AA73" s="150">
        <f t="shared" si="34"/>
        <v>0.51625338821403477</v>
      </c>
      <c r="AC73" s="29" t="s">
        <v>1218</v>
      </c>
      <c r="AD73" s="28">
        <v>8620</v>
      </c>
      <c r="AE73" s="136">
        <v>7337</v>
      </c>
      <c r="AF73" s="136">
        <v>10796</v>
      </c>
      <c r="AG73" s="137">
        <f t="shared" si="28"/>
        <v>16786.2</v>
      </c>
      <c r="AH73" s="138">
        <f t="shared" si="29"/>
        <v>0.51351705567668682</v>
      </c>
      <c r="AI73" s="138">
        <f t="shared" si="35"/>
        <v>0.43708522476796413</v>
      </c>
      <c r="AJ73" s="138">
        <f t="shared" si="36"/>
        <v>0.64314734722569722</v>
      </c>
    </row>
    <row r="74" spans="1:36">
      <c r="A74" s="145" t="str">
        <f t="shared" si="30"/>
        <v>Philippines</v>
      </c>
      <c r="D74" s="145">
        <f t="shared" si="23"/>
        <v>8.9900266891417335E-2</v>
      </c>
      <c r="E74" s="145">
        <f t="shared" si="24"/>
        <v>0.49901671583087515</v>
      </c>
      <c r="F74" s="146">
        <f t="shared" si="31"/>
        <v>8.9900266891417335E-2</v>
      </c>
      <c r="G74" s="146">
        <f t="shared" si="32"/>
        <v>0.49901671583087515</v>
      </c>
      <c r="H74" s="145"/>
      <c r="I74" s="145"/>
      <c r="J74" s="141" t="s">
        <v>200</v>
      </c>
      <c r="K74" s="147">
        <v>822</v>
      </c>
      <c r="L74" s="147">
        <v>672</v>
      </c>
      <c r="M74" s="147">
        <v>987</v>
      </c>
      <c r="N74" s="147">
        <v>898</v>
      </c>
      <c r="O74" s="145">
        <v>0.28000000000000003</v>
      </c>
      <c r="P74" s="145">
        <v>0.23</v>
      </c>
      <c r="Q74" s="145">
        <v>0.34</v>
      </c>
      <c r="R74" s="145">
        <v>0.31</v>
      </c>
      <c r="S74" s="148">
        <f t="shared" si="25"/>
        <v>0.23</v>
      </c>
      <c r="T74" s="148">
        <f t="shared" si="26"/>
        <v>0.34</v>
      </c>
      <c r="U74" s="145"/>
      <c r="V74" s="141" t="s">
        <v>189</v>
      </c>
      <c r="W74" s="149">
        <v>115</v>
      </c>
      <c r="X74" s="149">
        <v>770</v>
      </c>
      <c r="Y74" s="149">
        <f t="shared" si="27"/>
        <v>1438.1</v>
      </c>
      <c r="Z74" s="150">
        <f t="shared" si="33"/>
        <v>7.9966622627077405E-2</v>
      </c>
      <c r="AA74" s="150">
        <f t="shared" si="34"/>
        <v>0.53542869063347476</v>
      </c>
      <c r="AC74" s="29" t="s">
        <v>1228</v>
      </c>
      <c r="AD74" s="28">
        <v>56421</v>
      </c>
      <c r="AE74" s="136">
        <v>48021</v>
      </c>
      <c r="AF74" s="136">
        <v>70665</v>
      </c>
      <c r="AG74" s="137">
        <f t="shared" si="28"/>
        <v>68452.2</v>
      </c>
      <c r="AH74" s="138">
        <f t="shared" si="29"/>
        <v>0.82423939625023013</v>
      </c>
      <c r="AI74" s="138">
        <f t="shared" si="35"/>
        <v>0.70152602838184897</v>
      </c>
      <c r="AJ74" s="138">
        <f t="shared" si="36"/>
        <v>1.0323262071927564</v>
      </c>
    </row>
    <row r="75" spans="1:36">
      <c r="A75" s="145" t="str">
        <f t="shared" si="30"/>
        <v>Romania</v>
      </c>
      <c r="D75" s="145">
        <f t="shared" si="23"/>
        <v>0.25976077159583877</v>
      </c>
      <c r="E75" s="145">
        <f t="shared" si="24"/>
        <v>0.61860337783767838</v>
      </c>
      <c r="F75" s="146">
        <f t="shared" si="31"/>
        <v>0.25976077159583877</v>
      </c>
      <c r="G75" s="146">
        <f t="shared" si="32"/>
        <v>0.61860337783767838</v>
      </c>
      <c r="H75" s="145"/>
      <c r="I75" s="145"/>
      <c r="J75" s="141" t="s">
        <v>1308</v>
      </c>
      <c r="K75" s="147">
        <v>7838</v>
      </c>
      <c r="L75" s="147">
        <v>5382</v>
      </c>
      <c r="M75" s="147">
        <v>7782</v>
      </c>
      <c r="N75" s="147">
        <v>7104</v>
      </c>
      <c r="O75" s="145">
        <v>0.87</v>
      </c>
      <c r="P75" s="145">
        <v>0.6</v>
      </c>
      <c r="Q75" s="145">
        <v>0.87</v>
      </c>
      <c r="R75" s="145">
        <v>0.79</v>
      </c>
      <c r="S75" s="148">
        <f t="shared" si="25"/>
        <v>0.6</v>
      </c>
      <c r="T75" s="148">
        <f t="shared" si="26"/>
        <v>0.87</v>
      </c>
      <c r="U75" s="145"/>
      <c r="V75" s="141" t="s">
        <v>301</v>
      </c>
      <c r="W75" s="149">
        <v>472</v>
      </c>
      <c r="X75" s="149">
        <v>1786</v>
      </c>
      <c r="Y75" s="149">
        <f t="shared" si="27"/>
        <v>3602.9</v>
      </c>
      <c r="Z75" s="150">
        <f t="shared" si="33"/>
        <v>0.13100557883926836</v>
      </c>
      <c r="AA75" s="150">
        <f t="shared" si="34"/>
        <v>0.49571178772655361</v>
      </c>
      <c r="AC75" s="29" t="s">
        <v>189</v>
      </c>
      <c r="AD75" s="28">
        <v>487</v>
      </c>
      <c r="AE75" s="136">
        <v>249</v>
      </c>
      <c r="AF75" s="136">
        <v>618</v>
      </c>
      <c r="AG75" s="137">
        <f t="shared" si="28"/>
        <v>2050.1999999999998</v>
      </c>
      <c r="AH75" s="138">
        <f t="shared" si="29"/>
        <v>0.23753780119012782</v>
      </c>
      <c r="AI75" s="138">
        <f t="shared" si="35"/>
        <v>0.12145156570090723</v>
      </c>
      <c r="AJ75" s="138">
        <f t="shared" si="36"/>
        <v>0.3014340064383963</v>
      </c>
    </row>
    <row r="76" spans="1:36">
      <c r="A76" s="145" t="str">
        <f t="shared" si="30"/>
        <v>Russia</v>
      </c>
      <c r="D76" s="145" t="e">
        <f t="shared" si="23"/>
        <v>#N/A</v>
      </c>
      <c r="E76" s="145" t="e">
        <f t="shared" si="24"/>
        <v>#N/A</v>
      </c>
      <c r="F76" s="146" t="e">
        <f t="shared" si="31"/>
        <v>#N/A</v>
      </c>
      <c r="G76" s="146" t="e">
        <f t="shared" si="32"/>
        <v>#N/A</v>
      </c>
      <c r="H76" s="145"/>
      <c r="I76" s="145"/>
      <c r="J76" s="141" t="s">
        <v>1414</v>
      </c>
      <c r="K76" s="147">
        <v>7424</v>
      </c>
      <c r="L76" s="147">
        <v>4640</v>
      </c>
      <c r="M76" s="147">
        <v>6350</v>
      </c>
      <c r="N76" s="147">
        <v>6031</v>
      </c>
      <c r="O76" s="145">
        <v>0.82</v>
      </c>
      <c r="P76" s="145">
        <v>0.51</v>
      </c>
      <c r="Q76" s="145">
        <v>0.7</v>
      </c>
      <c r="R76" s="145">
        <v>0.66</v>
      </c>
      <c r="S76" s="148">
        <f t="shared" si="25"/>
        <v>0.51</v>
      </c>
      <c r="T76" s="148">
        <f t="shared" si="26"/>
        <v>0.82</v>
      </c>
      <c r="U76" s="145"/>
      <c r="V76" s="141" t="s">
        <v>252</v>
      </c>
      <c r="W76" s="149">
        <v>1054</v>
      </c>
      <c r="X76" s="149">
        <v>3171</v>
      </c>
      <c r="Y76" s="149">
        <f t="shared" si="27"/>
        <v>6280.7</v>
      </c>
      <c r="Z76" s="150">
        <f t="shared" si="33"/>
        <v>0.16781568933399144</v>
      </c>
      <c r="AA76" s="150">
        <f t="shared" si="34"/>
        <v>0.50488002929609754</v>
      </c>
      <c r="AC76" s="29" t="s">
        <v>301</v>
      </c>
      <c r="AD76" s="28">
        <v>1108</v>
      </c>
      <c r="AE76" s="136">
        <v>808</v>
      </c>
      <c r="AF76" s="136">
        <v>1950</v>
      </c>
      <c r="AG76" s="137">
        <f t="shared" si="28"/>
        <v>4151.2</v>
      </c>
      <c r="AH76" s="138">
        <f t="shared" si="29"/>
        <v>0.26691077278859127</v>
      </c>
      <c r="AI76" s="138">
        <f t="shared" si="35"/>
        <v>0.19464251300828678</v>
      </c>
      <c r="AJ76" s="138">
        <f t="shared" si="36"/>
        <v>0.46974368857197923</v>
      </c>
    </row>
    <row r="77" spans="1:36">
      <c r="A77" s="145" t="str">
        <f t="shared" si="30"/>
        <v>Rwanda</v>
      </c>
      <c r="D77" s="145">
        <f t="shared" si="23"/>
        <v>1.845542305508234E-2</v>
      </c>
      <c r="E77" s="145">
        <f t="shared" si="24"/>
        <v>0.45854628052243046</v>
      </c>
      <c r="F77" s="146">
        <f t="shared" si="31"/>
        <v>1.845542305508234E-2</v>
      </c>
      <c r="G77" s="146">
        <f t="shared" si="32"/>
        <v>0.45854628052243046</v>
      </c>
      <c r="H77" s="145"/>
      <c r="I77" s="145"/>
      <c r="J77" s="141" t="s">
        <v>1310</v>
      </c>
      <c r="K77" s="147">
        <v>240</v>
      </c>
      <c r="L77" s="147">
        <v>211</v>
      </c>
      <c r="M77" s="147">
        <v>258</v>
      </c>
      <c r="N77" s="147">
        <v>277</v>
      </c>
      <c r="O77" s="145">
        <v>0.34</v>
      </c>
      <c r="P77" s="145">
        <v>0.3</v>
      </c>
      <c r="Q77" s="145">
        <v>0.37</v>
      </c>
      <c r="R77" s="145">
        <v>0.4</v>
      </c>
      <c r="S77" s="148">
        <f t="shared" si="25"/>
        <v>0.3</v>
      </c>
      <c r="T77" s="148">
        <f t="shared" si="26"/>
        <v>0.4</v>
      </c>
      <c r="U77" s="145"/>
      <c r="V77" s="141" t="s">
        <v>1227</v>
      </c>
      <c r="W77" s="149">
        <v>1504</v>
      </c>
      <c r="X77" s="149">
        <v>4679</v>
      </c>
      <c r="Y77" s="149">
        <f t="shared" si="27"/>
        <v>6612.9</v>
      </c>
      <c r="Z77" s="150">
        <f t="shared" si="33"/>
        <v>0.22743425728500358</v>
      </c>
      <c r="AA77" s="150">
        <f t="shared" si="34"/>
        <v>0.70755644271045992</v>
      </c>
      <c r="AC77" s="29" t="s">
        <v>252</v>
      </c>
      <c r="AD77" s="28">
        <v>4701</v>
      </c>
      <c r="AE77" s="136">
        <v>3429</v>
      </c>
      <c r="AF77" s="136">
        <v>8275</v>
      </c>
      <c r="AG77" s="137">
        <f t="shared" si="28"/>
        <v>3276.8</v>
      </c>
      <c r="AH77" s="138">
        <f t="shared" si="29"/>
        <v>1.43463134765625</v>
      </c>
      <c r="AI77" s="138">
        <f t="shared" si="35"/>
        <v>1.04644775390625</v>
      </c>
      <c r="AJ77" s="138">
        <f t="shared" si="36"/>
        <v>2.52532958984375</v>
      </c>
    </row>
    <row r="78" spans="1:36">
      <c r="A78" s="145" t="str">
        <f t="shared" si="30"/>
        <v>Senegal</v>
      </c>
      <c r="D78" s="145">
        <f t="shared" si="23"/>
        <v>2.4434063959755659E-2</v>
      </c>
      <c r="E78" s="145">
        <f t="shared" si="24"/>
        <v>0.39094502335609055</v>
      </c>
      <c r="F78" s="146">
        <f t="shared" si="31"/>
        <v>2.4434063959755659E-2</v>
      </c>
      <c r="G78" s="146">
        <f t="shared" si="32"/>
        <v>0.39094502335609055</v>
      </c>
      <c r="H78" s="145"/>
      <c r="I78" s="145"/>
      <c r="J78" s="141" t="s">
        <v>1314</v>
      </c>
      <c r="K78" s="147">
        <v>352</v>
      </c>
      <c r="L78" s="147">
        <v>284</v>
      </c>
      <c r="M78" s="147">
        <v>351</v>
      </c>
      <c r="N78" s="147">
        <v>371</v>
      </c>
      <c r="O78" s="145">
        <v>0.39</v>
      </c>
      <c r="P78" s="145">
        <v>0.32</v>
      </c>
      <c r="Q78" s="145">
        <v>0.39</v>
      </c>
      <c r="R78" s="145">
        <v>0.41</v>
      </c>
      <c r="S78" s="148">
        <f t="shared" si="25"/>
        <v>0.32</v>
      </c>
      <c r="T78" s="148">
        <f t="shared" si="26"/>
        <v>0.41</v>
      </c>
      <c r="U78" s="145"/>
      <c r="V78" s="141" t="s">
        <v>1226</v>
      </c>
      <c r="W78" s="149">
        <v>23063</v>
      </c>
      <c r="X78" s="149">
        <v>29153</v>
      </c>
      <c r="Y78" s="149">
        <f t="shared" si="27"/>
        <v>51497</v>
      </c>
      <c r="Z78" s="150">
        <f t="shared" si="33"/>
        <v>0.44785133114550363</v>
      </c>
      <c r="AA78" s="150">
        <f t="shared" si="34"/>
        <v>0.56611064722216831</v>
      </c>
      <c r="AC78" s="29" t="s">
        <v>1227</v>
      </c>
      <c r="AD78" s="28">
        <v>2270</v>
      </c>
      <c r="AE78" s="136">
        <v>1656</v>
      </c>
      <c r="AF78" s="136">
        <v>3996</v>
      </c>
      <c r="AG78" s="137">
        <f t="shared" si="28"/>
        <v>5621.2</v>
      </c>
      <c r="AH78" s="138">
        <f t="shared" si="29"/>
        <v>0.40382836405038069</v>
      </c>
      <c r="AI78" s="138">
        <f t="shared" si="35"/>
        <v>0.29459901800327332</v>
      </c>
      <c r="AJ78" s="138">
        <f t="shared" si="36"/>
        <v>0.7108802390948552</v>
      </c>
    </row>
    <row r="79" spans="1:36">
      <c r="A79" s="145" t="str">
        <f t="shared" si="30"/>
        <v>Sierra Leone</v>
      </c>
      <c r="D79" s="145">
        <f t="shared" si="23"/>
        <v>3.2554847841472043E-2</v>
      </c>
      <c r="E79" s="145">
        <f t="shared" si="24"/>
        <v>0.61571125265392779</v>
      </c>
      <c r="F79" s="146">
        <f t="shared" si="31"/>
        <v>3.2554847841472043E-2</v>
      </c>
      <c r="G79" s="146">
        <f t="shared" si="32"/>
        <v>0.61571125265392779</v>
      </c>
      <c r="H79" s="145"/>
      <c r="I79" s="145"/>
      <c r="J79" s="141" t="s">
        <v>1317</v>
      </c>
      <c r="K79" s="147">
        <v>108</v>
      </c>
      <c r="L79" s="147">
        <v>105</v>
      </c>
      <c r="M79" s="147">
        <v>116</v>
      </c>
      <c r="N79" s="147">
        <v>137</v>
      </c>
      <c r="O79" s="145">
        <v>0.17</v>
      </c>
      <c r="P79" s="145">
        <v>0.16</v>
      </c>
      <c r="Q79" s="145">
        <v>0.18</v>
      </c>
      <c r="R79" s="145">
        <v>0.21</v>
      </c>
      <c r="S79" s="148">
        <f t="shared" si="25"/>
        <v>0.16</v>
      </c>
      <c r="T79" s="148">
        <f t="shared" si="26"/>
        <v>0.21</v>
      </c>
      <c r="U79" s="145"/>
      <c r="V79" s="141" t="s">
        <v>1229</v>
      </c>
      <c r="W79" s="149">
        <v>16821</v>
      </c>
      <c r="X79" s="149">
        <v>19163</v>
      </c>
      <c r="Y79" s="149">
        <f t="shared" si="27"/>
        <v>36941.800000000003</v>
      </c>
      <c r="Z79" s="150">
        <f t="shared" si="33"/>
        <v>0.45533785576230718</v>
      </c>
      <c r="AA79" s="150">
        <f t="shared" si="34"/>
        <v>0.51873487485720782</v>
      </c>
      <c r="AC79" s="29" t="s">
        <v>1226</v>
      </c>
      <c r="AD79" s="28">
        <v>48890</v>
      </c>
      <c r="AE79" s="136">
        <v>41611</v>
      </c>
      <c r="AF79" s="136">
        <v>61233</v>
      </c>
      <c r="AG79" s="137">
        <f t="shared" si="28"/>
        <v>80848.3</v>
      </c>
      <c r="AH79" s="138">
        <f t="shared" si="29"/>
        <v>0.60471277689203107</v>
      </c>
      <c r="AI79" s="138">
        <f t="shared" si="35"/>
        <v>0.51467996234923918</v>
      </c>
      <c r="AJ79" s="138">
        <f t="shared" si="36"/>
        <v>0.7573814168015901</v>
      </c>
    </row>
    <row r="80" spans="1:36">
      <c r="A80" s="145" t="str">
        <f t="shared" si="30"/>
        <v>South Africa</v>
      </c>
      <c r="D80" s="145">
        <f t="shared" si="23"/>
        <v>0.15790463903671451</v>
      </c>
      <c r="E80" s="145">
        <f t="shared" si="24"/>
        <v>0.63349997312261463</v>
      </c>
      <c r="F80" s="146">
        <f t="shared" si="31"/>
        <v>0.15790463903671451</v>
      </c>
      <c r="G80" s="146">
        <f t="shared" si="32"/>
        <v>0.63349997312261463</v>
      </c>
      <c r="H80" s="145"/>
      <c r="I80" s="145"/>
      <c r="J80" s="141" t="s">
        <v>315</v>
      </c>
      <c r="K80" s="147">
        <v>3334</v>
      </c>
      <c r="L80" s="147">
        <v>2480</v>
      </c>
      <c r="M80" s="147">
        <v>3103</v>
      </c>
      <c r="N80" s="147">
        <v>3224</v>
      </c>
      <c r="O80" s="145">
        <v>0.57999999999999996</v>
      </c>
      <c r="P80" s="145">
        <v>0.43</v>
      </c>
      <c r="Q80" s="145">
        <v>0.54</v>
      </c>
      <c r="R80" s="145">
        <v>0.56000000000000005</v>
      </c>
      <c r="S80" s="148">
        <f t="shared" si="25"/>
        <v>0.43</v>
      </c>
      <c r="T80" s="148">
        <f t="shared" si="26"/>
        <v>0.57999999999999996</v>
      </c>
      <c r="U80" s="145"/>
      <c r="V80" s="141" t="s">
        <v>1230</v>
      </c>
      <c r="W80" s="149">
        <v>16867</v>
      </c>
      <c r="X80" s="149">
        <v>18094</v>
      </c>
      <c r="Y80" s="149">
        <f t="shared" si="27"/>
        <v>35560.1</v>
      </c>
      <c r="Z80" s="150">
        <f t="shared" si="33"/>
        <v>0.4743237504956398</v>
      </c>
      <c r="AA80" s="150">
        <f t="shared" si="34"/>
        <v>0.50882871532982188</v>
      </c>
      <c r="AC80" s="29" t="s">
        <v>1229</v>
      </c>
      <c r="AD80" s="28">
        <v>30641</v>
      </c>
      <c r="AE80" s="136">
        <v>26079</v>
      </c>
      <c r="AF80" s="136">
        <v>38376</v>
      </c>
      <c r="AG80" s="137">
        <f t="shared" si="28"/>
        <v>44452.2</v>
      </c>
      <c r="AH80" s="138">
        <f t="shared" si="29"/>
        <v>0.68930221676317482</v>
      </c>
      <c r="AI80" s="138">
        <f t="shared" si="35"/>
        <v>0.58667512519065423</v>
      </c>
      <c r="AJ80" s="138">
        <f t="shared" si="36"/>
        <v>0.86330935251798568</v>
      </c>
    </row>
    <row r="81" spans="1:36">
      <c r="A81" s="145" t="str">
        <f t="shared" si="30"/>
        <v>Sri Lanka</v>
      </c>
      <c r="D81" s="145">
        <f t="shared" si="23"/>
        <v>0.12432076403754322</v>
      </c>
      <c r="E81" s="145">
        <f t="shared" si="24"/>
        <v>0.46270377078873703</v>
      </c>
      <c r="F81" s="146">
        <f t="shared" si="31"/>
        <v>0.12432076403754322</v>
      </c>
      <c r="G81" s="146">
        <f t="shared" si="32"/>
        <v>0.46270377078873703</v>
      </c>
      <c r="H81" s="145"/>
      <c r="I81" s="145"/>
      <c r="J81" s="141" t="s">
        <v>1251</v>
      </c>
      <c r="K81" s="147">
        <v>1642</v>
      </c>
      <c r="L81" s="147">
        <v>1281</v>
      </c>
      <c r="M81" s="147">
        <v>2090</v>
      </c>
      <c r="N81" s="147">
        <v>1734</v>
      </c>
      <c r="O81" s="145">
        <v>0.42</v>
      </c>
      <c r="P81" s="145">
        <v>0.33</v>
      </c>
      <c r="Q81" s="145">
        <v>0.53</v>
      </c>
      <c r="R81" s="145">
        <v>0.44</v>
      </c>
      <c r="S81" s="148">
        <f t="shared" si="25"/>
        <v>0.33</v>
      </c>
      <c r="T81" s="148">
        <f t="shared" si="26"/>
        <v>0.53</v>
      </c>
      <c r="U81" s="145"/>
      <c r="V81" s="141" t="s">
        <v>1231</v>
      </c>
      <c r="W81" s="149">
        <v>668</v>
      </c>
      <c r="X81" s="149">
        <v>2719</v>
      </c>
      <c r="Y81" s="149">
        <f t="shared" si="27"/>
        <v>5143.7</v>
      </c>
      <c r="Z81" s="150">
        <f t="shared" si="33"/>
        <v>0.12986760503139763</v>
      </c>
      <c r="AA81" s="150">
        <f t="shared" si="34"/>
        <v>0.52860781149756009</v>
      </c>
      <c r="AC81" s="29" t="s">
        <v>1230</v>
      </c>
      <c r="AD81" s="28">
        <v>26357</v>
      </c>
      <c r="AE81" s="136">
        <v>22433</v>
      </c>
      <c r="AF81" s="136">
        <v>33011</v>
      </c>
      <c r="AG81" s="137">
        <f t="shared" si="28"/>
        <v>33673.800000000003</v>
      </c>
      <c r="AH81" s="138">
        <f t="shared" si="29"/>
        <v>0.7827153454614566</v>
      </c>
      <c r="AI81" s="138">
        <f t="shared" si="35"/>
        <v>0.66618558048096732</v>
      </c>
      <c r="AJ81" s="138">
        <f t="shared" si="36"/>
        <v>0.98031704173571133</v>
      </c>
    </row>
    <row r="82" spans="1:36">
      <c r="A82" s="145" t="str">
        <f t="shared" si="30"/>
        <v>Sudan</v>
      </c>
      <c r="D82" s="145">
        <f t="shared" si="23"/>
        <v>7.0269365902626724E-2</v>
      </c>
      <c r="E82" s="145">
        <f t="shared" si="24"/>
        <v>0.75372260331269858</v>
      </c>
      <c r="F82" s="146">
        <f t="shared" si="31"/>
        <v>7.0269365902626724E-2</v>
      </c>
      <c r="G82" s="146">
        <f t="shared" si="32"/>
        <v>0.75372260331269858</v>
      </c>
      <c r="H82" s="145"/>
      <c r="I82" s="145"/>
      <c r="J82" s="141" t="s">
        <v>1313</v>
      </c>
      <c r="K82" s="147">
        <v>315</v>
      </c>
      <c r="L82" s="147">
        <v>302</v>
      </c>
      <c r="M82" s="147">
        <v>389</v>
      </c>
      <c r="N82" s="147">
        <v>398</v>
      </c>
      <c r="O82" s="145">
        <v>0.13</v>
      </c>
      <c r="P82" s="145">
        <v>0.12</v>
      </c>
      <c r="Q82" s="145">
        <v>0.16</v>
      </c>
      <c r="R82" s="145">
        <v>0.16</v>
      </c>
      <c r="S82" s="148">
        <f t="shared" si="25"/>
        <v>0.12</v>
      </c>
      <c r="T82" s="148">
        <f t="shared" si="26"/>
        <v>0.16</v>
      </c>
      <c r="U82" s="145"/>
      <c r="V82" s="141" t="s">
        <v>1233</v>
      </c>
      <c r="W82" s="149">
        <v>19769</v>
      </c>
      <c r="X82" s="149">
        <v>19854</v>
      </c>
      <c r="Y82" s="149">
        <f t="shared" si="27"/>
        <v>40898.6</v>
      </c>
      <c r="Z82" s="150">
        <f t="shared" si="33"/>
        <v>0.48336617879340615</v>
      </c>
      <c r="AA82" s="150">
        <f t="shared" si="34"/>
        <v>0.48544448954242936</v>
      </c>
      <c r="AC82" s="29" t="s">
        <v>1231</v>
      </c>
      <c r="AD82" s="28">
        <v>3074</v>
      </c>
      <c r="AE82" s="136">
        <v>2242</v>
      </c>
      <c r="AF82" s="136">
        <v>5409</v>
      </c>
      <c r="AG82" s="137">
        <f t="shared" si="28"/>
        <v>5626.2</v>
      </c>
      <c r="AH82" s="138">
        <f t="shared" si="29"/>
        <v>0.54637232945860437</v>
      </c>
      <c r="AI82" s="138">
        <f t="shared" si="35"/>
        <v>0.39849276598770039</v>
      </c>
      <c r="AJ82" s="138">
        <f t="shared" si="36"/>
        <v>0.96139490242081693</v>
      </c>
    </row>
    <row r="83" spans="1:36">
      <c r="A83" s="145" t="str">
        <f t="shared" si="30"/>
        <v>Swaziland</v>
      </c>
      <c r="D83" s="145" t="e">
        <f t="shared" si="23"/>
        <v>#N/A</v>
      </c>
      <c r="E83" s="145" t="e">
        <f t="shared" si="24"/>
        <v>#N/A</v>
      </c>
      <c r="F83" s="146" t="e">
        <f t="shared" si="31"/>
        <v>#N/A</v>
      </c>
      <c r="G83" s="146" t="e">
        <f t="shared" si="32"/>
        <v>#N/A</v>
      </c>
      <c r="H83" s="145"/>
      <c r="I83" s="145"/>
      <c r="J83" s="141" t="s">
        <v>1415</v>
      </c>
      <c r="K83" s="147">
        <v>2351</v>
      </c>
      <c r="L83" s="147">
        <v>1505</v>
      </c>
      <c r="M83" s="147">
        <v>1773</v>
      </c>
      <c r="N83" s="147">
        <v>1923</v>
      </c>
      <c r="O83" s="145">
        <v>0.73</v>
      </c>
      <c r="P83" s="145">
        <v>0.47</v>
      </c>
      <c r="Q83" s="145">
        <v>0.55000000000000004</v>
      </c>
      <c r="R83" s="145">
        <v>0.6</v>
      </c>
      <c r="S83" s="148">
        <f t="shared" si="25"/>
        <v>0.47</v>
      </c>
      <c r="T83" s="148">
        <f t="shared" si="26"/>
        <v>0.73</v>
      </c>
      <c r="U83" s="145"/>
      <c r="V83" s="141" t="s">
        <v>1232</v>
      </c>
      <c r="W83" s="149">
        <v>872</v>
      </c>
      <c r="X83" s="149">
        <v>3432</v>
      </c>
      <c r="Y83" s="149">
        <f t="shared" si="27"/>
        <v>4477.6000000000004</v>
      </c>
      <c r="Z83" s="150">
        <f t="shared" si="33"/>
        <v>0.19474718599249596</v>
      </c>
      <c r="AA83" s="150">
        <f t="shared" si="34"/>
        <v>0.76648204395211716</v>
      </c>
      <c r="AC83" s="29" t="s">
        <v>1233</v>
      </c>
      <c r="AD83" s="28">
        <v>39190</v>
      </c>
      <c r="AE83" s="136">
        <v>33355</v>
      </c>
      <c r="AF83" s="136">
        <v>49084</v>
      </c>
      <c r="AG83" s="137">
        <f t="shared" si="28"/>
        <v>40416</v>
      </c>
      <c r="AH83" s="138">
        <f t="shared" si="29"/>
        <v>0.96966547901821065</v>
      </c>
      <c r="AI83" s="138">
        <f t="shared" si="35"/>
        <v>0.82529196357878065</v>
      </c>
      <c r="AJ83" s="138">
        <f t="shared" si="36"/>
        <v>1.2144695170229611</v>
      </c>
    </row>
    <row r="84" spans="1:36">
      <c r="A84" s="145" t="str">
        <f t="shared" si="30"/>
        <v>Tajikistan</v>
      </c>
      <c r="D84" s="145">
        <f t="shared" si="23"/>
        <v>3.5635172878744105E-2</v>
      </c>
      <c r="E84" s="145">
        <f t="shared" si="24"/>
        <v>0.51333911201001636</v>
      </c>
      <c r="F84" s="146">
        <f t="shared" si="31"/>
        <v>3.5635172878744105E-2</v>
      </c>
      <c r="G84" s="146">
        <f t="shared" si="32"/>
        <v>0.51333911201001636</v>
      </c>
      <c r="H84" s="145"/>
      <c r="I84" s="145"/>
      <c r="J84" s="141" t="s">
        <v>1338</v>
      </c>
      <c r="K84" s="147">
        <v>362</v>
      </c>
      <c r="L84" s="147">
        <v>323</v>
      </c>
      <c r="M84" s="147">
        <v>449</v>
      </c>
      <c r="N84" s="147">
        <v>432</v>
      </c>
      <c r="O84" s="145">
        <v>0.39</v>
      </c>
      <c r="P84" s="145">
        <v>0.35</v>
      </c>
      <c r="Q84" s="145">
        <v>0.48</v>
      </c>
      <c r="R84" s="145">
        <v>0.47</v>
      </c>
      <c r="S84" s="148">
        <f t="shared" si="25"/>
        <v>0.35</v>
      </c>
      <c r="T84" s="148">
        <f t="shared" si="26"/>
        <v>0.48</v>
      </c>
      <c r="U84" s="145"/>
      <c r="V84" s="141" t="s">
        <v>1234</v>
      </c>
      <c r="W84" s="149">
        <v>4485</v>
      </c>
      <c r="X84" s="149">
        <v>8018</v>
      </c>
      <c r="Y84" s="149">
        <f t="shared" si="27"/>
        <v>13890.6</v>
      </c>
      <c r="Z84" s="150">
        <f t="shared" si="33"/>
        <v>0.32288022115675347</v>
      </c>
      <c r="AA84" s="150">
        <f t="shared" si="34"/>
        <v>0.57722488589405785</v>
      </c>
      <c r="AC84" s="29" t="s">
        <v>1232</v>
      </c>
      <c r="AD84" s="28">
        <v>3091</v>
      </c>
      <c r="AE84" s="136">
        <v>2255</v>
      </c>
      <c r="AF84" s="136">
        <v>5441</v>
      </c>
      <c r="AG84" s="137">
        <f t="shared" si="28"/>
        <v>4159.7</v>
      </c>
      <c r="AH84" s="138">
        <f t="shared" si="29"/>
        <v>0.74308243382936268</v>
      </c>
      <c r="AI84" s="138">
        <f t="shared" si="35"/>
        <v>0.54210640190398351</v>
      </c>
      <c r="AJ84" s="138">
        <f t="shared" si="36"/>
        <v>1.3080270211794121</v>
      </c>
    </row>
    <row r="85" spans="1:36">
      <c r="A85" s="145" t="str">
        <f t="shared" si="30"/>
        <v>Tanzania</v>
      </c>
      <c r="D85" s="145">
        <f t="shared" si="23"/>
        <v>1.88540902901435E-2</v>
      </c>
      <c r="E85" s="145">
        <f t="shared" si="24"/>
        <v>0.3739394574211794</v>
      </c>
      <c r="F85" s="146">
        <f t="shared" si="31"/>
        <v>1.88540902901435E-2</v>
      </c>
      <c r="G85" s="146">
        <f t="shared" si="32"/>
        <v>0.3739394574211794</v>
      </c>
      <c r="H85" s="145"/>
      <c r="I85" s="145"/>
      <c r="J85" s="141" t="s">
        <v>1348</v>
      </c>
      <c r="K85" s="147">
        <v>248</v>
      </c>
      <c r="L85" s="147">
        <v>231</v>
      </c>
      <c r="M85" s="147">
        <v>278</v>
      </c>
      <c r="N85" s="147">
        <v>305</v>
      </c>
      <c r="O85" s="145">
        <v>0.28000000000000003</v>
      </c>
      <c r="P85" s="145">
        <v>0.26</v>
      </c>
      <c r="Q85" s="145">
        <v>0.32</v>
      </c>
      <c r="R85" s="145">
        <v>0.35</v>
      </c>
      <c r="S85" s="148">
        <f t="shared" si="25"/>
        <v>0.26</v>
      </c>
      <c r="T85" s="148">
        <f t="shared" si="26"/>
        <v>0.35</v>
      </c>
      <c r="U85" s="145"/>
      <c r="V85" s="141" t="s">
        <v>226</v>
      </c>
      <c r="W85" s="149">
        <v>32</v>
      </c>
      <c r="X85" s="149">
        <v>519</v>
      </c>
      <c r="Y85" s="149">
        <f t="shared" si="27"/>
        <v>1376.8</v>
      </c>
      <c r="Z85" s="150">
        <f t="shared" si="33"/>
        <v>2.3242300987797792E-2</v>
      </c>
      <c r="AA85" s="150">
        <f t="shared" si="34"/>
        <v>0.37696106914584543</v>
      </c>
      <c r="AC85" s="29" t="s">
        <v>1234</v>
      </c>
      <c r="AD85" s="28">
        <v>2534</v>
      </c>
      <c r="AE85" s="136">
        <v>1848</v>
      </c>
      <c r="AF85" s="136">
        <v>4459</v>
      </c>
      <c r="AG85" s="137">
        <f t="shared" si="28"/>
        <v>9812.6</v>
      </c>
      <c r="AH85" s="138">
        <f t="shared" si="29"/>
        <v>0.25823940647738619</v>
      </c>
      <c r="AI85" s="138">
        <f t="shared" si="35"/>
        <v>0.18832929091168496</v>
      </c>
      <c r="AJ85" s="138">
        <f t="shared" si="36"/>
        <v>0.45441575117705807</v>
      </c>
    </row>
    <row r="86" spans="1:36">
      <c r="A86" s="145" t="str">
        <f t="shared" si="30"/>
        <v>Thailand</v>
      </c>
      <c r="D86" s="145">
        <f t="shared" si="23"/>
        <v>0.19549419807650922</v>
      </c>
      <c r="E86" s="145">
        <f t="shared" si="24"/>
        <v>0.65269570111403552</v>
      </c>
      <c r="F86" s="146">
        <f t="shared" si="31"/>
        <v>0.19549419807650922</v>
      </c>
      <c r="G86" s="146">
        <f t="shared" si="32"/>
        <v>0.65269570111403552</v>
      </c>
      <c r="H86" s="145"/>
      <c r="I86" s="145"/>
      <c r="J86" s="141" t="s">
        <v>193</v>
      </c>
      <c r="K86" s="147">
        <v>6507</v>
      </c>
      <c r="L86" s="147">
        <v>4069</v>
      </c>
      <c r="M86" s="147">
        <v>6006</v>
      </c>
      <c r="N86" s="147">
        <v>5388</v>
      </c>
      <c r="O86" s="145">
        <v>1.1200000000000001</v>
      </c>
      <c r="P86" s="145">
        <v>0.7</v>
      </c>
      <c r="Q86" s="145">
        <v>1.03</v>
      </c>
      <c r="R86" s="145">
        <v>0.93</v>
      </c>
      <c r="S86" s="148">
        <f t="shared" si="25"/>
        <v>0.7</v>
      </c>
      <c r="T86" s="148">
        <f t="shared" si="26"/>
        <v>1.1200000000000001</v>
      </c>
      <c r="U86" s="145"/>
      <c r="V86" s="141" t="s">
        <v>1237</v>
      </c>
      <c r="W86" s="149">
        <v>43</v>
      </c>
      <c r="X86" s="149">
        <v>848</v>
      </c>
      <c r="Y86" s="149">
        <f t="shared" si="27"/>
        <v>1780.7</v>
      </c>
      <c r="Z86" s="150">
        <f t="shared" si="33"/>
        <v>2.4147807042174424E-2</v>
      </c>
      <c r="AA86" s="150">
        <f t="shared" si="34"/>
        <v>0.47621721794799798</v>
      </c>
      <c r="AC86" s="29" t="s">
        <v>226</v>
      </c>
      <c r="AD86" s="28">
        <v>612</v>
      </c>
      <c r="AE86" s="136">
        <v>312</v>
      </c>
      <c r="AF86" s="136">
        <v>776</v>
      </c>
      <c r="AG86" s="137">
        <f t="shared" si="28"/>
        <v>1970.1</v>
      </c>
      <c r="AH86" s="138">
        <f t="shared" si="29"/>
        <v>0.31064412973960714</v>
      </c>
      <c r="AI86" s="138">
        <f t="shared" si="35"/>
        <v>0.1583675955535252</v>
      </c>
      <c r="AJ86" s="138">
        <f t="shared" si="36"/>
        <v>0.39388863509466526</v>
      </c>
    </row>
    <row r="87" spans="1:36">
      <c r="A87" s="145" t="str">
        <f t="shared" si="30"/>
        <v>Gambia, The</v>
      </c>
      <c r="D87" s="145">
        <f t="shared" si="23"/>
        <v>1.8535681186283598E-2</v>
      </c>
      <c r="E87" s="145">
        <f t="shared" si="24"/>
        <v>0.38924930491195553</v>
      </c>
      <c r="F87" s="146">
        <f t="shared" si="31"/>
        <v>1.8535681186283598E-2</v>
      </c>
      <c r="G87" s="146">
        <f t="shared" si="32"/>
        <v>0.38924930491195553</v>
      </c>
      <c r="H87" s="145"/>
      <c r="I87" s="145"/>
      <c r="J87" s="141" t="s">
        <v>217</v>
      </c>
      <c r="K87" s="147">
        <v>266</v>
      </c>
      <c r="L87" s="147">
        <v>247</v>
      </c>
      <c r="M87" s="147">
        <v>312</v>
      </c>
      <c r="N87" s="147">
        <v>326</v>
      </c>
      <c r="O87" s="145">
        <v>0.56000000000000005</v>
      </c>
      <c r="P87" s="145">
        <v>0.52</v>
      </c>
      <c r="Q87" s="145">
        <v>0.66</v>
      </c>
      <c r="R87" s="145">
        <v>0.69</v>
      </c>
      <c r="S87" s="148">
        <f t="shared" si="25"/>
        <v>0.52</v>
      </c>
      <c r="T87" s="148">
        <f t="shared" si="26"/>
        <v>0.69</v>
      </c>
      <c r="U87" s="145"/>
      <c r="V87" s="141" t="s">
        <v>1239</v>
      </c>
      <c r="W87" s="149">
        <v>12227</v>
      </c>
      <c r="X87" s="149">
        <v>13722</v>
      </c>
      <c r="Y87" s="149">
        <f t="shared" si="27"/>
        <v>27179.5</v>
      </c>
      <c r="Z87" s="150">
        <f t="shared" si="33"/>
        <v>0.44986110855608086</v>
      </c>
      <c r="AA87" s="150">
        <f t="shared" si="34"/>
        <v>0.50486579959160394</v>
      </c>
      <c r="AC87" s="29" t="s">
        <v>1237</v>
      </c>
      <c r="AD87" s="28">
        <v>1455</v>
      </c>
      <c r="AE87" s="136">
        <v>743</v>
      </c>
      <c r="AF87" s="136">
        <v>1845</v>
      </c>
      <c r="AG87" s="137">
        <f t="shared" si="28"/>
        <v>1745.7</v>
      </c>
      <c r="AH87" s="138">
        <f t="shared" si="29"/>
        <v>0.83347654236123048</v>
      </c>
      <c r="AI87" s="138">
        <f t="shared" si="35"/>
        <v>0.42561723091023657</v>
      </c>
      <c r="AJ87" s="138">
        <f t="shared" si="36"/>
        <v>1.0568826258807356</v>
      </c>
    </row>
    <row r="88" spans="1:36">
      <c r="A88" s="145" t="str">
        <f t="shared" si="30"/>
        <v>Togo</v>
      </c>
      <c r="D88" s="145">
        <f t="shared" si="23"/>
        <v>1.5341043190936984E-2</v>
      </c>
      <c r="E88" s="145">
        <f t="shared" si="24"/>
        <v>0.38588624026433799</v>
      </c>
      <c r="F88" s="146">
        <f t="shared" si="31"/>
        <v>1.5341043190936984E-2</v>
      </c>
      <c r="G88" s="146">
        <f t="shared" si="32"/>
        <v>0.38588624026433799</v>
      </c>
      <c r="H88" s="145"/>
      <c r="I88" s="145"/>
      <c r="J88" s="141" t="s">
        <v>1337</v>
      </c>
      <c r="K88" s="147">
        <v>130</v>
      </c>
      <c r="L88" s="147">
        <v>117</v>
      </c>
      <c r="M88" s="147">
        <v>136</v>
      </c>
      <c r="N88" s="147">
        <v>153</v>
      </c>
      <c r="O88" s="145">
        <v>0.23</v>
      </c>
      <c r="P88" s="145">
        <v>0.21</v>
      </c>
      <c r="Q88" s="145">
        <v>0.24</v>
      </c>
      <c r="R88" s="145">
        <v>0.27</v>
      </c>
      <c r="S88" s="148">
        <f t="shared" si="25"/>
        <v>0.21</v>
      </c>
      <c r="T88" s="148">
        <f t="shared" si="26"/>
        <v>0.27</v>
      </c>
      <c r="U88" s="145"/>
      <c r="V88" s="141" t="s">
        <v>1361</v>
      </c>
      <c r="W88" s="149">
        <v>473</v>
      </c>
      <c r="X88" s="149">
        <v>1961</v>
      </c>
      <c r="Y88" s="149">
        <f t="shared" si="27"/>
        <v>3704.6</v>
      </c>
      <c r="Z88" s="150">
        <f t="shared" si="33"/>
        <v>0.1276791016573989</v>
      </c>
      <c r="AA88" s="150">
        <f t="shared" si="34"/>
        <v>0.529341899260379</v>
      </c>
      <c r="AC88" s="29" t="s">
        <v>1239</v>
      </c>
      <c r="AD88" s="28">
        <v>23285</v>
      </c>
      <c r="AE88" s="136">
        <v>19818</v>
      </c>
      <c r="AF88" s="136">
        <v>29163</v>
      </c>
      <c r="AG88" s="137">
        <f t="shared" si="28"/>
        <v>31902.400000000001</v>
      </c>
      <c r="AH88" s="138">
        <f t="shared" si="29"/>
        <v>0.72988239129344501</v>
      </c>
      <c r="AI88" s="138">
        <f t="shared" si="35"/>
        <v>0.62120718190480961</v>
      </c>
      <c r="AJ88" s="138">
        <f t="shared" si="36"/>
        <v>0.91413185214905457</v>
      </c>
    </row>
    <row r="89" spans="1:36">
      <c r="A89" s="145" t="str">
        <f t="shared" si="30"/>
        <v>Tunisia</v>
      </c>
      <c r="D89" s="145">
        <f t="shared" si="23"/>
        <v>0.15737065663950978</v>
      </c>
      <c r="E89" s="145">
        <f t="shared" si="24"/>
        <v>0.60162941299352413</v>
      </c>
      <c r="F89" s="146">
        <f t="shared" si="31"/>
        <v>0.15737065663950978</v>
      </c>
      <c r="G89" s="146">
        <f t="shared" si="32"/>
        <v>0.60162941299352413</v>
      </c>
      <c r="H89" s="145"/>
      <c r="I89" s="145"/>
      <c r="J89" s="141" t="s">
        <v>293</v>
      </c>
      <c r="K89" s="147">
        <v>3553</v>
      </c>
      <c r="L89" s="147">
        <v>2763</v>
      </c>
      <c r="M89" s="147">
        <v>4730</v>
      </c>
      <c r="N89" s="147">
        <v>3706</v>
      </c>
      <c r="O89" s="145">
        <v>0.92</v>
      </c>
      <c r="P89" s="145">
        <v>0.71</v>
      </c>
      <c r="Q89" s="145">
        <v>1.22</v>
      </c>
      <c r="R89" s="145">
        <v>0.96</v>
      </c>
      <c r="S89" s="148">
        <f t="shared" si="25"/>
        <v>0.71</v>
      </c>
      <c r="T89" s="148">
        <f t="shared" si="26"/>
        <v>1.22</v>
      </c>
      <c r="U89" s="145"/>
      <c r="V89" s="141" t="s">
        <v>1235</v>
      </c>
      <c r="W89" s="149">
        <v>58</v>
      </c>
      <c r="X89" s="149">
        <v>649</v>
      </c>
      <c r="Y89" s="149">
        <f t="shared" si="27"/>
        <v>1282.4000000000001</v>
      </c>
      <c r="Z89" s="150">
        <f t="shared" si="33"/>
        <v>4.5227698066126011E-2</v>
      </c>
      <c r="AA89" s="150">
        <f t="shared" si="34"/>
        <v>0.50608234560199628</v>
      </c>
      <c r="AC89" s="29" t="s">
        <v>1240</v>
      </c>
      <c r="AD89" s="28">
        <v>13384</v>
      </c>
      <c r="AE89" s="136">
        <v>11391</v>
      </c>
      <c r="AF89" s="136">
        <v>16762</v>
      </c>
      <c r="AG89" s="137">
        <f t="shared" si="28"/>
        <v>31230.2</v>
      </c>
      <c r="AH89" s="138">
        <f t="shared" si="29"/>
        <v>0.42855953532157975</v>
      </c>
      <c r="AI89" s="138">
        <f t="shared" si="35"/>
        <v>0.36474310122893866</v>
      </c>
      <c r="AJ89" s="138">
        <f t="shared" si="36"/>
        <v>0.53672406836971909</v>
      </c>
    </row>
    <row r="90" spans="1:36">
      <c r="A90" s="145" t="str">
        <f t="shared" si="30"/>
        <v>Türkiye</v>
      </c>
      <c r="D90" s="145">
        <f t="shared" si="23"/>
        <v>0.23453276303445642</v>
      </c>
      <c r="E90" s="145">
        <f t="shared" si="24"/>
        <v>0.54546755497606969</v>
      </c>
      <c r="F90" s="146">
        <f t="shared" si="31"/>
        <v>0.23453276303445642</v>
      </c>
      <c r="G90" s="146">
        <f t="shared" si="32"/>
        <v>0.54546755497606969</v>
      </c>
      <c r="H90" s="145"/>
      <c r="I90" s="145"/>
      <c r="J90" s="141" t="s">
        <v>259</v>
      </c>
      <c r="K90" s="147">
        <v>9104</v>
      </c>
      <c r="L90" s="147">
        <v>7446</v>
      </c>
      <c r="M90" s="147">
        <v>13032</v>
      </c>
      <c r="N90" s="147">
        <v>10028</v>
      </c>
      <c r="O90" s="145">
        <v>1</v>
      </c>
      <c r="P90" s="145">
        <v>0.82</v>
      </c>
      <c r="Q90" s="145">
        <v>1.43</v>
      </c>
      <c r="R90" s="145">
        <v>1.1000000000000001</v>
      </c>
      <c r="S90" s="148">
        <f t="shared" si="25"/>
        <v>0.82</v>
      </c>
      <c r="T90" s="148">
        <f t="shared" si="26"/>
        <v>1.43</v>
      </c>
      <c r="U90" s="145"/>
      <c r="V90" s="141" t="s">
        <v>1242</v>
      </c>
      <c r="W90" s="149">
        <v>113</v>
      </c>
      <c r="X90" s="149">
        <v>852</v>
      </c>
      <c r="Y90" s="149">
        <f t="shared" si="27"/>
        <v>1815.4</v>
      </c>
      <c r="Z90" s="150">
        <f t="shared" si="33"/>
        <v>6.2245235209871103E-2</v>
      </c>
      <c r="AA90" s="150">
        <f t="shared" si="34"/>
        <v>0.46931805662663872</v>
      </c>
      <c r="AC90" s="29" t="s">
        <v>1235</v>
      </c>
      <c r="AD90" s="28">
        <v>460</v>
      </c>
      <c r="AE90" s="136">
        <v>235</v>
      </c>
      <c r="AF90" s="136">
        <v>584</v>
      </c>
      <c r="AG90" s="137">
        <f t="shared" si="28"/>
        <v>1451.5</v>
      </c>
      <c r="AH90" s="138">
        <f t="shared" si="29"/>
        <v>0.3169135377196004</v>
      </c>
      <c r="AI90" s="138">
        <f t="shared" si="35"/>
        <v>0.16190148122631759</v>
      </c>
      <c r="AJ90" s="138">
        <f t="shared" si="36"/>
        <v>0.4023424044092318</v>
      </c>
    </row>
    <row r="91" spans="1:36">
      <c r="A91" s="145" t="str">
        <f t="shared" si="30"/>
        <v>Turkmenistan</v>
      </c>
      <c r="D91" s="145">
        <f t="shared" si="23"/>
        <v>0.22525461715225964</v>
      </c>
      <c r="E91" s="145">
        <f t="shared" si="24"/>
        <v>0.77945473630457596</v>
      </c>
      <c r="F91" s="146">
        <f t="shared" si="31"/>
        <v>0.22525461715225964</v>
      </c>
      <c r="G91" s="146">
        <f t="shared" si="32"/>
        <v>0.77945473630457596</v>
      </c>
      <c r="H91" s="145"/>
      <c r="I91" s="145"/>
      <c r="J91" s="141" t="s">
        <v>1339</v>
      </c>
      <c r="K91" s="147">
        <v>1971</v>
      </c>
      <c r="L91" s="147">
        <v>1636</v>
      </c>
      <c r="M91" s="147">
        <v>2230</v>
      </c>
      <c r="N91" s="147">
        <v>2181</v>
      </c>
      <c r="O91" s="145">
        <v>0.3</v>
      </c>
      <c r="P91" s="145">
        <v>0.25</v>
      </c>
      <c r="Q91" s="145">
        <v>0.33</v>
      </c>
      <c r="R91" s="145">
        <v>0.33</v>
      </c>
      <c r="S91" s="148">
        <f t="shared" si="25"/>
        <v>0.25</v>
      </c>
      <c r="T91" s="148">
        <f t="shared" si="26"/>
        <v>0.33</v>
      </c>
      <c r="U91" s="145"/>
      <c r="V91" s="141" t="s">
        <v>1258</v>
      </c>
      <c r="W91" s="149">
        <v>5133</v>
      </c>
      <c r="X91" s="149">
        <v>9270</v>
      </c>
      <c r="Y91" s="149">
        <f t="shared" si="27"/>
        <v>15007.5</v>
      </c>
      <c r="Z91" s="150">
        <f t="shared" si="33"/>
        <v>0.34202898550724636</v>
      </c>
      <c r="AA91" s="150">
        <f t="shared" si="34"/>
        <v>0.61769115442278866</v>
      </c>
      <c r="AC91" s="29" t="s">
        <v>1242</v>
      </c>
      <c r="AD91" s="28">
        <v>494</v>
      </c>
      <c r="AE91" s="136">
        <v>252</v>
      </c>
      <c r="AF91" s="136">
        <v>627</v>
      </c>
      <c r="AG91" s="137">
        <f t="shared" si="28"/>
        <v>2598.5</v>
      </c>
      <c r="AH91" s="138">
        <f t="shared" si="29"/>
        <v>0.19010967866076584</v>
      </c>
      <c r="AI91" s="138">
        <f t="shared" si="35"/>
        <v>9.6979026361362325E-2</v>
      </c>
      <c r="AJ91" s="138">
        <f t="shared" si="36"/>
        <v>0.24129305368481815</v>
      </c>
    </row>
    <row r="92" spans="1:36">
      <c r="A92" s="145" t="str">
        <f t="shared" si="30"/>
        <v>Uganda</v>
      </c>
      <c r="D92" s="145">
        <f t="shared" si="23"/>
        <v>1.341790680653818E-2</v>
      </c>
      <c r="E92" s="145">
        <f t="shared" si="24"/>
        <v>0.35740424493778972</v>
      </c>
      <c r="F92" s="146">
        <f t="shared" si="31"/>
        <v>1.341790680653818E-2</v>
      </c>
      <c r="G92" s="146">
        <f t="shared" si="32"/>
        <v>0.35740424493778972</v>
      </c>
      <c r="H92" s="145"/>
      <c r="I92" s="145"/>
      <c r="J92" s="141" t="s">
        <v>1349</v>
      </c>
      <c r="K92" s="147">
        <v>129</v>
      </c>
      <c r="L92" s="147">
        <v>117</v>
      </c>
      <c r="M92" s="147">
        <v>136</v>
      </c>
      <c r="N92" s="147">
        <v>154</v>
      </c>
      <c r="O92" s="145">
        <v>0.18</v>
      </c>
      <c r="P92" s="145">
        <v>0.17</v>
      </c>
      <c r="Q92" s="145">
        <v>0.19</v>
      </c>
      <c r="R92" s="145">
        <v>0.22</v>
      </c>
      <c r="S92" s="148">
        <f t="shared" si="25"/>
        <v>0.17</v>
      </c>
      <c r="T92" s="148">
        <f t="shared" si="26"/>
        <v>0.22</v>
      </c>
      <c r="U92" s="145"/>
      <c r="V92" s="141" t="s">
        <v>1243</v>
      </c>
      <c r="W92" s="149">
        <v>2420</v>
      </c>
      <c r="X92" s="149">
        <v>6416</v>
      </c>
      <c r="Y92" s="149">
        <f t="shared" si="27"/>
        <v>8255.2000000000007</v>
      </c>
      <c r="Z92" s="150">
        <f t="shared" si="33"/>
        <v>0.29314856090706459</v>
      </c>
      <c r="AA92" s="150">
        <f t="shared" si="34"/>
        <v>0.77720709371063079</v>
      </c>
      <c r="AC92" s="29" t="s">
        <v>1258</v>
      </c>
      <c r="AD92" s="28">
        <v>9369</v>
      </c>
      <c r="AE92" s="136">
        <v>7974</v>
      </c>
      <c r="AF92" s="136">
        <v>11734</v>
      </c>
      <c r="AG92" s="137">
        <f t="shared" si="28"/>
        <v>17883.3</v>
      </c>
      <c r="AH92" s="138">
        <f t="shared" si="29"/>
        <v>0.52389659626578988</v>
      </c>
      <c r="AI92" s="138">
        <f t="shared" si="35"/>
        <v>0.44589085906963483</v>
      </c>
      <c r="AJ92" s="138">
        <f t="shared" si="36"/>
        <v>0.65614288190658321</v>
      </c>
    </row>
    <row r="93" spans="1:36">
      <c r="A93" s="145" t="str">
        <f t="shared" si="30"/>
        <v>Ukraine</v>
      </c>
      <c r="D93" s="145">
        <f t="shared" si="23"/>
        <v>0.1162929531723858</v>
      </c>
      <c r="E93" s="145">
        <f t="shared" si="24"/>
        <v>0.47878310289657811</v>
      </c>
      <c r="F93" s="146">
        <f t="shared" si="31"/>
        <v>0.1162929531723858</v>
      </c>
      <c r="G93" s="146">
        <f t="shared" si="32"/>
        <v>0.47878310289657811</v>
      </c>
      <c r="H93" s="145"/>
      <c r="I93" s="145"/>
      <c r="J93" s="141" t="s">
        <v>1350</v>
      </c>
      <c r="K93" s="147">
        <v>1626</v>
      </c>
      <c r="L93" s="147">
        <v>1059</v>
      </c>
      <c r="M93" s="147">
        <v>1439</v>
      </c>
      <c r="N93" s="147">
        <v>1383</v>
      </c>
      <c r="O93" s="145">
        <v>0.77</v>
      </c>
      <c r="P93" s="145">
        <v>0.5</v>
      </c>
      <c r="Q93" s="145">
        <v>0.68</v>
      </c>
      <c r="R93" s="145">
        <v>0.65</v>
      </c>
      <c r="S93" s="148">
        <f t="shared" si="25"/>
        <v>0.5</v>
      </c>
      <c r="T93" s="148">
        <f t="shared" si="26"/>
        <v>0.77</v>
      </c>
      <c r="U93" s="145"/>
      <c r="V93" s="141" t="s">
        <v>1254</v>
      </c>
      <c r="W93" s="149">
        <v>41</v>
      </c>
      <c r="X93" s="149">
        <v>581</v>
      </c>
      <c r="Y93" s="149">
        <f t="shared" si="27"/>
        <v>1141.4000000000001</v>
      </c>
      <c r="Z93" s="150">
        <f t="shared" si="33"/>
        <v>3.5920799018748902E-2</v>
      </c>
      <c r="AA93" s="150">
        <f t="shared" si="34"/>
        <v>0.50902400560714911</v>
      </c>
      <c r="AC93" s="29" t="s">
        <v>1243</v>
      </c>
      <c r="AD93" s="28">
        <v>7053</v>
      </c>
      <c r="AE93" s="136">
        <v>5145</v>
      </c>
      <c r="AF93" s="136">
        <v>12413</v>
      </c>
      <c r="AG93" s="137">
        <f t="shared" si="28"/>
        <v>8925.4</v>
      </c>
      <c r="AH93" s="138">
        <f t="shared" si="29"/>
        <v>0.7902166849665001</v>
      </c>
      <c r="AI93" s="138">
        <f t="shared" si="35"/>
        <v>0.57644475317632826</v>
      </c>
      <c r="AJ93" s="138">
        <f t="shared" si="36"/>
        <v>1.3907499943980102</v>
      </c>
    </row>
    <row r="94" spans="1:36">
      <c r="A94" s="145" t="str">
        <f t="shared" si="30"/>
        <v>Uzbekistan</v>
      </c>
      <c r="D94" s="145">
        <f t="shared" si="23"/>
        <v>5.7031863454147215E-2</v>
      </c>
      <c r="E94" s="145">
        <f t="shared" si="24"/>
        <v>0.39880976980617433</v>
      </c>
      <c r="F94" s="146">
        <f t="shared" si="31"/>
        <v>5.7031863454147215E-2</v>
      </c>
      <c r="G94" s="146">
        <f t="shared" si="32"/>
        <v>0.39880976980617433</v>
      </c>
      <c r="H94" s="145"/>
      <c r="I94" s="145"/>
      <c r="J94" s="141" t="s">
        <v>1352</v>
      </c>
      <c r="K94" s="147">
        <v>1218</v>
      </c>
      <c r="L94" s="147">
        <v>985</v>
      </c>
      <c r="M94" s="147">
        <v>1426</v>
      </c>
      <c r="N94" s="147">
        <v>1318</v>
      </c>
      <c r="O94" s="145">
        <v>0.56999999999999995</v>
      </c>
      <c r="P94" s="145">
        <v>0.46</v>
      </c>
      <c r="Q94" s="145">
        <v>0.67</v>
      </c>
      <c r="R94" s="145">
        <v>0.62</v>
      </c>
      <c r="S94" s="148">
        <f t="shared" si="25"/>
        <v>0.46</v>
      </c>
      <c r="T94" s="148">
        <f t="shared" si="26"/>
        <v>0.67</v>
      </c>
      <c r="U94" s="145"/>
      <c r="V94" s="141" t="s">
        <v>1244</v>
      </c>
      <c r="W94" s="149">
        <v>6</v>
      </c>
      <c r="X94" s="149">
        <v>234</v>
      </c>
      <c r="Y94" s="149">
        <f t="shared" si="27"/>
        <v>717.6</v>
      </c>
      <c r="Z94" s="150">
        <f t="shared" si="33"/>
        <v>8.3612040133779261E-3</v>
      </c>
      <c r="AA94" s="150">
        <f t="shared" si="34"/>
        <v>0.32608695652173914</v>
      </c>
      <c r="AC94" s="29" t="s">
        <v>1254</v>
      </c>
      <c r="AD94" s="28">
        <v>788</v>
      </c>
      <c r="AE94" s="136">
        <v>403</v>
      </c>
      <c r="AF94" s="136">
        <v>1000</v>
      </c>
      <c r="AG94" s="137">
        <f t="shared" si="28"/>
        <v>1074.0999999999999</v>
      </c>
      <c r="AH94" s="138">
        <f t="shared" si="29"/>
        <v>0.73363746392328466</v>
      </c>
      <c r="AI94" s="138">
        <f t="shared" si="35"/>
        <v>0.37519784005213669</v>
      </c>
      <c r="AJ94" s="138">
        <f t="shared" si="36"/>
        <v>0.93101201005492984</v>
      </c>
    </row>
    <row r="95" spans="1:36">
      <c r="A95" s="145" t="str">
        <f t="shared" si="30"/>
        <v>Venezuela</v>
      </c>
      <c r="D95" s="145" t="e">
        <f t="shared" si="23"/>
        <v>#N/A</v>
      </c>
      <c r="E95" s="145" t="e">
        <f t="shared" si="24"/>
        <v>#N/A</v>
      </c>
      <c r="F95" s="146" t="e">
        <f t="shared" si="31"/>
        <v>#N/A</v>
      </c>
      <c r="G95" s="146" t="e">
        <f t="shared" si="32"/>
        <v>#N/A</v>
      </c>
      <c r="H95" s="145"/>
      <c r="I95" s="145"/>
      <c r="J95" s="141" t="s">
        <v>1416</v>
      </c>
      <c r="K95" s="147">
        <v>4886</v>
      </c>
      <c r="L95" s="147">
        <v>3618</v>
      </c>
      <c r="M95" s="147">
        <v>5540</v>
      </c>
      <c r="N95" s="147">
        <v>4821</v>
      </c>
      <c r="O95" s="145">
        <v>0.4</v>
      </c>
      <c r="P95" s="145">
        <v>0.28999999999999998</v>
      </c>
      <c r="Q95" s="145">
        <v>0.45</v>
      </c>
      <c r="R95" s="145">
        <v>0.39</v>
      </c>
      <c r="S95" s="148">
        <f t="shared" si="25"/>
        <v>0.28999999999999998</v>
      </c>
      <c r="T95" s="148">
        <f t="shared" si="26"/>
        <v>0.45</v>
      </c>
      <c r="U95" s="145"/>
      <c r="V95" s="141" t="s">
        <v>1245</v>
      </c>
      <c r="W95" s="149">
        <v>3697</v>
      </c>
      <c r="X95" s="149">
        <v>7349</v>
      </c>
      <c r="Y95" s="149">
        <f t="shared" si="27"/>
        <v>12589.5</v>
      </c>
      <c r="Z95" s="150">
        <f t="shared" si="33"/>
        <v>0.29365741292346798</v>
      </c>
      <c r="AA95" s="150">
        <f t="shared" si="34"/>
        <v>0.5837404186028039</v>
      </c>
      <c r="AC95" s="29" t="s">
        <v>1244</v>
      </c>
      <c r="AD95" s="28">
        <v>245</v>
      </c>
      <c r="AE95" s="136">
        <v>77</v>
      </c>
      <c r="AF95" s="136">
        <v>386</v>
      </c>
      <c r="AG95" s="137">
        <f t="shared" si="28"/>
        <v>665.9</v>
      </c>
      <c r="AH95" s="138">
        <f t="shared" si="29"/>
        <v>0.36792311157831509</v>
      </c>
      <c r="AI95" s="138">
        <f t="shared" si="35"/>
        <v>0.11563297792461331</v>
      </c>
      <c r="AJ95" s="138">
        <f t="shared" si="36"/>
        <v>0.57966661660910046</v>
      </c>
    </row>
    <row r="96" spans="1:36">
      <c r="A96" s="145" t="str">
        <f t="shared" si="30"/>
        <v>Vietnam</v>
      </c>
      <c r="D96" s="145" t="e">
        <f t="shared" si="23"/>
        <v>#N/A</v>
      </c>
      <c r="E96" s="145" t="e">
        <f t="shared" si="24"/>
        <v>#N/A</v>
      </c>
      <c r="F96" s="146" t="e">
        <f t="shared" si="31"/>
        <v>#N/A</v>
      </c>
      <c r="G96" s="146" t="e">
        <f t="shared" si="32"/>
        <v>#N/A</v>
      </c>
      <c r="H96" s="145"/>
      <c r="I96" s="145"/>
      <c r="J96" s="141" t="s">
        <v>1366</v>
      </c>
      <c r="K96" s="147">
        <v>1725</v>
      </c>
      <c r="L96" s="147">
        <v>1198</v>
      </c>
      <c r="M96" s="147">
        <v>1813</v>
      </c>
      <c r="N96" s="147">
        <v>1602</v>
      </c>
      <c r="O96" s="145">
        <v>0.82</v>
      </c>
      <c r="P96" s="145">
        <v>0.56999999999999995</v>
      </c>
      <c r="Q96" s="145">
        <v>0.86</v>
      </c>
      <c r="R96" s="145">
        <v>0.76</v>
      </c>
      <c r="S96" s="148">
        <f t="shared" si="25"/>
        <v>0.56999999999999995</v>
      </c>
      <c r="T96" s="148">
        <f t="shared" si="26"/>
        <v>0.86</v>
      </c>
      <c r="U96" s="145"/>
      <c r="V96" s="141" t="s">
        <v>1256</v>
      </c>
      <c r="W96" s="149">
        <v>5598</v>
      </c>
      <c r="X96" s="149">
        <v>8886</v>
      </c>
      <c r="Y96" s="149">
        <f t="shared" si="27"/>
        <v>15729.7</v>
      </c>
      <c r="Z96" s="150">
        <f t="shared" si="33"/>
        <v>0.35588727057731551</v>
      </c>
      <c r="AA96" s="150">
        <f t="shared" si="34"/>
        <v>0.56491859348875051</v>
      </c>
      <c r="AC96" s="29" t="s">
        <v>1256</v>
      </c>
      <c r="AD96" s="28">
        <v>11189</v>
      </c>
      <c r="AE96" s="136">
        <v>9523</v>
      </c>
      <c r="AF96" s="136">
        <v>14013</v>
      </c>
      <c r="AG96" s="137">
        <f t="shared" si="28"/>
        <v>19615.5</v>
      </c>
      <c r="AH96" s="138">
        <f t="shared" si="29"/>
        <v>0.57041625245341698</v>
      </c>
      <c r="AI96" s="138">
        <f t="shared" si="35"/>
        <v>0.4854834187249879</v>
      </c>
      <c r="AJ96" s="138">
        <f t="shared" si="36"/>
        <v>0.71438403303509979</v>
      </c>
    </row>
    <row r="97" spans="1:36">
      <c r="A97" s="145" t="str">
        <f t="shared" si="30"/>
        <v>Yemen</v>
      </c>
      <c r="D97" s="145" t="e">
        <f t="shared" si="23"/>
        <v>#N/A</v>
      </c>
      <c r="E97" s="145" t="e">
        <f t="shared" si="24"/>
        <v>#N/A</v>
      </c>
      <c r="F97" s="146" t="e">
        <f t="shared" si="31"/>
        <v>#N/A</v>
      </c>
      <c r="G97" s="146" t="e">
        <f t="shared" si="32"/>
        <v>#N/A</v>
      </c>
      <c r="H97" s="145"/>
      <c r="I97" s="145"/>
      <c r="J97" s="141" t="s">
        <v>1417</v>
      </c>
      <c r="K97" s="147">
        <v>219</v>
      </c>
      <c r="L97" s="147">
        <v>202</v>
      </c>
      <c r="M97" s="147">
        <v>260</v>
      </c>
      <c r="N97" s="147">
        <v>267</v>
      </c>
      <c r="O97" s="145">
        <v>0.16</v>
      </c>
      <c r="P97" s="145">
        <v>0.14000000000000001</v>
      </c>
      <c r="Q97" s="145">
        <v>0.19</v>
      </c>
      <c r="R97" s="145">
        <v>0.19</v>
      </c>
      <c r="S97" s="148">
        <f t="shared" si="25"/>
        <v>0.14000000000000001</v>
      </c>
      <c r="T97" s="148">
        <f t="shared" si="26"/>
        <v>0.19</v>
      </c>
      <c r="U97" s="145"/>
      <c r="V97" s="141" t="s">
        <v>1257</v>
      </c>
      <c r="W97" s="149">
        <v>43092</v>
      </c>
      <c r="X97" s="149">
        <v>143342</v>
      </c>
      <c r="Y97" s="149">
        <f t="shared" si="27"/>
        <v>120000.1</v>
      </c>
      <c r="Z97" s="150">
        <f t="shared" si="33"/>
        <v>0.35909970075024938</v>
      </c>
      <c r="AA97" s="150">
        <f t="shared" si="34"/>
        <v>1.1945156712369405</v>
      </c>
      <c r="AC97" s="29" t="s">
        <v>1257</v>
      </c>
      <c r="AD97" s="28">
        <v>55563</v>
      </c>
      <c r="AE97" s="136">
        <v>47291</v>
      </c>
      <c r="AF97" s="136">
        <v>69590</v>
      </c>
      <c r="AG97" s="137">
        <f t="shared" si="28"/>
        <v>112726.39999999999</v>
      </c>
      <c r="AH97" s="138">
        <f t="shared" si="29"/>
        <v>0.49290139665597416</v>
      </c>
      <c r="AI97" s="138">
        <f t="shared" si="35"/>
        <v>0.41952018338206493</v>
      </c>
      <c r="AJ97" s="138">
        <f t="shared" si="36"/>
        <v>0.61733542453231904</v>
      </c>
    </row>
    <row r="98" spans="1:36">
      <c r="A98" s="145" t="str">
        <f t="shared" si="30"/>
        <v>Zambia</v>
      </c>
      <c r="D98" s="145">
        <f t="shared" si="23"/>
        <v>3.6950497201543225E-2</v>
      </c>
      <c r="E98" s="145">
        <f t="shared" si="24"/>
        <v>0.41732326251154706</v>
      </c>
      <c r="F98" s="146">
        <f t="shared" si="31"/>
        <v>3.6950497201543225E-2</v>
      </c>
      <c r="G98" s="146">
        <f t="shared" si="32"/>
        <v>0.41732326251154706</v>
      </c>
      <c r="H98" s="145"/>
      <c r="I98" s="145"/>
      <c r="J98" s="141" t="s">
        <v>1363</v>
      </c>
      <c r="K98" s="147">
        <v>575</v>
      </c>
      <c r="L98" s="147">
        <v>417</v>
      </c>
      <c r="M98" s="147">
        <v>483</v>
      </c>
      <c r="N98" s="147">
        <v>539</v>
      </c>
      <c r="O98" s="145">
        <v>0.44</v>
      </c>
      <c r="P98" s="145">
        <v>0.32</v>
      </c>
      <c r="Q98" s="145">
        <v>0.37</v>
      </c>
      <c r="R98" s="145">
        <v>0.41</v>
      </c>
      <c r="S98" s="148">
        <f t="shared" si="25"/>
        <v>0.32</v>
      </c>
      <c r="T98" s="148">
        <f t="shared" si="26"/>
        <v>0.44</v>
      </c>
      <c r="U98" s="145"/>
      <c r="V98" s="141" t="s">
        <v>1259</v>
      </c>
      <c r="W98" s="149">
        <v>30832</v>
      </c>
      <c r="X98" s="149">
        <v>184977</v>
      </c>
      <c r="Y98" s="149">
        <f t="shared" si="27"/>
        <v>86853.5</v>
      </c>
      <c r="Z98" s="150">
        <f t="shared" si="33"/>
        <v>0.35498857271151996</v>
      </c>
      <c r="AA98" s="150">
        <f t="shared" si="34"/>
        <v>2.129758731657331</v>
      </c>
      <c r="AC98" s="29" t="s">
        <v>1264</v>
      </c>
      <c r="AD98" s="28">
        <v>97</v>
      </c>
      <c r="AE98" s="136">
        <v>31</v>
      </c>
      <c r="AF98" s="136">
        <v>153</v>
      </c>
      <c r="AG98" s="137">
        <f t="shared" si="28"/>
        <v>512.29999999999995</v>
      </c>
      <c r="AH98" s="138">
        <f t="shared" si="29"/>
        <v>0.18934218231504979</v>
      </c>
      <c r="AI98" s="138">
        <f t="shared" si="35"/>
        <v>6.0511419090376738E-2</v>
      </c>
      <c r="AJ98" s="138">
        <f t="shared" si="36"/>
        <v>0.2986531329299239</v>
      </c>
    </row>
    <row r="99" spans="1:36">
      <c r="A99" s="145" t="str">
        <f t="shared" si="30"/>
        <v>Zimbabwe</v>
      </c>
      <c r="D99" s="145">
        <f t="shared" si="23"/>
        <v>1.4910536779324055E-2</v>
      </c>
      <c r="E99" s="145">
        <f t="shared" si="24"/>
        <v>0.32306163021868783</v>
      </c>
      <c r="F99" s="146">
        <f t="shared" si="31"/>
        <v>1.4910536779324055E-2</v>
      </c>
      <c r="G99" s="146">
        <f t="shared" si="32"/>
        <v>0.32306163021868783</v>
      </c>
      <c r="H99" s="145"/>
      <c r="I99" s="145"/>
      <c r="J99" s="141" t="s">
        <v>1364</v>
      </c>
      <c r="K99" s="147">
        <v>273</v>
      </c>
      <c r="L99" s="147">
        <v>202</v>
      </c>
      <c r="M99" s="147">
        <v>239</v>
      </c>
      <c r="N99" s="147">
        <v>263</v>
      </c>
      <c r="O99" s="145">
        <v>0.3</v>
      </c>
      <c r="P99" s="145">
        <v>0.22</v>
      </c>
      <c r="Q99" s="145">
        <v>0.26</v>
      </c>
      <c r="R99" s="145">
        <v>0.28000000000000003</v>
      </c>
      <c r="S99" s="148">
        <f t="shared" ref="S99" si="37">MIN(O99:R99)</f>
        <v>0.22</v>
      </c>
      <c r="T99" s="148">
        <f t="shared" si="26"/>
        <v>0.3</v>
      </c>
      <c r="U99" s="145"/>
      <c r="V99" s="141" t="s">
        <v>1418</v>
      </c>
      <c r="W99" s="149">
        <v>824</v>
      </c>
      <c r="X99" s="149">
        <v>3246</v>
      </c>
      <c r="Y99" s="149" t="e">
        <f t="shared" ref="Y99:Y130" si="38">VLOOKUP(V99,gdppc,55,FALSE)</f>
        <v>#N/A</v>
      </c>
      <c r="Z99" s="150" t="e">
        <f t="shared" si="33"/>
        <v>#N/A</v>
      </c>
      <c r="AA99" s="150" t="e">
        <f t="shared" si="34"/>
        <v>#N/A</v>
      </c>
      <c r="AC99" s="29" t="s">
        <v>1279</v>
      </c>
      <c r="AD99" s="28">
        <v>137</v>
      </c>
      <c r="AE99" s="136">
        <v>43</v>
      </c>
      <c r="AF99" s="136">
        <v>216</v>
      </c>
      <c r="AG99" s="137">
        <f t="shared" ref="AG99:AG130" si="39">VLOOKUP(AC99,gdppc,61,FALSE)</f>
        <v>587.1</v>
      </c>
      <c r="AH99" s="138">
        <f t="shared" ref="AH99:AH130" si="40">AD99/AG99</f>
        <v>0.23335036620677907</v>
      </c>
      <c r="AI99" s="138">
        <f t="shared" si="35"/>
        <v>7.3241355816726278E-2</v>
      </c>
      <c r="AJ99" s="138">
        <f t="shared" si="36"/>
        <v>0.36791006642820645</v>
      </c>
    </row>
    <row r="100" spans="1:36">
      <c r="A100" s="151" t="s">
        <v>209</v>
      </c>
      <c r="B100" s="151">
        <v>999.99</v>
      </c>
      <c r="C100" s="151">
        <v>999.99</v>
      </c>
      <c r="D100" s="152">
        <f>Z18</f>
        <v>0.10172203596464492</v>
      </c>
      <c r="E100" s="152">
        <f>AA18</f>
        <v>0.47927461139896371</v>
      </c>
      <c r="F100" s="146">
        <f>MIN(B100:E100)</f>
        <v>0.10172203596464492</v>
      </c>
      <c r="G100" s="146">
        <f>MAX(B100:E100)</f>
        <v>999.99</v>
      </c>
      <c r="V100" s="141" t="s">
        <v>1264</v>
      </c>
      <c r="W100" s="149">
        <v>9</v>
      </c>
      <c r="X100" s="149">
        <v>235</v>
      </c>
      <c r="Y100" s="149">
        <f t="shared" si="38"/>
        <v>526.70000000000005</v>
      </c>
      <c r="Z100" s="150">
        <f t="shared" si="33"/>
        <v>1.708752610594266E-2</v>
      </c>
      <c r="AA100" s="150">
        <f t="shared" si="34"/>
        <v>0.44617429276628057</v>
      </c>
      <c r="AC100" s="29" t="s">
        <v>180</v>
      </c>
      <c r="AD100" s="28">
        <v>4344</v>
      </c>
      <c r="AE100" s="136">
        <v>3169</v>
      </c>
      <c r="AF100" s="136">
        <v>7645</v>
      </c>
      <c r="AG100" s="137">
        <f t="shared" si="39"/>
        <v>11132.1</v>
      </c>
      <c r="AH100" s="138">
        <f t="shared" si="40"/>
        <v>0.39022286900045811</v>
      </c>
      <c r="AI100" s="138">
        <f t="shared" si="35"/>
        <v>0.28467225411198244</v>
      </c>
      <c r="AJ100" s="138">
        <f t="shared" si="36"/>
        <v>0.68675272410416721</v>
      </c>
    </row>
    <row r="101" spans="1:36">
      <c r="V101" s="141" t="s">
        <v>1279</v>
      </c>
      <c r="W101" s="149">
        <v>3</v>
      </c>
      <c r="X101" s="149">
        <v>116</v>
      </c>
      <c r="Y101" s="149">
        <f t="shared" si="38"/>
        <v>501.2</v>
      </c>
      <c r="Z101" s="150">
        <f t="shared" si="33"/>
        <v>5.9856344772545892E-3</v>
      </c>
      <c r="AA101" s="150">
        <f t="shared" si="34"/>
        <v>0.23144453312051078</v>
      </c>
      <c r="AC101" s="29" t="s">
        <v>1265</v>
      </c>
      <c r="AD101" s="28">
        <v>8568</v>
      </c>
      <c r="AE101" s="136">
        <v>6250</v>
      </c>
      <c r="AF101" s="136">
        <v>15079</v>
      </c>
      <c r="AG101" s="137">
        <f t="shared" si="39"/>
        <v>11349.9</v>
      </c>
      <c r="AH101" s="138">
        <f t="shared" si="40"/>
        <v>0.75489651891206089</v>
      </c>
      <c r="AI101" s="138">
        <f t="shared" si="35"/>
        <v>0.55066564463123024</v>
      </c>
      <c r="AJ101" s="138">
        <f t="shared" si="36"/>
        <v>1.3285579608630913</v>
      </c>
    </row>
    <row r="102" spans="1:36">
      <c r="V102" s="141" t="s">
        <v>180</v>
      </c>
      <c r="W102" s="149">
        <v>3481</v>
      </c>
      <c r="X102" s="149">
        <v>6192</v>
      </c>
      <c r="Y102" s="149">
        <f t="shared" si="38"/>
        <v>10727.7</v>
      </c>
      <c r="Z102" s="150">
        <f t="shared" si="33"/>
        <v>0.32448707551478878</v>
      </c>
      <c r="AA102" s="150">
        <f t="shared" si="34"/>
        <v>0.5771973489191532</v>
      </c>
      <c r="AC102" s="29" t="s">
        <v>1270</v>
      </c>
      <c r="AD102" s="28">
        <v>138</v>
      </c>
      <c r="AE102" s="136">
        <v>43</v>
      </c>
      <c r="AF102" s="136">
        <v>216</v>
      </c>
      <c r="AG102" s="137">
        <f t="shared" si="39"/>
        <v>840.2</v>
      </c>
      <c r="AH102" s="138">
        <f t="shared" si="40"/>
        <v>0.16424660795048798</v>
      </c>
      <c r="AI102" s="138">
        <f t="shared" si="35"/>
        <v>5.1178290883123062E-2</v>
      </c>
      <c r="AJ102" s="138">
        <f t="shared" si="36"/>
        <v>0.25708164722685073</v>
      </c>
    </row>
    <row r="103" spans="1:36">
      <c r="V103" s="141" t="s">
        <v>1265</v>
      </c>
      <c r="W103" s="149">
        <v>1103</v>
      </c>
      <c r="X103" s="149">
        <v>4318</v>
      </c>
      <c r="Y103" s="149">
        <f t="shared" si="38"/>
        <v>8222.6</v>
      </c>
      <c r="Z103" s="150">
        <f t="shared" si="33"/>
        <v>0.1341424853452679</v>
      </c>
      <c r="AA103" s="150">
        <f t="shared" si="34"/>
        <v>0.52513803419842875</v>
      </c>
      <c r="AC103" s="29" t="s">
        <v>1271</v>
      </c>
      <c r="AD103" s="28">
        <v>22764</v>
      </c>
      <c r="AE103" s="136">
        <v>19375</v>
      </c>
      <c r="AF103" s="136">
        <v>28510</v>
      </c>
      <c r="AG103" s="137">
        <f t="shared" si="39"/>
        <v>31751.200000000001</v>
      </c>
      <c r="AH103" s="138">
        <f t="shared" si="40"/>
        <v>0.71694928065710906</v>
      </c>
      <c r="AI103" s="138">
        <f t="shared" si="35"/>
        <v>0.61021315729799186</v>
      </c>
      <c r="AJ103" s="138">
        <f t="shared" si="36"/>
        <v>0.89791881881629665</v>
      </c>
    </row>
    <row r="104" spans="1:36">
      <c r="V104" s="141" t="s">
        <v>1270</v>
      </c>
      <c r="W104" s="149">
        <v>17</v>
      </c>
      <c r="X104" s="149">
        <v>368</v>
      </c>
      <c r="Y104" s="149">
        <f t="shared" si="38"/>
        <v>778.8</v>
      </c>
      <c r="Z104" s="150">
        <f t="shared" si="33"/>
        <v>2.1828454031843865E-2</v>
      </c>
      <c r="AA104" s="150">
        <f t="shared" si="34"/>
        <v>0.47252182845403184</v>
      </c>
      <c r="AC104" s="29" t="s">
        <v>1277</v>
      </c>
      <c r="AD104" s="28">
        <v>388</v>
      </c>
      <c r="AE104" s="136">
        <v>198</v>
      </c>
      <c r="AF104" s="136">
        <v>492</v>
      </c>
      <c r="AG104" s="137">
        <f t="shared" si="39"/>
        <v>1800.9</v>
      </c>
      <c r="AH104" s="138">
        <f t="shared" si="40"/>
        <v>0.21544783163973569</v>
      </c>
      <c r="AI104" s="138">
        <f t="shared" si="35"/>
        <v>0.10994502748625687</v>
      </c>
      <c r="AJ104" s="138">
        <f t="shared" si="36"/>
        <v>0.2731967349658504</v>
      </c>
    </row>
    <row r="105" spans="1:36">
      <c r="V105" s="141" t="s">
        <v>1271</v>
      </c>
      <c r="W105" s="149">
        <v>10138</v>
      </c>
      <c r="X105" s="149">
        <v>12838</v>
      </c>
      <c r="Y105" s="149">
        <f t="shared" si="38"/>
        <v>24769.599999999999</v>
      </c>
      <c r="Z105" s="150">
        <f t="shared" si="33"/>
        <v>0.40929203539823011</v>
      </c>
      <c r="AA105" s="150">
        <f t="shared" si="34"/>
        <v>0.51829662166526713</v>
      </c>
      <c r="AC105" s="29" t="s">
        <v>1278</v>
      </c>
      <c r="AD105" s="28">
        <v>5534</v>
      </c>
      <c r="AE105" s="136">
        <v>4710</v>
      </c>
      <c r="AF105" s="136">
        <v>6931</v>
      </c>
      <c r="AG105" s="137">
        <f t="shared" si="39"/>
        <v>11403.3</v>
      </c>
      <c r="AH105" s="138">
        <f t="shared" si="40"/>
        <v>0.4852981154578061</v>
      </c>
      <c r="AI105" s="138">
        <f t="shared" si="35"/>
        <v>0.41303833100944465</v>
      </c>
      <c r="AJ105" s="138">
        <f t="shared" si="36"/>
        <v>0.60780651214999171</v>
      </c>
    </row>
    <row r="106" spans="1:36">
      <c r="V106" s="141" t="s">
        <v>1267</v>
      </c>
      <c r="W106" s="149">
        <v>182</v>
      </c>
      <c r="X106" s="149">
        <v>1774</v>
      </c>
      <c r="Y106" s="149">
        <f t="shared" si="38"/>
        <v>3618.5</v>
      </c>
      <c r="Z106" s="150">
        <f t="shared" si="33"/>
        <v>5.029708442724886E-2</v>
      </c>
      <c r="AA106" s="150">
        <f t="shared" si="34"/>
        <v>0.49025839436230484</v>
      </c>
      <c r="AC106" s="29" t="s">
        <v>281</v>
      </c>
      <c r="AD106" s="28">
        <v>5214</v>
      </c>
      <c r="AE106" s="136">
        <v>3803</v>
      </c>
      <c r="AF106" s="136">
        <v>9176</v>
      </c>
      <c r="AG106" s="137">
        <f t="shared" si="39"/>
        <v>10434.6</v>
      </c>
      <c r="AH106" s="138">
        <f t="shared" si="40"/>
        <v>0.49968374446552816</v>
      </c>
      <c r="AI106" s="138">
        <f t="shared" si="35"/>
        <v>0.36446054472619938</v>
      </c>
      <c r="AJ106" s="138">
        <f t="shared" si="36"/>
        <v>0.87938205585264406</v>
      </c>
    </row>
    <row r="107" spans="1:36">
      <c r="V107" s="141" t="s">
        <v>1277</v>
      </c>
      <c r="W107" s="149">
        <v>46</v>
      </c>
      <c r="X107" s="149">
        <v>550</v>
      </c>
      <c r="Y107" s="149">
        <f t="shared" si="38"/>
        <v>1929.8</v>
      </c>
      <c r="Z107" s="150">
        <f t="shared" si="33"/>
        <v>2.3836667012125608E-2</v>
      </c>
      <c r="AA107" s="150">
        <f t="shared" si="34"/>
        <v>0.28500362731889317</v>
      </c>
      <c r="AC107" s="29" t="s">
        <v>1199</v>
      </c>
      <c r="AD107" s="28">
        <v>3249</v>
      </c>
      <c r="AE107" s="136">
        <v>1659</v>
      </c>
      <c r="AF107" s="136">
        <v>4120</v>
      </c>
      <c r="AG107" s="137">
        <f t="shared" si="39"/>
        <v>3537.5</v>
      </c>
      <c r="AH107" s="138">
        <f t="shared" si="40"/>
        <v>0.91844522968197884</v>
      </c>
      <c r="AI107" s="138">
        <f t="shared" si="35"/>
        <v>0.46897526501766784</v>
      </c>
      <c r="AJ107" s="138">
        <f t="shared" si="36"/>
        <v>1.1646643109540635</v>
      </c>
    </row>
    <row r="108" spans="1:36">
      <c r="V108" s="141" t="s">
        <v>1278</v>
      </c>
      <c r="W108" s="149">
        <v>2248</v>
      </c>
      <c r="X108" s="149">
        <v>5945</v>
      </c>
      <c r="Y108" s="149">
        <f t="shared" si="38"/>
        <v>9764.6</v>
      </c>
      <c r="Z108" s="150">
        <f t="shared" si="33"/>
        <v>0.23021936382442701</v>
      </c>
      <c r="AA108" s="150">
        <f t="shared" si="34"/>
        <v>0.60883190299653844</v>
      </c>
      <c r="AC108" s="29" t="s">
        <v>1263</v>
      </c>
      <c r="AD108" s="28">
        <v>2164</v>
      </c>
      <c r="AE108" s="136">
        <v>1105</v>
      </c>
      <c r="AF108" s="136">
        <v>2745</v>
      </c>
      <c r="AG108" s="137">
        <f t="shared" si="39"/>
        <v>4405.3</v>
      </c>
      <c r="AH108" s="138">
        <f t="shared" si="40"/>
        <v>0.49122647719792067</v>
      </c>
      <c r="AI108" s="138">
        <f t="shared" si="35"/>
        <v>0.25083422241391051</v>
      </c>
      <c r="AJ108" s="138">
        <f t="shared" si="36"/>
        <v>0.6231130683494881</v>
      </c>
    </row>
    <row r="109" spans="1:36">
      <c r="V109" s="141" t="s">
        <v>281</v>
      </c>
      <c r="W109" s="149">
        <v>2410</v>
      </c>
      <c r="X109" s="149">
        <v>6749</v>
      </c>
      <c r="Y109" s="149">
        <f t="shared" si="38"/>
        <v>11317.5</v>
      </c>
      <c r="Z109" s="150">
        <f t="shared" si="33"/>
        <v>0.21294455489286504</v>
      </c>
      <c r="AA109" s="150">
        <f t="shared" si="34"/>
        <v>0.59633311243649212</v>
      </c>
      <c r="AC109" s="29" t="s">
        <v>206</v>
      </c>
      <c r="AD109" s="28">
        <v>1258</v>
      </c>
      <c r="AE109" s="136">
        <v>642</v>
      </c>
      <c r="AF109" s="136">
        <v>1595</v>
      </c>
      <c r="AG109" s="137">
        <f t="shared" si="39"/>
        <v>4394.8999999999996</v>
      </c>
      <c r="AH109" s="138">
        <f t="shared" si="40"/>
        <v>0.28624087009943344</v>
      </c>
      <c r="AI109" s="138">
        <f t="shared" si="35"/>
        <v>0.14607840906505268</v>
      </c>
      <c r="AJ109" s="138">
        <f t="shared" si="36"/>
        <v>0.36292065803545021</v>
      </c>
    </row>
    <row r="110" spans="1:36">
      <c r="V110" s="141" t="s">
        <v>1199</v>
      </c>
      <c r="W110" s="149">
        <v>162</v>
      </c>
      <c r="X110" s="149">
        <v>1646</v>
      </c>
      <c r="Y110" s="149">
        <f t="shared" si="38"/>
        <v>2920.7</v>
      </c>
      <c r="Z110" s="150">
        <f t="shared" si="33"/>
        <v>5.5466155373711787E-2</v>
      </c>
      <c r="AA110" s="150">
        <f t="shared" si="34"/>
        <v>0.56356352929092346</v>
      </c>
      <c r="AC110" s="29" t="s">
        <v>1274</v>
      </c>
      <c r="AD110" s="28">
        <v>7270</v>
      </c>
      <c r="AE110" s="136">
        <v>5303</v>
      </c>
      <c r="AF110" s="136">
        <v>12796</v>
      </c>
      <c r="AG110" s="137">
        <f t="shared" si="39"/>
        <v>8909.7000000000007</v>
      </c>
      <c r="AH110" s="138">
        <f t="shared" si="40"/>
        <v>0.81596462282680671</v>
      </c>
      <c r="AI110" s="138">
        <f t="shared" si="35"/>
        <v>0.59519400204271744</v>
      </c>
      <c r="AJ110" s="138">
        <f t="shared" si="36"/>
        <v>1.436187525954858</v>
      </c>
    </row>
    <row r="111" spans="1:36">
      <c r="V111" s="141" t="s">
        <v>1263</v>
      </c>
      <c r="W111" s="149">
        <v>148</v>
      </c>
      <c r="X111" s="149">
        <v>1151</v>
      </c>
      <c r="Y111" s="149">
        <f t="shared" si="38"/>
        <v>3321</v>
      </c>
      <c r="Z111" s="150">
        <f t="shared" si="33"/>
        <v>4.4564890093345376E-2</v>
      </c>
      <c r="AA111" s="150">
        <f t="shared" si="34"/>
        <v>0.34658235471243604</v>
      </c>
      <c r="AC111" s="29" t="s">
        <v>1261</v>
      </c>
      <c r="AD111" s="28">
        <v>1528</v>
      </c>
      <c r="AE111" s="136">
        <v>780</v>
      </c>
      <c r="AF111" s="136">
        <v>1938</v>
      </c>
      <c r="AG111" s="137">
        <f t="shared" si="39"/>
        <v>3498.6</v>
      </c>
      <c r="AH111" s="138">
        <f t="shared" si="40"/>
        <v>0.43674612702223747</v>
      </c>
      <c r="AI111" s="138">
        <f t="shared" si="35"/>
        <v>0.22294632138569714</v>
      </c>
      <c r="AJ111" s="138">
        <f t="shared" si="36"/>
        <v>0.55393586005830908</v>
      </c>
    </row>
    <row r="112" spans="1:36">
      <c r="V112" s="141" t="s">
        <v>206</v>
      </c>
      <c r="W112" s="149">
        <v>543</v>
      </c>
      <c r="X112" s="149">
        <v>2085</v>
      </c>
      <c r="Y112" s="149">
        <f t="shared" si="38"/>
        <v>4422.3</v>
      </c>
      <c r="Z112" s="150">
        <f t="shared" si="33"/>
        <v>0.12278678515704497</v>
      </c>
      <c r="AA112" s="150">
        <f t="shared" si="34"/>
        <v>0.47147411980191301</v>
      </c>
      <c r="AC112" s="29" t="s">
        <v>1276</v>
      </c>
      <c r="AD112" s="28">
        <v>181</v>
      </c>
      <c r="AE112" s="136">
        <v>57</v>
      </c>
      <c r="AF112" s="136">
        <v>285</v>
      </c>
      <c r="AG112" s="137">
        <f t="shared" si="39"/>
        <v>512.20000000000005</v>
      </c>
      <c r="AH112" s="138">
        <f t="shared" si="40"/>
        <v>0.35337758688012494</v>
      </c>
      <c r="AI112" s="138">
        <f t="shared" si="35"/>
        <v>0.11128465443186254</v>
      </c>
      <c r="AJ112" s="138">
        <f t="shared" si="36"/>
        <v>0.55642327215931275</v>
      </c>
    </row>
    <row r="113" spans="22:36">
      <c r="V113" s="141" t="s">
        <v>1274</v>
      </c>
      <c r="W113" s="149">
        <v>1464</v>
      </c>
      <c r="X113" s="149">
        <v>4921</v>
      </c>
      <c r="Y113" s="149">
        <f t="shared" si="38"/>
        <v>7188.9</v>
      </c>
      <c r="Z113" s="150">
        <f t="shared" si="33"/>
        <v>0.20364728957142261</v>
      </c>
      <c r="AA113" s="150">
        <f t="shared" si="34"/>
        <v>0.68452753550612755</v>
      </c>
      <c r="AC113" s="29" t="s">
        <v>1272</v>
      </c>
      <c r="AD113" s="28">
        <v>423</v>
      </c>
      <c r="AE113" s="136">
        <v>216</v>
      </c>
      <c r="AF113" s="136">
        <v>536</v>
      </c>
      <c r="AG113" s="137">
        <f t="shared" si="39"/>
        <v>1415.2</v>
      </c>
      <c r="AH113" s="138">
        <f t="shared" si="40"/>
        <v>0.2988976823063878</v>
      </c>
      <c r="AI113" s="138">
        <f t="shared" si="35"/>
        <v>0.15262860373092141</v>
      </c>
      <c r="AJ113" s="138">
        <f t="shared" si="36"/>
        <v>0.37874505370265688</v>
      </c>
    </row>
    <row r="114" spans="22:36">
      <c r="V114" s="141" t="s">
        <v>1261</v>
      </c>
      <c r="W114" s="149">
        <v>316</v>
      </c>
      <c r="X114" s="149">
        <v>1590</v>
      </c>
      <c r="Y114" s="149">
        <f t="shared" si="38"/>
        <v>3377.6</v>
      </c>
      <c r="Z114" s="150">
        <f t="shared" si="33"/>
        <v>9.3557555660824257E-2</v>
      </c>
      <c r="AA114" s="150">
        <f t="shared" si="34"/>
        <v>0.47074846044528662</v>
      </c>
      <c r="AC114" s="29" t="s">
        <v>1281</v>
      </c>
      <c r="AD114" s="28">
        <v>3486</v>
      </c>
      <c r="AE114" s="136">
        <v>2543</v>
      </c>
      <c r="AF114" s="136">
        <v>6135</v>
      </c>
      <c r="AG114" s="137">
        <f t="shared" si="39"/>
        <v>5126.2</v>
      </c>
      <c r="AH114" s="138">
        <f t="shared" si="40"/>
        <v>0.68003589403456755</v>
      </c>
      <c r="AI114" s="138">
        <f t="shared" si="35"/>
        <v>0.49607896687604858</v>
      </c>
      <c r="AJ114" s="138">
        <f t="shared" si="36"/>
        <v>1.1967929460419025</v>
      </c>
    </row>
    <row r="115" spans="22:36">
      <c r="V115" s="141" t="s">
        <v>1276</v>
      </c>
      <c r="W115" s="149">
        <v>8</v>
      </c>
      <c r="X115" s="149">
        <v>294</v>
      </c>
      <c r="Y115" s="149">
        <f t="shared" si="38"/>
        <v>681.1</v>
      </c>
      <c r="Z115" s="150">
        <f t="shared" si="33"/>
        <v>1.1745705476435178E-2</v>
      </c>
      <c r="AA115" s="150">
        <f t="shared" si="34"/>
        <v>0.43165467625899279</v>
      </c>
      <c r="AC115" s="29" t="s">
        <v>1288</v>
      </c>
      <c r="AD115" s="28">
        <v>413</v>
      </c>
      <c r="AE115" s="136">
        <v>211</v>
      </c>
      <c r="AF115" s="136">
        <v>524</v>
      </c>
      <c r="AG115" s="137">
        <f t="shared" si="39"/>
        <v>1185.7</v>
      </c>
      <c r="AH115" s="138">
        <f t="shared" si="40"/>
        <v>0.34831744960782657</v>
      </c>
      <c r="AI115" s="138">
        <f t="shared" si="35"/>
        <v>0.17795395125242472</v>
      </c>
      <c r="AJ115" s="138">
        <f t="shared" si="36"/>
        <v>0.44193303533777512</v>
      </c>
    </row>
    <row r="116" spans="22:36">
      <c r="V116" s="141" t="s">
        <v>1281</v>
      </c>
      <c r="W116" s="149">
        <v>791</v>
      </c>
      <c r="X116" s="149">
        <v>2958</v>
      </c>
      <c r="Y116" s="149">
        <f t="shared" si="38"/>
        <v>5463</v>
      </c>
      <c r="Z116" s="150">
        <f t="shared" si="33"/>
        <v>0.14479223869668681</v>
      </c>
      <c r="AA116" s="150">
        <f t="shared" si="34"/>
        <v>0.5414607358594179</v>
      </c>
      <c r="AC116" s="29" t="s">
        <v>1286</v>
      </c>
      <c r="AD116" s="28">
        <v>47122</v>
      </c>
      <c r="AE116" s="136">
        <v>40107</v>
      </c>
      <c r="AF116" s="136">
        <v>59018</v>
      </c>
      <c r="AG116" s="137">
        <f t="shared" si="39"/>
        <v>52476.3</v>
      </c>
      <c r="AH116" s="138">
        <f t="shared" si="40"/>
        <v>0.89796727284507483</v>
      </c>
      <c r="AI116" s="138">
        <f t="shared" si="35"/>
        <v>0.76428787852802116</v>
      </c>
      <c r="AJ116" s="138">
        <f t="shared" si="36"/>
        <v>1.1246600846477361</v>
      </c>
    </row>
    <row r="117" spans="22:36">
      <c r="V117" s="141" t="s">
        <v>1288</v>
      </c>
      <c r="W117" s="149">
        <v>22</v>
      </c>
      <c r="X117" s="149">
        <v>357</v>
      </c>
      <c r="Y117" s="149">
        <f t="shared" si="38"/>
        <v>809.4</v>
      </c>
      <c r="Z117" s="150">
        <f t="shared" si="33"/>
        <v>2.7180627625401532E-2</v>
      </c>
      <c r="AA117" s="150">
        <f t="shared" si="34"/>
        <v>0.44106745737583397</v>
      </c>
      <c r="AC117" s="29" t="s">
        <v>1290</v>
      </c>
      <c r="AD117" s="28">
        <v>37456</v>
      </c>
      <c r="AE117" s="136">
        <v>31880</v>
      </c>
      <c r="AF117" s="136">
        <v>46912</v>
      </c>
      <c r="AG117" s="137">
        <f t="shared" si="39"/>
        <v>42747.199999999997</v>
      </c>
      <c r="AH117" s="138">
        <f t="shared" si="40"/>
        <v>0.87622113261219459</v>
      </c>
      <c r="AI117" s="138">
        <f t="shared" si="35"/>
        <v>0.74577984055096014</v>
      </c>
      <c r="AJ117" s="138">
        <f t="shared" si="36"/>
        <v>1.0974286035108733</v>
      </c>
    </row>
    <row r="118" spans="22:36">
      <c r="V118" s="141" t="s">
        <v>1286</v>
      </c>
      <c r="W118" s="149">
        <v>23153</v>
      </c>
      <c r="X118" s="149">
        <v>29354</v>
      </c>
      <c r="Y118" s="149">
        <f t="shared" si="38"/>
        <v>52198.9</v>
      </c>
      <c r="Z118" s="150">
        <f t="shared" si="33"/>
        <v>0.44355340821358302</v>
      </c>
      <c r="AA118" s="150">
        <f t="shared" si="34"/>
        <v>0.56234901501755785</v>
      </c>
      <c r="AC118" s="29" t="s">
        <v>1285</v>
      </c>
      <c r="AD118" s="28">
        <v>1295</v>
      </c>
      <c r="AE118" s="136">
        <v>661</v>
      </c>
      <c r="AF118" s="136">
        <v>1642</v>
      </c>
      <c r="AG118" s="137">
        <f t="shared" si="39"/>
        <v>1905.6</v>
      </c>
      <c r="AH118" s="138">
        <f t="shared" si="40"/>
        <v>0.67957598656591101</v>
      </c>
      <c r="AI118" s="138">
        <f t="shared" si="35"/>
        <v>0.34687237615449201</v>
      </c>
      <c r="AJ118" s="138">
        <f t="shared" si="36"/>
        <v>0.86167086481947952</v>
      </c>
    </row>
    <row r="119" spans="22:36">
      <c r="V119" s="141" t="s">
        <v>1290</v>
      </c>
      <c r="W119" s="149">
        <v>20555</v>
      </c>
      <c r="X119" s="149">
        <v>21619</v>
      </c>
      <c r="Y119" s="149">
        <f t="shared" si="38"/>
        <v>42977.4</v>
      </c>
      <c r="Z119" s="150">
        <f t="shared" si="33"/>
        <v>0.47827462806032939</v>
      </c>
      <c r="AA119" s="150">
        <f t="shared" si="34"/>
        <v>0.50303182602949459</v>
      </c>
      <c r="AC119" s="29" t="s">
        <v>1283</v>
      </c>
      <c r="AD119" s="28">
        <v>137</v>
      </c>
      <c r="AE119" s="136">
        <v>43</v>
      </c>
      <c r="AF119" s="136">
        <v>216</v>
      </c>
      <c r="AG119" s="137">
        <f t="shared" si="39"/>
        <v>549.79999999999995</v>
      </c>
      <c r="AH119" s="138">
        <f t="shared" si="40"/>
        <v>0.24918152055292836</v>
      </c>
      <c r="AI119" s="138">
        <f t="shared" si="35"/>
        <v>7.8210258275736633E-2</v>
      </c>
      <c r="AJ119" s="138">
        <f t="shared" si="36"/>
        <v>0.39287013459439801</v>
      </c>
    </row>
    <row r="120" spans="22:36">
      <c r="V120" s="141" t="s">
        <v>1285</v>
      </c>
      <c r="W120" s="149">
        <v>118</v>
      </c>
      <c r="X120" s="149">
        <v>937</v>
      </c>
      <c r="Y120" s="149">
        <f t="shared" si="38"/>
        <v>1794.8</v>
      </c>
      <c r="Z120" s="150">
        <f t="shared" si="33"/>
        <v>6.5745486962335634E-2</v>
      </c>
      <c r="AA120" s="150">
        <f t="shared" si="34"/>
        <v>0.52206373969244491</v>
      </c>
      <c r="AC120" s="29" t="s">
        <v>1284</v>
      </c>
      <c r="AD120" s="28">
        <v>374</v>
      </c>
      <c r="AE120" s="136">
        <v>191</v>
      </c>
      <c r="AF120" s="136">
        <v>474</v>
      </c>
      <c r="AG120" s="137">
        <f t="shared" si="39"/>
        <v>2334</v>
      </c>
      <c r="AH120" s="138">
        <f t="shared" si="40"/>
        <v>0.16023993144815768</v>
      </c>
      <c r="AI120" s="138">
        <f t="shared" si="35"/>
        <v>8.18337617823479E-2</v>
      </c>
      <c r="AJ120" s="138">
        <f t="shared" si="36"/>
        <v>0.20308483290488433</v>
      </c>
    </row>
    <row r="121" spans="22:36">
      <c r="V121" s="141" t="s">
        <v>1283</v>
      </c>
      <c r="W121" s="149">
        <v>5</v>
      </c>
      <c r="X121" s="149">
        <v>213</v>
      </c>
      <c r="Y121" s="149">
        <f t="shared" si="38"/>
        <v>548.20000000000005</v>
      </c>
      <c r="Z121" s="150">
        <f t="shared" si="33"/>
        <v>9.1207588471360814E-3</v>
      </c>
      <c r="AA121" s="150">
        <f t="shared" si="34"/>
        <v>0.38854432688799706</v>
      </c>
      <c r="AC121" s="29" t="s">
        <v>1269</v>
      </c>
      <c r="AD121" s="28">
        <v>4366</v>
      </c>
      <c r="AE121" s="136">
        <v>3184</v>
      </c>
      <c r="AF121" s="136">
        <v>7683</v>
      </c>
      <c r="AG121" s="137">
        <f t="shared" si="39"/>
        <v>6718.9</v>
      </c>
      <c r="AH121" s="138">
        <f t="shared" si="40"/>
        <v>0.64980874845584846</v>
      </c>
      <c r="AI121" s="138">
        <f t="shared" si="35"/>
        <v>0.47388709461370165</v>
      </c>
      <c r="AJ121" s="138">
        <f t="shared" si="36"/>
        <v>1.1434907499739542</v>
      </c>
    </row>
    <row r="122" spans="22:36">
      <c r="V122" s="141" t="s">
        <v>1284</v>
      </c>
      <c r="W122" s="149">
        <v>239</v>
      </c>
      <c r="X122" s="149">
        <v>1545</v>
      </c>
      <c r="Y122" s="149">
        <f t="shared" si="38"/>
        <v>2976.8</v>
      </c>
      <c r="Z122" s="150">
        <f t="shared" si="33"/>
        <v>8.0287557108304208E-2</v>
      </c>
      <c r="AA122" s="150">
        <f t="shared" si="34"/>
        <v>0.51901370599301255</v>
      </c>
      <c r="AC122" s="29" t="s">
        <v>1287</v>
      </c>
      <c r="AD122" s="28">
        <v>72267</v>
      </c>
      <c r="AE122" s="136">
        <v>61508</v>
      </c>
      <c r="AF122" s="136">
        <v>90511</v>
      </c>
      <c r="AG122" s="137">
        <f t="shared" si="39"/>
        <v>76430.600000000006</v>
      </c>
      <c r="AH122" s="138">
        <f t="shared" si="40"/>
        <v>0.94552443654766538</v>
      </c>
      <c r="AI122" s="138">
        <f t="shared" si="35"/>
        <v>0.80475621020900001</v>
      </c>
      <c r="AJ122" s="138">
        <f t="shared" si="36"/>
        <v>1.1842246430094752</v>
      </c>
    </row>
    <row r="123" spans="22:36">
      <c r="V123" s="141" t="s">
        <v>1287</v>
      </c>
      <c r="W123" s="149">
        <v>43211</v>
      </c>
      <c r="X123" s="149">
        <v>93736</v>
      </c>
      <c r="Y123" s="149">
        <f t="shared" si="38"/>
        <v>103553.8</v>
      </c>
      <c r="Z123" s="150">
        <f t="shared" si="33"/>
        <v>0.41728067922181511</v>
      </c>
      <c r="AA123" s="150">
        <f t="shared" si="34"/>
        <v>0.90519131118317242</v>
      </c>
      <c r="AC123" s="29" t="s">
        <v>1292</v>
      </c>
      <c r="AD123" s="28">
        <v>5480</v>
      </c>
      <c r="AE123" s="136">
        <v>4665</v>
      </c>
      <c r="AF123" s="136">
        <v>6864</v>
      </c>
      <c r="AG123" s="137">
        <f t="shared" si="39"/>
        <v>19132.2</v>
      </c>
      <c r="AH123" s="138">
        <f t="shared" si="40"/>
        <v>0.28642811595111906</v>
      </c>
      <c r="AI123" s="138">
        <f t="shared" si="35"/>
        <v>0.24382977388904567</v>
      </c>
      <c r="AJ123" s="138">
        <f t="shared" si="36"/>
        <v>0.35876689560008779</v>
      </c>
    </row>
    <row r="124" spans="22:36">
      <c r="V124" s="141" t="s">
        <v>1292</v>
      </c>
      <c r="W124" s="149">
        <v>999999</v>
      </c>
      <c r="X124" s="149">
        <v>999999</v>
      </c>
      <c r="Y124" s="149">
        <f t="shared" si="38"/>
        <v>23563.9</v>
      </c>
      <c r="Z124" s="150">
        <f t="shared" si="33"/>
        <v>42.437754361544563</v>
      </c>
      <c r="AA124" s="150">
        <f t="shared" si="34"/>
        <v>42.437754361544563</v>
      </c>
      <c r="AC124" s="29" t="s">
        <v>1294</v>
      </c>
      <c r="AD124" s="28">
        <v>299</v>
      </c>
      <c r="AE124" s="136">
        <v>153</v>
      </c>
      <c r="AF124" s="136">
        <v>379</v>
      </c>
      <c r="AG124" s="137">
        <f t="shared" si="39"/>
        <v>1437.2</v>
      </c>
      <c r="AH124" s="138">
        <f t="shared" si="40"/>
        <v>0.20804341775674923</v>
      </c>
      <c r="AI124" s="138">
        <f t="shared" si="35"/>
        <v>0.10645699972168104</v>
      </c>
      <c r="AJ124" s="138">
        <f t="shared" si="36"/>
        <v>0.26370720846089618</v>
      </c>
    </row>
    <row r="125" spans="22:36">
      <c r="V125" s="141" t="s">
        <v>1294</v>
      </c>
      <c r="W125" s="149">
        <v>87</v>
      </c>
      <c r="X125" s="149">
        <v>669</v>
      </c>
      <c r="Y125" s="149">
        <f t="shared" si="38"/>
        <v>1259.7</v>
      </c>
      <c r="Z125" s="150">
        <f t="shared" si="33"/>
        <v>6.9064062872112406E-2</v>
      </c>
      <c r="AA125" s="150">
        <f t="shared" si="34"/>
        <v>0.53107882829245057</v>
      </c>
      <c r="AC125" s="29" t="s">
        <v>1295</v>
      </c>
      <c r="AD125" s="28">
        <v>10018</v>
      </c>
      <c r="AE125" s="136">
        <v>8527</v>
      </c>
      <c r="AF125" s="136">
        <v>12547</v>
      </c>
      <c r="AG125" s="137">
        <f t="shared" si="39"/>
        <v>16472.8</v>
      </c>
      <c r="AH125" s="138">
        <f t="shared" si="40"/>
        <v>0.60815404788499827</v>
      </c>
      <c r="AI125" s="138">
        <f t="shared" si="35"/>
        <v>0.51764120246709733</v>
      </c>
      <c r="AJ125" s="138">
        <f t="shared" si="36"/>
        <v>0.76167986013306788</v>
      </c>
    </row>
    <row r="126" spans="22:36">
      <c r="V126" s="141" t="s">
        <v>1296</v>
      </c>
      <c r="W126" s="149">
        <v>2531</v>
      </c>
      <c r="X126" s="149">
        <v>7940</v>
      </c>
      <c r="Y126" s="149">
        <f t="shared" si="38"/>
        <v>12595.6</v>
      </c>
      <c r="Z126" s="150">
        <f t="shared" si="33"/>
        <v>0.20094318650957477</v>
      </c>
      <c r="AA126" s="150">
        <f t="shared" si="34"/>
        <v>0.6303788624599066</v>
      </c>
      <c r="AC126" s="29" t="s">
        <v>1297</v>
      </c>
      <c r="AD126" s="28">
        <v>451</v>
      </c>
      <c r="AE126" s="136">
        <v>230</v>
      </c>
      <c r="AF126" s="136">
        <v>572</v>
      </c>
      <c r="AG126" s="137">
        <f t="shared" si="39"/>
        <v>2593.8000000000002</v>
      </c>
      <c r="AH126" s="138">
        <f t="shared" si="40"/>
        <v>0.17387616624257846</v>
      </c>
      <c r="AI126" s="138">
        <f t="shared" si="35"/>
        <v>8.8672989436348215E-2</v>
      </c>
      <c r="AJ126" s="138">
        <f t="shared" si="36"/>
        <v>0.22052586938083119</v>
      </c>
    </row>
    <row r="127" spans="22:36">
      <c r="V127" s="141" t="s">
        <v>1295</v>
      </c>
      <c r="W127" s="149">
        <v>3042</v>
      </c>
      <c r="X127" s="149">
        <v>6869</v>
      </c>
      <c r="Y127" s="149">
        <f t="shared" si="38"/>
        <v>11932.3</v>
      </c>
      <c r="Z127" s="150">
        <f t="shared" si="33"/>
        <v>0.25493827677815678</v>
      </c>
      <c r="AA127" s="150">
        <f t="shared" si="34"/>
        <v>0.57566437317197861</v>
      </c>
      <c r="AC127" s="29" t="s">
        <v>267</v>
      </c>
      <c r="AD127" s="28">
        <v>3666</v>
      </c>
      <c r="AE127" s="136">
        <v>2674</v>
      </c>
      <c r="AF127" s="136">
        <v>6452</v>
      </c>
      <c r="AG127" s="137">
        <f t="shared" si="39"/>
        <v>5807.8</v>
      </c>
      <c r="AH127" s="138">
        <f t="shared" si="40"/>
        <v>0.63122008333620305</v>
      </c>
      <c r="AI127" s="138">
        <f t="shared" si="35"/>
        <v>0.46041530355728499</v>
      </c>
      <c r="AJ127" s="138">
        <f t="shared" si="36"/>
        <v>1.1109197975136884</v>
      </c>
    </row>
    <row r="128" spans="22:36">
      <c r="V128" s="141" t="s">
        <v>1297</v>
      </c>
      <c r="W128" s="149">
        <v>75</v>
      </c>
      <c r="X128" s="149">
        <v>1073</v>
      </c>
      <c r="Y128" s="149">
        <f t="shared" si="38"/>
        <v>2578.5</v>
      </c>
      <c r="Z128" s="150">
        <f t="shared" si="33"/>
        <v>2.9086678301337987E-2</v>
      </c>
      <c r="AA128" s="150">
        <f t="shared" si="34"/>
        <v>0.41613341089780881</v>
      </c>
      <c r="AC128" s="29" t="s">
        <v>234</v>
      </c>
      <c r="AD128" s="28">
        <v>3532</v>
      </c>
      <c r="AE128" s="136">
        <v>2576</v>
      </c>
      <c r="AF128" s="136">
        <v>6216</v>
      </c>
      <c r="AG128" s="137">
        <f t="shared" si="39"/>
        <v>6956.5</v>
      </c>
      <c r="AH128" s="138">
        <f t="shared" si="40"/>
        <v>0.50772658664558323</v>
      </c>
      <c r="AI128" s="138">
        <f t="shared" si="35"/>
        <v>0.37030115719111623</v>
      </c>
      <c r="AJ128" s="138">
        <f t="shared" si="36"/>
        <v>0.89355279235247609</v>
      </c>
    </row>
    <row r="129" spans="22:36">
      <c r="V129" s="141" t="s">
        <v>267</v>
      </c>
      <c r="W129" s="149">
        <v>484</v>
      </c>
      <c r="X129" s="149">
        <v>2179</v>
      </c>
      <c r="Y129" s="149">
        <f t="shared" si="38"/>
        <v>6410.8</v>
      </c>
      <c r="Z129" s="150">
        <f t="shared" si="33"/>
        <v>7.549759780370624E-2</v>
      </c>
      <c r="AA129" s="150">
        <f t="shared" si="34"/>
        <v>0.33989517688899978</v>
      </c>
      <c r="AC129" s="29" t="s">
        <v>200</v>
      </c>
      <c r="AD129" s="28">
        <v>1105</v>
      </c>
      <c r="AE129" s="136">
        <v>564</v>
      </c>
      <c r="AF129" s="136">
        <v>1401</v>
      </c>
      <c r="AG129" s="137">
        <f t="shared" si="39"/>
        <v>3413.8</v>
      </c>
      <c r="AH129" s="138">
        <f t="shared" si="40"/>
        <v>0.32368621477532367</v>
      </c>
      <c r="AI129" s="138">
        <f t="shared" si="35"/>
        <v>0.16521178745093443</v>
      </c>
      <c r="AJ129" s="138">
        <f t="shared" si="36"/>
        <v>0.41039311031694881</v>
      </c>
    </row>
    <row r="130" spans="22:36">
      <c r="V130" s="141" t="s">
        <v>234</v>
      </c>
      <c r="W130" s="149">
        <v>1114</v>
      </c>
      <c r="X130" s="149">
        <v>4383</v>
      </c>
      <c r="Y130" s="149">
        <f t="shared" si="38"/>
        <v>6697.2</v>
      </c>
      <c r="Z130" s="150">
        <f t="shared" si="33"/>
        <v>0.16633817117601385</v>
      </c>
      <c r="AA130" s="150">
        <f t="shared" si="34"/>
        <v>0.65445260705966679</v>
      </c>
      <c r="AC130" s="29" t="s">
        <v>1298</v>
      </c>
      <c r="AD130" s="28">
        <v>8389</v>
      </c>
      <c r="AE130" s="136">
        <v>7140</v>
      </c>
      <c r="AF130" s="136">
        <v>10507</v>
      </c>
      <c r="AG130" s="137">
        <f t="shared" si="39"/>
        <v>15700</v>
      </c>
      <c r="AH130" s="138">
        <f t="shared" si="40"/>
        <v>0.53433121019108276</v>
      </c>
      <c r="AI130" s="138">
        <f t="shared" si="35"/>
        <v>0.45477707006369428</v>
      </c>
      <c r="AJ130" s="138">
        <f t="shared" si="36"/>
        <v>0.66923566878980889</v>
      </c>
    </row>
    <row r="131" spans="22:36">
      <c r="V131" s="141" t="s">
        <v>200</v>
      </c>
      <c r="W131" s="149">
        <v>256</v>
      </c>
      <c r="X131" s="149">
        <v>1421</v>
      </c>
      <c r="Y131" s="149">
        <f t="shared" ref="Y131:Y162" si="41">VLOOKUP(V131,gdppc,55,FALSE)</f>
        <v>2847.6</v>
      </c>
      <c r="Z131" s="150">
        <f t="shared" si="33"/>
        <v>8.9900266891417335E-2</v>
      </c>
      <c r="AA131" s="150">
        <f t="shared" si="34"/>
        <v>0.49901671583087515</v>
      </c>
      <c r="AC131" s="29" t="s">
        <v>1302</v>
      </c>
      <c r="AD131" s="28">
        <v>19544</v>
      </c>
      <c r="AE131" s="136">
        <v>16634</v>
      </c>
      <c r="AF131" s="136">
        <v>24477</v>
      </c>
      <c r="AG131" s="137">
        <f t="shared" ref="AG131:AG162" si="42">VLOOKUP(AC131,gdppc,61,FALSE)</f>
        <v>23330.799999999999</v>
      </c>
      <c r="AH131" s="138">
        <f t="shared" ref="AH131:AH162" si="43">AD131/AG131</f>
        <v>0.8376909493030672</v>
      </c>
      <c r="AI131" s="138">
        <f t="shared" si="35"/>
        <v>0.71296312171035714</v>
      </c>
      <c r="AJ131" s="138">
        <f t="shared" si="36"/>
        <v>1.0491281910607437</v>
      </c>
    </row>
    <row r="132" spans="22:36">
      <c r="V132" s="141" t="s">
        <v>1298</v>
      </c>
      <c r="W132" s="149">
        <v>4440</v>
      </c>
      <c r="X132" s="149">
        <v>7908</v>
      </c>
      <c r="Y132" s="149">
        <f t="shared" si="41"/>
        <v>13558.3</v>
      </c>
      <c r="Z132" s="150">
        <f t="shared" ref="Z132:Z184" si="44">W132/$Y132</f>
        <v>0.32747468340426161</v>
      </c>
      <c r="AA132" s="150">
        <f t="shared" ref="AA132:AA184" si="45">X132/$Y132</f>
        <v>0.583258963144347</v>
      </c>
      <c r="AC132" s="29" t="s">
        <v>1307</v>
      </c>
      <c r="AD132" s="28">
        <v>16233</v>
      </c>
      <c r="AE132" s="136">
        <v>13816</v>
      </c>
      <c r="AF132" s="136">
        <v>20330</v>
      </c>
      <c r="AG132" s="137">
        <f t="shared" si="42"/>
        <v>62827.4</v>
      </c>
      <c r="AH132" s="138">
        <f t="shared" si="43"/>
        <v>0.2583745308575558</v>
      </c>
      <c r="AI132" s="138">
        <f t="shared" ref="AI132:AI176" si="46">AE132/AG132</f>
        <v>0.21990405460038134</v>
      </c>
      <c r="AJ132" s="138">
        <f t="shared" ref="AJ132:AJ176" si="47">AF132/AG132</f>
        <v>0.323584932688604</v>
      </c>
    </row>
    <row r="133" spans="22:36">
      <c r="V133" s="141" t="s">
        <v>1302</v>
      </c>
      <c r="W133" s="149">
        <v>7738</v>
      </c>
      <c r="X133" s="149">
        <v>11985</v>
      </c>
      <c r="Y133" s="149">
        <f t="shared" si="41"/>
        <v>21653.200000000001</v>
      </c>
      <c r="Z133" s="150">
        <f t="shared" si="44"/>
        <v>0.35736057488038719</v>
      </c>
      <c r="AA133" s="150">
        <f t="shared" si="45"/>
        <v>0.55349786636617215</v>
      </c>
      <c r="AC133" s="29" t="s">
        <v>1308</v>
      </c>
      <c r="AD133" s="28">
        <v>5911</v>
      </c>
      <c r="AE133" s="136">
        <v>5031</v>
      </c>
      <c r="AF133" s="136">
        <v>7404</v>
      </c>
      <c r="AG133" s="137">
        <f t="shared" si="42"/>
        <v>12958</v>
      </c>
      <c r="AH133" s="138">
        <f t="shared" si="43"/>
        <v>0.45616607501157586</v>
      </c>
      <c r="AI133" s="138">
        <f t="shared" si="46"/>
        <v>0.38825436024077792</v>
      </c>
      <c r="AJ133" s="138">
        <f t="shared" si="47"/>
        <v>0.57138447291248651</v>
      </c>
    </row>
    <row r="134" spans="22:36">
      <c r="V134" s="141" t="s">
        <v>1300</v>
      </c>
      <c r="W134" s="149">
        <v>14075</v>
      </c>
      <c r="X134" s="149">
        <v>14849</v>
      </c>
      <c r="Y134" s="149">
        <f t="shared" si="41"/>
        <v>28513.200000000001</v>
      </c>
      <c r="Z134" s="150">
        <f t="shared" si="44"/>
        <v>0.49363102001879827</v>
      </c>
      <c r="AA134" s="150">
        <f t="shared" si="45"/>
        <v>0.52077634218537383</v>
      </c>
      <c r="AC134" s="29" t="s">
        <v>1309</v>
      </c>
      <c r="AD134" s="28">
        <v>6123</v>
      </c>
      <c r="AE134" s="136">
        <v>4466</v>
      </c>
      <c r="AF134" s="136">
        <v>10776</v>
      </c>
      <c r="AG134" s="137">
        <f t="shared" si="42"/>
        <v>11447.7</v>
      </c>
      <c r="AH134" s="138">
        <f t="shared" si="43"/>
        <v>0.53486726591367695</v>
      </c>
      <c r="AI134" s="138">
        <f t="shared" si="46"/>
        <v>0.39012203324685307</v>
      </c>
      <c r="AJ134" s="138">
        <f t="shared" si="47"/>
        <v>0.94132445818810762</v>
      </c>
    </row>
    <row r="135" spans="22:36">
      <c r="V135" s="141" t="s">
        <v>1307</v>
      </c>
      <c r="W135" s="149">
        <v>31105</v>
      </c>
      <c r="X135" s="149">
        <v>168345</v>
      </c>
      <c r="Y135" s="149">
        <f t="shared" si="41"/>
        <v>97630.8</v>
      </c>
      <c r="Z135" s="150">
        <f t="shared" si="44"/>
        <v>0.31859822924732767</v>
      </c>
      <c r="AA135" s="150">
        <f t="shared" si="45"/>
        <v>1.7243021669391216</v>
      </c>
      <c r="AC135" s="29" t="s">
        <v>1310</v>
      </c>
      <c r="AD135" s="28">
        <v>254</v>
      </c>
      <c r="AE135" s="136">
        <v>80</v>
      </c>
      <c r="AF135" s="136">
        <v>398</v>
      </c>
      <c r="AG135" s="137">
        <f t="shared" si="42"/>
        <v>806.3</v>
      </c>
      <c r="AH135" s="138">
        <f t="shared" si="43"/>
        <v>0.31501922361403945</v>
      </c>
      <c r="AI135" s="138">
        <f t="shared" si="46"/>
        <v>9.9218653106784085E-2</v>
      </c>
      <c r="AJ135" s="138">
        <f t="shared" si="47"/>
        <v>0.49361279920625079</v>
      </c>
    </row>
    <row r="136" spans="22:36">
      <c r="V136" s="141" t="s">
        <v>1308</v>
      </c>
      <c r="W136" s="149">
        <v>2467</v>
      </c>
      <c r="X136" s="149">
        <v>5875</v>
      </c>
      <c r="Y136" s="149">
        <f t="shared" si="41"/>
        <v>9497.2000000000007</v>
      </c>
      <c r="Z136" s="150">
        <f t="shared" si="44"/>
        <v>0.25976077159583877</v>
      </c>
      <c r="AA136" s="150">
        <f t="shared" si="45"/>
        <v>0.61860337783767838</v>
      </c>
      <c r="AC136" s="29" t="s">
        <v>1360</v>
      </c>
      <c r="AD136" s="28">
        <v>2650</v>
      </c>
      <c r="AE136" s="136">
        <v>1933</v>
      </c>
      <c r="AF136" s="136">
        <v>4664</v>
      </c>
      <c r="AG136" s="137">
        <f t="shared" si="42"/>
        <v>4308.3</v>
      </c>
      <c r="AH136" s="138">
        <f t="shared" si="43"/>
        <v>0.61509179954970639</v>
      </c>
      <c r="AI136" s="138">
        <f t="shared" si="46"/>
        <v>0.44866884850172922</v>
      </c>
      <c r="AJ136" s="138">
        <f t="shared" si="47"/>
        <v>1.0825615672074831</v>
      </c>
    </row>
    <row r="137" spans="22:36">
      <c r="V137" s="141" t="s">
        <v>1309</v>
      </c>
      <c r="W137" s="149">
        <v>5007</v>
      </c>
      <c r="X137" s="149">
        <v>8511</v>
      </c>
      <c r="Y137" s="149">
        <f t="shared" si="41"/>
        <v>15941.4</v>
      </c>
      <c r="Z137" s="150">
        <f t="shared" si="44"/>
        <v>0.3140878467386804</v>
      </c>
      <c r="AA137" s="150">
        <f t="shared" si="45"/>
        <v>0.53389288268282586</v>
      </c>
      <c r="AC137" s="29" t="s">
        <v>1324</v>
      </c>
      <c r="AD137" s="28">
        <v>829</v>
      </c>
      <c r="AE137" s="136">
        <v>423</v>
      </c>
      <c r="AF137" s="136">
        <v>1051</v>
      </c>
      <c r="AG137" s="137">
        <f t="shared" si="42"/>
        <v>1924.4</v>
      </c>
      <c r="AH137" s="138">
        <f t="shared" si="43"/>
        <v>0.4307836208688422</v>
      </c>
      <c r="AI137" s="138">
        <f t="shared" si="46"/>
        <v>0.21980877156516315</v>
      </c>
      <c r="AJ137" s="138">
        <f t="shared" si="47"/>
        <v>0.54614425275410516</v>
      </c>
    </row>
    <row r="138" spans="22:36">
      <c r="V138" s="141" t="s">
        <v>1310</v>
      </c>
      <c r="W138" s="149">
        <v>13</v>
      </c>
      <c r="X138" s="149">
        <v>323</v>
      </c>
      <c r="Y138" s="149">
        <f t="shared" si="41"/>
        <v>704.4</v>
      </c>
      <c r="Z138" s="150">
        <f t="shared" si="44"/>
        <v>1.845542305508234E-2</v>
      </c>
      <c r="AA138" s="150">
        <f t="shared" si="45"/>
        <v>0.45854628052243046</v>
      </c>
      <c r="AC138" s="29" t="s">
        <v>1312</v>
      </c>
      <c r="AD138" s="28">
        <v>10863</v>
      </c>
      <c r="AE138" s="136">
        <v>9246</v>
      </c>
      <c r="AF138" s="136">
        <v>13606</v>
      </c>
      <c r="AG138" s="137">
        <f t="shared" si="42"/>
        <v>23405.7</v>
      </c>
      <c r="AH138" s="138">
        <f t="shared" si="43"/>
        <v>0.46411771491559745</v>
      </c>
      <c r="AI138" s="138">
        <f t="shared" si="46"/>
        <v>0.39503197938963586</v>
      </c>
      <c r="AJ138" s="138">
        <f t="shared" si="47"/>
        <v>0.58131138996056519</v>
      </c>
    </row>
    <row r="139" spans="22:36">
      <c r="V139" s="141" t="s">
        <v>1360</v>
      </c>
      <c r="W139" s="149">
        <v>265</v>
      </c>
      <c r="X139" s="149">
        <v>1897</v>
      </c>
      <c r="Y139" s="149">
        <f t="shared" si="41"/>
        <v>3989.9</v>
      </c>
      <c r="Z139" s="150">
        <f t="shared" si="44"/>
        <v>6.641770470437855E-2</v>
      </c>
      <c r="AA139" s="150">
        <f t="shared" si="45"/>
        <v>0.47545051254417403</v>
      </c>
      <c r="AC139" s="29" t="s">
        <v>1314</v>
      </c>
      <c r="AD139" s="28">
        <v>437</v>
      </c>
      <c r="AE139" s="136">
        <v>223</v>
      </c>
      <c r="AF139" s="136">
        <v>554</v>
      </c>
      <c r="AG139" s="137">
        <f t="shared" si="42"/>
        <v>1462.7</v>
      </c>
      <c r="AH139" s="138">
        <f t="shared" si="43"/>
        <v>0.29876256238463117</v>
      </c>
      <c r="AI139" s="138">
        <f t="shared" si="46"/>
        <v>0.1524577835509674</v>
      </c>
      <c r="AJ139" s="138">
        <f t="shared" si="47"/>
        <v>0.37875162370957816</v>
      </c>
    </row>
    <row r="140" spans="22:36">
      <c r="V140" s="141" t="s">
        <v>1324</v>
      </c>
      <c r="W140" s="149">
        <v>68</v>
      </c>
      <c r="X140" s="149">
        <v>827</v>
      </c>
      <c r="Y140" s="149">
        <f t="shared" si="41"/>
        <v>1378.2</v>
      </c>
      <c r="Z140" s="150">
        <f t="shared" si="44"/>
        <v>4.9339718473371062E-2</v>
      </c>
      <c r="AA140" s="150">
        <f t="shared" si="45"/>
        <v>0.60005804672761576</v>
      </c>
      <c r="AC140" s="29" t="s">
        <v>1320</v>
      </c>
      <c r="AD140" s="28">
        <v>6225</v>
      </c>
      <c r="AE140" s="136">
        <v>4541</v>
      </c>
      <c r="AF140" s="136">
        <v>10956</v>
      </c>
      <c r="AG140" s="137">
        <f t="shared" si="42"/>
        <v>7417.2</v>
      </c>
      <c r="AH140" s="138">
        <f t="shared" si="43"/>
        <v>0.83926549102087045</v>
      </c>
      <c r="AI140" s="138">
        <f t="shared" si="46"/>
        <v>0.61222563770695138</v>
      </c>
      <c r="AJ140" s="138">
        <f t="shared" si="47"/>
        <v>1.477107264196732</v>
      </c>
    </row>
    <row r="141" spans="22:36">
      <c r="V141" s="141" t="s">
        <v>1312</v>
      </c>
      <c r="W141" s="149">
        <v>11799</v>
      </c>
      <c r="X141" s="149">
        <v>19797</v>
      </c>
      <c r="Y141" s="149">
        <f t="shared" si="41"/>
        <v>23945.5</v>
      </c>
      <c r="Z141" s="150">
        <f t="shared" si="44"/>
        <v>0.49274393936230187</v>
      </c>
      <c r="AA141" s="150">
        <f t="shared" si="45"/>
        <v>0.82675241694681678</v>
      </c>
      <c r="AC141" s="29" t="s">
        <v>1331</v>
      </c>
      <c r="AD141" s="28">
        <v>6733</v>
      </c>
      <c r="AE141" s="136">
        <v>5731</v>
      </c>
      <c r="AF141" s="136">
        <v>8433</v>
      </c>
      <c r="AG141" s="137">
        <f t="shared" si="42"/>
        <v>19141.5</v>
      </c>
      <c r="AH141" s="138">
        <f t="shared" si="43"/>
        <v>0.35174881801321733</v>
      </c>
      <c r="AI141" s="138">
        <f t="shared" si="46"/>
        <v>0.29940182326358961</v>
      </c>
      <c r="AJ141" s="138">
        <f t="shared" si="47"/>
        <v>0.44056108455450199</v>
      </c>
    </row>
    <row r="142" spans="22:36">
      <c r="V142" s="141" t="s">
        <v>1314</v>
      </c>
      <c r="W142" s="149">
        <v>34</v>
      </c>
      <c r="X142" s="149">
        <v>544</v>
      </c>
      <c r="Y142" s="149">
        <f t="shared" si="41"/>
        <v>1391.5</v>
      </c>
      <c r="Z142" s="150">
        <f t="shared" si="44"/>
        <v>2.4434063959755659E-2</v>
      </c>
      <c r="AA142" s="150">
        <f t="shared" si="45"/>
        <v>0.39094502335609055</v>
      </c>
      <c r="AC142" s="29" t="s">
        <v>1317</v>
      </c>
      <c r="AD142" s="28">
        <v>163</v>
      </c>
      <c r="AE142" s="136">
        <v>51</v>
      </c>
      <c r="AF142" s="136">
        <v>256</v>
      </c>
      <c r="AG142" s="137">
        <f t="shared" si="42"/>
        <v>506.6</v>
      </c>
      <c r="AH142" s="138">
        <f t="shared" si="43"/>
        <v>0.32175286221871296</v>
      </c>
      <c r="AI142" s="138">
        <f t="shared" si="46"/>
        <v>0.10067114093959731</v>
      </c>
      <c r="AJ142" s="138">
        <f t="shared" si="47"/>
        <v>0.50532964863797869</v>
      </c>
    </row>
    <row r="143" spans="22:36">
      <c r="V143" s="141" t="s">
        <v>1320</v>
      </c>
      <c r="W143" s="149">
        <v>1061</v>
      </c>
      <c r="X143" s="149">
        <v>4275</v>
      </c>
      <c r="Y143" s="149">
        <f t="shared" si="41"/>
        <v>6755.1</v>
      </c>
      <c r="Z143" s="150">
        <f t="shared" si="44"/>
        <v>0.15706651270891622</v>
      </c>
      <c r="AA143" s="150">
        <f t="shared" si="45"/>
        <v>0.63285517608917707</v>
      </c>
      <c r="AC143" s="29" t="s">
        <v>1315</v>
      </c>
      <c r="AD143" s="28">
        <v>23408</v>
      </c>
      <c r="AE143" s="136">
        <v>19923</v>
      </c>
      <c r="AF143" s="136">
        <v>29317</v>
      </c>
      <c r="AG143" s="137">
        <f t="shared" si="42"/>
        <v>66081.7</v>
      </c>
      <c r="AH143" s="138">
        <f t="shared" si="43"/>
        <v>0.3542281751226134</v>
      </c>
      <c r="AI143" s="138">
        <f t="shared" si="46"/>
        <v>0.30149042775836582</v>
      </c>
      <c r="AJ143" s="138">
        <f t="shared" si="47"/>
        <v>0.44364778751151984</v>
      </c>
    </row>
    <row r="144" spans="22:36">
      <c r="V144" s="141" t="s">
        <v>1331</v>
      </c>
      <c r="W144" s="149">
        <v>5470</v>
      </c>
      <c r="X144" s="149">
        <v>9265</v>
      </c>
      <c r="Y144" s="149">
        <f t="shared" si="41"/>
        <v>14821.3</v>
      </c>
      <c r="Z144" s="150">
        <f t="shared" si="44"/>
        <v>0.36906344247805523</v>
      </c>
      <c r="AA144" s="150">
        <f t="shared" si="45"/>
        <v>0.62511385640935679</v>
      </c>
      <c r="AC144" s="29" t="s">
        <v>1326</v>
      </c>
      <c r="AD144" s="28">
        <v>11055</v>
      </c>
      <c r="AE144" s="136">
        <v>9409</v>
      </c>
      <c r="AF144" s="136">
        <v>13845</v>
      </c>
      <c r="AG144" s="137">
        <f t="shared" si="42"/>
        <v>19381.900000000001</v>
      </c>
      <c r="AH144" s="138">
        <f t="shared" si="43"/>
        <v>0.5703775171680795</v>
      </c>
      <c r="AI144" s="138">
        <f t="shared" si="46"/>
        <v>0.48545292257209044</v>
      </c>
      <c r="AJ144" s="138">
        <f t="shared" si="47"/>
        <v>0.7143262528441483</v>
      </c>
    </row>
    <row r="145" spans="22:36">
      <c r="V145" s="141" t="s">
        <v>1317</v>
      </c>
      <c r="W145" s="149">
        <v>23</v>
      </c>
      <c r="X145" s="149">
        <v>435</v>
      </c>
      <c r="Y145" s="149">
        <f t="shared" si="41"/>
        <v>706.5</v>
      </c>
      <c r="Z145" s="150">
        <f t="shared" si="44"/>
        <v>3.2554847841472043E-2</v>
      </c>
      <c r="AA145" s="150">
        <f t="shared" si="45"/>
        <v>0.61571125265392779</v>
      </c>
      <c r="AC145" s="29" t="s">
        <v>1327</v>
      </c>
      <c r="AD145" s="28">
        <v>19514</v>
      </c>
      <c r="AE145" s="136">
        <v>16608</v>
      </c>
      <c r="AF145" s="136">
        <v>24440</v>
      </c>
      <c r="AG145" s="137">
        <f t="shared" si="42"/>
        <v>26042.400000000001</v>
      </c>
      <c r="AH145" s="138">
        <f t="shared" si="43"/>
        <v>0.7493164992473812</v>
      </c>
      <c r="AI145" s="138">
        <f t="shared" si="46"/>
        <v>0.63772924154455812</v>
      </c>
      <c r="AJ145" s="138">
        <f t="shared" si="47"/>
        <v>0.93846957269683284</v>
      </c>
    </row>
    <row r="146" spans="22:36">
      <c r="V146" s="141" t="s">
        <v>1315</v>
      </c>
      <c r="W146" s="149">
        <v>22342</v>
      </c>
      <c r="X146" s="149">
        <v>61701</v>
      </c>
      <c r="Y146" s="149">
        <f t="shared" si="41"/>
        <v>56967.4</v>
      </c>
      <c r="Z146" s="150">
        <f t="shared" si="44"/>
        <v>0.39218921699077014</v>
      </c>
      <c r="AA146" s="150">
        <f t="shared" si="45"/>
        <v>1.0830931374786281</v>
      </c>
      <c r="AC146" s="29" t="s">
        <v>1316</v>
      </c>
      <c r="AD146" s="28">
        <v>981</v>
      </c>
      <c r="AE146" s="136">
        <v>501</v>
      </c>
      <c r="AF146" s="136">
        <v>1244</v>
      </c>
      <c r="AG146" s="137">
        <f t="shared" si="42"/>
        <v>2398.8000000000002</v>
      </c>
      <c r="AH146" s="138">
        <f t="shared" si="43"/>
        <v>0.40895447723861927</v>
      </c>
      <c r="AI146" s="138">
        <f t="shared" si="46"/>
        <v>0.20885442721360678</v>
      </c>
      <c r="AJ146" s="138">
        <f t="shared" si="47"/>
        <v>0.51859262964815733</v>
      </c>
    </row>
    <row r="147" spans="22:36">
      <c r="V147" s="141" t="s">
        <v>1326</v>
      </c>
      <c r="W147" s="149">
        <v>6561</v>
      </c>
      <c r="X147" s="149">
        <v>10053</v>
      </c>
      <c r="Y147" s="149">
        <f t="shared" si="41"/>
        <v>18276</v>
      </c>
      <c r="Z147" s="150">
        <f t="shared" si="44"/>
        <v>0.35899540380827316</v>
      </c>
      <c r="AA147" s="150">
        <f t="shared" si="45"/>
        <v>0.55006565988181222</v>
      </c>
      <c r="AC147" s="29" t="s">
        <v>315</v>
      </c>
      <c r="AD147" s="28">
        <v>4512</v>
      </c>
      <c r="AE147" s="136">
        <v>3292</v>
      </c>
      <c r="AF147" s="136">
        <v>7941</v>
      </c>
      <c r="AG147" s="137">
        <f t="shared" si="42"/>
        <v>6702.5</v>
      </c>
      <c r="AH147" s="138">
        <f t="shared" si="43"/>
        <v>0.67318164863856766</v>
      </c>
      <c r="AI147" s="138">
        <f t="shared" si="46"/>
        <v>0.49116001491980604</v>
      </c>
      <c r="AJ147" s="138">
        <f t="shared" si="47"/>
        <v>1.1847817978366282</v>
      </c>
    </row>
    <row r="148" spans="22:36">
      <c r="V148" s="141" t="s">
        <v>1327</v>
      </c>
      <c r="W148" s="149">
        <v>9135</v>
      </c>
      <c r="X148" s="149">
        <v>12603</v>
      </c>
      <c r="Y148" s="149">
        <f t="shared" si="41"/>
        <v>23503.3</v>
      </c>
      <c r="Z148" s="150">
        <f t="shared" si="44"/>
        <v>0.38866882522879764</v>
      </c>
      <c r="AA148" s="150">
        <f t="shared" si="45"/>
        <v>0.53622257300038723</v>
      </c>
      <c r="AC148" s="29" t="s">
        <v>1191</v>
      </c>
      <c r="AD148" s="28">
        <v>24733</v>
      </c>
      <c r="AE148" s="136">
        <v>21051</v>
      </c>
      <c r="AF148" s="136">
        <v>30977</v>
      </c>
      <c r="AG148" s="137">
        <f t="shared" si="42"/>
        <v>29581.5</v>
      </c>
      <c r="AH148" s="138">
        <f t="shared" si="43"/>
        <v>0.83609688487737266</v>
      </c>
      <c r="AI148" s="138">
        <f t="shared" si="46"/>
        <v>0.71162719943207753</v>
      </c>
      <c r="AJ148" s="138">
        <f t="shared" si="47"/>
        <v>1.0471747544918277</v>
      </c>
    </row>
    <row r="149" spans="22:36">
      <c r="V149" s="141" t="s">
        <v>1316</v>
      </c>
      <c r="W149" s="149">
        <v>57</v>
      </c>
      <c r="X149" s="149">
        <v>1004</v>
      </c>
      <c r="Y149" s="149">
        <f t="shared" si="41"/>
        <v>2208.1</v>
      </c>
      <c r="Z149" s="150">
        <f t="shared" si="44"/>
        <v>2.5814048276799059E-2</v>
      </c>
      <c r="AA149" s="150">
        <f t="shared" si="45"/>
        <v>0.4546895521036185</v>
      </c>
      <c r="AC149" s="29" t="s">
        <v>1251</v>
      </c>
      <c r="AD149" s="28">
        <v>1349</v>
      </c>
      <c r="AE149" s="136">
        <v>689</v>
      </c>
      <c r="AF149" s="136">
        <v>1711</v>
      </c>
      <c r="AG149" s="137">
        <f t="shared" si="42"/>
        <v>4082.7</v>
      </c>
      <c r="AH149" s="138">
        <f t="shared" si="43"/>
        <v>0.33041859553726705</v>
      </c>
      <c r="AI149" s="138">
        <f t="shared" si="46"/>
        <v>0.16876086903274795</v>
      </c>
      <c r="AJ149" s="138">
        <f t="shared" si="47"/>
        <v>0.41908540916550324</v>
      </c>
    </row>
    <row r="150" spans="22:36">
      <c r="V150" s="141" t="s">
        <v>315</v>
      </c>
      <c r="W150" s="149">
        <v>1175</v>
      </c>
      <c r="X150" s="149">
        <v>4714</v>
      </c>
      <c r="Y150" s="149">
        <f t="shared" si="41"/>
        <v>7441.2</v>
      </c>
      <c r="Z150" s="150">
        <f t="shared" si="44"/>
        <v>0.15790463903671451</v>
      </c>
      <c r="AA150" s="150">
        <f t="shared" si="45"/>
        <v>0.63349997312261463</v>
      </c>
      <c r="AC150" s="29" t="s">
        <v>1246</v>
      </c>
      <c r="AD150" s="28">
        <v>5076</v>
      </c>
      <c r="AE150" s="136">
        <v>3703</v>
      </c>
      <c r="AF150" s="136">
        <v>8935</v>
      </c>
      <c r="AG150" s="137">
        <f t="shared" si="42"/>
        <v>11714.9</v>
      </c>
      <c r="AH150" s="138">
        <f t="shared" si="43"/>
        <v>0.43329435163765806</v>
      </c>
      <c r="AI150" s="138">
        <f t="shared" si="46"/>
        <v>0.31609318047956025</v>
      </c>
      <c r="AJ150" s="138">
        <f t="shared" si="47"/>
        <v>0.76270390699024326</v>
      </c>
    </row>
    <row r="151" spans="22:36">
      <c r="V151" s="141" t="s">
        <v>236</v>
      </c>
      <c r="W151" s="149">
        <v>40</v>
      </c>
      <c r="X151" s="149">
        <v>617</v>
      </c>
      <c r="Y151" s="149">
        <f t="shared" si="41"/>
        <v>1659.1</v>
      </c>
      <c r="Z151" s="150">
        <f t="shared" si="44"/>
        <v>2.4109456934482552E-2</v>
      </c>
      <c r="AA151" s="150">
        <f t="shared" si="45"/>
        <v>0.37188837321439339</v>
      </c>
      <c r="AC151" s="29" t="s">
        <v>1353</v>
      </c>
      <c r="AD151" s="28">
        <v>3287</v>
      </c>
      <c r="AE151" s="136">
        <v>2398</v>
      </c>
      <c r="AF151" s="136">
        <v>5785</v>
      </c>
      <c r="AG151" s="137">
        <f t="shared" si="42"/>
        <v>8680.2999999999993</v>
      </c>
      <c r="AH151" s="138">
        <f t="shared" si="43"/>
        <v>0.37867354814925752</v>
      </c>
      <c r="AI151" s="138">
        <f t="shared" si="46"/>
        <v>0.27625773302766038</v>
      </c>
      <c r="AJ151" s="138">
        <f t="shared" si="47"/>
        <v>0.66645162033570271</v>
      </c>
    </row>
    <row r="152" spans="22:36">
      <c r="V152" s="141" t="s">
        <v>1191</v>
      </c>
      <c r="W152" s="149">
        <v>13277</v>
      </c>
      <c r="X152" s="149">
        <v>15531</v>
      </c>
      <c r="Y152" s="149">
        <f t="shared" si="41"/>
        <v>29077.200000000001</v>
      </c>
      <c r="Z152" s="150">
        <f t="shared" si="44"/>
        <v>0.45661205343017897</v>
      </c>
      <c r="AA152" s="150">
        <f t="shared" si="45"/>
        <v>0.53412983368412359</v>
      </c>
      <c r="AC152" s="29" t="s">
        <v>1313</v>
      </c>
      <c r="AD152" s="28">
        <v>208</v>
      </c>
      <c r="AE152" s="136">
        <v>66</v>
      </c>
      <c r="AF152" s="136">
        <v>327</v>
      </c>
      <c r="AG152" s="137">
        <f t="shared" si="42"/>
        <v>748</v>
      </c>
      <c r="AH152" s="138">
        <f t="shared" si="43"/>
        <v>0.27807486631016043</v>
      </c>
      <c r="AI152" s="138">
        <f t="shared" si="46"/>
        <v>8.8235294117647065E-2</v>
      </c>
      <c r="AJ152" s="138">
        <f t="shared" si="47"/>
        <v>0.43716577540106955</v>
      </c>
    </row>
    <row r="153" spans="22:36">
      <c r="V153" s="141" t="s">
        <v>1251</v>
      </c>
      <c r="W153" s="149">
        <v>453</v>
      </c>
      <c r="X153" s="149">
        <v>1686</v>
      </c>
      <c r="Y153" s="149">
        <f t="shared" si="41"/>
        <v>3643.8</v>
      </c>
      <c r="Z153" s="150">
        <f t="shared" si="44"/>
        <v>0.12432076403754322</v>
      </c>
      <c r="AA153" s="150">
        <f t="shared" si="45"/>
        <v>0.46270377078873703</v>
      </c>
      <c r="AC153" s="29" t="s">
        <v>1325</v>
      </c>
      <c r="AD153" s="28">
        <v>5745</v>
      </c>
      <c r="AE153" s="136">
        <v>4191</v>
      </c>
      <c r="AF153" s="136">
        <v>10111</v>
      </c>
      <c r="AG153" s="137">
        <f t="shared" si="42"/>
        <v>6690</v>
      </c>
      <c r="AH153" s="138">
        <f t="shared" si="43"/>
        <v>0.85874439461883412</v>
      </c>
      <c r="AI153" s="138">
        <f t="shared" si="46"/>
        <v>0.62645739910313902</v>
      </c>
      <c r="AJ153" s="138">
        <f t="shared" si="47"/>
        <v>1.5113602391629297</v>
      </c>
    </row>
    <row r="154" spans="22:36">
      <c r="V154" s="141" t="s">
        <v>1238</v>
      </c>
      <c r="W154" s="149">
        <v>4110</v>
      </c>
      <c r="X154" s="149">
        <v>8409</v>
      </c>
      <c r="Y154" s="149">
        <f t="shared" si="41"/>
        <v>18315.900000000001</v>
      </c>
      <c r="Z154" s="150">
        <f t="shared" si="44"/>
        <v>0.22439519761518678</v>
      </c>
      <c r="AA154" s="150">
        <f t="shared" si="45"/>
        <v>0.45910929847837123</v>
      </c>
      <c r="AC154" s="29" t="s">
        <v>1328</v>
      </c>
      <c r="AD154" s="28">
        <v>50978</v>
      </c>
      <c r="AE154" s="136">
        <v>43388</v>
      </c>
      <c r="AF154" s="136">
        <v>63848</v>
      </c>
      <c r="AG154" s="137">
        <f t="shared" si="42"/>
        <v>51939.4</v>
      </c>
      <c r="AH154" s="138">
        <f t="shared" si="43"/>
        <v>0.98148996715402947</v>
      </c>
      <c r="AI154" s="138">
        <f t="shared" si="46"/>
        <v>0.83535812889636762</v>
      </c>
      <c r="AJ154" s="138">
        <f t="shared" si="47"/>
        <v>1.2292787363735429</v>
      </c>
    </row>
    <row r="155" spans="22:36">
      <c r="V155" s="141" t="s">
        <v>1246</v>
      </c>
      <c r="W155" s="149">
        <v>1107</v>
      </c>
      <c r="X155" s="149">
        <v>4133</v>
      </c>
      <c r="Y155" s="149">
        <f t="shared" si="41"/>
        <v>9542.7000000000007</v>
      </c>
      <c r="Z155" s="150">
        <f t="shared" si="44"/>
        <v>0.11600490427237574</v>
      </c>
      <c r="AA155" s="150">
        <f t="shared" si="45"/>
        <v>0.4331059343791589</v>
      </c>
      <c r="AC155" s="29" t="s">
        <v>1165</v>
      </c>
      <c r="AD155" s="28">
        <v>87811</v>
      </c>
      <c r="AE155" s="136">
        <v>74738</v>
      </c>
      <c r="AF155" s="136">
        <v>109980</v>
      </c>
      <c r="AG155" s="137">
        <f t="shared" si="42"/>
        <v>84121.9</v>
      </c>
      <c r="AH155" s="138">
        <f t="shared" si="43"/>
        <v>1.0438542163217903</v>
      </c>
      <c r="AI155" s="138">
        <f t="shared" si="46"/>
        <v>0.888448786820079</v>
      </c>
      <c r="AJ155" s="138">
        <f t="shared" si="47"/>
        <v>1.3073884446261914</v>
      </c>
    </row>
    <row r="156" spans="22:36">
      <c r="V156" s="141" t="s">
        <v>1353</v>
      </c>
      <c r="W156" s="149">
        <v>998</v>
      </c>
      <c r="X156" s="149">
        <v>3746</v>
      </c>
      <c r="Y156" s="149">
        <f t="shared" si="41"/>
        <v>7117.6</v>
      </c>
      <c r="Z156" s="150">
        <f t="shared" si="44"/>
        <v>0.14021580307968978</v>
      </c>
      <c r="AA156" s="150">
        <f t="shared" si="45"/>
        <v>0.52630100033719229</v>
      </c>
      <c r="AC156" s="29" t="s">
        <v>1338</v>
      </c>
      <c r="AD156" s="28">
        <v>314</v>
      </c>
      <c r="AE156" s="136">
        <v>99</v>
      </c>
      <c r="AF156" s="136">
        <v>494</v>
      </c>
      <c r="AG156" s="137">
        <f t="shared" si="42"/>
        <v>889</v>
      </c>
      <c r="AH156" s="138">
        <f t="shared" si="43"/>
        <v>0.35320584926884141</v>
      </c>
      <c r="AI156" s="138">
        <f t="shared" si="46"/>
        <v>0.11136107986501688</v>
      </c>
      <c r="AJ156" s="138">
        <f t="shared" si="47"/>
        <v>0.55568053993250843</v>
      </c>
    </row>
    <row r="157" spans="22:36">
      <c r="V157" s="141" t="s">
        <v>1313</v>
      </c>
      <c r="W157" s="149">
        <v>84</v>
      </c>
      <c r="X157" s="149">
        <v>901</v>
      </c>
      <c r="Y157" s="149">
        <f t="shared" si="41"/>
        <v>1195.4000000000001</v>
      </c>
      <c r="Z157" s="150">
        <f t="shared" si="44"/>
        <v>7.0269365902626724E-2</v>
      </c>
      <c r="AA157" s="150">
        <f t="shared" si="45"/>
        <v>0.75372260331269858</v>
      </c>
      <c r="AC157" s="29" t="s">
        <v>1348</v>
      </c>
      <c r="AD157" s="28">
        <v>281</v>
      </c>
      <c r="AE157" s="136">
        <v>144</v>
      </c>
      <c r="AF157" s="136">
        <v>357</v>
      </c>
      <c r="AG157" s="137">
        <f t="shared" si="42"/>
        <v>1050.9000000000001</v>
      </c>
      <c r="AH157" s="138">
        <f t="shared" si="43"/>
        <v>0.26738985631363593</v>
      </c>
      <c r="AI157" s="138">
        <f t="shared" si="46"/>
        <v>0.13702540679417641</v>
      </c>
      <c r="AJ157" s="138">
        <f t="shared" si="47"/>
        <v>0.33970882101056232</v>
      </c>
    </row>
    <row r="158" spans="22:36">
      <c r="V158" s="141" t="s">
        <v>1325</v>
      </c>
      <c r="W158" s="149">
        <v>2286</v>
      </c>
      <c r="X158" s="149">
        <v>6525</v>
      </c>
      <c r="Y158" s="149">
        <f t="shared" si="41"/>
        <v>9124.5</v>
      </c>
      <c r="Z158" s="150">
        <f t="shared" si="44"/>
        <v>0.25053427585073157</v>
      </c>
      <c r="AA158" s="150">
        <f t="shared" si="45"/>
        <v>0.71510767713299361</v>
      </c>
      <c r="AC158" s="29" t="s">
        <v>193</v>
      </c>
      <c r="AD158" s="28">
        <v>2909</v>
      </c>
      <c r="AE158" s="136">
        <v>2122</v>
      </c>
      <c r="AF158" s="136">
        <v>5119</v>
      </c>
      <c r="AG158" s="137">
        <f t="shared" si="42"/>
        <v>7628.6</v>
      </c>
      <c r="AH158" s="138">
        <f t="shared" si="43"/>
        <v>0.38132815981962614</v>
      </c>
      <c r="AI158" s="138">
        <f t="shared" si="46"/>
        <v>0.27816375219568462</v>
      </c>
      <c r="AJ158" s="138">
        <f t="shared" si="47"/>
        <v>0.67102744933539571</v>
      </c>
    </row>
    <row r="159" spans="22:36">
      <c r="V159" s="141" t="s">
        <v>1415</v>
      </c>
      <c r="W159" s="149">
        <v>288</v>
      </c>
      <c r="X159" s="149">
        <v>1559</v>
      </c>
      <c r="Y159" s="149" t="e">
        <f t="shared" si="41"/>
        <v>#N/A</v>
      </c>
      <c r="Z159" s="150" t="e">
        <f t="shared" si="44"/>
        <v>#N/A</v>
      </c>
      <c r="AA159" s="150" t="e">
        <f t="shared" si="45"/>
        <v>#N/A</v>
      </c>
      <c r="AC159" s="29" t="s">
        <v>1341</v>
      </c>
      <c r="AD159" s="28">
        <v>699</v>
      </c>
      <c r="AE159" s="136">
        <v>357</v>
      </c>
      <c r="AF159" s="136">
        <v>886</v>
      </c>
      <c r="AG159" s="137">
        <f t="shared" si="42"/>
        <v>1583.1</v>
      </c>
      <c r="AH159" s="138">
        <f t="shared" si="43"/>
        <v>0.44153875307940121</v>
      </c>
      <c r="AI159" s="138">
        <f t="shared" si="46"/>
        <v>0.2255069168087929</v>
      </c>
      <c r="AJ159" s="138">
        <f t="shared" si="47"/>
        <v>0.55966142378876893</v>
      </c>
    </row>
    <row r="160" spans="22:36">
      <c r="V160" s="141" t="s">
        <v>1328</v>
      </c>
      <c r="W160" s="149">
        <v>28306</v>
      </c>
      <c r="X160" s="149">
        <v>36028</v>
      </c>
      <c r="Y160" s="149">
        <f t="shared" si="41"/>
        <v>61126.9</v>
      </c>
      <c r="Z160" s="150">
        <f t="shared" si="44"/>
        <v>0.46306945060194449</v>
      </c>
      <c r="AA160" s="150">
        <f t="shared" si="45"/>
        <v>0.58939681220542839</v>
      </c>
      <c r="AC160" s="29" t="s">
        <v>1337</v>
      </c>
      <c r="AD160" s="28">
        <v>212</v>
      </c>
      <c r="AE160" s="136">
        <v>67</v>
      </c>
      <c r="AF160" s="136">
        <v>333</v>
      </c>
      <c r="AG160" s="137">
        <f t="shared" si="42"/>
        <v>848.3</v>
      </c>
      <c r="AH160" s="138">
        <f t="shared" si="43"/>
        <v>0.24991158788164566</v>
      </c>
      <c r="AI160" s="138">
        <f t="shared" si="46"/>
        <v>7.8981492396557829E-2</v>
      </c>
      <c r="AJ160" s="138">
        <f t="shared" si="47"/>
        <v>0.39254980549333962</v>
      </c>
    </row>
    <row r="161" spans="22:36">
      <c r="V161" s="141" t="s">
        <v>1165</v>
      </c>
      <c r="W161" s="149">
        <v>36661</v>
      </c>
      <c r="X161" s="149">
        <v>61348</v>
      </c>
      <c r="Y161" s="149">
        <f t="shared" si="41"/>
        <v>87304.3</v>
      </c>
      <c r="Z161" s="150">
        <f t="shared" si="44"/>
        <v>0.41992204278597961</v>
      </c>
      <c r="AA161" s="150">
        <f t="shared" si="45"/>
        <v>0.70269162000038943</v>
      </c>
      <c r="AC161" s="29" t="s">
        <v>1343</v>
      </c>
      <c r="AD161" s="28">
        <v>2145</v>
      </c>
      <c r="AE161" s="136">
        <v>1564</v>
      </c>
      <c r="AF161" s="136">
        <v>3775</v>
      </c>
      <c r="AG161" s="137">
        <f t="shared" si="42"/>
        <v>4879</v>
      </c>
      <c r="AH161" s="138">
        <f t="shared" si="43"/>
        <v>0.43963927034228323</v>
      </c>
      <c r="AI161" s="138">
        <f t="shared" si="46"/>
        <v>0.32055749128919858</v>
      </c>
      <c r="AJ161" s="138">
        <f t="shared" si="47"/>
        <v>0.77372412379585975</v>
      </c>
    </row>
    <row r="162" spans="22:36">
      <c r="V162" s="141" t="s">
        <v>1338</v>
      </c>
      <c r="W162" s="149">
        <v>37</v>
      </c>
      <c r="X162" s="149">
        <v>533</v>
      </c>
      <c r="Y162" s="149">
        <f t="shared" si="41"/>
        <v>1038.3</v>
      </c>
      <c r="Z162" s="150">
        <f t="shared" si="44"/>
        <v>3.5635172878744105E-2</v>
      </c>
      <c r="AA162" s="150">
        <f t="shared" si="45"/>
        <v>0.51333911201001636</v>
      </c>
      <c r="AC162" s="29" t="s">
        <v>1346</v>
      </c>
      <c r="AD162" s="28">
        <v>8919</v>
      </c>
      <c r="AE162" s="136">
        <v>7591</v>
      </c>
      <c r="AF162" s="136">
        <v>11171</v>
      </c>
      <c r="AG162" s="137">
        <f t="shared" si="42"/>
        <v>15642.4</v>
      </c>
      <c r="AH162" s="138">
        <f t="shared" si="43"/>
        <v>0.57018104638674372</v>
      </c>
      <c r="AI162" s="138">
        <f t="shared" si="46"/>
        <v>0.48528358819618472</v>
      </c>
      <c r="AJ162" s="138">
        <f t="shared" si="47"/>
        <v>0.71414872398097484</v>
      </c>
    </row>
    <row r="163" spans="22:36">
      <c r="V163" s="141" t="s">
        <v>1348</v>
      </c>
      <c r="W163" s="149">
        <v>18</v>
      </c>
      <c r="X163" s="149">
        <v>357</v>
      </c>
      <c r="Y163" s="149">
        <f t="shared" ref="Y163:Y184" si="48">VLOOKUP(V163,gdppc,55,FALSE)</f>
        <v>954.7</v>
      </c>
      <c r="Z163" s="150">
        <f t="shared" si="44"/>
        <v>1.88540902901435E-2</v>
      </c>
      <c r="AA163" s="150">
        <f t="shared" si="45"/>
        <v>0.3739394574211794</v>
      </c>
      <c r="AC163" s="29" t="s">
        <v>293</v>
      </c>
      <c r="AD163" s="28">
        <v>1947</v>
      </c>
      <c r="AE163" s="136">
        <v>994</v>
      </c>
      <c r="AF163" s="136">
        <v>2470</v>
      </c>
      <c r="AG163" s="137">
        <f t="shared" ref="AG163:AG176" si="49">VLOOKUP(AC163,gdppc,61,FALSE)</f>
        <v>3477.8</v>
      </c>
      <c r="AH163" s="138">
        <f t="shared" ref="AH163:AH176" si="50">AD163/AG163</f>
        <v>0.5598366783598826</v>
      </c>
      <c r="AI163" s="138">
        <f t="shared" si="46"/>
        <v>0.28581287020530216</v>
      </c>
      <c r="AJ163" s="138">
        <f t="shared" si="47"/>
        <v>0.71021910403128408</v>
      </c>
    </row>
    <row r="164" spans="22:36">
      <c r="V164" s="141" t="s">
        <v>193</v>
      </c>
      <c r="W164" s="149">
        <v>1181</v>
      </c>
      <c r="X164" s="149">
        <v>3943</v>
      </c>
      <c r="Y164" s="149">
        <f t="shared" si="48"/>
        <v>6041.1</v>
      </c>
      <c r="Z164" s="150">
        <f t="shared" si="44"/>
        <v>0.19549419807650922</v>
      </c>
      <c r="AA164" s="150">
        <f t="shared" si="45"/>
        <v>0.65269570111403552</v>
      </c>
      <c r="AC164" s="29" t="s">
        <v>259</v>
      </c>
      <c r="AD164" s="28">
        <v>3940</v>
      </c>
      <c r="AE164" s="136">
        <v>2874</v>
      </c>
      <c r="AF164" s="136">
        <v>6934</v>
      </c>
      <c r="AG164" s="137">
        <f t="shared" si="49"/>
        <v>9215.4</v>
      </c>
      <c r="AH164" s="138">
        <f t="shared" si="50"/>
        <v>0.42754519608481456</v>
      </c>
      <c r="AI164" s="138">
        <f t="shared" si="46"/>
        <v>0.31186926232176576</v>
      </c>
      <c r="AJ164" s="138">
        <f t="shared" si="47"/>
        <v>0.75243613950561017</v>
      </c>
    </row>
    <row r="165" spans="22:36">
      <c r="V165" s="141" t="s">
        <v>1341</v>
      </c>
      <c r="W165" s="149">
        <v>999999</v>
      </c>
      <c r="X165" s="149">
        <v>999999</v>
      </c>
      <c r="Y165" s="149">
        <f t="shared" si="48"/>
        <v>1201.5999999999999</v>
      </c>
      <c r="Z165" s="150">
        <f t="shared" si="44"/>
        <v>832.22286950732359</v>
      </c>
      <c r="AA165" s="150">
        <f t="shared" si="45"/>
        <v>832.22286950732359</v>
      </c>
      <c r="AC165" s="29" t="s">
        <v>1339</v>
      </c>
      <c r="AD165" s="28">
        <v>4218</v>
      </c>
      <c r="AE165" s="136">
        <v>3077</v>
      </c>
      <c r="AF165" s="136">
        <v>7423</v>
      </c>
      <c r="AG165" s="137">
        <f t="shared" si="49"/>
        <v>7344.9</v>
      </c>
      <c r="AH165" s="138">
        <f t="shared" si="50"/>
        <v>0.57427602826451007</v>
      </c>
      <c r="AI165" s="138">
        <f t="shared" si="46"/>
        <v>0.41893014200329481</v>
      </c>
      <c r="AJ165" s="138">
        <f t="shared" si="47"/>
        <v>1.0106332284986863</v>
      </c>
    </row>
    <row r="166" spans="22:36">
      <c r="V166" s="141" t="s">
        <v>1337</v>
      </c>
      <c r="W166" s="149">
        <v>13</v>
      </c>
      <c r="X166" s="149">
        <v>327</v>
      </c>
      <c r="Y166" s="149">
        <f t="shared" si="48"/>
        <v>847.4</v>
      </c>
      <c r="Z166" s="150">
        <f t="shared" si="44"/>
        <v>1.5341043190936984E-2</v>
      </c>
      <c r="AA166" s="150">
        <f t="shared" si="45"/>
        <v>0.38588624026433799</v>
      </c>
      <c r="AC166" s="29" t="s">
        <v>1349</v>
      </c>
      <c r="AD166" s="28">
        <v>139</v>
      </c>
      <c r="AE166" s="136">
        <v>44</v>
      </c>
      <c r="AF166" s="136">
        <v>219</v>
      </c>
      <c r="AG166" s="137">
        <f t="shared" si="49"/>
        <v>823</v>
      </c>
      <c r="AH166" s="138">
        <f t="shared" si="50"/>
        <v>0.16889428918590524</v>
      </c>
      <c r="AI166" s="138">
        <f t="shared" si="46"/>
        <v>5.3462940461725394E-2</v>
      </c>
      <c r="AJ166" s="138">
        <f t="shared" si="47"/>
        <v>0.26609963547995141</v>
      </c>
    </row>
    <row r="167" spans="22:36">
      <c r="V167" s="141" t="s">
        <v>1343</v>
      </c>
      <c r="W167" s="149">
        <v>333</v>
      </c>
      <c r="X167" s="149">
        <v>2275</v>
      </c>
      <c r="Y167" s="149">
        <f t="shared" si="48"/>
        <v>4208.2</v>
      </c>
      <c r="Z167" s="150">
        <f t="shared" si="44"/>
        <v>7.9131219999049485E-2</v>
      </c>
      <c r="AA167" s="150">
        <f t="shared" si="45"/>
        <v>0.54061118768119387</v>
      </c>
      <c r="AC167" s="29" t="s">
        <v>1350</v>
      </c>
      <c r="AD167" s="28">
        <v>1892</v>
      </c>
      <c r="AE167" s="136">
        <v>966</v>
      </c>
      <c r="AF167" s="136">
        <v>2400</v>
      </c>
      <c r="AG167" s="137">
        <f t="shared" si="49"/>
        <v>3661.5</v>
      </c>
      <c r="AH167" s="138">
        <f t="shared" si="50"/>
        <v>0.51672811689198417</v>
      </c>
      <c r="AI167" s="138">
        <f t="shared" si="46"/>
        <v>0.26382630069643587</v>
      </c>
      <c r="AJ167" s="138">
        <f t="shared" si="47"/>
        <v>0.65546907005325683</v>
      </c>
    </row>
    <row r="168" spans="22:36">
      <c r="V168" s="141" t="s">
        <v>1346</v>
      </c>
      <c r="W168" s="149">
        <v>7941</v>
      </c>
      <c r="X168" s="149">
        <v>9959</v>
      </c>
      <c r="Y168" s="149">
        <f t="shared" si="48"/>
        <v>19927.400000000001</v>
      </c>
      <c r="Z168" s="150">
        <f t="shared" si="44"/>
        <v>0.39849654244909016</v>
      </c>
      <c r="AA168" s="150">
        <f t="shared" si="45"/>
        <v>0.49976414384214696</v>
      </c>
      <c r="AC168" s="29" t="s">
        <v>1139</v>
      </c>
      <c r="AD168" s="28">
        <v>15889</v>
      </c>
      <c r="AE168" s="136">
        <v>13524</v>
      </c>
      <c r="AF168" s="136">
        <v>19900</v>
      </c>
      <c r="AG168" s="137">
        <f t="shared" si="49"/>
        <v>45376.2</v>
      </c>
      <c r="AH168" s="138">
        <f t="shared" si="50"/>
        <v>0.35016153842763387</v>
      </c>
      <c r="AI168" s="138">
        <f t="shared" si="46"/>
        <v>0.29804170468219027</v>
      </c>
      <c r="AJ168" s="138">
        <f t="shared" si="47"/>
        <v>0.4385558949405195</v>
      </c>
    </row>
    <row r="169" spans="22:36">
      <c r="V169" s="141" t="s">
        <v>293</v>
      </c>
      <c r="W169" s="149">
        <v>678</v>
      </c>
      <c r="X169" s="149">
        <v>2592</v>
      </c>
      <c r="Y169" s="149">
        <f t="shared" si="48"/>
        <v>4308.3</v>
      </c>
      <c r="Z169" s="150">
        <f t="shared" si="44"/>
        <v>0.15737065663950978</v>
      </c>
      <c r="AA169" s="150">
        <f t="shared" si="45"/>
        <v>0.60162941299352413</v>
      </c>
      <c r="AC169" s="29" t="s">
        <v>1201</v>
      </c>
      <c r="AD169" s="28">
        <v>37952</v>
      </c>
      <c r="AE169" s="136">
        <v>32302</v>
      </c>
      <c r="AF169" s="136">
        <v>47532</v>
      </c>
      <c r="AG169" s="137">
        <f t="shared" si="49"/>
        <v>42662.5</v>
      </c>
      <c r="AH169" s="138">
        <f t="shared" si="50"/>
        <v>0.88958687371813649</v>
      </c>
      <c r="AI169" s="138">
        <f t="shared" si="46"/>
        <v>0.75715206563140935</v>
      </c>
      <c r="AJ169" s="138">
        <f t="shared" si="47"/>
        <v>1.1141400527395253</v>
      </c>
    </row>
    <row r="170" spans="22:36">
      <c r="V170" s="141" t="s">
        <v>259</v>
      </c>
      <c r="W170" s="149">
        <v>2950</v>
      </c>
      <c r="X170" s="149">
        <v>6861</v>
      </c>
      <c r="Y170" s="149">
        <f t="shared" si="48"/>
        <v>12578.2</v>
      </c>
      <c r="Z170" s="150">
        <f t="shared" si="44"/>
        <v>0.23453276303445642</v>
      </c>
      <c r="AA170" s="150">
        <f t="shared" si="45"/>
        <v>0.54546755497606969</v>
      </c>
      <c r="AC170" s="29" t="s">
        <v>151</v>
      </c>
      <c r="AD170" s="28">
        <v>95958</v>
      </c>
      <c r="AE170" s="136">
        <v>81672</v>
      </c>
      <c r="AF170" s="136">
        <v>120181</v>
      </c>
      <c r="AG170" s="137">
        <f t="shared" si="49"/>
        <v>65548.100000000006</v>
      </c>
      <c r="AH170" s="138">
        <f t="shared" si="50"/>
        <v>1.4639325930118492</v>
      </c>
      <c r="AI170" s="138">
        <f t="shared" si="46"/>
        <v>1.2459857722802032</v>
      </c>
      <c r="AJ170" s="138">
        <f t="shared" si="47"/>
        <v>1.8334780108042794</v>
      </c>
    </row>
    <row r="171" spans="22:36">
      <c r="V171" s="141" t="s">
        <v>1339</v>
      </c>
      <c r="W171" s="149">
        <v>1588</v>
      </c>
      <c r="X171" s="149">
        <v>5495</v>
      </c>
      <c r="Y171" s="149">
        <f t="shared" si="48"/>
        <v>7049.8</v>
      </c>
      <c r="Z171" s="150">
        <f t="shared" si="44"/>
        <v>0.22525461715225964</v>
      </c>
      <c r="AA171" s="150">
        <f t="shared" si="45"/>
        <v>0.77945473630457596</v>
      </c>
      <c r="AC171" s="29" t="s">
        <v>212</v>
      </c>
      <c r="AD171" s="28">
        <v>13978</v>
      </c>
      <c r="AE171" s="136">
        <v>11897</v>
      </c>
      <c r="AF171" s="136">
        <v>17506</v>
      </c>
      <c r="AG171" s="137">
        <f t="shared" si="49"/>
        <v>18149.099999999999</v>
      </c>
      <c r="AH171" s="138">
        <f t="shared" si="50"/>
        <v>0.7701759315888943</v>
      </c>
      <c r="AI171" s="138">
        <f t="shared" si="46"/>
        <v>0.65551459852003691</v>
      </c>
      <c r="AJ171" s="138">
        <f t="shared" si="47"/>
        <v>0.96456573604200768</v>
      </c>
    </row>
    <row r="172" spans="22:36">
      <c r="V172" s="141" t="s">
        <v>1347</v>
      </c>
      <c r="W172" s="149">
        <v>200</v>
      </c>
      <c r="X172" s="149">
        <v>1991</v>
      </c>
      <c r="Y172" s="149">
        <f t="shared" si="48"/>
        <v>3536.9</v>
      </c>
      <c r="Z172" s="150">
        <f t="shared" si="44"/>
        <v>5.6546693432101558E-2</v>
      </c>
      <c r="AA172" s="150">
        <f t="shared" si="45"/>
        <v>0.56292233311657103</v>
      </c>
      <c r="AC172" s="29" t="s">
        <v>1352</v>
      </c>
      <c r="AD172" s="28">
        <v>745</v>
      </c>
      <c r="AE172" s="136">
        <v>380</v>
      </c>
      <c r="AF172" s="136">
        <v>945</v>
      </c>
      <c r="AG172" s="137">
        <f t="shared" si="49"/>
        <v>1795.2</v>
      </c>
      <c r="AH172" s="138">
        <f t="shared" si="50"/>
        <v>0.41499554367201424</v>
      </c>
      <c r="AI172" s="138">
        <f t="shared" si="46"/>
        <v>0.21167557932263814</v>
      </c>
      <c r="AJ172" s="138">
        <f t="shared" si="47"/>
        <v>0.52640374331550799</v>
      </c>
    </row>
    <row r="173" spans="22:36">
      <c r="V173" s="141" t="s">
        <v>1349</v>
      </c>
      <c r="W173" s="149">
        <v>11</v>
      </c>
      <c r="X173" s="149">
        <v>293</v>
      </c>
      <c r="Y173" s="149">
        <f t="shared" si="48"/>
        <v>819.8</v>
      </c>
      <c r="Z173" s="150">
        <f t="shared" si="44"/>
        <v>1.341790680653818E-2</v>
      </c>
      <c r="AA173" s="150">
        <f t="shared" si="45"/>
        <v>0.35740424493778972</v>
      </c>
      <c r="AC173" s="29" t="s">
        <v>1358</v>
      </c>
      <c r="AD173" s="28">
        <v>851</v>
      </c>
      <c r="AE173" s="136">
        <v>434</v>
      </c>
      <c r="AF173" s="136">
        <v>1079</v>
      </c>
      <c r="AG173" s="137">
        <f t="shared" si="49"/>
        <v>3076.6</v>
      </c>
      <c r="AH173" s="138">
        <f t="shared" si="50"/>
        <v>0.27660404342455958</v>
      </c>
      <c r="AI173" s="138">
        <f t="shared" si="46"/>
        <v>0.14106481180523955</v>
      </c>
      <c r="AJ173" s="138">
        <f t="shared" si="47"/>
        <v>0.3507118247415979</v>
      </c>
    </row>
    <row r="174" spans="22:36">
      <c r="V174" s="141" t="s">
        <v>1350</v>
      </c>
      <c r="W174" s="149">
        <v>487</v>
      </c>
      <c r="X174" s="149">
        <v>2005</v>
      </c>
      <c r="Y174" s="149">
        <f t="shared" si="48"/>
        <v>4187.7</v>
      </c>
      <c r="Z174" s="150">
        <f t="shared" si="44"/>
        <v>0.1162929531723858</v>
      </c>
      <c r="AA174" s="150">
        <f t="shared" si="45"/>
        <v>0.47878310289657811</v>
      </c>
      <c r="AC174" s="29" t="s">
        <v>1366</v>
      </c>
      <c r="AD174" s="28">
        <v>1495</v>
      </c>
      <c r="AE174" s="136">
        <v>763</v>
      </c>
      <c r="AF174" s="136">
        <v>1896</v>
      </c>
      <c r="AG174" s="137" t="e">
        <f t="shared" si="49"/>
        <v>#N/A</v>
      </c>
      <c r="AH174" s="138" t="e">
        <f t="shared" si="50"/>
        <v>#N/A</v>
      </c>
      <c r="AI174" s="138" t="e">
        <f t="shared" si="46"/>
        <v>#N/A</v>
      </c>
      <c r="AJ174" s="138" t="e">
        <f t="shared" si="47"/>
        <v>#N/A</v>
      </c>
    </row>
    <row r="175" spans="22:36">
      <c r="V175" s="141" t="s">
        <v>1201</v>
      </c>
      <c r="W175" s="149">
        <v>20223</v>
      </c>
      <c r="X175" s="149">
        <v>20223</v>
      </c>
      <c r="Y175" s="149">
        <f t="shared" si="48"/>
        <v>43426.3</v>
      </c>
      <c r="Z175" s="150">
        <f t="shared" si="44"/>
        <v>0.46568554078979785</v>
      </c>
      <c r="AA175" s="150">
        <f t="shared" si="45"/>
        <v>0.46568554078979785</v>
      </c>
      <c r="AC175" s="29" t="s">
        <v>1363</v>
      </c>
      <c r="AD175" s="28">
        <v>494</v>
      </c>
      <c r="AE175" s="136">
        <v>253</v>
      </c>
      <c r="AF175" s="136">
        <v>627</v>
      </c>
      <c r="AG175" s="137">
        <f t="shared" si="49"/>
        <v>1268.0999999999999</v>
      </c>
      <c r="AH175" s="138">
        <f t="shared" si="50"/>
        <v>0.38955918302972953</v>
      </c>
      <c r="AI175" s="138">
        <f t="shared" si="46"/>
        <v>0.19951107956785744</v>
      </c>
      <c r="AJ175" s="138">
        <f t="shared" si="47"/>
        <v>0.49444050153773367</v>
      </c>
    </row>
    <row r="176" spans="22:36">
      <c r="V176" s="141" t="s">
        <v>151</v>
      </c>
      <c r="W176" s="149">
        <v>24283</v>
      </c>
      <c r="X176" s="149">
        <v>40112</v>
      </c>
      <c r="Y176" s="149">
        <f t="shared" si="48"/>
        <v>53409.8</v>
      </c>
      <c r="Z176" s="150">
        <f t="shared" si="44"/>
        <v>0.45465438926938501</v>
      </c>
      <c r="AA176" s="150">
        <f t="shared" si="45"/>
        <v>0.75102322045766878</v>
      </c>
      <c r="AC176" s="29" t="s">
        <v>1364</v>
      </c>
      <c r="AD176" s="28">
        <v>698</v>
      </c>
      <c r="AE176" s="136">
        <v>356</v>
      </c>
      <c r="AF176" s="136">
        <v>885</v>
      </c>
      <c r="AG176" s="137">
        <f t="shared" si="49"/>
        <v>1421.9</v>
      </c>
      <c r="AH176" s="138">
        <f t="shared" si="50"/>
        <v>0.4908924678247415</v>
      </c>
      <c r="AI176" s="138">
        <f t="shared" si="46"/>
        <v>0.25036922427737535</v>
      </c>
      <c r="AJ176" s="138">
        <f t="shared" si="47"/>
        <v>0.62240663900414939</v>
      </c>
    </row>
    <row r="177" spans="22:27">
      <c r="V177" s="141" t="s">
        <v>212</v>
      </c>
      <c r="W177" s="149">
        <v>4548</v>
      </c>
      <c r="X177" s="149">
        <v>10147</v>
      </c>
      <c r="Y177" s="149">
        <f t="shared" si="48"/>
        <v>18140.900000000001</v>
      </c>
      <c r="Z177" s="150">
        <f t="shared" si="44"/>
        <v>0.25070420982420938</v>
      </c>
      <c r="AA177" s="150">
        <f t="shared" si="45"/>
        <v>0.55934380322916721</v>
      </c>
    </row>
    <row r="178" spans="22:27">
      <c r="V178" s="141" t="s">
        <v>1352</v>
      </c>
      <c r="W178" s="149">
        <v>138</v>
      </c>
      <c r="X178" s="149">
        <v>965</v>
      </c>
      <c r="Y178" s="149">
        <f t="shared" si="48"/>
        <v>2419.6999999999998</v>
      </c>
      <c r="Z178" s="150">
        <f t="shared" si="44"/>
        <v>5.7031863454147215E-2</v>
      </c>
      <c r="AA178" s="150">
        <f t="shared" si="45"/>
        <v>0.39880976980617433</v>
      </c>
    </row>
    <row r="179" spans="22:27">
      <c r="V179" s="141" t="s">
        <v>1358</v>
      </c>
      <c r="W179" s="149">
        <v>139</v>
      </c>
      <c r="X179" s="149">
        <v>1685</v>
      </c>
      <c r="Y179" s="149">
        <f t="shared" si="48"/>
        <v>2877.4</v>
      </c>
      <c r="Z179" s="150">
        <f t="shared" si="44"/>
        <v>4.830749982623201E-2</v>
      </c>
      <c r="AA179" s="150">
        <f t="shared" si="45"/>
        <v>0.58559810940432333</v>
      </c>
    </row>
    <row r="180" spans="22:27">
      <c r="V180" s="141" t="s">
        <v>1354</v>
      </c>
      <c r="W180" s="149">
        <v>3724</v>
      </c>
      <c r="X180" s="149">
        <v>9151</v>
      </c>
      <c r="Y180" s="149">
        <f t="shared" si="48"/>
        <v>12434</v>
      </c>
      <c r="Z180" s="150">
        <f t="shared" si="44"/>
        <v>0.29950136721891585</v>
      </c>
      <c r="AA180" s="150">
        <f t="shared" si="45"/>
        <v>0.73596589995174522</v>
      </c>
    </row>
    <row r="181" spans="22:27">
      <c r="V181" s="141" t="s">
        <v>1366</v>
      </c>
      <c r="W181" s="149">
        <v>144</v>
      </c>
      <c r="X181" s="149">
        <v>982</v>
      </c>
      <c r="Y181" s="149" t="e">
        <f t="shared" si="48"/>
        <v>#N/A</v>
      </c>
      <c r="Z181" s="150" t="e">
        <f t="shared" si="44"/>
        <v>#N/A</v>
      </c>
      <c r="AA181" s="150" t="e">
        <f t="shared" si="45"/>
        <v>#N/A</v>
      </c>
    </row>
    <row r="182" spans="22:27">
      <c r="V182" s="141" t="s">
        <v>1362</v>
      </c>
      <c r="W182" s="149">
        <v>83</v>
      </c>
      <c r="X182" s="149">
        <v>757</v>
      </c>
      <c r="Y182" s="149">
        <f t="shared" si="48"/>
        <v>1497.7</v>
      </c>
      <c r="Z182" s="150">
        <f t="shared" si="44"/>
        <v>5.5418308072377645E-2</v>
      </c>
      <c r="AA182" s="150">
        <f t="shared" si="45"/>
        <v>0.50544167723843225</v>
      </c>
    </row>
    <row r="183" spans="22:27">
      <c r="V183" s="141" t="s">
        <v>1363</v>
      </c>
      <c r="W183" s="149">
        <v>68</v>
      </c>
      <c r="X183" s="149">
        <v>768</v>
      </c>
      <c r="Y183" s="149">
        <f t="shared" si="48"/>
        <v>1840.3</v>
      </c>
      <c r="Z183" s="150">
        <f t="shared" si="44"/>
        <v>3.6950497201543225E-2</v>
      </c>
      <c r="AA183" s="150">
        <f t="shared" si="45"/>
        <v>0.41732326251154706</v>
      </c>
    </row>
    <row r="184" spans="22:27">
      <c r="V184" s="141" t="s">
        <v>1364</v>
      </c>
      <c r="W184" s="149">
        <v>21</v>
      </c>
      <c r="X184" s="149">
        <v>455</v>
      </c>
      <c r="Y184" s="149">
        <f t="shared" si="48"/>
        <v>1408.4</v>
      </c>
      <c r="Z184" s="150">
        <f t="shared" si="44"/>
        <v>1.4910536779324055E-2</v>
      </c>
      <c r="AA184" s="150">
        <f t="shared" si="45"/>
        <v>0.32306163021868783</v>
      </c>
    </row>
  </sheetData>
  <sheetProtection algorithmName="SHA-512" hashValue="hMA4aew4+9ha8a/ZZ0to5+7qpLhDuljDPj1q0q/roWmbfysICvg1RG2kSy6veaPZxWMUezioD2rTh9Ub70PYvQ==" saltValue="UDU5f/7AYilBNrWJ09N6EA==" spinCount="100000" sheet="1" objects="1" scenarios="1"/>
  <mergeCells count="5">
    <mergeCell ref="F1:G1"/>
    <mergeCell ref="V1:AA1"/>
    <mergeCell ref="D1:E1"/>
    <mergeCell ref="J1:T1"/>
    <mergeCell ref="AC1:AJ1"/>
  </mergeCells>
  <phoneticPr fontId="5" type="noConversion"/>
  <pageMargins left="0.7" right="0.7" top="0.75" bottom="0.75" header="0.3" footer="0.3"/>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A3267-7544-4D0E-AC13-56584C297E36}">
  <sheetPr codeName="Sheet5"/>
  <dimension ref="A1:AL219"/>
  <sheetViews>
    <sheetView topLeftCell="A29" workbookViewId="0">
      <selection activeCell="A60" sqref="A60"/>
    </sheetView>
  </sheetViews>
  <sheetFormatPr baseColWidth="10" defaultColWidth="8.33203125" defaultRowHeight="13"/>
  <cols>
    <col min="1" max="1" width="26" style="29" bestFit="1" customWidth="1"/>
    <col min="2" max="36" width="8.33203125" style="28"/>
    <col min="37" max="16384" width="8.33203125" style="29"/>
  </cols>
  <sheetData>
    <row r="1" spans="1:38">
      <c r="A1" s="134" t="s">
        <v>1130</v>
      </c>
      <c r="B1" s="28">
        <v>1987</v>
      </c>
      <c r="C1" s="28">
        <v>1988</v>
      </c>
      <c r="D1" s="28">
        <v>1989</v>
      </c>
      <c r="E1" s="28">
        <v>1990</v>
      </c>
      <c r="F1" s="28">
        <v>1991</v>
      </c>
      <c r="G1" s="28">
        <v>1992</v>
      </c>
      <c r="H1" s="28">
        <v>1993</v>
      </c>
      <c r="I1" s="28">
        <v>1994</v>
      </c>
      <c r="J1" s="28">
        <v>1995</v>
      </c>
      <c r="K1" s="28">
        <v>1996</v>
      </c>
      <c r="L1" s="28">
        <v>1997</v>
      </c>
      <c r="M1" s="28">
        <v>1998</v>
      </c>
      <c r="N1" s="28">
        <v>1999</v>
      </c>
      <c r="O1" s="28">
        <v>2000</v>
      </c>
      <c r="P1" s="28">
        <v>2001</v>
      </c>
      <c r="Q1" s="28">
        <v>2002</v>
      </c>
      <c r="R1" s="28">
        <v>2003</v>
      </c>
      <c r="S1" s="28">
        <v>2004</v>
      </c>
      <c r="T1" s="28">
        <v>2005</v>
      </c>
      <c r="U1" s="28">
        <v>2006</v>
      </c>
      <c r="V1" s="28">
        <v>2007</v>
      </c>
      <c r="W1" s="28">
        <v>2008</v>
      </c>
      <c r="X1" s="28">
        <v>2009</v>
      </c>
      <c r="Y1" s="28">
        <v>2010</v>
      </c>
      <c r="Z1" s="28">
        <v>2011</v>
      </c>
      <c r="AA1" s="28">
        <v>2012</v>
      </c>
      <c r="AB1" s="28">
        <v>2013</v>
      </c>
      <c r="AC1" s="28">
        <v>2014</v>
      </c>
      <c r="AD1" s="28">
        <v>2015</v>
      </c>
      <c r="AE1" s="28">
        <v>2016</v>
      </c>
      <c r="AF1" s="28">
        <v>2017</v>
      </c>
      <c r="AG1" s="28">
        <v>2018</v>
      </c>
      <c r="AH1" s="28">
        <v>2019</v>
      </c>
      <c r="AI1" s="28">
        <v>2020</v>
      </c>
      <c r="AJ1" s="28">
        <v>2021</v>
      </c>
      <c r="AK1" s="29">
        <v>2022</v>
      </c>
      <c r="AL1" s="29">
        <v>2023</v>
      </c>
    </row>
    <row r="2" spans="1:38">
      <c r="A2" s="29" t="s">
        <v>1133</v>
      </c>
      <c r="B2" s="28" t="s">
        <v>1419</v>
      </c>
      <c r="C2" s="28" t="s">
        <v>1419</v>
      </c>
      <c r="D2" s="28" t="s">
        <v>1419</v>
      </c>
      <c r="E2" s="28" t="s">
        <v>1419</v>
      </c>
      <c r="F2" s="28" t="s">
        <v>1419</v>
      </c>
      <c r="G2" s="28" t="s">
        <v>1419</v>
      </c>
      <c r="H2" s="28" t="s">
        <v>1419</v>
      </c>
      <c r="I2" s="28" t="s">
        <v>1419</v>
      </c>
      <c r="J2" s="28" t="s">
        <v>1419</v>
      </c>
      <c r="K2" s="28" t="s">
        <v>1419</v>
      </c>
      <c r="L2" s="28" t="s">
        <v>1419</v>
      </c>
      <c r="M2" s="28" t="s">
        <v>1419</v>
      </c>
      <c r="N2" s="28" t="s">
        <v>1419</v>
      </c>
      <c r="O2" s="28" t="s">
        <v>1419</v>
      </c>
      <c r="P2" s="28" t="s">
        <v>1419</v>
      </c>
      <c r="Q2" s="28" t="s">
        <v>1419</v>
      </c>
      <c r="R2" s="28" t="s">
        <v>1419</v>
      </c>
      <c r="S2" s="28" t="s">
        <v>1419</v>
      </c>
      <c r="T2" s="28" t="s">
        <v>1419</v>
      </c>
      <c r="U2" s="28" t="s">
        <v>1419</v>
      </c>
      <c r="V2" s="28" t="s">
        <v>1419</v>
      </c>
      <c r="W2" s="28" t="s">
        <v>1419</v>
      </c>
      <c r="X2" s="28" t="s">
        <v>1419</v>
      </c>
      <c r="Y2" s="28" t="s">
        <v>1419</v>
      </c>
      <c r="Z2" s="28" t="s">
        <v>1419</v>
      </c>
      <c r="AA2" s="28" t="s">
        <v>1419</v>
      </c>
      <c r="AB2" s="28" t="s">
        <v>1419</v>
      </c>
      <c r="AC2" s="28" t="s">
        <v>1419</v>
      </c>
      <c r="AD2" s="28" t="s">
        <v>1419</v>
      </c>
      <c r="AE2" s="28" t="s">
        <v>1419</v>
      </c>
      <c r="AF2" s="28" t="s">
        <v>1419</v>
      </c>
      <c r="AG2" s="28" t="s">
        <v>1419</v>
      </c>
      <c r="AH2" s="28" t="s">
        <v>1419</v>
      </c>
      <c r="AI2" s="28" t="s">
        <v>1419</v>
      </c>
      <c r="AJ2" s="28" t="s">
        <v>1419</v>
      </c>
      <c r="AK2" s="29" t="s">
        <v>1419</v>
      </c>
      <c r="AL2" s="29" t="s">
        <v>1419</v>
      </c>
    </row>
    <row r="3" spans="1:38">
      <c r="A3" s="29" t="s">
        <v>1136</v>
      </c>
      <c r="B3" s="28" t="s">
        <v>1420</v>
      </c>
      <c r="C3" s="28" t="s">
        <v>1420</v>
      </c>
      <c r="D3" s="28" t="s">
        <v>1420</v>
      </c>
      <c r="E3" s="28" t="s">
        <v>1421</v>
      </c>
      <c r="F3" s="28" t="s">
        <v>1421</v>
      </c>
      <c r="G3" s="28" t="s">
        <v>1421</v>
      </c>
      <c r="H3" s="28" t="s">
        <v>1419</v>
      </c>
      <c r="I3" s="28" t="s">
        <v>1419</v>
      </c>
      <c r="J3" s="28" t="s">
        <v>1419</v>
      </c>
      <c r="K3" s="28" t="s">
        <v>1421</v>
      </c>
      <c r="L3" s="28" t="s">
        <v>1419</v>
      </c>
      <c r="M3" s="28" t="s">
        <v>1421</v>
      </c>
      <c r="N3" s="28" t="s">
        <v>1421</v>
      </c>
      <c r="O3" s="28" t="s">
        <v>1421</v>
      </c>
      <c r="P3" s="28" t="s">
        <v>1421</v>
      </c>
      <c r="Q3" s="28" t="s">
        <v>1421</v>
      </c>
      <c r="R3" s="28" t="s">
        <v>1421</v>
      </c>
      <c r="S3" s="28" t="s">
        <v>1421</v>
      </c>
      <c r="T3" s="28" t="s">
        <v>1421</v>
      </c>
      <c r="U3" s="28" t="s">
        <v>1421</v>
      </c>
      <c r="V3" s="28" t="s">
        <v>1421</v>
      </c>
      <c r="W3" s="28" t="s">
        <v>1421</v>
      </c>
      <c r="X3" s="28" t="s">
        <v>1422</v>
      </c>
      <c r="Y3" s="28" t="s">
        <v>1422</v>
      </c>
      <c r="Z3" s="28" t="s">
        <v>1421</v>
      </c>
      <c r="AA3" s="28" t="s">
        <v>1422</v>
      </c>
      <c r="AB3" s="28" t="s">
        <v>1422</v>
      </c>
      <c r="AC3" s="28" t="s">
        <v>1422</v>
      </c>
      <c r="AD3" s="28" t="s">
        <v>1422</v>
      </c>
      <c r="AE3" s="28" t="s">
        <v>1422</v>
      </c>
      <c r="AF3" s="28" t="s">
        <v>1422</v>
      </c>
      <c r="AG3" s="28" t="s">
        <v>1422</v>
      </c>
      <c r="AH3" s="28" t="s">
        <v>1422</v>
      </c>
      <c r="AI3" s="28" t="s">
        <v>1422</v>
      </c>
      <c r="AJ3" s="28" t="s">
        <v>1422</v>
      </c>
      <c r="AK3" s="29" t="s">
        <v>1422</v>
      </c>
      <c r="AL3" s="29" t="s">
        <v>1422</v>
      </c>
    </row>
    <row r="4" spans="1:38">
      <c r="A4" s="29" t="s">
        <v>294</v>
      </c>
      <c r="B4" s="28" t="s">
        <v>1422</v>
      </c>
      <c r="C4" s="28" t="s">
        <v>1422</v>
      </c>
      <c r="D4" s="28" t="s">
        <v>1421</v>
      </c>
      <c r="E4" s="28" t="s">
        <v>1421</v>
      </c>
      <c r="F4" s="28" t="s">
        <v>1421</v>
      </c>
      <c r="G4" s="28" t="s">
        <v>1421</v>
      </c>
      <c r="H4" s="28" t="s">
        <v>1421</v>
      </c>
      <c r="I4" s="28" t="s">
        <v>1421</v>
      </c>
      <c r="J4" s="28" t="s">
        <v>1421</v>
      </c>
      <c r="K4" s="28" t="s">
        <v>1421</v>
      </c>
      <c r="L4" s="28" t="s">
        <v>1421</v>
      </c>
      <c r="M4" s="28" t="s">
        <v>1421</v>
      </c>
      <c r="N4" s="28" t="s">
        <v>1421</v>
      </c>
      <c r="O4" s="28" t="s">
        <v>1421</v>
      </c>
      <c r="P4" s="28" t="s">
        <v>1421</v>
      </c>
      <c r="Q4" s="28" t="s">
        <v>1421</v>
      </c>
      <c r="R4" s="28" t="s">
        <v>1421</v>
      </c>
      <c r="S4" s="28" t="s">
        <v>1421</v>
      </c>
      <c r="T4" s="28" t="s">
        <v>1421</v>
      </c>
      <c r="U4" s="28" t="s">
        <v>1421</v>
      </c>
      <c r="V4" s="28" t="s">
        <v>1421</v>
      </c>
      <c r="W4" s="28" t="s">
        <v>1422</v>
      </c>
      <c r="X4" s="28" t="s">
        <v>1422</v>
      </c>
      <c r="Y4" s="28" t="s">
        <v>1422</v>
      </c>
      <c r="Z4" s="28" t="s">
        <v>1422</v>
      </c>
      <c r="AA4" s="28" t="s">
        <v>1422</v>
      </c>
      <c r="AB4" s="28" t="s">
        <v>1422</v>
      </c>
      <c r="AC4" s="28" t="s">
        <v>1422</v>
      </c>
      <c r="AD4" s="28" t="s">
        <v>1422</v>
      </c>
      <c r="AE4" s="28" t="s">
        <v>1422</v>
      </c>
      <c r="AF4" s="28" t="s">
        <v>1422</v>
      </c>
      <c r="AG4" s="28" t="s">
        <v>1422</v>
      </c>
      <c r="AH4" s="28" t="s">
        <v>1421</v>
      </c>
      <c r="AI4" s="28" t="s">
        <v>1421</v>
      </c>
      <c r="AJ4" s="28" t="s">
        <v>1421</v>
      </c>
      <c r="AK4" s="29" t="s">
        <v>1421</v>
      </c>
      <c r="AL4" s="29" t="s">
        <v>1422</v>
      </c>
    </row>
    <row r="5" spans="1:38">
      <c r="A5" s="29" t="s">
        <v>1141</v>
      </c>
      <c r="B5" s="28" t="s">
        <v>1423</v>
      </c>
      <c r="C5" s="28" t="s">
        <v>1423</v>
      </c>
      <c r="D5" s="28" t="s">
        <v>1423</v>
      </c>
      <c r="E5" s="28" t="s">
        <v>1422</v>
      </c>
      <c r="F5" s="28" t="s">
        <v>1422</v>
      </c>
      <c r="G5" s="28" t="s">
        <v>1422</v>
      </c>
      <c r="H5" s="28" t="s">
        <v>1422</v>
      </c>
      <c r="I5" s="28" t="s">
        <v>1422</v>
      </c>
      <c r="J5" s="28" t="s">
        <v>1422</v>
      </c>
      <c r="K5" s="28" t="s">
        <v>1422</v>
      </c>
      <c r="L5" s="28" t="s">
        <v>1422</v>
      </c>
      <c r="M5" s="28" t="s">
        <v>1422</v>
      </c>
      <c r="N5" s="28" t="s">
        <v>1422</v>
      </c>
      <c r="O5" s="28" t="s">
        <v>1422</v>
      </c>
      <c r="P5" s="28" t="s">
        <v>1422</v>
      </c>
      <c r="Q5" s="28" t="s">
        <v>1422</v>
      </c>
      <c r="R5" s="28" t="s">
        <v>1422</v>
      </c>
      <c r="S5" s="28" t="s">
        <v>1422</v>
      </c>
      <c r="T5" s="28" t="s">
        <v>1422</v>
      </c>
      <c r="U5" s="28" t="s">
        <v>1422</v>
      </c>
      <c r="V5" s="28" t="s">
        <v>1422</v>
      </c>
      <c r="W5" s="28" t="s">
        <v>1422</v>
      </c>
      <c r="X5" s="28" t="s">
        <v>1422</v>
      </c>
      <c r="Y5" s="28" t="s">
        <v>1422</v>
      </c>
      <c r="Z5" s="28" t="s">
        <v>1422</v>
      </c>
      <c r="AA5" s="28" t="s">
        <v>1422</v>
      </c>
      <c r="AB5" s="28" t="s">
        <v>1422</v>
      </c>
      <c r="AC5" s="28" t="s">
        <v>1422</v>
      </c>
      <c r="AD5" s="28" t="s">
        <v>1422</v>
      </c>
      <c r="AE5" s="28" t="s">
        <v>1422</v>
      </c>
      <c r="AF5" s="28" t="s">
        <v>1422</v>
      </c>
      <c r="AG5" s="28" t="s">
        <v>1422</v>
      </c>
      <c r="AH5" s="28" t="s">
        <v>1422</v>
      </c>
      <c r="AI5" s="28" t="s">
        <v>1422</v>
      </c>
      <c r="AJ5" s="28" t="s">
        <v>1422</v>
      </c>
      <c r="AK5" s="29" t="s">
        <v>1423</v>
      </c>
      <c r="AL5" s="29" t="s">
        <v>1423</v>
      </c>
    </row>
    <row r="6" spans="1:38">
      <c r="A6" s="29" t="s">
        <v>1137</v>
      </c>
      <c r="B6" s="28" t="s">
        <v>1420</v>
      </c>
      <c r="C6" s="28" t="s">
        <v>1420</v>
      </c>
      <c r="D6" s="28" t="s">
        <v>1420</v>
      </c>
      <c r="E6" s="28" t="s">
        <v>1423</v>
      </c>
      <c r="F6" s="28" t="s">
        <v>1423</v>
      </c>
      <c r="G6" s="28" t="s">
        <v>1423</v>
      </c>
      <c r="H6" s="28" t="s">
        <v>1423</v>
      </c>
      <c r="I6" s="28" t="s">
        <v>1423</v>
      </c>
      <c r="J6" s="28" t="s">
        <v>1423</v>
      </c>
      <c r="K6" s="28" t="s">
        <v>1423</v>
      </c>
      <c r="L6" s="28" t="s">
        <v>1423</v>
      </c>
      <c r="M6" s="28" t="s">
        <v>1423</v>
      </c>
      <c r="N6" s="28" t="s">
        <v>1423</v>
      </c>
      <c r="O6" s="28" t="s">
        <v>1423</v>
      </c>
      <c r="P6" s="28" t="s">
        <v>1423</v>
      </c>
      <c r="Q6" s="28" t="s">
        <v>1423</v>
      </c>
      <c r="R6" s="28" t="s">
        <v>1423</v>
      </c>
      <c r="S6" s="28" t="s">
        <v>1423</v>
      </c>
      <c r="T6" s="28" t="s">
        <v>1423</v>
      </c>
      <c r="U6" s="28" t="s">
        <v>1423</v>
      </c>
      <c r="V6" s="28" t="s">
        <v>1423</v>
      </c>
      <c r="W6" s="28" t="s">
        <v>1423</v>
      </c>
      <c r="X6" s="28" t="s">
        <v>1423</v>
      </c>
      <c r="Y6" s="28" t="s">
        <v>1423</v>
      </c>
      <c r="Z6" s="28" t="s">
        <v>1423</v>
      </c>
      <c r="AA6" s="28" t="s">
        <v>1423</v>
      </c>
      <c r="AB6" s="28" t="s">
        <v>1423</v>
      </c>
      <c r="AC6" s="28" t="s">
        <v>1423</v>
      </c>
      <c r="AD6" s="28" t="s">
        <v>1423</v>
      </c>
      <c r="AE6" s="28" t="s">
        <v>1423</v>
      </c>
      <c r="AF6" s="28" t="s">
        <v>1423</v>
      </c>
      <c r="AG6" s="28" t="s">
        <v>1423</v>
      </c>
      <c r="AH6" s="28" t="s">
        <v>1423</v>
      </c>
      <c r="AI6" s="28" t="s">
        <v>1423</v>
      </c>
      <c r="AJ6" s="28" t="s">
        <v>1423</v>
      </c>
      <c r="AK6" s="29" t="s">
        <v>1423</v>
      </c>
      <c r="AL6" s="29" t="s">
        <v>1423</v>
      </c>
    </row>
    <row r="7" spans="1:38">
      <c r="A7" s="29" t="s">
        <v>1135</v>
      </c>
      <c r="B7" s="28" t="s">
        <v>1420</v>
      </c>
      <c r="C7" s="28" t="s">
        <v>1421</v>
      </c>
      <c r="D7" s="28" t="s">
        <v>1421</v>
      </c>
      <c r="E7" s="28" t="s">
        <v>1421</v>
      </c>
      <c r="F7" s="28" t="s">
        <v>1421</v>
      </c>
      <c r="G7" s="28" t="s">
        <v>1421</v>
      </c>
      <c r="H7" s="28" t="s">
        <v>1421</v>
      </c>
      <c r="I7" s="28" t="s">
        <v>1421</v>
      </c>
      <c r="J7" s="28" t="s">
        <v>1419</v>
      </c>
      <c r="K7" s="28" t="s">
        <v>1419</v>
      </c>
      <c r="L7" s="28" t="s">
        <v>1419</v>
      </c>
      <c r="M7" s="28" t="s">
        <v>1419</v>
      </c>
      <c r="N7" s="28" t="s">
        <v>1419</v>
      </c>
      <c r="O7" s="28" t="s">
        <v>1419</v>
      </c>
      <c r="P7" s="28" t="s">
        <v>1419</v>
      </c>
      <c r="Q7" s="28" t="s">
        <v>1419</v>
      </c>
      <c r="R7" s="28" t="s">
        <v>1419</v>
      </c>
      <c r="S7" s="28" t="s">
        <v>1421</v>
      </c>
      <c r="T7" s="28" t="s">
        <v>1421</v>
      </c>
      <c r="U7" s="28" t="s">
        <v>1421</v>
      </c>
      <c r="V7" s="28" t="s">
        <v>1421</v>
      </c>
      <c r="W7" s="28" t="s">
        <v>1421</v>
      </c>
      <c r="X7" s="28" t="s">
        <v>1421</v>
      </c>
      <c r="Y7" s="28" t="s">
        <v>1421</v>
      </c>
      <c r="Z7" s="28" t="s">
        <v>1422</v>
      </c>
      <c r="AA7" s="28" t="s">
        <v>1422</v>
      </c>
      <c r="AB7" s="28" t="s">
        <v>1422</v>
      </c>
      <c r="AC7" s="28" t="s">
        <v>1422</v>
      </c>
      <c r="AD7" s="28" t="s">
        <v>1422</v>
      </c>
      <c r="AE7" s="28" t="s">
        <v>1421</v>
      </c>
      <c r="AF7" s="28" t="s">
        <v>1421</v>
      </c>
      <c r="AG7" s="28" t="s">
        <v>1421</v>
      </c>
      <c r="AH7" s="28" t="s">
        <v>1421</v>
      </c>
      <c r="AI7" s="28" t="s">
        <v>1421</v>
      </c>
      <c r="AJ7" s="28" t="s">
        <v>1421</v>
      </c>
      <c r="AK7" s="29" t="s">
        <v>1421</v>
      </c>
      <c r="AL7" s="29" t="s">
        <v>1421</v>
      </c>
    </row>
    <row r="8" spans="1:38">
      <c r="A8" s="29" t="s">
        <v>1142</v>
      </c>
      <c r="B8" s="28" t="s">
        <v>1422</v>
      </c>
      <c r="C8" s="28" t="s">
        <v>1422</v>
      </c>
      <c r="D8" s="28" t="s">
        <v>1422</v>
      </c>
      <c r="E8" s="28" t="s">
        <v>1422</v>
      </c>
      <c r="F8" s="28" t="s">
        <v>1422</v>
      </c>
      <c r="G8" s="28" t="s">
        <v>1422</v>
      </c>
      <c r="H8" s="28" t="s">
        <v>1422</v>
      </c>
      <c r="I8" s="28" t="s">
        <v>1422</v>
      </c>
      <c r="J8" s="28" t="s">
        <v>1422</v>
      </c>
      <c r="K8" s="28" t="s">
        <v>1422</v>
      </c>
      <c r="L8" s="28" t="s">
        <v>1422</v>
      </c>
      <c r="M8" s="28" t="s">
        <v>1422</v>
      </c>
      <c r="N8" s="28" t="s">
        <v>1422</v>
      </c>
      <c r="O8" s="28" t="s">
        <v>1422</v>
      </c>
      <c r="P8" s="28" t="s">
        <v>1422</v>
      </c>
      <c r="Q8" s="28" t="s">
        <v>1423</v>
      </c>
      <c r="R8" s="28" t="s">
        <v>1422</v>
      </c>
      <c r="S8" s="28" t="s">
        <v>1422</v>
      </c>
      <c r="T8" s="28" t="s">
        <v>1423</v>
      </c>
      <c r="U8" s="28" t="s">
        <v>1423</v>
      </c>
      <c r="V8" s="28" t="s">
        <v>1423</v>
      </c>
      <c r="W8" s="28" t="s">
        <v>1423</v>
      </c>
      <c r="X8" s="28" t="s">
        <v>1422</v>
      </c>
      <c r="Y8" s="28" t="s">
        <v>1422</v>
      </c>
      <c r="Z8" s="28" t="s">
        <v>1422</v>
      </c>
      <c r="AA8" s="28" t="s">
        <v>1423</v>
      </c>
      <c r="AB8" s="28" t="s">
        <v>1423</v>
      </c>
      <c r="AC8" s="28" t="s">
        <v>1423</v>
      </c>
      <c r="AD8" s="28" t="s">
        <v>1423</v>
      </c>
      <c r="AE8" s="28" t="s">
        <v>1423</v>
      </c>
      <c r="AF8" s="28" t="s">
        <v>1423</v>
      </c>
      <c r="AG8" s="28" t="s">
        <v>1423</v>
      </c>
      <c r="AH8" s="28" t="s">
        <v>1423</v>
      </c>
      <c r="AI8" s="28" t="s">
        <v>1423</v>
      </c>
      <c r="AJ8" s="28" t="s">
        <v>1423</v>
      </c>
      <c r="AK8" s="29" t="s">
        <v>1423</v>
      </c>
      <c r="AL8" s="29" t="s">
        <v>1423</v>
      </c>
    </row>
    <row r="9" spans="1:38">
      <c r="A9" s="29" t="s">
        <v>221</v>
      </c>
      <c r="B9" s="28" t="s">
        <v>1422</v>
      </c>
      <c r="C9" s="28" t="s">
        <v>1422</v>
      </c>
      <c r="D9" s="28" t="s">
        <v>1421</v>
      </c>
      <c r="E9" s="28" t="s">
        <v>1421</v>
      </c>
      <c r="F9" s="28" t="s">
        <v>1422</v>
      </c>
      <c r="G9" s="28" t="s">
        <v>1422</v>
      </c>
      <c r="H9" s="28" t="s">
        <v>1422</v>
      </c>
      <c r="I9" s="28" t="s">
        <v>1422</v>
      </c>
      <c r="J9" s="28" t="s">
        <v>1422</v>
      </c>
      <c r="K9" s="28" t="s">
        <v>1422</v>
      </c>
      <c r="L9" s="28" t="s">
        <v>1422</v>
      </c>
      <c r="M9" s="28" t="s">
        <v>1422</v>
      </c>
      <c r="N9" s="28" t="s">
        <v>1422</v>
      </c>
      <c r="O9" s="28" t="s">
        <v>1422</v>
      </c>
      <c r="P9" s="28" t="s">
        <v>1422</v>
      </c>
      <c r="Q9" s="28" t="s">
        <v>1422</v>
      </c>
      <c r="R9" s="28" t="s">
        <v>1422</v>
      </c>
      <c r="S9" s="28" t="s">
        <v>1422</v>
      </c>
      <c r="T9" s="28" t="s">
        <v>1422</v>
      </c>
      <c r="U9" s="28" t="s">
        <v>1422</v>
      </c>
      <c r="V9" s="28" t="s">
        <v>1422</v>
      </c>
      <c r="W9" s="28" t="s">
        <v>1422</v>
      </c>
      <c r="X9" s="28" t="s">
        <v>1422</v>
      </c>
      <c r="Y9" s="28" t="s">
        <v>1422</v>
      </c>
      <c r="Z9" s="28" t="s">
        <v>1422</v>
      </c>
      <c r="AA9" s="28" t="s">
        <v>1422</v>
      </c>
      <c r="AB9" s="28" t="s">
        <v>1422</v>
      </c>
      <c r="AC9" s="28" t="s">
        <v>1423</v>
      </c>
      <c r="AD9" s="28" t="s">
        <v>1422</v>
      </c>
      <c r="AE9" s="28" t="s">
        <v>1422</v>
      </c>
      <c r="AF9" s="28" t="s">
        <v>1423</v>
      </c>
      <c r="AG9" s="28" t="s">
        <v>1422</v>
      </c>
      <c r="AH9" s="28" t="s">
        <v>1422</v>
      </c>
      <c r="AI9" s="28" t="s">
        <v>1422</v>
      </c>
      <c r="AJ9" s="28" t="s">
        <v>1422</v>
      </c>
      <c r="AK9" s="29" t="s">
        <v>1422</v>
      </c>
      <c r="AL9" s="29" t="s">
        <v>1422</v>
      </c>
    </row>
    <row r="10" spans="1:38">
      <c r="A10" s="29" t="s">
        <v>1140</v>
      </c>
      <c r="B10" s="28" t="s">
        <v>1420</v>
      </c>
      <c r="C10" s="28" t="s">
        <v>1420</v>
      </c>
      <c r="D10" s="28" t="s">
        <v>1420</v>
      </c>
      <c r="E10" s="28" t="s">
        <v>1420</v>
      </c>
      <c r="F10" s="28" t="s">
        <v>1421</v>
      </c>
      <c r="G10" s="28" t="s">
        <v>1421</v>
      </c>
      <c r="H10" s="28" t="s">
        <v>1419</v>
      </c>
      <c r="I10" s="28" t="s">
        <v>1419</v>
      </c>
      <c r="J10" s="28" t="s">
        <v>1419</v>
      </c>
      <c r="K10" s="28" t="s">
        <v>1419</v>
      </c>
      <c r="L10" s="28" t="s">
        <v>1419</v>
      </c>
      <c r="M10" s="28" t="s">
        <v>1419</v>
      </c>
      <c r="N10" s="28" t="s">
        <v>1419</v>
      </c>
      <c r="O10" s="28" t="s">
        <v>1419</v>
      </c>
      <c r="P10" s="28" t="s">
        <v>1419</v>
      </c>
      <c r="Q10" s="28" t="s">
        <v>1421</v>
      </c>
      <c r="R10" s="28" t="s">
        <v>1421</v>
      </c>
      <c r="S10" s="28" t="s">
        <v>1421</v>
      </c>
      <c r="T10" s="28" t="s">
        <v>1421</v>
      </c>
      <c r="U10" s="28" t="s">
        <v>1421</v>
      </c>
      <c r="V10" s="28" t="s">
        <v>1421</v>
      </c>
      <c r="W10" s="28" t="s">
        <v>1421</v>
      </c>
      <c r="X10" s="28" t="s">
        <v>1421</v>
      </c>
      <c r="Y10" s="28" t="s">
        <v>1421</v>
      </c>
      <c r="Z10" s="28" t="s">
        <v>1421</v>
      </c>
      <c r="AA10" s="28" t="s">
        <v>1421</v>
      </c>
      <c r="AB10" s="28" t="s">
        <v>1421</v>
      </c>
      <c r="AC10" s="28" t="s">
        <v>1421</v>
      </c>
      <c r="AD10" s="28" t="s">
        <v>1421</v>
      </c>
      <c r="AE10" s="28" t="s">
        <v>1421</v>
      </c>
      <c r="AF10" s="28" t="s">
        <v>1422</v>
      </c>
      <c r="AG10" s="28" t="s">
        <v>1422</v>
      </c>
      <c r="AH10" s="28" t="s">
        <v>1422</v>
      </c>
      <c r="AI10" s="28" t="s">
        <v>1422</v>
      </c>
      <c r="AJ10" s="28" t="s">
        <v>1422</v>
      </c>
      <c r="AK10" s="29" t="s">
        <v>1422</v>
      </c>
      <c r="AL10" s="29" t="s">
        <v>1422</v>
      </c>
    </row>
    <row r="11" spans="1:38">
      <c r="A11" s="29" t="s">
        <v>1131</v>
      </c>
      <c r="B11" s="28" t="s">
        <v>1423</v>
      </c>
      <c r="C11" s="28" t="s">
        <v>1423</v>
      </c>
      <c r="D11" s="28" t="s">
        <v>1423</v>
      </c>
      <c r="E11" s="28" t="s">
        <v>1423</v>
      </c>
      <c r="F11" s="28" t="s">
        <v>1422</v>
      </c>
      <c r="G11" s="28" t="s">
        <v>1422</v>
      </c>
      <c r="H11" s="28" t="s">
        <v>1422</v>
      </c>
      <c r="I11" s="28" t="s">
        <v>1423</v>
      </c>
      <c r="J11" s="28" t="s">
        <v>1423</v>
      </c>
      <c r="K11" s="28" t="s">
        <v>1423</v>
      </c>
      <c r="L11" s="28" t="s">
        <v>1423</v>
      </c>
      <c r="M11" s="28" t="s">
        <v>1423</v>
      </c>
      <c r="N11" s="28" t="s">
        <v>1423</v>
      </c>
      <c r="O11" s="28" t="s">
        <v>1423</v>
      </c>
      <c r="P11" s="28" t="s">
        <v>1423</v>
      </c>
      <c r="Q11" s="28" t="s">
        <v>1423</v>
      </c>
      <c r="R11" s="28" t="s">
        <v>1423</v>
      </c>
      <c r="S11" s="28" t="s">
        <v>1423</v>
      </c>
      <c r="T11" s="28" t="s">
        <v>1423</v>
      </c>
      <c r="U11" s="28" t="s">
        <v>1423</v>
      </c>
      <c r="V11" s="28" t="s">
        <v>1423</v>
      </c>
      <c r="W11" s="28" t="s">
        <v>1423</v>
      </c>
      <c r="X11" s="28" t="s">
        <v>1423</v>
      </c>
      <c r="Y11" s="28" t="s">
        <v>1423</v>
      </c>
      <c r="Z11" s="28" t="s">
        <v>1423</v>
      </c>
      <c r="AA11" s="28" t="s">
        <v>1423</v>
      </c>
      <c r="AB11" s="28" t="s">
        <v>1423</v>
      </c>
      <c r="AC11" s="28" t="s">
        <v>1423</v>
      </c>
      <c r="AD11" s="28" t="s">
        <v>1423</v>
      </c>
      <c r="AE11" s="28" t="s">
        <v>1423</v>
      </c>
      <c r="AF11" s="28" t="s">
        <v>1423</v>
      </c>
      <c r="AG11" s="28" t="s">
        <v>1423</v>
      </c>
      <c r="AH11" s="28" t="s">
        <v>1423</v>
      </c>
      <c r="AI11" s="28" t="s">
        <v>1423</v>
      </c>
      <c r="AJ11" s="28" t="s">
        <v>1423</v>
      </c>
      <c r="AK11" s="29" t="s">
        <v>1423</v>
      </c>
      <c r="AL11" s="29" t="s">
        <v>1423</v>
      </c>
    </row>
    <row r="12" spans="1:38">
      <c r="A12" s="29" t="s">
        <v>1143</v>
      </c>
      <c r="B12" s="28" t="s">
        <v>1423</v>
      </c>
      <c r="C12" s="28" t="s">
        <v>1423</v>
      </c>
      <c r="D12" s="28" t="s">
        <v>1423</v>
      </c>
      <c r="E12" s="28" t="s">
        <v>1423</v>
      </c>
      <c r="F12" s="28" t="s">
        <v>1423</v>
      </c>
      <c r="G12" s="28" t="s">
        <v>1423</v>
      </c>
      <c r="H12" s="28" t="s">
        <v>1423</v>
      </c>
      <c r="I12" s="28" t="s">
        <v>1423</v>
      </c>
      <c r="J12" s="28" t="s">
        <v>1423</v>
      </c>
      <c r="K12" s="28" t="s">
        <v>1423</v>
      </c>
      <c r="L12" s="28" t="s">
        <v>1423</v>
      </c>
      <c r="M12" s="28" t="s">
        <v>1423</v>
      </c>
      <c r="N12" s="28" t="s">
        <v>1423</v>
      </c>
      <c r="O12" s="28" t="s">
        <v>1423</v>
      </c>
      <c r="P12" s="28" t="s">
        <v>1423</v>
      </c>
      <c r="Q12" s="28" t="s">
        <v>1423</v>
      </c>
      <c r="R12" s="28" t="s">
        <v>1423</v>
      </c>
      <c r="S12" s="28" t="s">
        <v>1423</v>
      </c>
      <c r="T12" s="28" t="s">
        <v>1423</v>
      </c>
      <c r="U12" s="28" t="s">
        <v>1423</v>
      </c>
      <c r="V12" s="28" t="s">
        <v>1423</v>
      </c>
      <c r="W12" s="28" t="s">
        <v>1423</v>
      </c>
      <c r="X12" s="28" t="s">
        <v>1423</v>
      </c>
      <c r="Y12" s="28" t="s">
        <v>1423</v>
      </c>
      <c r="Z12" s="28" t="s">
        <v>1423</v>
      </c>
      <c r="AA12" s="28" t="s">
        <v>1423</v>
      </c>
      <c r="AB12" s="28" t="s">
        <v>1423</v>
      </c>
      <c r="AC12" s="28" t="s">
        <v>1423</v>
      </c>
      <c r="AD12" s="28" t="s">
        <v>1423</v>
      </c>
      <c r="AE12" s="28" t="s">
        <v>1423</v>
      </c>
      <c r="AF12" s="28" t="s">
        <v>1423</v>
      </c>
      <c r="AG12" s="28" t="s">
        <v>1423</v>
      </c>
      <c r="AH12" s="28" t="s">
        <v>1423</v>
      </c>
      <c r="AI12" s="28" t="s">
        <v>1423</v>
      </c>
      <c r="AJ12" s="28" t="s">
        <v>1423</v>
      </c>
      <c r="AK12" s="29" t="s">
        <v>1423</v>
      </c>
      <c r="AL12" s="29" t="s">
        <v>1423</v>
      </c>
    </row>
    <row r="13" spans="1:38">
      <c r="A13" s="29" t="s">
        <v>1144</v>
      </c>
      <c r="B13" s="28" t="s">
        <v>1423</v>
      </c>
      <c r="C13" s="28" t="s">
        <v>1423</v>
      </c>
      <c r="D13" s="28" t="s">
        <v>1423</v>
      </c>
      <c r="E13" s="28" t="s">
        <v>1423</v>
      </c>
      <c r="F13" s="28" t="s">
        <v>1423</v>
      </c>
      <c r="G13" s="28" t="s">
        <v>1423</v>
      </c>
      <c r="H13" s="28" t="s">
        <v>1423</v>
      </c>
      <c r="I13" s="28" t="s">
        <v>1423</v>
      </c>
      <c r="J13" s="28" t="s">
        <v>1423</v>
      </c>
      <c r="K13" s="28" t="s">
        <v>1423</v>
      </c>
      <c r="L13" s="28" t="s">
        <v>1423</v>
      </c>
      <c r="M13" s="28" t="s">
        <v>1423</v>
      </c>
      <c r="N13" s="28" t="s">
        <v>1423</v>
      </c>
      <c r="O13" s="28" t="s">
        <v>1423</v>
      </c>
      <c r="P13" s="28" t="s">
        <v>1423</v>
      </c>
      <c r="Q13" s="28" t="s">
        <v>1423</v>
      </c>
      <c r="R13" s="28" t="s">
        <v>1423</v>
      </c>
      <c r="S13" s="28" t="s">
        <v>1423</v>
      </c>
      <c r="T13" s="28" t="s">
        <v>1423</v>
      </c>
      <c r="U13" s="28" t="s">
        <v>1423</v>
      </c>
      <c r="V13" s="28" t="s">
        <v>1423</v>
      </c>
      <c r="W13" s="28" t="s">
        <v>1423</v>
      </c>
      <c r="X13" s="28" t="s">
        <v>1423</v>
      </c>
      <c r="Y13" s="28" t="s">
        <v>1423</v>
      </c>
      <c r="Z13" s="28" t="s">
        <v>1423</v>
      </c>
      <c r="AA13" s="28" t="s">
        <v>1423</v>
      </c>
      <c r="AB13" s="28" t="s">
        <v>1423</v>
      </c>
      <c r="AC13" s="28" t="s">
        <v>1423</v>
      </c>
      <c r="AD13" s="28" t="s">
        <v>1423</v>
      </c>
      <c r="AE13" s="28" t="s">
        <v>1423</v>
      </c>
      <c r="AF13" s="28" t="s">
        <v>1423</v>
      </c>
      <c r="AG13" s="28" t="s">
        <v>1423</v>
      </c>
      <c r="AH13" s="28" t="s">
        <v>1423</v>
      </c>
      <c r="AI13" s="28" t="s">
        <v>1423</v>
      </c>
      <c r="AJ13" s="28" t="s">
        <v>1423</v>
      </c>
      <c r="AK13" s="29" t="s">
        <v>1423</v>
      </c>
      <c r="AL13" s="29" t="s">
        <v>1423</v>
      </c>
    </row>
    <row r="14" spans="1:38">
      <c r="A14" s="29" t="s">
        <v>1145</v>
      </c>
      <c r="B14" s="28" t="s">
        <v>1420</v>
      </c>
      <c r="C14" s="28" t="s">
        <v>1420</v>
      </c>
      <c r="D14" s="28" t="s">
        <v>1420</v>
      </c>
      <c r="E14" s="28" t="s">
        <v>1420</v>
      </c>
      <c r="F14" s="28" t="s">
        <v>1421</v>
      </c>
      <c r="G14" s="28" t="s">
        <v>1421</v>
      </c>
      <c r="H14" s="28" t="s">
        <v>1421</v>
      </c>
      <c r="I14" s="28" t="s">
        <v>1419</v>
      </c>
      <c r="J14" s="28" t="s">
        <v>1419</v>
      </c>
      <c r="K14" s="28" t="s">
        <v>1419</v>
      </c>
      <c r="L14" s="28" t="s">
        <v>1419</v>
      </c>
      <c r="M14" s="28" t="s">
        <v>1419</v>
      </c>
      <c r="N14" s="28" t="s">
        <v>1419</v>
      </c>
      <c r="O14" s="28" t="s">
        <v>1419</v>
      </c>
      <c r="P14" s="28" t="s">
        <v>1419</v>
      </c>
      <c r="Q14" s="28" t="s">
        <v>1419</v>
      </c>
      <c r="R14" s="28" t="s">
        <v>1421</v>
      </c>
      <c r="S14" s="28" t="s">
        <v>1421</v>
      </c>
      <c r="T14" s="28" t="s">
        <v>1421</v>
      </c>
      <c r="U14" s="28" t="s">
        <v>1421</v>
      </c>
      <c r="V14" s="28" t="s">
        <v>1421</v>
      </c>
      <c r="W14" s="28" t="s">
        <v>1421</v>
      </c>
      <c r="X14" s="28" t="s">
        <v>1422</v>
      </c>
      <c r="Y14" s="28" t="s">
        <v>1422</v>
      </c>
      <c r="Z14" s="28" t="s">
        <v>1422</v>
      </c>
      <c r="AA14" s="28" t="s">
        <v>1422</v>
      </c>
      <c r="AB14" s="28" t="s">
        <v>1422</v>
      </c>
      <c r="AC14" s="28" t="s">
        <v>1422</v>
      </c>
      <c r="AD14" s="28" t="s">
        <v>1422</v>
      </c>
      <c r="AE14" s="28" t="s">
        <v>1422</v>
      </c>
      <c r="AF14" s="28" t="s">
        <v>1422</v>
      </c>
      <c r="AG14" s="28" t="s">
        <v>1422</v>
      </c>
      <c r="AH14" s="28" t="s">
        <v>1422</v>
      </c>
      <c r="AI14" s="28" t="s">
        <v>1422</v>
      </c>
      <c r="AJ14" s="28" t="s">
        <v>1422</v>
      </c>
      <c r="AK14" s="29" t="s">
        <v>1422</v>
      </c>
      <c r="AL14" s="29" t="s">
        <v>1422</v>
      </c>
    </row>
    <row r="15" spans="1:38">
      <c r="A15" s="29" t="s">
        <v>1153</v>
      </c>
      <c r="B15" s="28" t="s">
        <v>1423</v>
      </c>
      <c r="C15" s="28" t="s">
        <v>1423</v>
      </c>
      <c r="D15" s="28" t="s">
        <v>1423</v>
      </c>
      <c r="E15" s="28" t="s">
        <v>1423</v>
      </c>
      <c r="F15" s="28" t="s">
        <v>1423</v>
      </c>
      <c r="G15" s="28" t="s">
        <v>1423</v>
      </c>
      <c r="H15" s="28" t="s">
        <v>1423</v>
      </c>
      <c r="I15" s="28" t="s">
        <v>1423</v>
      </c>
      <c r="J15" s="28" t="s">
        <v>1423</v>
      </c>
      <c r="K15" s="28" t="s">
        <v>1423</v>
      </c>
      <c r="L15" s="28" t="s">
        <v>1423</v>
      </c>
      <c r="M15" s="28" t="s">
        <v>1423</v>
      </c>
      <c r="N15" s="28" t="s">
        <v>1423</v>
      </c>
      <c r="O15" s="28" t="s">
        <v>1423</v>
      </c>
      <c r="P15" s="28" t="s">
        <v>1423</v>
      </c>
      <c r="Q15" s="28" t="s">
        <v>1423</v>
      </c>
      <c r="R15" s="28" t="s">
        <v>1423</v>
      </c>
      <c r="S15" s="28" t="s">
        <v>1423</v>
      </c>
      <c r="T15" s="28" t="s">
        <v>1423</v>
      </c>
      <c r="U15" s="28" t="s">
        <v>1423</v>
      </c>
      <c r="V15" s="28" t="s">
        <v>1423</v>
      </c>
      <c r="W15" s="28" t="s">
        <v>1423</v>
      </c>
      <c r="X15" s="28" t="s">
        <v>1423</v>
      </c>
      <c r="Y15" s="28" t="s">
        <v>1423</v>
      </c>
      <c r="Z15" s="28" t="s">
        <v>1423</v>
      </c>
      <c r="AA15" s="28" t="s">
        <v>1423</v>
      </c>
      <c r="AB15" s="28" t="s">
        <v>1423</v>
      </c>
      <c r="AC15" s="28" t="s">
        <v>1423</v>
      </c>
      <c r="AD15" s="28" t="s">
        <v>1423</v>
      </c>
      <c r="AE15" s="28" t="s">
        <v>1423</v>
      </c>
      <c r="AF15" s="28" t="s">
        <v>1423</v>
      </c>
      <c r="AG15" s="28" t="s">
        <v>1423</v>
      </c>
      <c r="AH15" s="28" t="s">
        <v>1423</v>
      </c>
      <c r="AI15" s="28" t="s">
        <v>1423</v>
      </c>
      <c r="AJ15" s="28" t="s">
        <v>1423</v>
      </c>
      <c r="AK15" s="29" t="s">
        <v>1423</v>
      </c>
      <c r="AL15" s="29" t="s">
        <v>1423</v>
      </c>
    </row>
    <row r="16" spans="1:38">
      <c r="A16" s="29" t="s">
        <v>1152</v>
      </c>
      <c r="B16" s="28" t="s">
        <v>1423</v>
      </c>
      <c r="C16" s="28" t="s">
        <v>1423</v>
      </c>
      <c r="D16" s="28" t="s">
        <v>1423</v>
      </c>
      <c r="E16" s="28" t="s">
        <v>1422</v>
      </c>
      <c r="F16" s="28" t="s">
        <v>1422</v>
      </c>
      <c r="G16" s="28" t="s">
        <v>1422</v>
      </c>
      <c r="H16" s="28" t="s">
        <v>1422</v>
      </c>
      <c r="I16" s="28" t="s">
        <v>1422</v>
      </c>
      <c r="J16" s="28" t="s">
        <v>1422</v>
      </c>
      <c r="K16" s="28" t="s">
        <v>1422</v>
      </c>
      <c r="L16" s="28" t="s">
        <v>1422</v>
      </c>
      <c r="M16" s="28" t="s">
        <v>1422</v>
      </c>
      <c r="N16" s="28" t="s">
        <v>1422</v>
      </c>
      <c r="O16" s="28" t="s">
        <v>1422</v>
      </c>
      <c r="P16" s="28" t="s">
        <v>1423</v>
      </c>
      <c r="Q16" s="28" t="s">
        <v>1423</v>
      </c>
      <c r="R16" s="28" t="s">
        <v>1423</v>
      </c>
      <c r="S16" s="28" t="s">
        <v>1423</v>
      </c>
      <c r="T16" s="28" t="s">
        <v>1423</v>
      </c>
      <c r="U16" s="28" t="s">
        <v>1423</v>
      </c>
      <c r="V16" s="28" t="s">
        <v>1423</v>
      </c>
      <c r="W16" s="28" t="s">
        <v>1423</v>
      </c>
      <c r="X16" s="28" t="s">
        <v>1423</v>
      </c>
      <c r="Y16" s="28" t="s">
        <v>1423</v>
      </c>
      <c r="Z16" s="28" t="s">
        <v>1423</v>
      </c>
      <c r="AA16" s="28" t="s">
        <v>1423</v>
      </c>
      <c r="AB16" s="28" t="s">
        <v>1423</v>
      </c>
      <c r="AC16" s="28" t="s">
        <v>1423</v>
      </c>
      <c r="AD16" s="28" t="s">
        <v>1423</v>
      </c>
      <c r="AE16" s="28" t="s">
        <v>1423</v>
      </c>
      <c r="AF16" s="28" t="s">
        <v>1423</v>
      </c>
      <c r="AG16" s="28" t="s">
        <v>1423</v>
      </c>
      <c r="AH16" s="28" t="s">
        <v>1423</v>
      </c>
      <c r="AI16" s="28" t="s">
        <v>1423</v>
      </c>
      <c r="AJ16" s="28" t="s">
        <v>1423</v>
      </c>
      <c r="AK16" s="29" t="s">
        <v>1423</v>
      </c>
      <c r="AL16" s="29" t="s">
        <v>1423</v>
      </c>
    </row>
    <row r="17" spans="1:38">
      <c r="A17" s="29" t="s">
        <v>1150</v>
      </c>
      <c r="B17" s="28" t="s">
        <v>1419</v>
      </c>
      <c r="C17" s="28" t="s">
        <v>1419</v>
      </c>
      <c r="D17" s="28" t="s">
        <v>1419</v>
      </c>
      <c r="E17" s="28" t="s">
        <v>1419</v>
      </c>
      <c r="F17" s="28" t="s">
        <v>1419</v>
      </c>
      <c r="G17" s="28" t="s">
        <v>1419</v>
      </c>
      <c r="H17" s="28" t="s">
        <v>1419</v>
      </c>
      <c r="I17" s="28" t="s">
        <v>1419</v>
      </c>
      <c r="J17" s="28" t="s">
        <v>1419</v>
      </c>
      <c r="K17" s="28" t="s">
        <v>1419</v>
      </c>
      <c r="L17" s="28" t="s">
        <v>1419</v>
      </c>
      <c r="M17" s="28" t="s">
        <v>1419</v>
      </c>
      <c r="N17" s="28" t="s">
        <v>1419</v>
      </c>
      <c r="O17" s="28" t="s">
        <v>1419</v>
      </c>
      <c r="P17" s="28" t="s">
        <v>1419</v>
      </c>
      <c r="Q17" s="28" t="s">
        <v>1419</v>
      </c>
      <c r="R17" s="28" t="s">
        <v>1419</v>
      </c>
      <c r="S17" s="28" t="s">
        <v>1419</v>
      </c>
      <c r="T17" s="28" t="s">
        <v>1419</v>
      </c>
      <c r="U17" s="28" t="s">
        <v>1419</v>
      </c>
      <c r="V17" s="28" t="s">
        <v>1419</v>
      </c>
      <c r="W17" s="28" t="s">
        <v>1419</v>
      </c>
      <c r="X17" s="28" t="s">
        <v>1419</v>
      </c>
      <c r="Y17" s="28" t="s">
        <v>1419</v>
      </c>
      <c r="Z17" s="28" t="s">
        <v>1419</v>
      </c>
      <c r="AA17" s="28" t="s">
        <v>1419</v>
      </c>
      <c r="AB17" s="28" t="s">
        <v>1419</v>
      </c>
      <c r="AC17" s="28" t="s">
        <v>1421</v>
      </c>
      <c r="AD17" s="28" t="s">
        <v>1421</v>
      </c>
      <c r="AE17" s="28" t="s">
        <v>1421</v>
      </c>
      <c r="AF17" s="28" t="s">
        <v>1421</v>
      </c>
      <c r="AG17" s="28" t="s">
        <v>1421</v>
      </c>
      <c r="AH17" s="28" t="s">
        <v>1421</v>
      </c>
      <c r="AI17" s="28" t="s">
        <v>1421</v>
      </c>
      <c r="AJ17" s="28" t="s">
        <v>1421</v>
      </c>
      <c r="AK17" s="29" t="s">
        <v>1421</v>
      </c>
      <c r="AL17" s="29" t="s">
        <v>1421</v>
      </c>
    </row>
    <row r="18" spans="1:38">
      <c r="A18" s="29" t="s">
        <v>1159</v>
      </c>
      <c r="B18" s="28" t="s">
        <v>1422</v>
      </c>
      <c r="C18" s="28" t="s">
        <v>1422</v>
      </c>
      <c r="D18" s="28" t="s">
        <v>1423</v>
      </c>
      <c r="E18" s="28" t="s">
        <v>1422</v>
      </c>
      <c r="F18" s="28" t="s">
        <v>1422</v>
      </c>
      <c r="G18" s="28" t="s">
        <v>1422</v>
      </c>
      <c r="H18" s="28" t="s">
        <v>1422</v>
      </c>
      <c r="I18" s="28" t="s">
        <v>1422</v>
      </c>
      <c r="J18" s="28" t="s">
        <v>1422</v>
      </c>
      <c r="K18" s="28" t="s">
        <v>1422</v>
      </c>
      <c r="L18" s="28" t="s">
        <v>1422</v>
      </c>
      <c r="M18" s="28" t="s">
        <v>1422</v>
      </c>
      <c r="N18" s="28" t="s">
        <v>1422</v>
      </c>
      <c r="O18" s="28" t="s">
        <v>1423</v>
      </c>
      <c r="P18" s="28" t="s">
        <v>1422</v>
      </c>
      <c r="Q18" s="28" t="s">
        <v>1423</v>
      </c>
      <c r="R18" s="28" t="s">
        <v>1422</v>
      </c>
      <c r="S18" s="28" t="s">
        <v>1422</v>
      </c>
      <c r="T18" s="28" t="s">
        <v>1422</v>
      </c>
      <c r="U18" s="28" t="s">
        <v>1423</v>
      </c>
      <c r="V18" s="28" t="s">
        <v>1423</v>
      </c>
      <c r="W18" s="28" t="s">
        <v>1423</v>
      </c>
      <c r="X18" s="28" t="s">
        <v>1423</v>
      </c>
      <c r="Y18" s="28" t="s">
        <v>1423</v>
      </c>
      <c r="Z18" s="28" t="s">
        <v>1423</v>
      </c>
      <c r="AA18" s="28" t="s">
        <v>1423</v>
      </c>
      <c r="AB18" s="28" t="s">
        <v>1423</v>
      </c>
      <c r="AC18" s="28" t="s">
        <v>1423</v>
      </c>
      <c r="AD18" s="28" t="s">
        <v>1423</v>
      </c>
      <c r="AE18" s="28" t="s">
        <v>1423</v>
      </c>
      <c r="AF18" s="28" t="s">
        <v>1423</v>
      </c>
      <c r="AG18" s="28" t="s">
        <v>1423</v>
      </c>
      <c r="AH18" s="28" t="s">
        <v>1423</v>
      </c>
      <c r="AI18" s="28" t="s">
        <v>1423</v>
      </c>
      <c r="AJ18" s="28" t="s">
        <v>1423</v>
      </c>
      <c r="AK18" s="29" t="s">
        <v>1423</v>
      </c>
      <c r="AL18" s="29" t="s">
        <v>1423</v>
      </c>
    </row>
    <row r="19" spans="1:38">
      <c r="A19" s="29" t="s">
        <v>1155</v>
      </c>
      <c r="B19" s="28" t="s">
        <v>1420</v>
      </c>
      <c r="C19" s="28" t="s">
        <v>1420</v>
      </c>
      <c r="D19" s="28" t="s">
        <v>1420</v>
      </c>
      <c r="E19" s="28" t="s">
        <v>1420</v>
      </c>
      <c r="F19" s="28" t="s">
        <v>1422</v>
      </c>
      <c r="G19" s="28" t="s">
        <v>1422</v>
      </c>
      <c r="H19" s="28" t="s">
        <v>1422</v>
      </c>
      <c r="I19" s="28" t="s">
        <v>1421</v>
      </c>
      <c r="J19" s="28" t="s">
        <v>1421</v>
      </c>
      <c r="K19" s="28" t="s">
        <v>1421</v>
      </c>
      <c r="L19" s="28" t="s">
        <v>1421</v>
      </c>
      <c r="M19" s="28" t="s">
        <v>1421</v>
      </c>
      <c r="N19" s="28" t="s">
        <v>1421</v>
      </c>
      <c r="O19" s="28" t="s">
        <v>1421</v>
      </c>
      <c r="P19" s="28" t="s">
        <v>1421</v>
      </c>
      <c r="Q19" s="28" t="s">
        <v>1421</v>
      </c>
      <c r="R19" s="28" t="s">
        <v>1421</v>
      </c>
      <c r="S19" s="28" t="s">
        <v>1421</v>
      </c>
      <c r="T19" s="28" t="s">
        <v>1421</v>
      </c>
      <c r="U19" s="28" t="s">
        <v>1421</v>
      </c>
      <c r="V19" s="28" t="s">
        <v>1422</v>
      </c>
      <c r="W19" s="28" t="s">
        <v>1422</v>
      </c>
      <c r="X19" s="28" t="s">
        <v>1422</v>
      </c>
      <c r="Y19" s="28" t="s">
        <v>1422</v>
      </c>
      <c r="Z19" s="28" t="s">
        <v>1422</v>
      </c>
      <c r="AA19" s="28" t="s">
        <v>1422</v>
      </c>
      <c r="AB19" s="28" t="s">
        <v>1422</v>
      </c>
      <c r="AC19" s="28" t="s">
        <v>1422</v>
      </c>
      <c r="AD19" s="28" t="s">
        <v>1422</v>
      </c>
      <c r="AE19" s="28" t="s">
        <v>1422</v>
      </c>
      <c r="AF19" s="28" t="s">
        <v>1422</v>
      </c>
      <c r="AG19" s="28" t="s">
        <v>1422</v>
      </c>
      <c r="AH19" s="28" t="s">
        <v>1422</v>
      </c>
      <c r="AI19" s="28" t="s">
        <v>1422</v>
      </c>
      <c r="AJ19" s="28" t="s">
        <v>1422</v>
      </c>
      <c r="AK19" s="29" t="s">
        <v>1422</v>
      </c>
      <c r="AL19" s="29" t="s">
        <v>1422</v>
      </c>
    </row>
    <row r="20" spans="1:38">
      <c r="A20" s="29" t="s">
        <v>1147</v>
      </c>
      <c r="B20" s="28" t="s">
        <v>1423</v>
      </c>
      <c r="C20" s="28" t="s">
        <v>1423</v>
      </c>
      <c r="D20" s="28" t="s">
        <v>1423</v>
      </c>
      <c r="E20" s="28" t="s">
        <v>1423</v>
      </c>
      <c r="F20" s="28" t="s">
        <v>1423</v>
      </c>
      <c r="G20" s="28" t="s">
        <v>1423</v>
      </c>
      <c r="H20" s="28" t="s">
        <v>1423</v>
      </c>
      <c r="I20" s="28" t="s">
        <v>1423</v>
      </c>
      <c r="J20" s="28" t="s">
        <v>1423</v>
      </c>
      <c r="K20" s="28" t="s">
        <v>1423</v>
      </c>
      <c r="L20" s="28" t="s">
        <v>1423</v>
      </c>
      <c r="M20" s="28" t="s">
        <v>1423</v>
      </c>
      <c r="N20" s="28" t="s">
        <v>1423</v>
      </c>
      <c r="O20" s="28" t="s">
        <v>1423</v>
      </c>
      <c r="P20" s="28" t="s">
        <v>1423</v>
      </c>
      <c r="Q20" s="28" t="s">
        <v>1423</v>
      </c>
      <c r="R20" s="28" t="s">
        <v>1423</v>
      </c>
      <c r="S20" s="28" t="s">
        <v>1423</v>
      </c>
      <c r="T20" s="28" t="s">
        <v>1423</v>
      </c>
      <c r="U20" s="28" t="s">
        <v>1423</v>
      </c>
      <c r="V20" s="28" t="s">
        <v>1423</v>
      </c>
      <c r="W20" s="28" t="s">
        <v>1423</v>
      </c>
      <c r="X20" s="28" t="s">
        <v>1423</v>
      </c>
      <c r="Y20" s="28" t="s">
        <v>1423</v>
      </c>
      <c r="Z20" s="28" t="s">
        <v>1423</v>
      </c>
      <c r="AA20" s="28" t="s">
        <v>1423</v>
      </c>
      <c r="AB20" s="28" t="s">
        <v>1423</v>
      </c>
      <c r="AC20" s="28" t="s">
        <v>1423</v>
      </c>
      <c r="AD20" s="28" t="s">
        <v>1423</v>
      </c>
      <c r="AE20" s="28" t="s">
        <v>1423</v>
      </c>
      <c r="AF20" s="28" t="s">
        <v>1423</v>
      </c>
      <c r="AG20" s="28" t="s">
        <v>1423</v>
      </c>
      <c r="AH20" s="28" t="s">
        <v>1423</v>
      </c>
      <c r="AI20" s="28" t="s">
        <v>1423</v>
      </c>
      <c r="AJ20" s="28" t="s">
        <v>1423</v>
      </c>
      <c r="AK20" s="29" t="s">
        <v>1423</v>
      </c>
      <c r="AL20" s="29" t="s">
        <v>1423</v>
      </c>
    </row>
    <row r="21" spans="1:38">
      <c r="A21" s="29" t="s">
        <v>1156</v>
      </c>
      <c r="B21" s="28" t="s">
        <v>1421</v>
      </c>
      <c r="C21" s="28" t="s">
        <v>1421</v>
      </c>
      <c r="D21" s="28" t="s">
        <v>1421</v>
      </c>
      <c r="E21" s="28" t="s">
        <v>1421</v>
      </c>
      <c r="F21" s="28" t="s">
        <v>1421</v>
      </c>
      <c r="G21" s="28" t="s">
        <v>1421</v>
      </c>
      <c r="H21" s="28" t="s">
        <v>1421</v>
      </c>
      <c r="I21" s="28" t="s">
        <v>1421</v>
      </c>
      <c r="J21" s="28" t="s">
        <v>1421</v>
      </c>
      <c r="K21" s="28" t="s">
        <v>1421</v>
      </c>
      <c r="L21" s="28" t="s">
        <v>1421</v>
      </c>
      <c r="M21" s="28" t="s">
        <v>1421</v>
      </c>
      <c r="N21" s="28" t="s">
        <v>1421</v>
      </c>
      <c r="O21" s="28" t="s">
        <v>1421</v>
      </c>
      <c r="P21" s="28" t="s">
        <v>1421</v>
      </c>
      <c r="Q21" s="28" t="s">
        <v>1422</v>
      </c>
      <c r="R21" s="28" t="s">
        <v>1422</v>
      </c>
      <c r="S21" s="28" t="s">
        <v>1422</v>
      </c>
      <c r="T21" s="28" t="s">
        <v>1422</v>
      </c>
      <c r="U21" s="28" t="s">
        <v>1422</v>
      </c>
      <c r="V21" s="28" t="s">
        <v>1422</v>
      </c>
      <c r="W21" s="28" t="s">
        <v>1421</v>
      </c>
      <c r="X21" s="28" t="s">
        <v>1421</v>
      </c>
      <c r="Y21" s="28" t="s">
        <v>1421</v>
      </c>
      <c r="Z21" s="28" t="s">
        <v>1421</v>
      </c>
      <c r="AA21" s="28" t="s">
        <v>1422</v>
      </c>
      <c r="AB21" s="28" t="s">
        <v>1422</v>
      </c>
      <c r="AC21" s="28" t="s">
        <v>1422</v>
      </c>
      <c r="AD21" s="28" t="s">
        <v>1422</v>
      </c>
      <c r="AE21" s="28" t="s">
        <v>1422</v>
      </c>
      <c r="AF21" s="28" t="s">
        <v>1422</v>
      </c>
      <c r="AG21" s="28" t="s">
        <v>1422</v>
      </c>
      <c r="AH21" s="28" t="s">
        <v>1422</v>
      </c>
      <c r="AI21" s="28" t="s">
        <v>1421</v>
      </c>
      <c r="AJ21" s="28" t="s">
        <v>1422</v>
      </c>
      <c r="AK21" s="29" t="s">
        <v>1422</v>
      </c>
      <c r="AL21" s="29" t="s">
        <v>1422</v>
      </c>
    </row>
    <row r="22" spans="1:38">
      <c r="A22" s="29" t="s">
        <v>1148</v>
      </c>
      <c r="B22" s="28" t="s">
        <v>1419</v>
      </c>
      <c r="C22" s="28" t="s">
        <v>1419</v>
      </c>
      <c r="D22" s="28" t="s">
        <v>1419</v>
      </c>
      <c r="E22" s="28" t="s">
        <v>1419</v>
      </c>
      <c r="F22" s="28" t="s">
        <v>1419</v>
      </c>
      <c r="G22" s="28" t="s">
        <v>1419</v>
      </c>
      <c r="H22" s="28" t="s">
        <v>1419</v>
      </c>
      <c r="I22" s="28" t="s">
        <v>1419</v>
      </c>
      <c r="J22" s="28" t="s">
        <v>1419</v>
      </c>
      <c r="K22" s="28" t="s">
        <v>1419</v>
      </c>
      <c r="L22" s="28" t="s">
        <v>1419</v>
      </c>
      <c r="M22" s="28" t="s">
        <v>1419</v>
      </c>
      <c r="N22" s="28" t="s">
        <v>1419</v>
      </c>
      <c r="O22" s="28" t="s">
        <v>1419</v>
      </c>
      <c r="P22" s="28" t="s">
        <v>1419</v>
      </c>
      <c r="Q22" s="28" t="s">
        <v>1419</v>
      </c>
      <c r="R22" s="28" t="s">
        <v>1419</v>
      </c>
      <c r="S22" s="28" t="s">
        <v>1419</v>
      </c>
      <c r="T22" s="28" t="s">
        <v>1419</v>
      </c>
      <c r="U22" s="28" t="s">
        <v>1419</v>
      </c>
      <c r="V22" s="28" t="s">
        <v>1419</v>
      </c>
      <c r="W22" s="28" t="s">
        <v>1419</v>
      </c>
      <c r="X22" s="28" t="s">
        <v>1419</v>
      </c>
      <c r="Y22" s="28" t="s">
        <v>1419</v>
      </c>
      <c r="Z22" s="28" t="s">
        <v>1419</v>
      </c>
      <c r="AA22" s="28" t="s">
        <v>1419</v>
      </c>
      <c r="AB22" s="28" t="s">
        <v>1419</v>
      </c>
      <c r="AC22" s="28" t="s">
        <v>1419</v>
      </c>
      <c r="AD22" s="28" t="s">
        <v>1419</v>
      </c>
      <c r="AE22" s="28" t="s">
        <v>1419</v>
      </c>
      <c r="AF22" s="28" t="s">
        <v>1419</v>
      </c>
      <c r="AG22" s="28" t="s">
        <v>1419</v>
      </c>
      <c r="AH22" s="28" t="s">
        <v>1421</v>
      </c>
      <c r="AI22" s="28" t="s">
        <v>1421</v>
      </c>
      <c r="AJ22" s="28" t="s">
        <v>1421</v>
      </c>
      <c r="AK22" s="29" t="s">
        <v>1421</v>
      </c>
      <c r="AL22" s="29" t="s">
        <v>1421</v>
      </c>
    </row>
    <row r="23" spans="1:38">
      <c r="A23" s="29" t="s">
        <v>1157</v>
      </c>
      <c r="B23" s="28" t="s">
        <v>1423</v>
      </c>
      <c r="C23" s="28" t="s">
        <v>1423</v>
      </c>
      <c r="D23" s="28" t="s">
        <v>1423</v>
      </c>
      <c r="E23" s="28" t="s">
        <v>1423</v>
      </c>
      <c r="F23" s="28" t="s">
        <v>1423</v>
      </c>
      <c r="G23" s="28" t="s">
        <v>1423</v>
      </c>
      <c r="H23" s="28" t="s">
        <v>1423</v>
      </c>
      <c r="I23" s="28" t="s">
        <v>1423</v>
      </c>
      <c r="J23" s="28" t="s">
        <v>1423</v>
      </c>
      <c r="K23" s="28" t="s">
        <v>1423</v>
      </c>
      <c r="L23" s="28" t="s">
        <v>1423</v>
      </c>
      <c r="M23" s="28" t="s">
        <v>1423</v>
      </c>
      <c r="N23" s="28" t="s">
        <v>1423</v>
      </c>
      <c r="O23" s="28" t="s">
        <v>1423</v>
      </c>
      <c r="P23" s="28" t="s">
        <v>1423</v>
      </c>
      <c r="Q23" s="28" t="s">
        <v>1423</v>
      </c>
      <c r="R23" s="28" t="s">
        <v>1423</v>
      </c>
      <c r="S23" s="28" t="s">
        <v>1423</v>
      </c>
      <c r="T23" s="28" t="s">
        <v>1423</v>
      </c>
      <c r="U23" s="28" t="s">
        <v>1423</v>
      </c>
      <c r="V23" s="28" t="s">
        <v>1423</v>
      </c>
      <c r="W23" s="28" t="s">
        <v>1423</v>
      </c>
      <c r="X23" s="28" t="s">
        <v>1423</v>
      </c>
      <c r="Y23" s="28" t="s">
        <v>1423</v>
      </c>
      <c r="Z23" s="28" t="s">
        <v>1423</v>
      </c>
      <c r="AA23" s="28" t="s">
        <v>1423</v>
      </c>
      <c r="AB23" s="28" t="s">
        <v>1423</v>
      </c>
      <c r="AC23" s="28" t="s">
        <v>1423</v>
      </c>
      <c r="AD23" s="28" t="s">
        <v>1423</v>
      </c>
      <c r="AE23" s="28" t="s">
        <v>1423</v>
      </c>
      <c r="AF23" s="28" t="s">
        <v>1423</v>
      </c>
      <c r="AG23" s="28" t="s">
        <v>1423</v>
      </c>
      <c r="AH23" s="28" t="s">
        <v>1423</v>
      </c>
      <c r="AI23" s="28" t="s">
        <v>1423</v>
      </c>
      <c r="AJ23" s="28" t="s">
        <v>1423</v>
      </c>
      <c r="AK23" s="29" t="s">
        <v>1423</v>
      </c>
      <c r="AL23" s="29" t="s">
        <v>1423</v>
      </c>
    </row>
    <row r="24" spans="1:38">
      <c r="A24" s="29" t="s">
        <v>209</v>
      </c>
      <c r="B24" s="28" t="s">
        <v>1419</v>
      </c>
      <c r="C24" s="28" t="s">
        <v>1419</v>
      </c>
      <c r="D24" s="28" t="s">
        <v>1419</v>
      </c>
      <c r="E24" s="28" t="s">
        <v>1419</v>
      </c>
      <c r="F24" s="28" t="s">
        <v>1419</v>
      </c>
      <c r="G24" s="28" t="s">
        <v>1419</v>
      </c>
      <c r="H24" s="28" t="s">
        <v>1419</v>
      </c>
      <c r="I24" s="28" t="s">
        <v>1419</v>
      </c>
      <c r="J24" s="28" t="s">
        <v>1419</v>
      </c>
      <c r="K24" s="28" t="s">
        <v>1419</v>
      </c>
      <c r="L24" s="28" t="s">
        <v>1419</v>
      </c>
      <c r="M24" s="28" t="s">
        <v>1419</v>
      </c>
      <c r="N24" s="28" t="s">
        <v>1419</v>
      </c>
      <c r="O24" s="28" t="s">
        <v>1419</v>
      </c>
      <c r="P24" s="28" t="s">
        <v>1419</v>
      </c>
      <c r="Q24" s="28" t="s">
        <v>1419</v>
      </c>
      <c r="R24" s="28" t="s">
        <v>1419</v>
      </c>
      <c r="S24" s="28" t="s">
        <v>1419</v>
      </c>
      <c r="T24" s="28" t="s">
        <v>1419</v>
      </c>
      <c r="U24" s="28" t="s">
        <v>1421</v>
      </c>
      <c r="V24" s="28" t="s">
        <v>1421</v>
      </c>
      <c r="W24" s="28" t="s">
        <v>1421</v>
      </c>
      <c r="X24" s="28" t="s">
        <v>1421</v>
      </c>
      <c r="Y24" s="28" t="s">
        <v>1421</v>
      </c>
      <c r="Z24" s="28" t="s">
        <v>1421</v>
      </c>
      <c r="AA24" s="28" t="s">
        <v>1421</v>
      </c>
      <c r="AB24" s="28" t="s">
        <v>1421</v>
      </c>
      <c r="AC24" s="28" t="s">
        <v>1421</v>
      </c>
      <c r="AD24" s="28" t="s">
        <v>1421</v>
      </c>
      <c r="AE24" s="28" t="s">
        <v>1421</v>
      </c>
      <c r="AF24" s="28" t="s">
        <v>1421</v>
      </c>
      <c r="AG24" s="28" t="s">
        <v>1421</v>
      </c>
      <c r="AH24" s="28" t="s">
        <v>1421</v>
      </c>
      <c r="AI24" s="28" t="s">
        <v>1421</v>
      </c>
      <c r="AJ24" s="28" t="s">
        <v>1421</v>
      </c>
      <c r="AK24" s="29" t="s">
        <v>1421</v>
      </c>
      <c r="AL24" s="29" t="s">
        <v>1421</v>
      </c>
    </row>
    <row r="25" spans="1:38">
      <c r="A25" s="29" t="s">
        <v>1158</v>
      </c>
      <c r="B25" s="28" t="s">
        <v>1421</v>
      </c>
      <c r="C25" s="28" t="s">
        <v>1421</v>
      </c>
      <c r="D25" s="28" t="s">
        <v>1421</v>
      </c>
      <c r="E25" s="28" t="s">
        <v>1421</v>
      </c>
      <c r="F25" s="28" t="s">
        <v>1421</v>
      </c>
      <c r="G25" s="28" t="s">
        <v>1421</v>
      </c>
      <c r="H25" s="28" t="s">
        <v>1421</v>
      </c>
      <c r="I25" s="28" t="s">
        <v>1421</v>
      </c>
      <c r="J25" s="28" t="s">
        <v>1421</v>
      </c>
      <c r="K25" s="28" t="s">
        <v>1421</v>
      </c>
      <c r="L25" s="28" t="s">
        <v>1421</v>
      </c>
      <c r="M25" s="28" t="s">
        <v>1421</v>
      </c>
      <c r="N25" s="28" t="s">
        <v>1421</v>
      </c>
      <c r="O25" s="28" t="s">
        <v>1421</v>
      </c>
      <c r="P25" s="28" t="s">
        <v>1421</v>
      </c>
      <c r="Q25" s="28" t="s">
        <v>1421</v>
      </c>
      <c r="R25" s="28" t="s">
        <v>1421</v>
      </c>
      <c r="S25" s="28" t="s">
        <v>1421</v>
      </c>
      <c r="T25" s="28" t="s">
        <v>1421</v>
      </c>
      <c r="U25" s="28" t="s">
        <v>1421</v>
      </c>
      <c r="V25" s="28" t="s">
        <v>1421</v>
      </c>
      <c r="W25" s="28" t="s">
        <v>1421</v>
      </c>
      <c r="X25" s="28" t="s">
        <v>1421</v>
      </c>
      <c r="Y25" s="28" t="s">
        <v>1421</v>
      </c>
      <c r="Z25" s="28" t="s">
        <v>1421</v>
      </c>
      <c r="AA25" s="28" t="s">
        <v>1421</v>
      </c>
      <c r="AB25" s="28" t="s">
        <v>1421</v>
      </c>
      <c r="AC25" s="28" t="s">
        <v>1421</v>
      </c>
      <c r="AD25" s="28" t="s">
        <v>1421</v>
      </c>
      <c r="AE25" s="28" t="s">
        <v>1421</v>
      </c>
      <c r="AF25" s="28" t="s">
        <v>1421</v>
      </c>
      <c r="AG25" s="28" t="s">
        <v>1421</v>
      </c>
      <c r="AH25" s="28" t="s">
        <v>1421</v>
      </c>
      <c r="AI25" s="28" t="s">
        <v>1421</v>
      </c>
      <c r="AJ25" s="28" t="s">
        <v>1421</v>
      </c>
      <c r="AK25" s="29" t="s">
        <v>1421</v>
      </c>
      <c r="AL25" s="29" t="s">
        <v>1421</v>
      </c>
    </row>
    <row r="26" spans="1:38">
      <c r="A26" s="29" t="s">
        <v>1154</v>
      </c>
      <c r="B26" s="28" t="s">
        <v>1420</v>
      </c>
      <c r="C26" s="28" t="s">
        <v>1420</v>
      </c>
      <c r="D26" s="28" t="s">
        <v>1420</v>
      </c>
      <c r="E26" s="28" t="s">
        <v>1420</v>
      </c>
      <c r="F26" s="28" t="s">
        <v>1420</v>
      </c>
      <c r="G26" s="28" t="s">
        <v>1421</v>
      </c>
      <c r="H26" s="28" t="s">
        <v>1419</v>
      </c>
      <c r="I26" s="28" t="s">
        <v>1419</v>
      </c>
      <c r="J26" s="28" t="s">
        <v>1419</v>
      </c>
      <c r="K26" s="28" t="s">
        <v>1419</v>
      </c>
      <c r="L26" s="28" t="s">
        <v>1419</v>
      </c>
      <c r="M26" s="28" t="s">
        <v>1421</v>
      </c>
      <c r="N26" s="28" t="s">
        <v>1421</v>
      </c>
      <c r="O26" s="28" t="s">
        <v>1421</v>
      </c>
      <c r="P26" s="28" t="s">
        <v>1421</v>
      </c>
      <c r="Q26" s="28" t="s">
        <v>1421</v>
      </c>
      <c r="R26" s="28" t="s">
        <v>1421</v>
      </c>
      <c r="S26" s="28" t="s">
        <v>1421</v>
      </c>
      <c r="T26" s="28" t="s">
        <v>1421</v>
      </c>
      <c r="U26" s="28" t="s">
        <v>1421</v>
      </c>
      <c r="V26" s="28" t="s">
        <v>1421</v>
      </c>
      <c r="W26" s="28" t="s">
        <v>1422</v>
      </c>
      <c r="X26" s="28" t="s">
        <v>1422</v>
      </c>
      <c r="Y26" s="28" t="s">
        <v>1422</v>
      </c>
      <c r="Z26" s="28" t="s">
        <v>1422</v>
      </c>
      <c r="AA26" s="28" t="s">
        <v>1422</v>
      </c>
      <c r="AB26" s="28" t="s">
        <v>1422</v>
      </c>
      <c r="AC26" s="28" t="s">
        <v>1422</v>
      </c>
      <c r="AD26" s="28" t="s">
        <v>1422</v>
      </c>
      <c r="AE26" s="28" t="s">
        <v>1422</v>
      </c>
      <c r="AF26" s="28" t="s">
        <v>1422</v>
      </c>
      <c r="AG26" s="28" t="s">
        <v>1422</v>
      </c>
      <c r="AH26" s="28" t="s">
        <v>1422</v>
      </c>
      <c r="AI26" s="28" t="s">
        <v>1422</v>
      </c>
      <c r="AJ26" s="28" t="s">
        <v>1422</v>
      </c>
      <c r="AK26" s="29" t="s">
        <v>1422</v>
      </c>
      <c r="AL26" s="29" t="s">
        <v>1422</v>
      </c>
    </row>
    <row r="27" spans="1:38">
      <c r="A27" s="29" t="s">
        <v>1161</v>
      </c>
      <c r="B27" s="28" t="s">
        <v>1421</v>
      </c>
      <c r="C27" s="28" t="s">
        <v>1421</v>
      </c>
      <c r="D27" s="28" t="s">
        <v>1421</v>
      </c>
      <c r="E27" s="28" t="s">
        <v>1421</v>
      </c>
      <c r="F27" s="28" t="s">
        <v>1422</v>
      </c>
      <c r="G27" s="28" t="s">
        <v>1422</v>
      </c>
      <c r="H27" s="28" t="s">
        <v>1421</v>
      </c>
      <c r="I27" s="28" t="s">
        <v>1421</v>
      </c>
      <c r="J27" s="28" t="s">
        <v>1421</v>
      </c>
      <c r="K27" s="28" t="s">
        <v>1421</v>
      </c>
      <c r="L27" s="28" t="s">
        <v>1422</v>
      </c>
      <c r="M27" s="28" t="s">
        <v>1422</v>
      </c>
      <c r="N27" s="28" t="s">
        <v>1422</v>
      </c>
      <c r="O27" s="28" t="s">
        <v>1422</v>
      </c>
      <c r="P27" s="28" t="s">
        <v>1422</v>
      </c>
      <c r="Q27" s="28" t="s">
        <v>1422</v>
      </c>
      <c r="R27" s="28" t="s">
        <v>1422</v>
      </c>
      <c r="S27" s="28" t="s">
        <v>1422</v>
      </c>
      <c r="T27" s="28" t="s">
        <v>1422</v>
      </c>
      <c r="U27" s="28" t="s">
        <v>1422</v>
      </c>
      <c r="V27" s="28" t="s">
        <v>1422</v>
      </c>
      <c r="W27" s="28" t="s">
        <v>1422</v>
      </c>
      <c r="X27" s="28" t="s">
        <v>1422</v>
      </c>
      <c r="Y27" s="28" t="s">
        <v>1422</v>
      </c>
      <c r="Z27" s="28" t="s">
        <v>1422</v>
      </c>
      <c r="AA27" s="28" t="s">
        <v>1422</v>
      </c>
      <c r="AB27" s="28" t="s">
        <v>1422</v>
      </c>
      <c r="AC27" s="28" t="s">
        <v>1422</v>
      </c>
      <c r="AD27" s="28" t="s">
        <v>1422</v>
      </c>
      <c r="AE27" s="28" t="s">
        <v>1422</v>
      </c>
      <c r="AF27" s="28" t="s">
        <v>1422</v>
      </c>
      <c r="AG27" s="28" t="s">
        <v>1422</v>
      </c>
      <c r="AH27" s="28" t="s">
        <v>1422</v>
      </c>
      <c r="AI27" s="28" t="s">
        <v>1422</v>
      </c>
      <c r="AJ27" s="28" t="s">
        <v>1422</v>
      </c>
      <c r="AK27" s="29" t="s">
        <v>1422</v>
      </c>
      <c r="AL27" s="29" t="s">
        <v>1422</v>
      </c>
    </row>
    <row r="28" spans="1:38">
      <c r="A28" s="29" t="s">
        <v>211</v>
      </c>
      <c r="B28" s="28" t="s">
        <v>1422</v>
      </c>
      <c r="C28" s="28" t="s">
        <v>1421</v>
      </c>
      <c r="D28" s="28" t="s">
        <v>1422</v>
      </c>
      <c r="E28" s="28" t="s">
        <v>1422</v>
      </c>
      <c r="F28" s="28" t="s">
        <v>1422</v>
      </c>
      <c r="G28" s="28" t="s">
        <v>1422</v>
      </c>
      <c r="H28" s="28" t="s">
        <v>1422</v>
      </c>
      <c r="I28" s="28" t="s">
        <v>1422</v>
      </c>
      <c r="J28" s="28" t="s">
        <v>1422</v>
      </c>
      <c r="K28" s="28" t="s">
        <v>1422</v>
      </c>
      <c r="L28" s="28" t="s">
        <v>1422</v>
      </c>
      <c r="M28" s="28" t="s">
        <v>1422</v>
      </c>
      <c r="N28" s="28" t="s">
        <v>1422</v>
      </c>
      <c r="O28" s="28" t="s">
        <v>1422</v>
      </c>
      <c r="P28" s="28" t="s">
        <v>1422</v>
      </c>
      <c r="Q28" s="28" t="s">
        <v>1421</v>
      </c>
      <c r="R28" s="28" t="s">
        <v>1421</v>
      </c>
      <c r="S28" s="28" t="s">
        <v>1421</v>
      </c>
      <c r="T28" s="28" t="s">
        <v>1421</v>
      </c>
      <c r="U28" s="28" t="s">
        <v>1422</v>
      </c>
      <c r="V28" s="28" t="s">
        <v>1422</v>
      </c>
      <c r="W28" s="28" t="s">
        <v>1422</v>
      </c>
      <c r="X28" s="28" t="s">
        <v>1422</v>
      </c>
      <c r="Y28" s="28" t="s">
        <v>1422</v>
      </c>
      <c r="Z28" s="28" t="s">
        <v>1422</v>
      </c>
      <c r="AA28" s="28" t="s">
        <v>1422</v>
      </c>
      <c r="AB28" s="28" t="s">
        <v>1422</v>
      </c>
      <c r="AC28" s="28" t="s">
        <v>1422</v>
      </c>
      <c r="AD28" s="28" t="s">
        <v>1422</v>
      </c>
      <c r="AE28" s="28" t="s">
        <v>1422</v>
      </c>
      <c r="AF28" s="28" t="s">
        <v>1422</v>
      </c>
      <c r="AG28" s="28" t="s">
        <v>1422</v>
      </c>
      <c r="AH28" s="28" t="s">
        <v>1422</v>
      </c>
      <c r="AI28" s="28" t="s">
        <v>1422</v>
      </c>
      <c r="AJ28" s="28" t="s">
        <v>1422</v>
      </c>
      <c r="AK28" s="29" t="s">
        <v>1422</v>
      </c>
      <c r="AL28" s="29" t="s">
        <v>1422</v>
      </c>
    </row>
    <row r="29" spans="1:38">
      <c r="A29" s="29" t="s">
        <v>1355</v>
      </c>
      <c r="B29" s="28" t="s">
        <v>1420</v>
      </c>
      <c r="C29" s="28" t="s">
        <v>1420</v>
      </c>
      <c r="D29" s="28" t="s">
        <v>1420</v>
      </c>
      <c r="E29" s="28" t="s">
        <v>1420</v>
      </c>
      <c r="F29" s="28" t="s">
        <v>1420</v>
      </c>
      <c r="G29" s="28" t="s">
        <v>1420</v>
      </c>
      <c r="H29" s="28" t="s">
        <v>1420</v>
      </c>
      <c r="I29" s="28" t="s">
        <v>1420</v>
      </c>
      <c r="J29" s="28" t="s">
        <v>1420</v>
      </c>
      <c r="K29" s="28" t="s">
        <v>1420</v>
      </c>
      <c r="L29" s="28" t="s">
        <v>1420</v>
      </c>
      <c r="M29" s="28" t="s">
        <v>1420</v>
      </c>
      <c r="N29" s="28" t="s">
        <v>1420</v>
      </c>
      <c r="O29" s="28" t="s">
        <v>1420</v>
      </c>
      <c r="P29" s="28" t="s">
        <v>1420</v>
      </c>
      <c r="Q29" s="28" t="s">
        <v>1420</v>
      </c>
      <c r="R29" s="28" t="s">
        <v>1420</v>
      </c>
      <c r="S29" s="28" t="s">
        <v>1420</v>
      </c>
      <c r="T29" s="28" t="s">
        <v>1420</v>
      </c>
      <c r="U29" s="28" t="s">
        <v>1420</v>
      </c>
      <c r="V29" s="28" t="s">
        <v>1420</v>
      </c>
      <c r="W29" s="28" t="s">
        <v>1420</v>
      </c>
      <c r="X29" s="28" t="s">
        <v>1420</v>
      </c>
      <c r="Y29" s="28" t="s">
        <v>1420</v>
      </c>
      <c r="Z29" s="28" t="s">
        <v>1420</v>
      </c>
      <c r="AA29" s="28" t="s">
        <v>1420</v>
      </c>
      <c r="AB29" s="28" t="s">
        <v>1420</v>
      </c>
      <c r="AC29" s="28" t="s">
        <v>1420</v>
      </c>
      <c r="AD29" s="28" t="s">
        <v>1423</v>
      </c>
      <c r="AE29" s="28" t="s">
        <v>1423</v>
      </c>
      <c r="AF29" s="28" t="s">
        <v>1423</v>
      </c>
      <c r="AG29" s="28" t="s">
        <v>1423</v>
      </c>
      <c r="AH29" s="28" t="s">
        <v>1423</v>
      </c>
      <c r="AI29" s="28" t="s">
        <v>1423</v>
      </c>
      <c r="AJ29" s="28" t="s">
        <v>1423</v>
      </c>
      <c r="AK29" s="29" t="s">
        <v>1423</v>
      </c>
      <c r="AL29" s="29" t="s">
        <v>1423</v>
      </c>
    </row>
    <row r="30" spans="1:38">
      <c r="A30" s="29" t="s">
        <v>1160</v>
      </c>
      <c r="B30" s="28" t="s">
        <v>1423</v>
      </c>
      <c r="C30" s="28" t="s">
        <v>1420</v>
      </c>
      <c r="D30" s="28" t="s">
        <v>1420</v>
      </c>
      <c r="E30" s="28" t="s">
        <v>1423</v>
      </c>
      <c r="F30" s="28" t="s">
        <v>1423</v>
      </c>
      <c r="G30" s="28" t="s">
        <v>1423</v>
      </c>
      <c r="H30" s="28" t="s">
        <v>1423</v>
      </c>
      <c r="I30" s="28" t="s">
        <v>1423</v>
      </c>
      <c r="J30" s="28" t="s">
        <v>1423</v>
      </c>
      <c r="K30" s="28" t="s">
        <v>1423</v>
      </c>
      <c r="L30" s="28" t="s">
        <v>1423</v>
      </c>
      <c r="M30" s="28" t="s">
        <v>1423</v>
      </c>
      <c r="N30" s="28" t="s">
        <v>1423</v>
      </c>
      <c r="O30" s="28" t="s">
        <v>1423</v>
      </c>
      <c r="P30" s="28" t="s">
        <v>1423</v>
      </c>
      <c r="Q30" s="28" t="s">
        <v>1423</v>
      </c>
      <c r="R30" s="28" t="s">
        <v>1423</v>
      </c>
      <c r="S30" s="28" t="s">
        <v>1423</v>
      </c>
      <c r="T30" s="28" t="s">
        <v>1423</v>
      </c>
      <c r="U30" s="28" t="s">
        <v>1423</v>
      </c>
      <c r="V30" s="28" t="s">
        <v>1423</v>
      </c>
      <c r="W30" s="28" t="s">
        <v>1423</v>
      </c>
      <c r="X30" s="28" t="s">
        <v>1423</v>
      </c>
      <c r="Y30" s="28" t="s">
        <v>1423</v>
      </c>
      <c r="Z30" s="28" t="s">
        <v>1423</v>
      </c>
      <c r="AA30" s="28" t="s">
        <v>1423</v>
      </c>
      <c r="AB30" s="28" t="s">
        <v>1423</v>
      </c>
      <c r="AC30" s="28" t="s">
        <v>1423</v>
      </c>
      <c r="AD30" s="28" t="s">
        <v>1423</v>
      </c>
      <c r="AE30" s="28" t="s">
        <v>1423</v>
      </c>
      <c r="AF30" s="28" t="s">
        <v>1423</v>
      </c>
      <c r="AG30" s="28" t="s">
        <v>1423</v>
      </c>
      <c r="AH30" s="28" t="s">
        <v>1423</v>
      </c>
      <c r="AI30" s="28" t="s">
        <v>1423</v>
      </c>
      <c r="AJ30" s="28" t="s">
        <v>1423</v>
      </c>
      <c r="AK30" s="29" t="s">
        <v>1423</v>
      </c>
      <c r="AL30" s="29" t="s">
        <v>1423</v>
      </c>
    </row>
    <row r="31" spans="1:38">
      <c r="A31" s="29" t="s">
        <v>1151</v>
      </c>
      <c r="B31" s="28" t="s">
        <v>1420</v>
      </c>
      <c r="C31" s="28" t="s">
        <v>1420</v>
      </c>
      <c r="D31" s="28" t="s">
        <v>1421</v>
      </c>
      <c r="E31" s="28" t="s">
        <v>1421</v>
      </c>
      <c r="F31" s="28" t="s">
        <v>1421</v>
      </c>
      <c r="G31" s="28" t="s">
        <v>1421</v>
      </c>
      <c r="H31" s="28" t="s">
        <v>1421</v>
      </c>
      <c r="I31" s="28" t="s">
        <v>1421</v>
      </c>
      <c r="J31" s="28" t="s">
        <v>1421</v>
      </c>
      <c r="K31" s="28" t="s">
        <v>1421</v>
      </c>
      <c r="L31" s="28" t="s">
        <v>1421</v>
      </c>
      <c r="M31" s="28" t="s">
        <v>1421</v>
      </c>
      <c r="N31" s="28" t="s">
        <v>1421</v>
      </c>
      <c r="O31" s="28" t="s">
        <v>1421</v>
      </c>
      <c r="P31" s="28" t="s">
        <v>1421</v>
      </c>
      <c r="Q31" s="28" t="s">
        <v>1421</v>
      </c>
      <c r="R31" s="28" t="s">
        <v>1421</v>
      </c>
      <c r="S31" s="28" t="s">
        <v>1421</v>
      </c>
      <c r="T31" s="28" t="s">
        <v>1421</v>
      </c>
      <c r="U31" s="28" t="s">
        <v>1422</v>
      </c>
      <c r="V31" s="28" t="s">
        <v>1422</v>
      </c>
      <c r="W31" s="28" t="s">
        <v>1422</v>
      </c>
      <c r="X31" s="28" t="s">
        <v>1422</v>
      </c>
      <c r="Y31" s="28" t="s">
        <v>1422</v>
      </c>
      <c r="Z31" s="28" t="s">
        <v>1422</v>
      </c>
      <c r="AA31" s="28" t="s">
        <v>1422</v>
      </c>
      <c r="AB31" s="28" t="s">
        <v>1422</v>
      </c>
      <c r="AC31" s="28" t="s">
        <v>1422</v>
      </c>
      <c r="AD31" s="28" t="s">
        <v>1422</v>
      </c>
      <c r="AE31" s="28" t="s">
        <v>1422</v>
      </c>
      <c r="AF31" s="28" t="s">
        <v>1422</v>
      </c>
      <c r="AG31" s="28" t="s">
        <v>1422</v>
      </c>
      <c r="AH31" s="28" t="s">
        <v>1422</v>
      </c>
      <c r="AI31" s="28" t="s">
        <v>1422</v>
      </c>
      <c r="AJ31" s="28" t="s">
        <v>1422</v>
      </c>
      <c r="AK31" s="29" t="s">
        <v>1422</v>
      </c>
      <c r="AL31" s="29" t="s">
        <v>1423</v>
      </c>
    </row>
    <row r="32" spans="1:38">
      <c r="A32" s="29" t="s">
        <v>1149</v>
      </c>
      <c r="B32" s="28" t="s">
        <v>1419</v>
      </c>
      <c r="C32" s="28" t="s">
        <v>1419</v>
      </c>
      <c r="D32" s="28" t="s">
        <v>1419</v>
      </c>
      <c r="E32" s="28" t="s">
        <v>1419</v>
      </c>
      <c r="F32" s="28" t="s">
        <v>1419</v>
      </c>
      <c r="G32" s="28" t="s">
        <v>1419</v>
      </c>
      <c r="H32" s="28" t="s">
        <v>1419</v>
      </c>
      <c r="I32" s="28" t="s">
        <v>1419</v>
      </c>
      <c r="J32" s="28" t="s">
        <v>1419</v>
      </c>
      <c r="K32" s="28" t="s">
        <v>1419</v>
      </c>
      <c r="L32" s="28" t="s">
        <v>1419</v>
      </c>
      <c r="M32" s="28" t="s">
        <v>1419</v>
      </c>
      <c r="N32" s="28" t="s">
        <v>1419</v>
      </c>
      <c r="O32" s="28" t="s">
        <v>1419</v>
      </c>
      <c r="P32" s="28" t="s">
        <v>1419</v>
      </c>
      <c r="Q32" s="28" t="s">
        <v>1419</v>
      </c>
      <c r="R32" s="28" t="s">
        <v>1419</v>
      </c>
      <c r="S32" s="28" t="s">
        <v>1419</v>
      </c>
      <c r="T32" s="28" t="s">
        <v>1419</v>
      </c>
      <c r="U32" s="28" t="s">
        <v>1419</v>
      </c>
      <c r="V32" s="28" t="s">
        <v>1419</v>
      </c>
      <c r="W32" s="28" t="s">
        <v>1419</v>
      </c>
      <c r="X32" s="28" t="s">
        <v>1419</v>
      </c>
      <c r="Y32" s="28" t="s">
        <v>1419</v>
      </c>
      <c r="Z32" s="28" t="s">
        <v>1419</v>
      </c>
      <c r="AA32" s="28" t="s">
        <v>1419</v>
      </c>
      <c r="AB32" s="28" t="s">
        <v>1419</v>
      </c>
      <c r="AC32" s="28" t="s">
        <v>1419</v>
      </c>
      <c r="AD32" s="28" t="s">
        <v>1419</v>
      </c>
      <c r="AE32" s="28" t="s">
        <v>1419</v>
      </c>
      <c r="AF32" s="28" t="s">
        <v>1419</v>
      </c>
      <c r="AG32" s="28" t="s">
        <v>1419</v>
      </c>
      <c r="AH32" s="28" t="s">
        <v>1419</v>
      </c>
      <c r="AI32" s="28" t="s">
        <v>1419</v>
      </c>
      <c r="AJ32" s="28" t="s">
        <v>1419</v>
      </c>
      <c r="AK32" s="29" t="s">
        <v>1419</v>
      </c>
      <c r="AL32" s="29" t="s">
        <v>1419</v>
      </c>
    </row>
    <row r="33" spans="1:38">
      <c r="A33" s="29" t="s">
        <v>1146</v>
      </c>
      <c r="B33" s="28" t="s">
        <v>1419</v>
      </c>
      <c r="C33" s="28" t="s">
        <v>1419</v>
      </c>
      <c r="D33" s="28" t="s">
        <v>1419</v>
      </c>
      <c r="E33" s="28" t="s">
        <v>1419</v>
      </c>
      <c r="F33" s="28" t="s">
        <v>1419</v>
      </c>
      <c r="G33" s="28" t="s">
        <v>1419</v>
      </c>
      <c r="H33" s="28" t="s">
        <v>1419</v>
      </c>
      <c r="I33" s="28" t="s">
        <v>1419</v>
      </c>
      <c r="J33" s="28" t="s">
        <v>1419</v>
      </c>
      <c r="K33" s="28" t="s">
        <v>1419</v>
      </c>
      <c r="L33" s="28" t="s">
        <v>1419</v>
      </c>
      <c r="M33" s="28" t="s">
        <v>1419</v>
      </c>
      <c r="N33" s="28" t="s">
        <v>1419</v>
      </c>
      <c r="O33" s="28" t="s">
        <v>1419</v>
      </c>
      <c r="P33" s="28" t="s">
        <v>1419</v>
      </c>
      <c r="Q33" s="28" t="s">
        <v>1419</v>
      </c>
      <c r="R33" s="28" t="s">
        <v>1419</v>
      </c>
      <c r="S33" s="28" t="s">
        <v>1419</v>
      </c>
      <c r="T33" s="28" t="s">
        <v>1419</v>
      </c>
      <c r="U33" s="28" t="s">
        <v>1419</v>
      </c>
      <c r="V33" s="28" t="s">
        <v>1419</v>
      </c>
      <c r="W33" s="28" t="s">
        <v>1419</v>
      </c>
      <c r="X33" s="28" t="s">
        <v>1419</v>
      </c>
      <c r="Y33" s="28" t="s">
        <v>1419</v>
      </c>
      <c r="Z33" s="28" t="s">
        <v>1419</v>
      </c>
      <c r="AA33" s="28" t="s">
        <v>1419</v>
      </c>
      <c r="AB33" s="28" t="s">
        <v>1419</v>
      </c>
      <c r="AC33" s="28" t="s">
        <v>1419</v>
      </c>
      <c r="AD33" s="28" t="s">
        <v>1419</v>
      </c>
      <c r="AE33" s="28" t="s">
        <v>1419</v>
      </c>
      <c r="AF33" s="28" t="s">
        <v>1419</v>
      </c>
      <c r="AG33" s="28" t="s">
        <v>1419</v>
      </c>
      <c r="AH33" s="28" t="s">
        <v>1419</v>
      </c>
      <c r="AI33" s="28" t="s">
        <v>1419</v>
      </c>
      <c r="AJ33" s="28" t="s">
        <v>1419</v>
      </c>
      <c r="AK33" s="29" t="s">
        <v>1419</v>
      </c>
      <c r="AL33" s="29" t="s">
        <v>1419</v>
      </c>
    </row>
    <row r="34" spans="1:38">
      <c r="A34" s="29" t="s">
        <v>1173</v>
      </c>
      <c r="B34" s="28" t="s">
        <v>1420</v>
      </c>
      <c r="C34" s="28" t="s">
        <v>1421</v>
      </c>
      <c r="D34" s="28" t="s">
        <v>1421</v>
      </c>
      <c r="E34" s="28" t="s">
        <v>1421</v>
      </c>
      <c r="F34" s="28" t="s">
        <v>1421</v>
      </c>
      <c r="G34" s="28" t="s">
        <v>1421</v>
      </c>
      <c r="H34" s="28" t="s">
        <v>1421</v>
      </c>
      <c r="I34" s="28" t="s">
        <v>1421</v>
      </c>
      <c r="J34" s="28" t="s">
        <v>1421</v>
      </c>
      <c r="K34" s="28" t="s">
        <v>1421</v>
      </c>
      <c r="L34" s="28" t="s">
        <v>1421</v>
      </c>
      <c r="M34" s="28" t="s">
        <v>1421</v>
      </c>
      <c r="N34" s="28" t="s">
        <v>1421</v>
      </c>
      <c r="O34" s="28" t="s">
        <v>1421</v>
      </c>
      <c r="P34" s="28" t="s">
        <v>1421</v>
      </c>
      <c r="Q34" s="28" t="s">
        <v>1421</v>
      </c>
      <c r="R34" s="28" t="s">
        <v>1421</v>
      </c>
      <c r="S34" s="28" t="s">
        <v>1421</v>
      </c>
      <c r="T34" s="28" t="s">
        <v>1421</v>
      </c>
      <c r="U34" s="28" t="s">
        <v>1421</v>
      </c>
      <c r="V34" s="28" t="s">
        <v>1421</v>
      </c>
      <c r="W34" s="28" t="s">
        <v>1421</v>
      </c>
      <c r="X34" s="28" t="s">
        <v>1421</v>
      </c>
      <c r="Y34" s="28" t="s">
        <v>1421</v>
      </c>
      <c r="Z34" s="28" t="s">
        <v>1421</v>
      </c>
      <c r="AA34" s="28" t="s">
        <v>1421</v>
      </c>
      <c r="AB34" s="28" t="s">
        <v>1421</v>
      </c>
      <c r="AC34" s="28" t="s">
        <v>1421</v>
      </c>
      <c r="AD34" s="28" t="s">
        <v>1421</v>
      </c>
      <c r="AE34" s="28" t="s">
        <v>1421</v>
      </c>
      <c r="AF34" s="28" t="s">
        <v>1421</v>
      </c>
      <c r="AG34" s="28" t="s">
        <v>1421</v>
      </c>
      <c r="AH34" s="28" t="s">
        <v>1421</v>
      </c>
      <c r="AI34" s="28" t="s">
        <v>1421</v>
      </c>
      <c r="AJ34" s="28" t="s">
        <v>1421</v>
      </c>
      <c r="AK34" s="29" t="s">
        <v>1421</v>
      </c>
      <c r="AL34" s="29" t="s">
        <v>1421</v>
      </c>
    </row>
    <row r="35" spans="1:38">
      <c r="A35" s="29" t="s">
        <v>1236</v>
      </c>
      <c r="B35" s="28" t="s">
        <v>1419</v>
      </c>
      <c r="C35" s="28" t="s">
        <v>1419</v>
      </c>
      <c r="D35" s="28" t="s">
        <v>1419</v>
      </c>
      <c r="E35" s="28" t="s">
        <v>1419</v>
      </c>
      <c r="F35" s="28" t="s">
        <v>1419</v>
      </c>
      <c r="G35" s="28" t="s">
        <v>1419</v>
      </c>
      <c r="H35" s="28" t="s">
        <v>1419</v>
      </c>
      <c r="I35" s="28" t="s">
        <v>1419</v>
      </c>
      <c r="J35" s="28" t="s">
        <v>1419</v>
      </c>
      <c r="K35" s="28" t="s">
        <v>1419</v>
      </c>
      <c r="L35" s="28" t="s">
        <v>1419</v>
      </c>
      <c r="M35" s="28" t="s">
        <v>1419</v>
      </c>
      <c r="N35" s="28" t="s">
        <v>1419</v>
      </c>
      <c r="O35" s="28" t="s">
        <v>1419</v>
      </c>
      <c r="P35" s="28" t="s">
        <v>1419</v>
      </c>
      <c r="Q35" s="28" t="s">
        <v>1419</v>
      </c>
      <c r="R35" s="28" t="s">
        <v>1419</v>
      </c>
      <c r="S35" s="28" t="s">
        <v>1419</v>
      </c>
      <c r="T35" s="28" t="s">
        <v>1419</v>
      </c>
      <c r="U35" s="28" t="s">
        <v>1419</v>
      </c>
      <c r="V35" s="28" t="s">
        <v>1419</v>
      </c>
      <c r="W35" s="28" t="s">
        <v>1419</v>
      </c>
      <c r="X35" s="28" t="s">
        <v>1419</v>
      </c>
      <c r="Y35" s="28" t="s">
        <v>1419</v>
      </c>
      <c r="Z35" s="28" t="s">
        <v>1419</v>
      </c>
      <c r="AA35" s="28" t="s">
        <v>1419</v>
      </c>
      <c r="AB35" s="28" t="s">
        <v>1419</v>
      </c>
      <c r="AC35" s="28" t="s">
        <v>1419</v>
      </c>
      <c r="AD35" s="28" t="s">
        <v>1421</v>
      </c>
      <c r="AE35" s="28" t="s">
        <v>1421</v>
      </c>
      <c r="AF35" s="28" t="s">
        <v>1421</v>
      </c>
      <c r="AG35" s="28" t="s">
        <v>1421</v>
      </c>
      <c r="AH35" s="28" t="s">
        <v>1421</v>
      </c>
      <c r="AI35" s="28" t="s">
        <v>1421</v>
      </c>
      <c r="AJ35" s="28" t="s">
        <v>1421</v>
      </c>
      <c r="AK35" s="29" t="s">
        <v>1421</v>
      </c>
      <c r="AL35" s="29" t="s">
        <v>1421</v>
      </c>
    </row>
    <row r="36" spans="1:38">
      <c r="A36" s="29" t="s">
        <v>1169</v>
      </c>
      <c r="B36" s="28" t="s">
        <v>1421</v>
      </c>
      <c r="C36" s="28" t="s">
        <v>1421</v>
      </c>
      <c r="D36" s="28" t="s">
        <v>1421</v>
      </c>
      <c r="E36" s="28" t="s">
        <v>1421</v>
      </c>
      <c r="F36" s="28" t="s">
        <v>1421</v>
      </c>
      <c r="G36" s="28" t="s">
        <v>1421</v>
      </c>
      <c r="H36" s="28" t="s">
        <v>1421</v>
      </c>
      <c r="I36" s="28" t="s">
        <v>1419</v>
      </c>
      <c r="J36" s="28" t="s">
        <v>1419</v>
      </c>
      <c r="K36" s="28" t="s">
        <v>1419</v>
      </c>
      <c r="L36" s="28" t="s">
        <v>1419</v>
      </c>
      <c r="M36" s="28" t="s">
        <v>1419</v>
      </c>
      <c r="N36" s="28" t="s">
        <v>1419</v>
      </c>
      <c r="O36" s="28" t="s">
        <v>1419</v>
      </c>
      <c r="P36" s="28" t="s">
        <v>1419</v>
      </c>
      <c r="Q36" s="28" t="s">
        <v>1419</v>
      </c>
      <c r="R36" s="28" t="s">
        <v>1419</v>
      </c>
      <c r="S36" s="28" t="s">
        <v>1419</v>
      </c>
      <c r="T36" s="28" t="s">
        <v>1421</v>
      </c>
      <c r="U36" s="28" t="s">
        <v>1421</v>
      </c>
      <c r="V36" s="28" t="s">
        <v>1421</v>
      </c>
      <c r="W36" s="28" t="s">
        <v>1421</v>
      </c>
      <c r="X36" s="28" t="s">
        <v>1421</v>
      </c>
      <c r="Y36" s="28" t="s">
        <v>1421</v>
      </c>
      <c r="Z36" s="28" t="s">
        <v>1421</v>
      </c>
      <c r="AA36" s="28" t="s">
        <v>1421</v>
      </c>
      <c r="AB36" s="28" t="s">
        <v>1421</v>
      </c>
      <c r="AC36" s="28" t="s">
        <v>1421</v>
      </c>
      <c r="AD36" s="28" t="s">
        <v>1421</v>
      </c>
      <c r="AE36" s="28" t="s">
        <v>1421</v>
      </c>
      <c r="AF36" s="28" t="s">
        <v>1421</v>
      </c>
      <c r="AG36" s="28" t="s">
        <v>1421</v>
      </c>
      <c r="AH36" s="28" t="s">
        <v>1421</v>
      </c>
      <c r="AI36" s="28" t="s">
        <v>1421</v>
      </c>
      <c r="AJ36" s="28" t="s">
        <v>1421</v>
      </c>
      <c r="AK36" s="29" t="s">
        <v>1421</v>
      </c>
      <c r="AL36" s="29" t="s">
        <v>1421</v>
      </c>
    </row>
    <row r="37" spans="1:38">
      <c r="A37" s="29" t="s">
        <v>1163</v>
      </c>
      <c r="B37" s="28" t="s">
        <v>1423</v>
      </c>
      <c r="C37" s="28" t="s">
        <v>1423</v>
      </c>
      <c r="D37" s="28" t="s">
        <v>1423</v>
      </c>
      <c r="E37" s="28" t="s">
        <v>1423</v>
      </c>
      <c r="F37" s="28" t="s">
        <v>1423</v>
      </c>
      <c r="G37" s="28" t="s">
        <v>1423</v>
      </c>
      <c r="H37" s="28" t="s">
        <v>1423</v>
      </c>
      <c r="I37" s="28" t="s">
        <v>1423</v>
      </c>
      <c r="J37" s="28" t="s">
        <v>1423</v>
      </c>
      <c r="K37" s="28" t="s">
        <v>1423</v>
      </c>
      <c r="L37" s="28" t="s">
        <v>1423</v>
      </c>
      <c r="M37" s="28" t="s">
        <v>1423</v>
      </c>
      <c r="N37" s="28" t="s">
        <v>1423</v>
      </c>
      <c r="O37" s="28" t="s">
        <v>1423</v>
      </c>
      <c r="P37" s="28" t="s">
        <v>1423</v>
      </c>
      <c r="Q37" s="28" t="s">
        <v>1423</v>
      </c>
      <c r="R37" s="28" t="s">
        <v>1423</v>
      </c>
      <c r="S37" s="28" t="s">
        <v>1423</v>
      </c>
      <c r="T37" s="28" t="s">
        <v>1423</v>
      </c>
      <c r="U37" s="28" t="s">
        <v>1423</v>
      </c>
      <c r="V37" s="28" t="s">
        <v>1423</v>
      </c>
      <c r="W37" s="28" t="s">
        <v>1423</v>
      </c>
      <c r="X37" s="28" t="s">
        <v>1423</v>
      </c>
      <c r="Y37" s="28" t="s">
        <v>1423</v>
      </c>
      <c r="Z37" s="28" t="s">
        <v>1423</v>
      </c>
      <c r="AA37" s="28" t="s">
        <v>1423</v>
      </c>
      <c r="AB37" s="28" t="s">
        <v>1423</v>
      </c>
      <c r="AC37" s="28" t="s">
        <v>1423</v>
      </c>
      <c r="AD37" s="28" t="s">
        <v>1423</v>
      </c>
      <c r="AE37" s="28" t="s">
        <v>1423</v>
      </c>
      <c r="AF37" s="28" t="s">
        <v>1423</v>
      </c>
      <c r="AG37" s="28" t="s">
        <v>1423</v>
      </c>
      <c r="AH37" s="28" t="s">
        <v>1423</v>
      </c>
      <c r="AI37" s="28" t="s">
        <v>1423</v>
      </c>
      <c r="AJ37" s="28" t="s">
        <v>1423</v>
      </c>
      <c r="AK37" s="29" t="s">
        <v>1423</v>
      </c>
      <c r="AL37" s="29" t="s">
        <v>1423</v>
      </c>
    </row>
    <row r="38" spans="1:38">
      <c r="A38" s="29" t="s">
        <v>1177</v>
      </c>
      <c r="B38" s="28" t="s">
        <v>1420</v>
      </c>
      <c r="C38" s="28" t="s">
        <v>1420</v>
      </c>
      <c r="D38" s="28" t="s">
        <v>1420</v>
      </c>
      <c r="E38" s="28" t="s">
        <v>1420</v>
      </c>
      <c r="F38" s="28" t="s">
        <v>1420</v>
      </c>
      <c r="G38" s="28" t="s">
        <v>1420</v>
      </c>
      <c r="H38" s="28" t="s">
        <v>1423</v>
      </c>
      <c r="I38" s="28" t="s">
        <v>1423</v>
      </c>
      <c r="J38" s="28" t="s">
        <v>1423</v>
      </c>
      <c r="K38" s="28" t="s">
        <v>1423</v>
      </c>
      <c r="L38" s="28" t="s">
        <v>1423</v>
      </c>
      <c r="M38" s="28" t="s">
        <v>1423</v>
      </c>
      <c r="N38" s="28" t="s">
        <v>1423</v>
      </c>
      <c r="O38" s="28" t="s">
        <v>1423</v>
      </c>
      <c r="P38" s="28" t="s">
        <v>1423</v>
      </c>
      <c r="Q38" s="28" t="s">
        <v>1423</v>
      </c>
      <c r="R38" s="28" t="s">
        <v>1423</v>
      </c>
      <c r="S38" s="28" t="s">
        <v>1423</v>
      </c>
      <c r="T38" s="28" t="s">
        <v>1423</v>
      </c>
      <c r="U38" s="28" t="s">
        <v>1423</v>
      </c>
      <c r="V38" s="28" t="s">
        <v>1423</v>
      </c>
      <c r="W38" s="28" t="s">
        <v>1423</v>
      </c>
      <c r="X38" s="28" t="s">
        <v>1423</v>
      </c>
      <c r="Y38" s="28" t="s">
        <v>1423</v>
      </c>
      <c r="Z38" s="28" t="s">
        <v>1423</v>
      </c>
      <c r="AA38" s="28" t="s">
        <v>1423</v>
      </c>
      <c r="AB38" s="28" t="s">
        <v>1423</v>
      </c>
      <c r="AC38" s="28" t="s">
        <v>1423</v>
      </c>
      <c r="AD38" s="28" t="s">
        <v>1423</v>
      </c>
      <c r="AE38" s="28" t="s">
        <v>1423</v>
      </c>
      <c r="AF38" s="28" t="s">
        <v>1423</v>
      </c>
      <c r="AG38" s="28" t="s">
        <v>1423</v>
      </c>
      <c r="AH38" s="28" t="s">
        <v>1423</v>
      </c>
      <c r="AI38" s="28" t="s">
        <v>1423</v>
      </c>
      <c r="AJ38" s="28" t="s">
        <v>1423</v>
      </c>
      <c r="AK38" s="29" t="s">
        <v>1423</v>
      </c>
      <c r="AL38" s="29" t="s">
        <v>1423</v>
      </c>
    </row>
    <row r="39" spans="1:38">
      <c r="A39" s="29" t="s">
        <v>1162</v>
      </c>
      <c r="B39" s="28" t="s">
        <v>1419</v>
      </c>
      <c r="C39" s="28" t="s">
        <v>1419</v>
      </c>
      <c r="D39" s="28" t="s">
        <v>1419</v>
      </c>
      <c r="E39" s="28" t="s">
        <v>1419</v>
      </c>
      <c r="F39" s="28" t="s">
        <v>1419</v>
      </c>
      <c r="G39" s="28" t="s">
        <v>1419</v>
      </c>
      <c r="H39" s="28" t="s">
        <v>1419</v>
      </c>
      <c r="I39" s="28" t="s">
        <v>1419</v>
      </c>
      <c r="J39" s="28" t="s">
        <v>1419</v>
      </c>
      <c r="K39" s="28" t="s">
        <v>1419</v>
      </c>
      <c r="L39" s="28" t="s">
        <v>1419</v>
      </c>
      <c r="M39" s="28" t="s">
        <v>1419</v>
      </c>
      <c r="N39" s="28" t="s">
        <v>1419</v>
      </c>
      <c r="O39" s="28" t="s">
        <v>1419</v>
      </c>
      <c r="P39" s="28" t="s">
        <v>1419</v>
      </c>
      <c r="Q39" s="28" t="s">
        <v>1419</v>
      </c>
      <c r="R39" s="28" t="s">
        <v>1419</v>
      </c>
      <c r="S39" s="28" t="s">
        <v>1419</v>
      </c>
      <c r="T39" s="28" t="s">
        <v>1419</v>
      </c>
      <c r="U39" s="28" t="s">
        <v>1419</v>
      </c>
      <c r="V39" s="28" t="s">
        <v>1419</v>
      </c>
      <c r="W39" s="28" t="s">
        <v>1419</v>
      </c>
      <c r="X39" s="28" t="s">
        <v>1419</v>
      </c>
      <c r="Y39" s="28" t="s">
        <v>1419</v>
      </c>
      <c r="Z39" s="28" t="s">
        <v>1419</v>
      </c>
      <c r="AA39" s="28" t="s">
        <v>1419</v>
      </c>
      <c r="AB39" s="28" t="s">
        <v>1419</v>
      </c>
      <c r="AC39" s="28" t="s">
        <v>1419</v>
      </c>
      <c r="AD39" s="28" t="s">
        <v>1419</v>
      </c>
      <c r="AE39" s="28" t="s">
        <v>1419</v>
      </c>
      <c r="AF39" s="28" t="s">
        <v>1419</v>
      </c>
      <c r="AG39" s="28" t="s">
        <v>1419</v>
      </c>
      <c r="AH39" s="28" t="s">
        <v>1419</v>
      </c>
      <c r="AI39" s="28" t="s">
        <v>1419</v>
      </c>
      <c r="AJ39" s="28" t="s">
        <v>1419</v>
      </c>
      <c r="AK39" s="29" t="s">
        <v>1419</v>
      </c>
      <c r="AL39" s="29" t="s">
        <v>1419</v>
      </c>
    </row>
    <row r="40" spans="1:38">
      <c r="A40" s="29" t="s">
        <v>1334</v>
      </c>
      <c r="B40" s="28" t="s">
        <v>1419</v>
      </c>
      <c r="C40" s="28" t="s">
        <v>1419</v>
      </c>
      <c r="D40" s="28" t="s">
        <v>1419</v>
      </c>
      <c r="E40" s="28" t="s">
        <v>1419</v>
      </c>
      <c r="F40" s="28" t="s">
        <v>1419</v>
      </c>
      <c r="G40" s="28" t="s">
        <v>1419</v>
      </c>
      <c r="H40" s="28" t="s">
        <v>1419</v>
      </c>
      <c r="I40" s="28" t="s">
        <v>1419</v>
      </c>
      <c r="J40" s="28" t="s">
        <v>1419</v>
      </c>
      <c r="K40" s="28" t="s">
        <v>1419</v>
      </c>
      <c r="L40" s="28" t="s">
        <v>1419</v>
      </c>
      <c r="M40" s="28" t="s">
        <v>1419</v>
      </c>
      <c r="N40" s="28" t="s">
        <v>1419</v>
      </c>
      <c r="O40" s="28" t="s">
        <v>1419</v>
      </c>
      <c r="P40" s="28" t="s">
        <v>1419</v>
      </c>
      <c r="Q40" s="28" t="s">
        <v>1419</v>
      </c>
      <c r="R40" s="28" t="s">
        <v>1419</v>
      </c>
      <c r="S40" s="28" t="s">
        <v>1419</v>
      </c>
      <c r="T40" s="28" t="s">
        <v>1419</v>
      </c>
      <c r="U40" s="28" t="s">
        <v>1419</v>
      </c>
      <c r="V40" s="28" t="s">
        <v>1419</v>
      </c>
      <c r="W40" s="28" t="s">
        <v>1419</v>
      </c>
      <c r="X40" s="28" t="s">
        <v>1419</v>
      </c>
      <c r="Y40" s="28" t="s">
        <v>1419</v>
      </c>
      <c r="Z40" s="28" t="s">
        <v>1419</v>
      </c>
      <c r="AA40" s="28" t="s">
        <v>1419</v>
      </c>
      <c r="AB40" s="28" t="s">
        <v>1419</v>
      </c>
      <c r="AC40" s="28" t="s">
        <v>1419</v>
      </c>
      <c r="AD40" s="28" t="s">
        <v>1419</v>
      </c>
      <c r="AE40" s="28" t="s">
        <v>1419</v>
      </c>
      <c r="AF40" s="28" t="s">
        <v>1419</v>
      </c>
      <c r="AG40" s="28" t="s">
        <v>1419</v>
      </c>
      <c r="AH40" s="28" t="s">
        <v>1419</v>
      </c>
      <c r="AI40" s="28" t="s">
        <v>1419</v>
      </c>
      <c r="AJ40" s="28" t="s">
        <v>1419</v>
      </c>
      <c r="AK40" s="29" t="s">
        <v>1419</v>
      </c>
      <c r="AL40" s="29" t="s">
        <v>1419</v>
      </c>
    </row>
    <row r="41" spans="1:38">
      <c r="A41" s="29" t="s">
        <v>1166</v>
      </c>
      <c r="B41" s="28" t="s">
        <v>1423</v>
      </c>
      <c r="C41" s="28" t="s">
        <v>1423</v>
      </c>
      <c r="D41" s="28" t="s">
        <v>1423</v>
      </c>
      <c r="E41" s="28" t="s">
        <v>1423</v>
      </c>
      <c r="F41" s="28" t="s">
        <v>1423</v>
      </c>
      <c r="G41" s="28" t="s">
        <v>1423</v>
      </c>
      <c r="H41" s="28" t="s">
        <v>1423</v>
      </c>
      <c r="I41" s="28" t="s">
        <v>1423</v>
      </c>
      <c r="J41" s="28" t="s">
        <v>1423</v>
      </c>
      <c r="K41" s="28" t="s">
        <v>1423</v>
      </c>
      <c r="L41" s="28" t="s">
        <v>1423</v>
      </c>
      <c r="M41" s="28" t="s">
        <v>1423</v>
      </c>
      <c r="N41" s="28" t="s">
        <v>1423</v>
      </c>
      <c r="O41" s="28" t="s">
        <v>1423</v>
      </c>
      <c r="P41" s="28" t="s">
        <v>1423</v>
      </c>
      <c r="Q41" s="28" t="s">
        <v>1423</v>
      </c>
      <c r="R41" s="28" t="s">
        <v>1423</v>
      </c>
      <c r="S41" s="28" t="s">
        <v>1423</v>
      </c>
      <c r="T41" s="28" t="s">
        <v>1423</v>
      </c>
      <c r="U41" s="28" t="s">
        <v>1423</v>
      </c>
      <c r="V41" s="28" t="s">
        <v>1423</v>
      </c>
      <c r="W41" s="28" t="s">
        <v>1423</v>
      </c>
      <c r="X41" s="28" t="s">
        <v>1423</v>
      </c>
      <c r="Y41" s="28" t="s">
        <v>1423</v>
      </c>
      <c r="Z41" s="28" t="s">
        <v>1423</v>
      </c>
      <c r="AA41" s="28" t="s">
        <v>1423</v>
      </c>
      <c r="AB41" s="28" t="s">
        <v>1423</v>
      </c>
      <c r="AC41" s="28" t="s">
        <v>1423</v>
      </c>
      <c r="AD41" s="28" t="s">
        <v>1423</v>
      </c>
      <c r="AE41" s="28" t="s">
        <v>1423</v>
      </c>
      <c r="AF41" s="28" t="s">
        <v>1423</v>
      </c>
      <c r="AG41" s="28" t="s">
        <v>1423</v>
      </c>
      <c r="AH41" s="28" t="s">
        <v>1423</v>
      </c>
      <c r="AI41" s="28" t="s">
        <v>1423</v>
      </c>
      <c r="AJ41" s="28" t="s">
        <v>1423</v>
      </c>
      <c r="AK41" s="29" t="s">
        <v>1423</v>
      </c>
      <c r="AL41" s="29" t="s">
        <v>1423</v>
      </c>
    </row>
    <row r="42" spans="1:38">
      <c r="A42" s="29" t="s">
        <v>1167</v>
      </c>
      <c r="B42" s="28" t="s">
        <v>1421</v>
      </c>
      <c r="C42" s="28" t="s">
        <v>1421</v>
      </c>
      <c r="D42" s="28" t="s">
        <v>1421</v>
      </c>
      <c r="E42" s="28" t="s">
        <v>1421</v>
      </c>
      <c r="F42" s="28" t="s">
        <v>1421</v>
      </c>
      <c r="G42" s="28" t="s">
        <v>1421</v>
      </c>
      <c r="H42" s="28" t="s">
        <v>1422</v>
      </c>
      <c r="I42" s="28" t="s">
        <v>1422</v>
      </c>
      <c r="J42" s="28" t="s">
        <v>1422</v>
      </c>
      <c r="K42" s="28" t="s">
        <v>1422</v>
      </c>
      <c r="L42" s="28" t="s">
        <v>1422</v>
      </c>
      <c r="M42" s="28" t="s">
        <v>1422</v>
      </c>
      <c r="N42" s="28" t="s">
        <v>1422</v>
      </c>
      <c r="O42" s="28" t="s">
        <v>1422</v>
      </c>
      <c r="P42" s="28" t="s">
        <v>1422</v>
      </c>
      <c r="Q42" s="28" t="s">
        <v>1422</v>
      </c>
      <c r="R42" s="28" t="s">
        <v>1422</v>
      </c>
      <c r="S42" s="28" t="s">
        <v>1422</v>
      </c>
      <c r="T42" s="28" t="s">
        <v>1422</v>
      </c>
      <c r="U42" s="28" t="s">
        <v>1422</v>
      </c>
      <c r="V42" s="28" t="s">
        <v>1422</v>
      </c>
      <c r="W42" s="28" t="s">
        <v>1422</v>
      </c>
      <c r="X42" s="28" t="s">
        <v>1422</v>
      </c>
      <c r="Y42" s="28" t="s">
        <v>1422</v>
      </c>
      <c r="Z42" s="28" t="s">
        <v>1422</v>
      </c>
      <c r="AA42" s="28" t="s">
        <v>1423</v>
      </c>
      <c r="AB42" s="28" t="s">
        <v>1423</v>
      </c>
      <c r="AC42" s="28" t="s">
        <v>1423</v>
      </c>
      <c r="AD42" s="28" t="s">
        <v>1423</v>
      </c>
      <c r="AE42" s="28" t="s">
        <v>1423</v>
      </c>
      <c r="AF42" s="28" t="s">
        <v>1423</v>
      </c>
      <c r="AG42" s="28" t="s">
        <v>1423</v>
      </c>
      <c r="AH42" s="28" t="s">
        <v>1423</v>
      </c>
      <c r="AI42" s="28" t="s">
        <v>1423</v>
      </c>
      <c r="AJ42" s="28" t="s">
        <v>1423</v>
      </c>
      <c r="AK42" s="29" t="s">
        <v>1423</v>
      </c>
      <c r="AL42" s="29" t="s">
        <v>1423</v>
      </c>
    </row>
    <row r="43" spans="1:38">
      <c r="A43" s="29" t="s">
        <v>145</v>
      </c>
      <c r="B43" s="28" t="s">
        <v>1419</v>
      </c>
      <c r="C43" s="28" t="s">
        <v>1419</v>
      </c>
      <c r="D43" s="28" t="s">
        <v>1419</v>
      </c>
      <c r="E43" s="28" t="s">
        <v>1419</v>
      </c>
      <c r="F43" s="28" t="s">
        <v>1419</v>
      </c>
      <c r="G43" s="28" t="s">
        <v>1419</v>
      </c>
      <c r="H43" s="28" t="s">
        <v>1419</v>
      </c>
      <c r="I43" s="28" t="s">
        <v>1419</v>
      </c>
      <c r="J43" s="28" t="s">
        <v>1419</v>
      </c>
      <c r="K43" s="28" t="s">
        <v>1419</v>
      </c>
      <c r="L43" s="28" t="s">
        <v>1421</v>
      </c>
      <c r="M43" s="28" t="s">
        <v>1419</v>
      </c>
      <c r="N43" s="28" t="s">
        <v>1421</v>
      </c>
      <c r="O43" s="28" t="s">
        <v>1421</v>
      </c>
      <c r="P43" s="28" t="s">
        <v>1421</v>
      </c>
      <c r="Q43" s="28" t="s">
        <v>1421</v>
      </c>
      <c r="R43" s="28" t="s">
        <v>1421</v>
      </c>
      <c r="S43" s="28" t="s">
        <v>1421</v>
      </c>
      <c r="T43" s="28" t="s">
        <v>1421</v>
      </c>
      <c r="U43" s="28" t="s">
        <v>1421</v>
      </c>
      <c r="V43" s="28" t="s">
        <v>1421</v>
      </c>
      <c r="W43" s="28" t="s">
        <v>1421</v>
      </c>
      <c r="X43" s="28" t="s">
        <v>1421</v>
      </c>
      <c r="Y43" s="28" t="s">
        <v>1422</v>
      </c>
      <c r="Z43" s="28" t="s">
        <v>1422</v>
      </c>
      <c r="AA43" s="28" t="s">
        <v>1422</v>
      </c>
      <c r="AB43" s="28" t="s">
        <v>1422</v>
      </c>
      <c r="AC43" s="28" t="s">
        <v>1422</v>
      </c>
      <c r="AD43" s="28" t="s">
        <v>1422</v>
      </c>
      <c r="AE43" s="28" t="s">
        <v>1422</v>
      </c>
      <c r="AF43" s="28" t="s">
        <v>1422</v>
      </c>
      <c r="AG43" s="28" t="s">
        <v>1422</v>
      </c>
      <c r="AH43" s="28" t="s">
        <v>1422</v>
      </c>
      <c r="AI43" s="28" t="s">
        <v>1422</v>
      </c>
      <c r="AJ43" s="28" t="s">
        <v>1422</v>
      </c>
      <c r="AK43" s="29" t="s">
        <v>1422</v>
      </c>
      <c r="AL43" s="29" t="s">
        <v>1422</v>
      </c>
    </row>
    <row r="44" spans="1:38">
      <c r="A44" s="29" t="s">
        <v>241</v>
      </c>
      <c r="B44" s="28" t="s">
        <v>1421</v>
      </c>
      <c r="C44" s="28" t="s">
        <v>1421</v>
      </c>
      <c r="D44" s="28" t="s">
        <v>1421</v>
      </c>
      <c r="E44" s="28" t="s">
        <v>1421</v>
      </c>
      <c r="F44" s="28" t="s">
        <v>1421</v>
      </c>
      <c r="G44" s="28" t="s">
        <v>1421</v>
      </c>
      <c r="H44" s="28" t="s">
        <v>1421</v>
      </c>
      <c r="I44" s="28" t="s">
        <v>1421</v>
      </c>
      <c r="J44" s="28" t="s">
        <v>1421</v>
      </c>
      <c r="K44" s="28" t="s">
        <v>1421</v>
      </c>
      <c r="L44" s="28" t="s">
        <v>1421</v>
      </c>
      <c r="M44" s="28" t="s">
        <v>1421</v>
      </c>
      <c r="N44" s="28" t="s">
        <v>1421</v>
      </c>
      <c r="O44" s="28" t="s">
        <v>1421</v>
      </c>
      <c r="P44" s="28" t="s">
        <v>1421</v>
      </c>
      <c r="Q44" s="28" t="s">
        <v>1421</v>
      </c>
      <c r="R44" s="28" t="s">
        <v>1421</v>
      </c>
      <c r="S44" s="28" t="s">
        <v>1421</v>
      </c>
      <c r="T44" s="28" t="s">
        <v>1421</v>
      </c>
      <c r="U44" s="28" t="s">
        <v>1421</v>
      </c>
      <c r="V44" s="28" t="s">
        <v>1421</v>
      </c>
      <c r="W44" s="28" t="s">
        <v>1422</v>
      </c>
      <c r="X44" s="28" t="s">
        <v>1422</v>
      </c>
      <c r="Y44" s="28" t="s">
        <v>1422</v>
      </c>
      <c r="Z44" s="28" t="s">
        <v>1422</v>
      </c>
      <c r="AA44" s="28" t="s">
        <v>1422</v>
      </c>
      <c r="AB44" s="28" t="s">
        <v>1422</v>
      </c>
      <c r="AC44" s="28" t="s">
        <v>1422</v>
      </c>
      <c r="AD44" s="28" t="s">
        <v>1422</v>
      </c>
      <c r="AE44" s="28" t="s">
        <v>1422</v>
      </c>
      <c r="AF44" s="28" t="s">
        <v>1422</v>
      </c>
      <c r="AG44" s="28" t="s">
        <v>1422</v>
      </c>
      <c r="AH44" s="28" t="s">
        <v>1422</v>
      </c>
      <c r="AI44" s="28" t="s">
        <v>1422</v>
      </c>
      <c r="AJ44" s="28" t="s">
        <v>1422</v>
      </c>
      <c r="AK44" s="29" t="s">
        <v>1422</v>
      </c>
      <c r="AL44" s="29" t="s">
        <v>1422</v>
      </c>
    </row>
    <row r="45" spans="1:38">
      <c r="A45" s="29" t="s">
        <v>1172</v>
      </c>
      <c r="B45" s="28" t="s">
        <v>1419</v>
      </c>
      <c r="C45" s="28" t="s">
        <v>1419</v>
      </c>
      <c r="D45" s="28" t="s">
        <v>1419</v>
      </c>
      <c r="E45" s="28" t="s">
        <v>1419</v>
      </c>
      <c r="F45" s="28" t="s">
        <v>1419</v>
      </c>
      <c r="G45" s="28" t="s">
        <v>1419</v>
      </c>
      <c r="H45" s="28" t="s">
        <v>1419</v>
      </c>
      <c r="I45" s="28" t="s">
        <v>1419</v>
      </c>
      <c r="J45" s="28" t="s">
        <v>1419</v>
      </c>
      <c r="K45" s="28" t="s">
        <v>1419</v>
      </c>
      <c r="L45" s="28" t="s">
        <v>1419</v>
      </c>
      <c r="M45" s="28" t="s">
        <v>1419</v>
      </c>
      <c r="N45" s="28" t="s">
        <v>1419</v>
      </c>
      <c r="O45" s="28" t="s">
        <v>1419</v>
      </c>
      <c r="P45" s="28" t="s">
        <v>1419</v>
      </c>
      <c r="Q45" s="28" t="s">
        <v>1419</v>
      </c>
      <c r="R45" s="28" t="s">
        <v>1419</v>
      </c>
      <c r="S45" s="28" t="s">
        <v>1419</v>
      </c>
      <c r="T45" s="28" t="s">
        <v>1419</v>
      </c>
      <c r="U45" s="28" t="s">
        <v>1419</v>
      </c>
      <c r="V45" s="28" t="s">
        <v>1419</v>
      </c>
      <c r="W45" s="28" t="s">
        <v>1419</v>
      </c>
      <c r="X45" s="28" t="s">
        <v>1419</v>
      </c>
      <c r="Y45" s="28" t="s">
        <v>1419</v>
      </c>
      <c r="Z45" s="28" t="s">
        <v>1419</v>
      </c>
      <c r="AA45" s="28" t="s">
        <v>1419</v>
      </c>
      <c r="AB45" s="28" t="s">
        <v>1419</v>
      </c>
      <c r="AC45" s="28" t="s">
        <v>1419</v>
      </c>
      <c r="AD45" s="28" t="s">
        <v>1419</v>
      </c>
      <c r="AE45" s="28" t="s">
        <v>1419</v>
      </c>
      <c r="AF45" s="28" t="s">
        <v>1419</v>
      </c>
      <c r="AG45" s="28" t="s">
        <v>1421</v>
      </c>
      <c r="AH45" s="28" t="s">
        <v>1421</v>
      </c>
      <c r="AI45" s="28" t="s">
        <v>1421</v>
      </c>
      <c r="AJ45" s="28" t="s">
        <v>1421</v>
      </c>
      <c r="AK45" s="29" t="s">
        <v>1421</v>
      </c>
      <c r="AL45" s="29" t="s">
        <v>1421</v>
      </c>
    </row>
    <row r="46" spans="1:38">
      <c r="A46" s="29" t="s">
        <v>1170</v>
      </c>
      <c r="B46" s="28" t="s">
        <v>1419</v>
      </c>
      <c r="C46" s="28" t="s">
        <v>1419</v>
      </c>
      <c r="D46" s="28" t="s">
        <v>1419</v>
      </c>
      <c r="E46" s="28" t="s">
        <v>1419</v>
      </c>
      <c r="F46" s="28" t="s">
        <v>1419</v>
      </c>
      <c r="G46" s="28" t="s">
        <v>1419</v>
      </c>
      <c r="H46" s="28" t="s">
        <v>1419</v>
      </c>
      <c r="I46" s="28" t="s">
        <v>1419</v>
      </c>
      <c r="J46" s="28" t="s">
        <v>1419</v>
      </c>
      <c r="K46" s="28" t="s">
        <v>1419</v>
      </c>
      <c r="L46" s="28" t="s">
        <v>1419</v>
      </c>
      <c r="M46" s="28" t="s">
        <v>1419</v>
      </c>
      <c r="N46" s="28" t="s">
        <v>1419</v>
      </c>
      <c r="O46" s="28" t="s">
        <v>1419</v>
      </c>
      <c r="P46" s="28" t="s">
        <v>1419</v>
      </c>
      <c r="Q46" s="28" t="s">
        <v>1419</v>
      </c>
      <c r="R46" s="28" t="s">
        <v>1419</v>
      </c>
      <c r="S46" s="28" t="s">
        <v>1419</v>
      </c>
      <c r="T46" s="28" t="s">
        <v>1419</v>
      </c>
      <c r="U46" s="28" t="s">
        <v>1419</v>
      </c>
      <c r="V46" s="28" t="s">
        <v>1419</v>
      </c>
      <c r="W46" s="28" t="s">
        <v>1419</v>
      </c>
      <c r="X46" s="28" t="s">
        <v>1419</v>
      </c>
      <c r="Y46" s="28" t="s">
        <v>1419</v>
      </c>
      <c r="Z46" s="28" t="s">
        <v>1419</v>
      </c>
      <c r="AA46" s="28" t="s">
        <v>1419</v>
      </c>
      <c r="AB46" s="28" t="s">
        <v>1419</v>
      </c>
      <c r="AC46" s="28" t="s">
        <v>1419</v>
      </c>
      <c r="AD46" s="28" t="s">
        <v>1419</v>
      </c>
      <c r="AE46" s="28" t="s">
        <v>1419</v>
      </c>
      <c r="AF46" s="28" t="s">
        <v>1419</v>
      </c>
      <c r="AG46" s="28" t="s">
        <v>1419</v>
      </c>
      <c r="AH46" s="28" t="s">
        <v>1419</v>
      </c>
      <c r="AI46" s="28" t="s">
        <v>1419</v>
      </c>
      <c r="AJ46" s="28" t="s">
        <v>1419</v>
      </c>
      <c r="AK46" s="29" t="s">
        <v>1419</v>
      </c>
      <c r="AL46" s="29" t="s">
        <v>1419</v>
      </c>
    </row>
    <row r="47" spans="1:38">
      <c r="A47" s="29" t="s">
        <v>1171</v>
      </c>
      <c r="B47" s="28" t="s">
        <v>1421</v>
      </c>
      <c r="C47" s="28" t="s">
        <v>1421</v>
      </c>
      <c r="D47" s="28" t="s">
        <v>1421</v>
      </c>
      <c r="E47" s="28" t="s">
        <v>1421</v>
      </c>
      <c r="F47" s="28" t="s">
        <v>1421</v>
      </c>
      <c r="G47" s="28" t="s">
        <v>1421</v>
      </c>
      <c r="H47" s="28" t="s">
        <v>1421</v>
      </c>
      <c r="I47" s="28" t="s">
        <v>1419</v>
      </c>
      <c r="J47" s="28" t="s">
        <v>1419</v>
      </c>
      <c r="K47" s="28" t="s">
        <v>1419</v>
      </c>
      <c r="L47" s="28" t="s">
        <v>1419</v>
      </c>
      <c r="M47" s="28" t="s">
        <v>1419</v>
      </c>
      <c r="N47" s="28" t="s">
        <v>1419</v>
      </c>
      <c r="O47" s="28" t="s">
        <v>1419</v>
      </c>
      <c r="P47" s="28" t="s">
        <v>1419</v>
      </c>
      <c r="Q47" s="28" t="s">
        <v>1419</v>
      </c>
      <c r="R47" s="28" t="s">
        <v>1419</v>
      </c>
      <c r="S47" s="28" t="s">
        <v>1419</v>
      </c>
      <c r="T47" s="28" t="s">
        <v>1421</v>
      </c>
      <c r="U47" s="28" t="s">
        <v>1421</v>
      </c>
      <c r="V47" s="28" t="s">
        <v>1421</v>
      </c>
      <c r="W47" s="28" t="s">
        <v>1421</v>
      </c>
      <c r="X47" s="28" t="s">
        <v>1421</v>
      </c>
      <c r="Y47" s="28" t="s">
        <v>1421</v>
      </c>
      <c r="Z47" s="28" t="s">
        <v>1421</v>
      </c>
      <c r="AA47" s="28" t="s">
        <v>1421</v>
      </c>
      <c r="AB47" s="28" t="s">
        <v>1421</v>
      </c>
      <c r="AC47" s="28" t="s">
        <v>1421</v>
      </c>
      <c r="AD47" s="28" t="s">
        <v>1421</v>
      </c>
      <c r="AE47" s="28" t="s">
        <v>1421</v>
      </c>
      <c r="AF47" s="28" t="s">
        <v>1421</v>
      </c>
      <c r="AG47" s="28" t="s">
        <v>1421</v>
      </c>
      <c r="AH47" s="28" t="s">
        <v>1421</v>
      </c>
      <c r="AI47" s="28" t="s">
        <v>1421</v>
      </c>
      <c r="AJ47" s="28" t="s">
        <v>1421</v>
      </c>
      <c r="AK47" s="29" t="s">
        <v>1421</v>
      </c>
      <c r="AL47" s="29" t="s">
        <v>1421</v>
      </c>
    </row>
    <row r="48" spans="1:38">
      <c r="A48" s="29" t="s">
        <v>1174</v>
      </c>
      <c r="B48" s="28" t="s">
        <v>1421</v>
      </c>
      <c r="C48" s="28" t="s">
        <v>1421</v>
      </c>
      <c r="D48" s="28" t="s">
        <v>1421</v>
      </c>
      <c r="E48" s="28" t="s">
        <v>1421</v>
      </c>
      <c r="F48" s="28" t="s">
        <v>1421</v>
      </c>
      <c r="G48" s="28" t="s">
        <v>1421</v>
      </c>
      <c r="H48" s="28" t="s">
        <v>1421</v>
      </c>
      <c r="I48" s="28" t="s">
        <v>1421</v>
      </c>
      <c r="J48" s="28" t="s">
        <v>1421</v>
      </c>
      <c r="K48" s="28" t="s">
        <v>1421</v>
      </c>
      <c r="L48" s="28" t="s">
        <v>1421</v>
      </c>
      <c r="M48" s="28" t="s">
        <v>1421</v>
      </c>
      <c r="N48" s="28" t="s">
        <v>1421</v>
      </c>
      <c r="O48" s="28" t="s">
        <v>1422</v>
      </c>
      <c r="P48" s="28" t="s">
        <v>1422</v>
      </c>
      <c r="Q48" s="28" t="s">
        <v>1422</v>
      </c>
      <c r="R48" s="28" t="s">
        <v>1422</v>
      </c>
      <c r="S48" s="28" t="s">
        <v>1422</v>
      </c>
      <c r="T48" s="28" t="s">
        <v>1422</v>
      </c>
      <c r="U48" s="28" t="s">
        <v>1422</v>
      </c>
      <c r="V48" s="28" t="s">
        <v>1422</v>
      </c>
      <c r="W48" s="28" t="s">
        <v>1422</v>
      </c>
      <c r="X48" s="28" t="s">
        <v>1422</v>
      </c>
      <c r="Y48" s="28" t="s">
        <v>1422</v>
      </c>
      <c r="Z48" s="28" t="s">
        <v>1422</v>
      </c>
      <c r="AA48" s="28" t="s">
        <v>1422</v>
      </c>
      <c r="AB48" s="28" t="s">
        <v>1422</v>
      </c>
      <c r="AC48" s="28" t="s">
        <v>1422</v>
      </c>
      <c r="AD48" s="28" t="s">
        <v>1422</v>
      </c>
      <c r="AE48" s="28" t="s">
        <v>1422</v>
      </c>
      <c r="AF48" s="28" t="s">
        <v>1422</v>
      </c>
      <c r="AG48" s="28" t="s">
        <v>1422</v>
      </c>
      <c r="AH48" s="28" t="s">
        <v>1422</v>
      </c>
      <c r="AI48" s="28" t="s">
        <v>1422</v>
      </c>
      <c r="AJ48" s="28" t="s">
        <v>1422</v>
      </c>
      <c r="AK48" s="29" t="s">
        <v>1422</v>
      </c>
      <c r="AL48" s="29" t="s">
        <v>1422</v>
      </c>
    </row>
    <row r="49" spans="1:38">
      <c r="A49" s="29" t="s">
        <v>1424</v>
      </c>
      <c r="B49" s="28" t="s">
        <v>1421</v>
      </c>
      <c r="C49" s="28" t="s">
        <v>1421</v>
      </c>
      <c r="D49" s="28" t="s">
        <v>1421</v>
      </c>
      <c r="E49" s="28" t="s">
        <v>1421</v>
      </c>
      <c r="F49" s="28" t="s">
        <v>1421</v>
      </c>
      <c r="G49" s="28" t="s">
        <v>1421</v>
      </c>
      <c r="H49" s="28" t="s">
        <v>1419</v>
      </c>
      <c r="I49" s="28" t="s">
        <v>1419</v>
      </c>
      <c r="J49" s="28" t="s">
        <v>1419</v>
      </c>
      <c r="K49" s="28" t="s">
        <v>1419</v>
      </c>
      <c r="L49" s="28" t="s">
        <v>1419</v>
      </c>
      <c r="M49" s="28" t="s">
        <v>1419</v>
      </c>
      <c r="N49" s="28" t="s">
        <v>1419</v>
      </c>
      <c r="O49" s="28" t="s">
        <v>1419</v>
      </c>
      <c r="P49" s="28" t="s">
        <v>1419</v>
      </c>
      <c r="Q49" s="28" t="s">
        <v>1419</v>
      </c>
      <c r="R49" s="28" t="s">
        <v>1419</v>
      </c>
      <c r="S49" s="28" t="s">
        <v>1419</v>
      </c>
      <c r="T49" s="28" t="s">
        <v>1419</v>
      </c>
      <c r="U49" s="28" t="s">
        <v>1419</v>
      </c>
      <c r="V49" s="28" t="s">
        <v>1419</v>
      </c>
      <c r="W49" s="28" t="s">
        <v>1421</v>
      </c>
      <c r="X49" s="28" t="s">
        <v>1421</v>
      </c>
      <c r="Y49" s="28" t="s">
        <v>1421</v>
      </c>
      <c r="Z49" s="28" t="s">
        <v>1421</v>
      </c>
      <c r="AA49" s="28" t="s">
        <v>1421</v>
      </c>
      <c r="AB49" s="28" t="s">
        <v>1421</v>
      </c>
      <c r="AC49" s="28" t="s">
        <v>1421</v>
      </c>
      <c r="AD49" s="28" t="s">
        <v>1421</v>
      </c>
      <c r="AE49" s="28" t="s">
        <v>1421</v>
      </c>
      <c r="AF49" s="28" t="s">
        <v>1421</v>
      </c>
      <c r="AG49" s="28" t="s">
        <v>1421</v>
      </c>
      <c r="AH49" s="28" t="s">
        <v>1421</v>
      </c>
      <c r="AI49" s="28" t="s">
        <v>1421</v>
      </c>
      <c r="AJ49" s="28" t="s">
        <v>1421</v>
      </c>
      <c r="AK49" s="29" t="s">
        <v>1421</v>
      </c>
      <c r="AL49" s="29" t="s">
        <v>1421</v>
      </c>
    </row>
    <row r="50" spans="1:38">
      <c r="A50" s="29" t="s">
        <v>1216</v>
      </c>
      <c r="B50" s="28" t="s">
        <v>1420</v>
      </c>
      <c r="C50" s="28" t="s">
        <v>1420</v>
      </c>
      <c r="D50" s="28" t="s">
        <v>1420</v>
      </c>
      <c r="E50" s="28" t="s">
        <v>1420</v>
      </c>
      <c r="F50" s="28" t="s">
        <v>1420</v>
      </c>
      <c r="G50" s="28" t="s">
        <v>1421</v>
      </c>
      <c r="H50" s="28" t="s">
        <v>1421</v>
      </c>
      <c r="I50" s="28" t="s">
        <v>1421</v>
      </c>
      <c r="J50" s="28" t="s">
        <v>1422</v>
      </c>
      <c r="K50" s="28" t="s">
        <v>1422</v>
      </c>
      <c r="L50" s="28" t="s">
        <v>1422</v>
      </c>
      <c r="M50" s="28" t="s">
        <v>1422</v>
      </c>
      <c r="N50" s="28" t="s">
        <v>1422</v>
      </c>
      <c r="O50" s="28" t="s">
        <v>1422</v>
      </c>
      <c r="P50" s="28" t="s">
        <v>1422</v>
      </c>
      <c r="Q50" s="28" t="s">
        <v>1422</v>
      </c>
      <c r="R50" s="28" t="s">
        <v>1422</v>
      </c>
      <c r="S50" s="28" t="s">
        <v>1422</v>
      </c>
      <c r="T50" s="28" t="s">
        <v>1422</v>
      </c>
      <c r="U50" s="28" t="s">
        <v>1422</v>
      </c>
      <c r="V50" s="28" t="s">
        <v>1422</v>
      </c>
      <c r="W50" s="28" t="s">
        <v>1423</v>
      </c>
      <c r="X50" s="28" t="s">
        <v>1423</v>
      </c>
      <c r="Y50" s="28" t="s">
        <v>1423</v>
      </c>
      <c r="Z50" s="28" t="s">
        <v>1423</v>
      </c>
      <c r="AA50" s="28" t="s">
        <v>1423</v>
      </c>
      <c r="AB50" s="28" t="s">
        <v>1423</v>
      </c>
      <c r="AC50" s="28" t="s">
        <v>1423</v>
      </c>
      <c r="AD50" s="28" t="s">
        <v>1423</v>
      </c>
      <c r="AE50" s="28" t="s">
        <v>1422</v>
      </c>
      <c r="AF50" s="28" t="s">
        <v>1423</v>
      </c>
      <c r="AG50" s="28" t="s">
        <v>1423</v>
      </c>
      <c r="AH50" s="28" t="s">
        <v>1423</v>
      </c>
      <c r="AI50" s="28" t="s">
        <v>1423</v>
      </c>
      <c r="AJ50" s="28" t="s">
        <v>1423</v>
      </c>
      <c r="AK50" s="29" t="s">
        <v>1423</v>
      </c>
      <c r="AL50" s="29" t="s">
        <v>1423</v>
      </c>
    </row>
    <row r="51" spans="1:38">
      <c r="A51" s="29" t="s">
        <v>255</v>
      </c>
      <c r="B51" s="28" t="s">
        <v>1420</v>
      </c>
      <c r="C51" s="28" t="s">
        <v>1420</v>
      </c>
      <c r="D51" s="28" t="s">
        <v>1420</v>
      </c>
      <c r="E51" s="28" t="s">
        <v>1421</v>
      </c>
      <c r="F51" s="28" t="s">
        <v>1421</v>
      </c>
      <c r="G51" s="28" t="s">
        <v>1421</v>
      </c>
      <c r="H51" s="28" t="s">
        <v>1421</v>
      </c>
      <c r="I51" s="28" t="s">
        <v>1421</v>
      </c>
      <c r="J51" s="28" t="s">
        <v>1421</v>
      </c>
      <c r="K51" s="28" t="s">
        <v>1421</v>
      </c>
      <c r="L51" s="28" t="s">
        <v>1421</v>
      </c>
      <c r="M51" s="28" t="s">
        <v>1421</v>
      </c>
      <c r="N51" s="28" t="s">
        <v>1421</v>
      </c>
      <c r="O51" s="28" t="s">
        <v>1421</v>
      </c>
      <c r="P51" s="28" t="s">
        <v>1421</v>
      </c>
      <c r="Q51" s="28" t="s">
        <v>1421</v>
      </c>
      <c r="R51" s="28" t="s">
        <v>1421</v>
      </c>
      <c r="S51" s="28" t="s">
        <v>1421</v>
      </c>
      <c r="T51" s="28" t="s">
        <v>1421</v>
      </c>
      <c r="U51" s="28" t="s">
        <v>1421</v>
      </c>
      <c r="V51" s="28" t="s">
        <v>1422</v>
      </c>
      <c r="W51" s="28" t="s">
        <v>1422</v>
      </c>
      <c r="X51" s="28" t="s">
        <v>1422</v>
      </c>
      <c r="Y51" s="28" t="s">
        <v>1422</v>
      </c>
      <c r="Z51" s="28" t="s">
        <v>1422</v>
      </c>
      <c r="AA51" s="28" t="s">
        <v>1422</v>
      </c>
      <c r="AB51" s="28" t="s">
        <v>1422</v>
      </c>
      <c r="AC51" s="28" t="s">
        <v>1422</v>
      </c>
      <c r="AD51" s="28" t="s">
        <v>1422</v>
      </c>
      <c r="AE51" s="28" t="s">
        <v>1422</v>
      </c>
      <c r="AF51" s="28" t="s">
        <v>1422</v>
      </c>
      <c r="AG51" s="28" t="s">
        <v>1422</v>
      </c>
      <c r="AH51" s="28" t="s">
        <v>1422</v>
      </c>
      <c r="AI51" s="28" t="s">
        <v>1422</v>
      </c>
      <c r="AJ51" s="28" t="s">
        <v>1422</v>
      </c>
      <c r="AK51" s="29" t="s">
        <v>1422</v>
      </c>
      <c r="AL51" s="29" t="s">
        <v>1422</v>
      </c>
    </row>
    <row r="52" spans="1:38">
      <c r="A52" s="29" t="s">
        <v>1425</v>
      </c>
      <c r="B52" s="28" t="s">
        <v>1420</v>
      </c>
      <c r="C52" s="28" t="s">
        <v>1420</v>
      </c>
      <c r="D52" s="28" t="s">
        <v>1420</v>
      </c>
      <c r="E52" s="28" t="s">
        <v>1420</v>
      </c>
      <c r="F52" s="28" t="s">
        <v>1420</v>
      </c>
      <c r="G52" s="28" t="s">
        <v>1420</v>
      </c>
      <c r="H52" s="28" t="s">
        <v>1420</v>
      </c>
      <c r="I52" s="28" t="s">
        <v>1420</v>
      </c>
      <c r="J52" s="28" t="s">
        <v>1420</v>
      </c>
      <c r="K52" s="28" t="s">
        <v>1420</v>
      </c>
      <c r="L52" s="28" t="s">
        <v>1420</v>
      </c>
      <c r="M52" s="28" t="s">
        <v>1420</v>
      </c>
      <c r="N52" s="28" t="s">
        <v>1420</v>
      </c>
      <c r="O52" s="28" t="s">
        <v>1420</v>
      </c>
      <c r="P52" s="28" t="s">
        <v>1420</v>
      </c>
      <c r="Q52" s="28" t="s">
        <v>1420</v>
      </c>
      <c r="R52" s="28" t="s">
        <v>1420</v>
      </c>
      <c r="S52" s="28" t="s">
        <v>1420</v>
      </c>
      <c r="T52" s="28" t="s">
        <v>1420</v>
      </c>
      <c r="U52" s="28" t="s">
        <v>1420</v>
      </c>
      <c r="V52" s="28" t="s">
        <v>1420</v>
      </c>
      <c r="W52" s="28" t="s">
        <v>1420</v>
      </c>
      <c r="X52" s="28" t="s">
        <v>1420</v>
      </c>
      <c r="Y52" s="28" t="s">
        <v>1423</v>
      </c>
      <c r="Z52" s="28" t="s">
        <v>1423</v>
      </c>
      <c r="AA52" s="28" t="s">
        <v>1423</v>
      </c>
      <c r="AB52" s="28" t="s">
        <v>1423</v>
      </c>
      <c r="AC52" s="28" t="s">
        <v>1423</v>
      </c>
      <c r="AD52" s="28" t="s">
        <v>1423</v>
      </c>
      <c r="AE52" s="28" t="s">
        <v>1423</v>
      </c>
      <c r="AF52" s="28" t="s">
        <v>1423</v>
      </c>
      <c r="AG52" s="28" t="s">
        <v>1423</v>
      </c>
      <c r="AH52" s="28" t="s">
        <v>1423</v>
      </c>
      <c r="AI52" s="28" t="s">
        <v>1423</v>
      </c>
      <c r="AJ52" s="28" t="s">
        <v>1423</v>
      </c>
      <c r="AK52" s="29" t="s">
        <v>1423</v>
      </c>
      <c r="AL52" s="29" t="s">
        <v>1423</v>
      </c>
    </row>
    <row r="53" spans="1:38">
      <c r="A53" s="29" t="s">
        <v>1178</v>
      </c>
      <c r="B53" s="28" t="s">
        <v>1422</v>
      </c>
      <c r="C53" s="28" t="s">
        <v>1423</v>
      </c>
      <c r="D53" s="28" t="s">
        <v>1423</v>
      </c>
      <c r="E53" s="28" t="s">
        <v>1423</v>
      </c>
      <c r="F53" s="28" t="s">
        <v>1423</v>
      </c>
      <c r="G53" s="28" t="s">
        <v>1423</v>
      </c>
      <c r="H53" s="28" t="s">
        <v>1423</v>
      </c>
      <c r="I53" s="28" t="s">
        <v>1423</v>
      </c>
      <c r="J53" s="28" t="s">
        <v>1423</v>
      </c>
      <c r="K53" s="28" t="s">
        <v>1423</v>
      </c>
      <c r="L53" s="28" t="s">
        <v>1423</v>
      </c>
      <c r="M53" s="28" t="s">
        <v>1423</v>
      </c>
      <c r="N53" s="28" t="s">
        <v>1423</v>
      </c>
      <c r="O53" s="28" t="s">
        <v>1423</v>
      </c>
      <c r="P53" s="28" t="s">
        <v>1423</v>
      </c>
      <c r="Q53" s="28" t="s">
        <v>1423</v>
      </c>
      <c r="R53" s="28" t="s">
        <v>1423</v>
      </c>
      <c r="S53" s="28" t="s">
        <v>1423</v>
      </c>
      <c r="T53" s="28" t="s">
        <v>1423</v>
      </c>
      <c r="U53" s="28" t="s">
        <v>1423</v>
      </c>
      <c r="V53" s="28" t="s">
        <v>1423</v>
      </c>
      <c r="W53" s="28" t="s">
        <v>1423</v>
      </c>
      <c r="X53" s="28" t="s">
        <v>1423</v>
      </c>
      <c r="Y53" s="28" t="s">
        <v>1423</v>
      </c>
      <c r="Z53" s="28" t="s">
        <v>1423</v>
      </c>
      <c r="AA53" s="28" t="s">
        <v>1423</v>
      </c>
      <c r="AB53" s="28" t="s">
        <v>1423</v>
      </c>
      <c r="AC53" s="28" t="s">
        <v>1423</v>
      </c>
      <c r="AD53" s="28" t="s">
        <v>1423</v>
      </c>
      <c r="AE53" s="28" t="s">
        <v>1423</v>
      </c>
      <c r="AF53" s="28" t="s">
        <v>1423</v>
      </c>
      <c r="AG53" s="28" t="s">
        <v>1423</v>
      </c>
      <c r="AH53" s="28" t="s">
        <v>1423</v>
      </c>
      <c r="AI53" s="28" t="s">
        <v>1423</v>
      </c>
      <c r="AJ53" s="28" t="s">
        <v>1423</v>
      </c>
      <c r="AK53" s="29" t="s">
        <v>1423</v>
      </c>
      <c r="AL53" s="29" t="s">
        <v>1423</v>
      </c>
    </row>
    <row r="54" spans="1:38">
      <c r="A54" s="29" t="s">
        <v>1179</v>
      </c>
      <c r="B54" s="28" t="s">
        <v>1420</v>
      </c>
      <c r="C54" s="28" t="s">
        <v>1420</v>
      </c>
      <c r="D54" s="28" t="s">
        <v>1420</v>
      </c>
      <c r="E54" s="28" t="s">
        <v>1420</v>
      </c>
      <c r="F54" s="28" t="s">
        <v>1420</v>
      </c>
      <c r="G54" s="28" t="s">
        <v>1421</v>
      </c>
      <c r="H54" s="28" t="s">
        <v>1421</v>
      </c>
      <c r="I54" s="28" t="s">
        <v>1422</v>
      </c>
      <c r="J54" s="28" t="s">
        <v>1422</v>
      </c>
      <c r="K54" s="28" t="s">
        <v>1422</v>
      </c>
      <c r="L54" s="28" t="s">
        <v>1422</v>
      </c>
      <c r="M54" s="28" t="s">
        <v>1422</v>
      </c>
      <c r="N54" s="28" t="s">
        <v>1422</v>
      </c>
      <c r="O54" s="28" t="s">
        <v>1422</v>
      </c>
      <c r="P54" s="28" t="s">
        <v>1422</v>
      </c>
      <c r="Q54" s="28" t="s">
        <v>1422</v>
      </c>
      <c r="R54" s="28" t="s">
        <v>1422</v>
      </c>
      <c r="S54" s="28" t="s">
        <v>1422</v>
      </c>
      <c r="T54" s="28" t="s">
        <v>1422</v>
      </c>
      <c r="U54" s="28" t="s">
        <v>1423</v>
      </c>
      <c r="V54" s="28" t="s">
        <v>1423</v>
      </c>
      <c r="W54" s="28" t="s">
        <v>1423</v>
      </c>
      <c r="X54" s="28" t="s">
        <v>1423</v>
      </c>
      <c r="Y54" s="28" t="s">
        <v>1423</v>
      </c>
      <c r="Z54" s="28" t="s">
        <v>1423</v>
      </c>
      <c r="AA54" s="28" t="s">
        <v>1423</v>
      </c>
      <c r="AB54" s="28" t="s">
        <v>1423</v>
      </c>
      <c r="AC54" s="28" t="s">
        <v>1423</v>
      </c>
      <c r="AD54" s="28" t="s">
        <v>1423</v>
      </c>
      <c r="AE54" s="28" t="s">
        <v>1423</v>
      </c>
      <c r="AF54" s="28" t="s">
        <v>1423</v>
      </c>
      <c r="AG54" s="28" t="s">
        <v>1423</v>
      </c>
      <c r="AH54" s="28" t="s">
        <v>1423</v>
      </c>
      <c r="AI54" s="28" t="s">
        <v>1423</v>
      </c>
      <c r="AJ54" s="28" t="s">
        <v>1423</v>
      </c>
      <c r="AK54" s="29" t="s">
        <v>1423</v>
      </c>
      <c r="AL54" s="29" t="s">
        <v>1423</v>
      </c>
    </row>
    <row r="55" spans="1:38">
      <c r="A55" s="29" t="s">
        <v>1183</v>
      </c>
      <c r="B55" s="28" t="s">
        <v>1423</v>
      </c>
      <c r="C55" s="28" t="s">
        <v>1423</v>
      </c>
      <c r="D55" s="28" t="s">
        <v>1423</v>
      </c>
      <c r="E55" s="28" t="s">
        <v>1423</v>
      </c>
      <c r="F55" s="28" t="s">
        <v>1423</v>
      </c>
      <c r="G55" s="28" t="s">
        <v>1423</v>
      </c>
      <c r="H55" s="28" t="s">
        <v>1423</v>
      </c>
      <c r="I55" s="28" t="s">
        <v>1423</v>
      </c>
      <c r="J55" s="28" t="s">
        <v>1423</v>
      </c>
      <c r="K55" s="28" t="s">
        <v>1423</v>
      </c>
      <c r="L55" s="28" t="s">
        <v>1423</v>
      </c>
      <c r="M55" s="28" t="s">
        <v>1423</v>
      </c>
      <c r="N55" s="28" t="s">
        <v>1423</v>
      </c>
      <c r="O55" s="28" t="s">
        <v>1423</v>
      </c>
      <c r="P55" s="28" t="s">
        <v>1423</v>
      </c>
      <c r="Q55" s="28" t="s">
        <v>1423</v>
      </c>
      <c r="R55" s="28" t="s">
        <v>1423</v>
      </c>
      <c r="S55" s="28" t="s">
        <v>1423</v>
      </c>
      <c r="T55" s="28" t="s">
        <v>1423</v>
      </c>
      <c r="U55" s="28" t="s">
        <v>1423</v>
      </c>
      <c r="V55" s="28" t="s">
        <v>1423</v>
      </c>
      <c r="W55" s="28" t="s">
        <v>1423</v>
      </c>
      <c r="X55" s="28" t="s">
        <v>1423</v>
      </c>
      <c r="Y55" s="28" t="s">
        <v>1423</v>
      </c>
      <c r="Z55" s="28" t="s">
        <v>1423</v>
      </c>
      <c r="AA55" s="28" t="s">
        <v>1423</v>
      </c>
      <c r="AB55" s="28" t="s">
        <v>1423</v>
      </c>
      <c r="AC55" s="28" t="s">
        <v>1423</v>
      </c>
      <c r="AD55" s="28" t="s">
        <v>1423</v>
      </c>
      <c r="AE55" s="28" t="s">
        <v>1423</v>
      </c>
      <c r="AF55" s="28" t="s">
        <v>1423</v>
      </c>
      <c r="AG55" s="28" t="s">
        <v>1423</v>
      </c>
      <c r="AH55" s="28" t="s">
        <v>1423</v>
      </c>
      <c r="AI55" s="28" t="s">
        <v>1423</v>
      </c>
      <c r="AJ55" s="28" t="s">
        <v>1423</v>
      </c>
      <c r="AK55" s="29" t="s">
        <v>1423</v>
      </c>
      <c r="AL55" s="29" t="s">
        <v>1423</v>
      </c>
    </row>
    <row r="56" spans="1:38">
      <c r="A56" s="29" t="s">
        <v>1181</v>
      </c>
      <c r="B56" s="28" t="s">
        <v>1420</v>
      </c>
      <c r="C56" s="28" t="s">
        <v>1420</v>
      </c>
      <c r="D56" s="28" t="s">
        <v>1420</v>
      </c>
      <c r="E56" s="28" t="s">
        <v>1421</v>
      </c>
      <c r="F56" s="28" t="s">
        <v>1421</v>
      </c>
      <c r="G56" s="28" t="s">
        <v>1421</v>
      </c>
      <c r="H56" s="28" t="s">
        <v>1421</v>
      </c>
      <c r="I56" s="28" t="s">
        <v>1421</v>
      </c>
      <c r="J56" s="28" t="s">
        <v>1421</v>
      </c>
      <c r="K56" s="28" t="s">
        <v>1421</v>
      </c>
      <c r="L56" s="28" t="s">
        <v>1421</v>
      </c>
      <c r="M56" s="28" t="s">
        <v>1421</v>
      </c>
      <c r="N56" s="28" t="s">
        <v>1421</v>
      </c>
      <c r="O56" s="28" t="s">
        <v>1421</v>
      </c>
      <c r="P56" s="28" t="s">
        <v>1421</v>
      </c>
      <c r="Q56" s="28" t="s">
        <v>1421</v>
      </c>
      <c r="R56" s="28" t="s">
        <v>1421</v>
      </c>
      <c r="S56" s="28" t="s">
        <v>1421</v>
      </c>
      <c r="T56" s="28" t="s">
        <v>1421</v>
      </c>
      <c r="U56" s="28" t="s">
        <v>1421</v>
      </c>
      <c r="V56" s="28" t="s">
        <v>1421</v>
      </c>
      <c r="W56" s="28" t="s">
        <v>1421</v>
      </c>
      <c r="X56" s="28" t="s">
        <v>1421</v>
      </c>
      <c r="Y56" s="28" t="s">
        <v>1421</v>
      </c>
      <c r="Z56" s="28" t="s">
        <v>1421</v>
      </c>
      <c r="AA56" s="28" t="s">
        <v>1421</v>
      </c>
      <c r="AB56" s="28" t="s">
        <v>1421</v>
      </c>
      <c r="AC56" s="28" t="s">
        <v>1421</v>
      </c>
      <c r="AD56" s="28" t="s">
        <v>1421</v>
      </c>
      <c r="AE56" s="28" t="s">
        <v>1421</v>
      </c>
      <c r="AF56" s="28" t="s">
        <v>1421</v>
      </c>
      <c r="AG56" s="28" t="s">
        <v>1421</v>
      </c>
      <c r="AH56" s="28" t="s">
        <v>1421</v>
      </c>
      <c r="AI56" s="28" t="s">
        <v>1421</v>
      </c>
      <c r="AJ56" s="28" t="s">
        <v>1421</v>
      </c>
      <c r="AK56" s="29" t="s">
        <v>1421</v>
      </c>
      <c r="AL56" s="29" t="s">
        <v>1421</v>
      </c>
    </row>
    <row r="57" spans="1:38">
      <c r="A57" s="29" t="s">
        <v>1182</v>
      </c>
      <c r="B57" s="28" t="s">
        <v>1421</v>
      </c>
      <c r="C57" s="28" t="s">
        <v>1421</v>
      </c>
      <c r="D57" s="28" t="s">
        <v>1421</v>
      </c>
      <c r="E57" s="28" t="s">
        <v>1421</v>
      </c>
      <c r="F57" s="28" t="s">
        <v>1421</v>
      </c>
      <c r="G57" s="28" t="s">
        <v>1421</v>
      </c>
      <c r="H57" s="28" t="s">
        <v>1421</v>
      </c>
      <c r="I57" s="28" t="s">
        <v>1421</v>
      </c>
      <c r="J57" s="28" t="s">
        <v>1421</v>
      </c>
      <c r="K57" s="28" t="s">
        <v>1421</v>
      </c>
      <c r="L57" s="28" t="s">
        <v>1421</v>
      </c>
      <c r="M57" s="28" t="s">
        <v>1421</v>
      </c>
      <c r="N57" s="28" t="s">
        <v>1422</v>
      </c>
      <c r="O57" s="28" t="s">
        <v>1422</v>
      </c>
      <c r="P57" s="28" t="s">
        <v>1422</v>
      </c>
      <c r="Q57" s="28" t="s">
        <v>1422</v>
      </c>
      <c r="R57" s="28" t="s">
        <v>1422</v>
      </c>
      <c r="S57" s="28" t="s">
        <v>1422</v>
      </c>
      <c r="T57" s="28" t="s">
        <v>1422</v>
      </c>
      <c r="U57" s="28" t="s">
        <v>1422</v>
      </c>
      <c r="V57" s="28" t="s">
        <v>1422</v>
      </c>
      <c r="W57" s="28" t="s">
        <v>1422</v>
      </c>
      <c r="X57" s="28" t="s">
        <v>1422</v>
      </c>
      <c r="Y57" s="28" t="s">
        <v>1422</v>
      </c>
      <c r="Z57" s="28" t="s">
        <v>1422</v>
      </c>
      <c r="AA57" s="28" t="s">
        <v>1422</v>
      </c>
      <c r="AB57" s="28" t="s">
        <v>1422</v>
      </c>
      <c r="AC57" s="28" t="s">
        <v>1422</v>
      </c>
      <c r="AD57" s="28" t="s">
        <v>1422</v>
      </c>
      <c r="AE57" s="28" t="s">
        <v>1422</v>
      </c>
      <c r="AF57" s="28" t="s">
        <v>1422</v>
      </c>
      <c r="AG57" s="28" t="s">
        <v>1422</v>
      </c>
      <c r="AH57" s="28" t="s">
        <v>1422</v>
      </c>
      <c r="AI57" s="28" t="s">
        <v>1422</v>
      </c>
      <c r="AJ57" s="28" t="s">
        <v>1422</v>
      </c>
      <c r="AK57" s="29" t="s">
        <v>1422</v>
      </c>
      <c r="AL57" s="29" t="s">
        <v>1422</v>
      </c>
    </row>
    <row r="58" spans="1:38">
      <c r="A58" s="29" t="s">
        <v>1184</v>
      </c>
      <c r="B58" s="28" t="s">
        <v>1421</v>
      </c>
      <c r="C58" s="28" t="s">
        <v>1421</v>
      </c>
      <c r="D58" s="28" t="s">
        <v>1421</v>
      </c>
      <c r="E58" s="28" t="s">
        <v>1421</v>
      </c>
      <c r="F58" s="28" t="s">
        <v>1421</v>
      </c>
      <c r="G58" s="28" t="s">
        <v>1421</v>
      </c>
      <c r="H58" s="28" t="s">
        <v>1421</v>
      </c>
      <c r="I58" s="28" t="s">
        <v>1421</v>
      </c>
      <c r="J58" s="28" t="s">
        <v>1421</v>
      </c>
      <c r="K58" s="28" t="s">
        <v>1421</v>
      </c>
      <c r="L58" s="28" t="s">
        <v>1421</v>
      </c>
      <c r="M58" s="28" t="s">
        <v>1421</v>
      </c>
      <c r="N58" s="28" t="s">
        <v>1421</v>
      </c>
      <c r="O58" s="28" t="s">
        <v>1421</v>
      </c>
      <c r="P58" s="28" t="s">
        <v>1421</v>
      </c>
      <c r="Q58" s="28" t="s">
        <v>1421</v>
      </c>
      <c r="R58" s="28" t="s">
        <v>1421</v>
      </c>
      <c r="S58" s="28" t="s">
        <v>1421</v>
      </c>
      <c r="T58" s="28" t="s">
        <v>1421</v>
      </c>
      <c r="U58" s="28" t="s">
        <v>1421</v>
      </c>
      <c r="V58" s="28" t="s">
        <v>1421</v>
      </c>
      <c r="W58" s="28" t="s">
        <v>1422</v>
      </c>
      <c r="X58" s="28" t="s">
        <v>1422</v>
      </c>
      <c r="Y58" s="28" t="s">
        <v>1422</v>
      </c>
      <c r="Z58" s="28" t="s">
        <v>1422</v>
      </c>
      <c r="AA58" s="28" t="s">
        <v>1422</v>
      </c>
      <c r="AB58" s="28" t="s">
        <v>1422</v>
      </c>
      <c r="AC58" s="28" t="s">
        <v>1422</v>
      </c>
      <c r="AD58" s="28" t="s">
        <v>1422</v>
      </c>
      <c r="AE58" s="28" t="s">
        <v>1422</v>
      </c>
      <c r="AF58" s="28" t="s">
        <v>1422</v>
      </c>
      <c r="AG58" s="28" t="s">
        <v>1422</v>
      </c>
      <c r="AH58" s="28" t="s">
        <v>1422</v>
      </c>
      <c r="AI58" s="28" t="s">
        <v>1422</v>
      </c>
      <c r="AJ58" s="28" t="s">
        <v>1422</v>
      </c>
      <c r="AK58" s="29" t="s">
        <v>1422</v>
      </c>
      <c r="AL58" s="29" t="s">
        <v>1422</v>
      </c>
    </row>
    <row r="59" spans="1:38">
      <c r="A59" s="29" t="s">
        <v>286</v>
      </c>
      <c r="B59" s="28" t="s">
        <v>1421</v>
      </c>
      <c r="C59" s="28" t="s">
        <v>1421</v>
      </c>
      <c r="D59" s="28" t="s">
        <v>1421</v>
      </c>
      <c r="E59" s="28" t="s">
        <v>1421</v>
      </c>
      <c r="F59" s="28" t="s">
        <v>1421</v>
      </c>
      <c r="G59" s="28" t="s">
        <v>1421</v>
      </c>
      <c r="H59" s="28" t="s">
        <v>1421</v>
      </c>
      <c r="I59" s="28" t="s">
        <v>1421</v>
      </c>
      <c r="J59" s="28" t="s">
        <v>1421</v>
      </c>
      <c r="K59" s="28" t="s">
        <v>1421</v>
      </c>
      <c r="L59" s="28" t="s">
        <v>1421</v>
      </c>
      <c r="M59" s="28" t="s">
        <v>1421</v>
      </c>
      <c r="N59" s="28" t="s">
        <v>1421</v>
      </c>
      <c r="O59" s="28" t="s">
        <v>1421</v>
      </c>
      <c r="P59" s="28" t="s">
        <v>1421</v>
      </c>
      <c r="Q59" s="28" t="s">
        <v>1421</v>
      </c>
      <c r="R59" s="28" t="s">
        <v>1421</v>
      </c>
      <c r="S59" s="28" t="s">
        <v>1421</v>
      </c>
      <c r="T59" s="28" t="s">
        <v>1421</v>
      </c>
      <c r="U59" s="28" t="s">
        <v>1421</v>
      </c>
      <c r="V59" s="28" t="s">
        <v>1421</v>
      </c>
      <c r="W59" s="28" t="s">
        <v>1421</v>
      </c>
      <c r="X59" s="28" t="s">
        <v>1421</v>
      </c>
      <c r="Y59" s="28" t="s">
        <v>1422</v>
      </c>
      <c r="Z59" s="28" t="s">
        <v>1422</v>
      </c>
      <c r="AA59" s="28" t="s">
        <v>1422</v>
      </c>
      <c r="AB59" s="28" t="s">
        <v>1422</v>
      </c>
      <c r="AC59" s="28" t="s">
        <v>1422</v>
      </c>
      <c r="AD59" s="28" t="s">
        <v>1422</v>
      </c>
      <c r="AE59" s="28" t="s">
        <v>1422</v>
      </c>
      <c r="AF59" s="28" t="s">
        <v>1422</v>
      </c>
      <c r="AG59" s="28" t="s">
        <v>1422</v>
      </c>
      <c r="AH59" s="28" t="s">
        <v>1422</v>
      </c>
      <c r="AI59" s="28" t="s">
        <v>1422</v>
      </c>
      <c r="AJ59" s="28" t="s">
        <v>1422</v>
      </c>
      <c r="AK59" s="29" t="s">
        <v>1422</v>
      </c>
      <c r="AL59" s="29" t="s">
        <v>1422</v>
      </c>
    </row>
    <row r="60" spans="1:38">
      <c r="A60" s="29" t="s">
        <v>232</v>
      </c>
      <c r="B60" s="28" t="s">
        <v>1421</v>
      </c>
      <c r="C60" s="28" t="s">
        <v>1421</v>
      </c>
      <c r="D60" s="28" t="s">
        <v>1421</v>
      </c>
      <c r="E60" s="28" t="s">
        <v>1419</v>
      </c>
      <c r="F60" s="28" t="s">
        <v>1419</v>
      </c>
      <c r="G60" s="28" t="s">
        <v>1419</v>
      </c>
      <c r="H60" s="28" t="s">
        <v>1419</v>
      </c>
      <c r="I60" s="28" t="s">
        <v>1419</v>
      </c>
      <c r="J60" s="28" t="s">
        <v>1421</v>
      </c>
      <c r="K60" s="28" t="s">
        <v>1421</v>
      </c>
      <c r="L60" s="28" t="s">
        <v>1421</v>
      </c>
      <c r="M60" s="28" t="s">
        <v>1421</v>
      </c>
      <c r="N60" s="28" t="s">
        <v>1421</v>
      </c>
      <c r="O60" s="28" t="s">
        <v>1421</v>
      </c>
      <c r="P60" s="28" t="s">
        <v>1421</v>
      </c>
      <c r="Q60" s="28" t="s">
        <v>1421</v>
      </c>
      <c r="R60" s="28" t="s">
        <v>1421</v>
      </c>
      <c r="S60" s="28" t="s">
        <v>1421</v>
      </c>
      <c r="T60" s="28" t="s">
        <v>1421</v>
      </c>
      <c r="U60" s="28" t="s">
        <v>1421</v>
      </c>
      <c r="V60" s="28" t="s">
        <v>1421</v>
      </c>
      <c r="W60" s="28" t="s">
        <v>1421</v>
      </c>
      <c r="X60" s="28" t="s">
        <v>1421</v>
      </c>
      <c r="Y60" s="28" t="s">
        <v>1421</v>
      </c>
      <c r="Z60" s="28" t="s">
        <v>1421</v>
      </c>
      <c r="AA60" s="28" t="s">
        <v>1421</v>
      </c>
      <c r="AB60" s="28" t="s">
        <v>1421</v>
      </c>
      <c r="AC60" s="28" t="s">
        <v>1421</v>
      </c>
      <c r="AD60" s="28" t="s">
        <v>1421</v>
      </c>
      <c r="AE60" s="28" t="s">
        <v>1421</v>
      </c>
      <c r="AF60" s="28" t="s">
        <v>1421</v>
      </c>
      <c r="AG60" s="28" t="s">
        <v>1421</v>
      </c>
      <c r="AH60" s="28" t="s">
        <v>1421</v>
      </c>
      <c r="AI60" s="28" t="s">
        <v>1421</v>
      </c>
      <c r="AJ60" s="28" t="s">
        <v>1421</v>
      </c>
      <c r="AK60" s="29" t="s">
        <v>1421</v>
      </c>
      <c r="AL60" s="29" t="s">
        <v>1421</v>
      </c>
    </row>
    <row r="61" spans="1:38">
      <c r="A61" s="29" t="s">
        <v>1318</v>
      </c>
      <c r="B61" s="28" t="s">
        <v>1421</v>
      </c>
      <c r="C61" s="28" t="s">
        <v>1421</v>
      </c>
      <c r="D61" s="28" t="s">
        <v>1421</v>
      </c>
      <c r="E61" s="28" t="s">
        <v>1421</v>
      </c>
      <c r="F61" s="28" t="s">
        <v>1421</v>
      </c>
      <c r="G61" s="28" t="s">
        <v>1421</v>
      </c>
      <c r="H61" s="28" t="s">
        <v>1421</v>
      </c>
      <c r="I61" s="28" t="s">
        <v>1421</v>
      </c>
      <c r="J61" s="28" t="s">
        <v>1421</v>
      </c>
      <c r="K61" s="28" t="s">
        <v>1421</v>
      </c>
      <c r="L61" s="28" t="s">
        <v>1421</v>
      </c>
      <c r="M61" s="28" t="s">
        <v>1421</v>
      </c>
      <c r="N61" s="28" t="s">
        <v>1421</v>
      </c>
      <c r="O61" s="28" t="s">
        <v>1421</v>
      </c>
      <c r="P61" s="28" t="s">
        <v>1421</v>
      </c>
      <c r="Q61" s="28" t="s">
        <v>1421</v>
      </c>
      <c r="R61" s="28" t="s">
        <v>1421</v>
      </c>
      <c r="S61" s="28" t="s">
        <v>1421</v>
      </c>
      <c r="T61" s="28" t="s">
        <v>1421</v>
      </c>
      <c r="U61" s="28" t="s">
        <v>1421</v>
      </c>
      <c r="V61" s="28" t="s">
        <v>1421</v>
      </c>
      <c r="W61" s="28" t="s">
        <v>1421</v>
      </c>
      <c r="X61" s="28" t="s">
        <v>1421</v>
      </c>
      <c r="Y61" s="28" t="s">
        <v>1421</v>
      </c>
      <c r="Z61" s="28" t="s">
        <v>1421</v>
      </c>
      <c r="AA61" s="28" t="s">
        <v>1421</v>
      </c>
      <c r="AB61" s="28" t="s">
        <v>1421</v>
      </c>
      <c r="AC61" s="28" t="s">
        <v>1421</v>
      </c>
      <c r="AD61" s="28" t="s">
        <v>1421</v>
      </c>
      <c r="AE61" s="28" t="s">
        <v>1421</v>
      </c>
      <c r="AF61" s="28" t="s">
        <v>1421</v>
      </c>
      <c r="AG61" s="28" t="s">
        <v>1421</v>
      </c>
      <c r="AH61" s="28" t="s">
        <v>1421</v>
      </c>
      <c r="AI61" s="28" t="s">
        <v>1421</v>
      </c>
      <c r="AJ61" s="28" t="s">
        <v>1421</v>
      </c>
      <c r="AK61" s="29" t="s">
        <v>1422</v>
      </c>
      <c r="AL61" s="29" t="s">
        <v>1422</v>
      </c>
    </row>
    <row r="62" spans="1:38">
      <c r="A62" s="29" t="s">
        <v>1206</v>
      </c>
      <c r="B62" s="28" t="s">
        <v>1419</v>
      </c>
      <c r="C62" s="28" t="s">
        <v>1419</v>
      </c>
      <c r="D62" s="28" t="s">
        <v>1419</v>
      </c>
      <c r="E62" s="28" t="s">
        <v>1419</v>
      </c>
      <c r="F62" s="28" t="s">
        <v>1419</v>
      </c>
      <c r="G62" s="28" t="s">
        <v>1419</v>
      </c>
      <c r="H62" s="28" t="s">
        <v>1419</v>
      </c>
      <c r="I62" s="28" t="s">
        <v>1419</v>
      </c>
      <c r="J62" s="28" t="s">
        <v>1419</v>
      </c>
      <c r="K62" s="28" t="s">
        <v>1419</v>
      </c>
      <c r="L62" s="28" t="s">
        <v>1421</v>
      </c>
      <c r="M62" s="28" t="s">
        <v>1421</v>
      </c>
      <c r="N62" s="28" t="s">
        <v>1421</v>
      </c>
      <c r="O62" s="28" t="s">
        <v>1421</v>
      </c>
      <c r="P62" s="28" t="s">
        <v>1419</v>
      </c>
      <c r="Q62" s="28" t="s">
        <v>1419</v>
      </c>
      <c r="R62" s="28" t="s">
        <v>1419</v>
      </c>
      <c r="S62" s="28" t="s">
        <v>1422</v>
      </c>
      <c r="T62" s="28" t="s">
        <v>1422</v>
      </c>
      <c r="U62" s="28" t="s">
        <v>1422</v>
      </c>
      <c r="V62" s="28" t="s">
        <v>1423</v>
      </c>
      <c r="W62" s="28" t="s">
        <v>1423</v>
      </c>
      <c r="X62" s="28" t="s">
        <v>1423</v>
      </c>
      <c r="Y62" s="28" t="s">
        <v>1423</v>
      </c>
      <c r="Z62" s="28" t="s">
        <v>1423</v>
      </c>
      <c r="AA62" s="28" t="s">
        <v>1423</v>
      </c>
      <c r="AB62" s="28" t="s">
        <v>1423</v>
      </c>
      <c r="AC62" s="28" t="s">
        <v>1423</v>
      </c>
      <c r="AD62" s="28" t="s">
        <v>1422</v>
      </c>
      <c r="AE62" s="28" t="s">
        <v>1422</v>
      </c>
      <c r="AF62" s="28" t="s">
        <v>1422</v>
      </c>
      <c r="AG62" s="28" t="s">
        <v>1422</v>
      </c>
      <c r="AH62" s="28" t="s">
        <v>1422</v>
      </c>
      <c r="AI62" s="28" t="s">
        <v>1422</v>
      </c>
      <c r="AJ62" s="28" t="s">
        <v>1422</v>
      </c>
      <c r="AK62" s="29" t="s">
        <v>1422</v>
      </c>
      <c r="AL62" s="29" t="s">
        <v>1422</v>
      </c>
    </row>
    <row r="63" spans="1:38">
      <c r="A63" s="29" t="s">
        <v>1190</v>
      </c>
      <c r="B63" s="28" t="s">
        <v>1420</v>
      </c>
      <c r="C63" s="28" t="s">
        <v>1420</v>
      </c>
      <c r="D63" s="28" t="s">
        <v>1420</v>
      </c>
      <c r="E63" s="28" t="s">
        <v>1420</v>
      </c>
      <c r="F63" s="28" t="s">
        <v>1420</v>
      </c>
      <c r="G63" s="28" t="s">
        <v>1419</v>
      </c>
      <c r="H63" s="28" t="s">
        <v>1419</v>
      </c>
      <c r="I63" s="28" t="s">
        <v>1419</v>
      </c>
      <c r="J63" s="28" t="s">
        <v>1419</v>
      </c>
      <c r="K63" s="28" t="s">
        <v>1419</v>
      </c>
      <c r="L63" s="28" t="s">
        <v>1419</v>
      </c>
      <c r="M63" s="28" t="s">
        <v>1419</v>
      </c>
      <c r="N63" s="28" t="s">
        <v>1419</v>
      </c>
      <c r="O63" s="28" t="s">
        <v>1419</v>
      </c>
      <c r="P63" s="28" t="s">
        <v>1419</v>
      </c>
      <c r="Q63" s="28" t="s">
        <v>1419</v>
      </c>
      <c r="R63" s="28" t="s">
        <v>1419</v>
      </c>
      <c r="S63" s="28" t="s">
        <v>1419</v>
      </c>
      <c r="T63" s="28" t="s">
        <v>1419</v>
      </c>
      <c r="U63" s="28" t="s">
        <v>1419</v>
      </c>
      <c r="V63" s="28" t="s">
        <v>1419</v>
      </c>
      <c r="W63" s="28" t="s">
        <v>1419</v>
      </c>
      <c r="X63" s="28" t="s">
        <v>1419</v>
      </c>
      <c r="Y63" s="28" t="s">
        <v>1419</v>
      </c>
      <c r="Z63" s="28" t="s">
        <v>1419</v>
      </c>
      <c r="AA63" s="28" t="s">
        <v>1419</v>
      </c>
      <c r="AB63" s="28" t="s">
        <v>1419</v>
      </c>
      <c r="AC63" s="28" t="s">
        <v>1419</v>
      </c>
      <c r="AD63" s="28" t="s">
        <v>1419</v>
      </c>
      <c r="AE63" s="28" t="s">
        <v>1419</v>
      </c>
      <c r="AF63" s="28" t="s">
        <v>1419</v>
      </c>
      <c r="AG63" s="28" t="s">
        <v>1419</v>
      </c>
      <c r="AH63" s="28" t="s">
        <v>1419</v>
      </c>
      <c r="AI63" s="28" t="s">
        <v>1419</v>
      </c>
      <c r="AJ63" s="28" t="s">
        <v>1419</v>
      </c>
      <c r="AK63" s="29" t="s">
        <v>1419</v>
      </c>
      <c r="AL63" s="29" t="s">
        <v>1419</v>
      </c>
    </row>
    <row r="64" spans="1:38">
      <c r="A64" s="29" t="s">
        <v>1192</v>
      </c>
      <c r="B64" s="28" t="s">
        <v>1420</v>
      </c>
      <c r="C64" s="28" t="s">
        <v>1420</v>
      </c>
      <c r="D64" s="28" t="s">
        <v>1420</v>
      </c>
      <c r="E64" s="28" t="s">
        <v>1420</v>
      </c>
      <c r="F64" s="28" t="s">
        <v>1422</v>
      </c>
      <c r="G64" s="28" t="s">
        <v>1422</v>
      </c>
      <c r="H64" s="28" t="s">
        <v>1422</v>
      </c>
      <c r="I64" s="28" t="s">
        <v>1421</v>
      </c>
      <c r="J64" s="28" t="s">
        <v>1421</v>
      </c>
      <c r="K64" s="28" t="s">
        <v>1421</v>
      </c>
      <c r="L64" s="28" t="s">
        <v>1422</v>
      </c>
      <c r="M64" s="28" t="s">
        <v>1422</v>
      </c>
      <c r="N64" s="28" t="s">
        <v>1422</v>
      </c>
      <c r="O64" s="28" t="s">
        <v>1422</v>
      </c>
      <c r="P64" s="28" t="s">
        <v>1422</v>
      </c>
      <c r="Q64" s="28" t="s">
        <v>1422</v>
      </c>
      <c r="R64" s="28" t="s">
        <v>1422</v>
      </c>
      <c r="S64" s="28" t="s">
        <v>1422</v>
      </c>
      <c r="T64" s="28" t="s">
        <v>1422</v>
      </c>
      <c r="U64" s="28" t="s">
        <v>1423</v>
      </c>
      <c r="V64" s="28" t="s">
        <v>1423</v>
      </c>
      <c r="W64" s="28" t="s">
        <v>1423</v>
      </c>
      <c r="X64" s="28" t="s">
        <v>1423</v>
      </c>
      <c r="Y64" s="28" t="s">
        <v>1423</v>
      </c>
      <c r="Z64" s="28" t="s">
        <v>1423</v>
      </c>
      <c r="AA64" s="28" t="s">
        <v>1423</v>
      </c>
      <c r="AB64" s="28" t="s">
        <v>1423</v>
      </c>
      <c r="AC64" s="28" t="s">
        <v>1423</v>
      </c>
      <c r="AD64" s="28" t="s">
        <v>1423</v>
      </c>
      <c r="AE64" s="28" t="s">
        <v>1423</v>
      </c>
      <c r="AF64" s="28" t="s">
        <v>1423</v>
      </c>
      <c r="AG64" s="28" t="s">
        <v>1423</v>
      </c>
      <c r="AH64" s="28" t="s">
        <v>1423</v>
      </c>
      <c r="AI64" s="28" t="s">
        <v>1423</v>
      </c>
      <c r="AJ64" s="28" t="s">
        <v>1423</v>
      </c>
      <c r="AK64" s="29" t="s">
        <v>1423</v>
      </c>
      <c r="AL64" s="29" t="s">
        <v>1423</v>
      </c>
    </row>
    <row r="65" spans="1:38">
      <c r="A65" s="29" t="s">
        <v>1329</v>
      </c>
      <c r="B65" s="28" t="s">
        <v>1421</v>
      </c>
      <c r="C65" s="28" t="s">
        <v>1421</v>
      </c>
      <c r="D65" s="28" t="s">
        <v>1421</v>
      </c>
      <c r="E65" s="28" t="s">
        <v>1421</v>
      </c>
      <c r="F65" s="28" t="s">
        <v>1421</v>
      </c>
      <c r="G65" s="28" t="s">
        <v>1421</v>
      </c>
      <c r="H65" s="28" t="s">
        <v>1421</v>
      </c>
      <c r="I65" s="28" t="s">
        <v>1421</v>
      </c>
      <c r="J65" s="28" t="s">
        <v>1421</v>
      </c>
      <c r="K65" s="28" t="s">
        <v>1421</v>
      </c>
      <c r="L65" s="28" t="s">
        <v>1421</v>
      </c>
      <c r="M65" s="28" t="s">
        <v>1421</v>
      </c>
      <c r="N65" s="28" t="s">
        <v>1421</v>
      </c>
      <c r="O65" s="28" t="s">
        <v>1421</v>
      </c>
      <c r="P65" s="28" t="s">
        <v>1421</v>
      </c>
      <c r="Q65" s="28" t="s">
        <v>1421</v>
      </c>
      <c r="R65" s="28" t="s">
        <v>1421</v>
      </c>
      <c r="S65" s="28" t="s">
        <v>1421</v>
      </c>
      <c r="T65" s="28" t="s">
        <v>1421</v>
      </c>
      <c r="U65" s="28" t="s">
        <v>1421</v>
      </c>
      <c r="V65" s="28" t="s">
        <v>1421</v>
      </c>
      <c r="W65" s="28" t="s">
        <v>1421</v>
      </c>
      <c r="X65" s="28" t="s">
        <v>1421</v>
      </c>
      <c r="Y65" s="28" t="s">
        <v>1421</v>
      </c>
      <c r="Z65" s="28" t="s">
        <v>1421</v>
      </c>
      <c r="AA65" s="28" t="s">
        <v>1421</v>
      </c>
      <c r="AB65" s="28" t="s">
        <v>1421</v>
      </c>
      <c r="AC65" s="28" t="s">
        <v>1421</v>
      </c>
      <c r="AD65" s="28" t="s">
        <v>1421</v>
      </c>
      <c r="AE65" s="28" t="s">
        <v>1421</v>
      </c>
      <c r="AF65" s="28" t="s">
        <v>1421</v>
      </c>
      <c r="AG65" s="28" t="s">
        <v>1421</v>
      </c>
      <c r="AH65" s="28" t="s">
        <v>1421</v>
      </c>
      <c r="AI65" s="28" t="s">
        <v>1421</v>
      </c>
      <c r="AJ65" s="28" t="s">
        <v>1421</v>
      </c>
      <c r="AK65" s="29" t="s">
        <v>1421</v>
      </c>
      <c r="AL65" s="29" t="s">
        <v>1421</v>
      </c>
    </row>
    <row r="66" spans="1:38">
      <c r="A66" s="29" t="s">
        <v>246</v>
      </c>
      <c r="B66" s="28" t="s">
        <v>1419</v>
      </c>
      <c r="C66" s="28" t="s">
        <v>1419</v>
      </c>
      <c r="D66" s="28" t="s">
        <v>1419</v>
      </c>
      <c r="E66" s="28" t="s">
        <v>1419</v>
      </c>
      <c r="F66" s="28" t="s">
        <v>1419</v>
      </c>
      <c r="G66" s="28" t="s">
        <v>1419</v>
      </c>
      <c r="H66" s="28" t="s">
        <v>1419</v>
      </c>
      <c r="I66" s="28" t="s">
        <v>1419</v>
      </c>
      <c r="J66" s="28" t="s">
        <v>1419</v>
      </c>
      <c r="K66" s="28" t="s">
        <v>1419</v>
      </c>
      <c r="L66" s="28" t="s">
        <v>1419</v>
      </c>
      <c r="M66" s="28" t="s">
        <v>1419</v>
      </c>
      <c r="N66" s="28" t="s">
        <v>1419</v>
      </c>
      <c r="O66" s="28" t="s">
        <v>1419</v>
      </c>
      <c r="P66" s="28" t="s">
        <v>1419</v>
      </c>
      <c r="Q66" s="28" t="s">
        <v>1419</v>
      </c>
      <c r="R66" s="28" t="s">
        <v>1419</v>
      </c>
      <c r="S66" s="28" t="s">
        <v>1419</v>
      </c>
      <c r="T66" s="28" t="s">
        <v>1419</v>
      </c>
      <c r="U66" s="28" t="s">
        <v>1419</v>
      </c>
      <c r="V66" s="28" t="s">
        <v>1419</v>
      </c>
      <c r="W66" s="28" t="s">
        <v>1419</v>
      </c>
      <c r="X66" s="28" t="s">
        <v>1419</v>
      </c>
      <c r="Y66" s="28" t="s">
        <v>1419</v>
      </c>
      <c r="Z66" s="28" t="s">
        <v>1419</v>
      </c>
      <c r="AA66" s="28" t="s">
        <v>1419</v>
      </c>
      <c r="AB66" s="28" t="s">
        <v>1419</v>
      </c>
      <c r="AC66" s="28" t="s">
        <v>1419</v>
      </c>
      <c r="AD66" s="28" t="s">
        <v>1419</v>
      </c>
      <c r="AE66" s="28" t="s">
        <v>1419</v>
      </c>
      <c r="AF66" s="28" t="s">
        <v>1419</v>
      </c>
      <c r="AG66" s="28" t="s">
        <v>1419</v>
      </c>
      <c r="AH66" s="28" t="s">
        <v>1419</v>
      </c>
      <c r="AI66" s="28" t="s">
        <v>1419</v>
      </c>
      <c r="AJ66" s="28" t="s">
        <v>1419</v>
      </c>
      <c r="AK66" s="29" t="s">
        <v>1419</v>
      </c>
      <c r="AL66" s="29" t="s">
        <v>1419</v>
      </c>
    </row>
    <row r="67" spans="1:38">
      <c r="A67" s="29" t="s">
        <v>1426</v>
      </c>
      <c r="B67" s="28" t="s">
        <v>1423</v>
      </c>
      <c r="C67" s="28" t="s">
        <v>1423</v>
      </c>
      <c r="D67" s="28" t="s">
        <v>1423</v>
      </c>
      <c r="E67" s="28" t="s">
        <v>1423</v>
      </c>
      <c r="F67" s="28" t="s">
        <v>1423</v>
      </c>
      <c r="G67" s="28" t="s">
        <v>1423</v>
      </c>
      <c r="H67" s="28" t="s">
        <v>1423</v>
      </c>
      <c r="I67" s="28" t="s">
        <v>1423</v>
      </c>
      <c r="J67" s="28" t="s">
        <v>1423</v>
      </c>
      <c r="K67" s="28" t="s">
        <v>1423</v>
      </c>
      <c r="L67" s="28" t="s">
        <v>1423</v>
      </c>
      <c r="M67" s="28" t="s">
        <v>1423</v>
      </c>
      <c r="N67" s="28" t="s">
        <v>1423</v>
      </c>
      <c r="O67" s="28" t="s">
        <v>1423</v>
      </c>
      <c r="P67" s="28" t="s">
        <v>1423</v>
      </c>
      <c r="Q67" s="28" t="s">
        <v>1423</v>
      </c>
      <c r="R67" s="28" t="s">
        <v>1423</v>
      </c>
      <c r="S67" s="28" t="s">
        <v>1423</v>
      </c>
      <c r="T67" s="28" t="s">
        <v>1423</v>
      </c>
      <c r="U67" s="28" t="s">
        <v>1423</v>
      </c>
      <c r="V67" s="28" t="s">
        <v>1423</v>
      </c>
      <c r="W67" s="28" t="s">
        <v>1423</v>
      </c>
      <c r="X67" s="28" t="s">
        <v>1423</v>
      </c>
      <c r="Y67" s="28" t="s">
        <v>1423</v>
      </c>
      <c r="Z67" s="28" t="s">
        <v>1423</v>
      </c>
      <c r="AA67" s="28" t="s">
        <v>1423</v>
      </c>
      <c r="AB67" s="28" t="s">
        <v>1423</v>
      </c>
      <c r="AC67" s="28" t="s">
        <v>1423</v>
      </c>
      <c r="AD67" s="28" t="s">
        <v>1423</v>
      </c>
      <c r="AE67" s="28" t="s">
        <v>1423</v>
      </c>
      <c r="AF67" s="28" t="s">
        <v>1423</v>
      </c>
      <c r="AG67" s="28" t="s">
        <v>1423</v>
      </c>
      <c r="AH67" s="28" t="s">
        <v>1423</v>
      </c>
      <c r="AI67" s="28" t="s">
        <v>1423</v>
      </c>
      <c r="AJ67" s="28" t="s">
        <v>1423</v>
      </c>
      <c r="AK67" s="29" t="s">
        <v>1423</v>
      </c>
      <c r="AL67" s="29" t="s">
        <v>1423</v>
      </c>
    </row>
    <row r="68" spans="1:38">
      <c r="A68" s="29" t="s">
        <v>1196</v>
      </c>
      <c r="B68" s="28" t="s">
        <v>1421</v>
      </c>
      <c r="C68" s="28" t="s">
        <v>1421</v>
      </c>
      <c r="D68" s="28" t="s">
        <v>1421</v>
      </c>
      <c r="E68" s="28" t="s">
        <v>1421</v>
      </c>
      <c r="F68" s="28" t="s">
        <v>1421</v>
      </c>
      <c r="G68" s="28" t="s">
        <v>1421</v>
      </c>
      <c r="H68" s="28" t="s">
        <v>1421</v>
      </c>
      <c r="I68" s="28" t="s">
        <v>1421</v>
      </c>
      <c r="J68" s="28" t="s">
        <v>1421</v>
      </c>
      <c r="K68" s="28" t="s">
        <v>1421</v>
      </c>
      <c r="L68" s="28" t="s">
        <v>1421</v>
      </c>
      <c r="M68" s="28" t="s">
        <v>1421</v>
      </c>
      <c r="N68" s="28" t="s">
        <v>1421</v>
      </c>
      <c r="O68" s="28" t="s">
        <v>1421</v>
      </c>
      <c r="P68" s="28" t="s">
        <v>1421</v>
      </c>
      <c r="Q68" s="28" t="s">
        <v>1421</v>
      </c>
      <c r="R68" s="28" t="s">
        <v>1421</v>
      </c>
      <c r="S68" s="28" t="s">
        <v>1421</v>
      </c>
      <c r="T68" s="28" t="s">
        <v>1421</v>
      </c>
      <c r="U68" s="28" t="s">
        <v>1421</v>
      </c>
      <c r="V68" s="28" t="s">
        <v>1422</v>
      </c>
      <c r="W68" s="28" t="s">
        <v>1422</v>
      </c>
      <c r="X68" s="28" t="s">
        <v>1422</v>
      </c>
      <c r="Y68" s="28" t="s">
        <v>1421</v>
      </c>
      <c r="Z68" s="28" t="s">
        <v>1421</v>
      </c>
      <c r="AA68" s="28" t="s">
        <v>1422</v>
      </c>
      <c r="AB68" s="28" t="s">
        <v>1422</v>
      </c>
      <c r="AC68" s="28" t="s">
        <v>1422</v>
      </c>
      <c r="AD68" s="28" t="s">
        <v>1422</v>
      </c>
      <c r="AE68" s="28" t="s">
        <v>1422</v>
      </c>
      <c r="AF68" s="28" t="s">
        <v>1422</v>
      </c>
      <c r="AG68" s="28" t="s">
        <v>1422</v>
      </c>
      <c r="AH68" s="28" t="s">
        <v>1422</v>
      </c>
      <c r="AI68" s="28" t="s">
        <v>1422</v>
      </c>
      <c r="AJ68" s="28" t="s">
        <v>1422</v>
      </c>
      <c r="AK68" s="29" t="s">
        <v>1422</v>
      </c>
      <c r="AL68" s="29" t="s">
        <v>1422</v>
      </c>
    </row>
    <row r="69" spans="1:38">
      <c r="A69" s="29" t="s">
        <v>1195</v>
      </c>
      <c r="B69" s="28" t="s">
        <v>1423</v>
      </c>
      <c r="C69" s="28" t="s">
        <v>1423</v>
      </c>
      <c r="D69" s="28" t="s">
        <v>1423</v>
      </c>
      <c r="E69" s="28" t="s">
        <v>1423</v>
      </c>
      <c r="F69" s="28" t="s">
        <v>1423</v>
      </c>
      <c r="G69" s="28" t="s">
        <v>1423</v>
      </c>
      <c r="H69" s="28" t="s">
        <v>1423</v>
      </c>
      <c r="I69" s="28" t="s">
        <v>1423</v>
      </c>
      <c r="J69" s="28" t="s">
        <v>1423</v>
      </c>
      <c r="K69" s="28" t="s">
        <v>1423</v>
      </c>
      <c r="L69" s="28" t="s">
        <v>1423</v>
      </c>
      <c r="M69" s="28" t="s">
        <v>1423</v>
      </c>
      <c r="N69" s="28" t="s">
        <v>1423</v>
      </c>
      <c r="O69" s="28" t="s">
        <v>1423</v>
      </c>
      <c r="P69" s="28" t="s">
        <v>1423</v>
      </c>
      <c r="Q69" s="28" t="s">
        <v>1423</v>
      </c>
      <c r="R69" s="28" t="s">
        <v>1423</v>
      </c>
      <c r="S69" s="28" t="s">
        <v>1423</v>
      </c>
      <c r="T69" s="28" t="s">
        <v>1423</v>
      </c>
      <c r="U69" s="28" t="s">
        <v>1423</v>
      </c>
      <c r="V69" s="28" t="s">
        <v>1423</v>
      </c>
      <c r="W69" s="28" t="s">
        <v>1423</v>
      </c>
      <c r="X69" s="28" t="s">
        <v>1423</v>
      </c>
      <c r="Y69" s="28" t="s">
        <v>1423</v>
      </c>
      <c r="Z69" s="28" t="s">
        <v>1423</v>
      </c>
      <c r="AA69" s="28" t="s">
        <v>1423</v>
      </c>
      <c r="AB69" s="28" t="s">
        <v>1423</v>
      </c>
      <c r="AC69" s="28" t="s">
        <v>1423</v>
      </c>
      <c r="AD69" s="28" t="s">
        <v>1423</v>
      </c>
      <c r="AE69" s="28" t="s">
        <v>1423</v>
      </c>
      <c r="AF69" s="28" t="s">
        <v>1423</v>
      </c>
      <c r="AG69" s="28" t="s">
        <v>1423</v>
      </c>
      <c r="AH69" s="28" t="s">
        <v>1423</v>
      </c>
      <c r="AI69" s="28" t="s">
        <v>1423</v>
      </c>
      <c r="AJ69" s="28" t="s">
        <v>1423</v>
      </c>
      <c r="AK69" s="29" t="s">
        <v>1423</v>
      </c>
      <c r="AL69" s="29" t="s">
        <v>1423</v>
      </c>
    </row>
    <row r="70" spans="1:38">
      <c r="A70" s="29" t="s">
        <v>1197</v>
      </c>
      <c r="B70" s="28" t="s">
        <v>1423</v>
      </c>
      <c r="C70" s="28" t="s">
        <v>1423</v>
      </c>
      <c r="D70" s="28" t="s">
        <v>1423</v>
      </c>
      <c r="E70" s="28" t="s">
        <v>1423</v>
      </c>
      <c r="F70" s="28" t="s">
        <v>1423</v>
      </c>
      <c r="G70" s="28" t="s">
        <v>1423</v>
      </c>
      <c r="H70" s="28" t="s">
        <v>1423</v>
      </c>
      <c r="I70" s="28" t="s">
        <v>1423</v>
      </c>
      <c r="J70" s="28" t="s">
        <v>1423</v>
      </c>
      <c r="K70" s="28" t="s">
        <v>1423</v>
      </c>
      <c r="L70" s="28" t="s">
        <v>1423</v>
      </c>
      <c r="M70" s="28" t="s">
        <v>1423</v>
      </c>
      <c r="N70" s="28" t="s">
        <v>1423</v>
      </c>
      <c r="O70" s="28" t="s">
        <v>1423</v>
      </c>
      <c r="P70" s="28" t="s">
        <v>1423</v>
      </c>
      <c r="Q70" s="28" t="s">
        <v>1423</v>
      </c>
      <c r="R70" s="28" t="s">
        <v>1423</v>
      </c>
      <c r="S70" s="28" t="s">
        <v>1423</v>
      </c>
      <c r="T70" s="28" t="s">
        <v>1423</v>
      </c>
      <c r="U70" s="28" t="s">
        <v>1423</v>
      </c>
      <c r="V70" s="28" t="s">
        <v>1423</v>
      </c>
      <c r="W70" s="28" t="s">
        <v>1423</v>
      </c>
      <c r="X70" s="28" t="s">
        <v>1423</v>
      </c>
      <c r="Y70" s="28" t="s">
        <v>1423</v>
      </c>
      <c r="Z70" s="28" t="s">
        <v>1423</v>
      </c>
      <c r="AA70" s="28" t="s">
        <v>1423</v>
      </c>
      <c r="AB70" s="28" t="s">
        <v>1423</v>
      </c>
      <c r="AC70" s="28" t="s">
        <v>1423</v>
      </c>
      <c r="AD70" s="28" t="s">
        <v>1423</v>
      </c>
      <c r="AE70" s="28" t="s">
        <v>1423</v>
      </c>
      <c r="AF70" s="28" t="s">
        <v>1423</v>
      </c>
      <c r="AG70" s="28" t="s">
        <v>1423</v>
      </c>
      <c r="AH70" s="28" t="s">
        <v>1423</v>
      </c>
      <c r="AI70" s="28" t="s">
        <v>1423</v>
      </c>
      <c r="AJ70" s="28" t="s">
        <v>1423</v>
      </c>
      <c r="AK70" s="29" t="s">
        <v>1423</v>
      </c>
      <c r="AL70" s="29" t="s">
        <v>1423</v>
      </c>
    </row>
    <row r="71" spans="1:38">
      <c r="A71" s="29" t="s">
        <v>1306</v>
      </c>
      <c r="B71" s="28" t="s">
        <v>1420</v>
      </c>
      <c r="C71" s="28" t="s">
        <v>1420</v>
      </c>
      <c r="D71" s="28" t="s">
        <v>1420</v>
      </c>
      <c r="E71" s="28" t="s">
        <v>1423</v>
      </c>
      <c r="F71" s="28" t="s">
        <v>1423</v>
      </c>
      <c r="G71" s="28" t="s">
        <v>1423</v>
      </c>
      <c r="H71" s="28" t="s">
        <v>1423</v>
      </c>
      <c r="I71" s="28" t="s">
        <v>1423</v>
      </c>
      <c r="J71" s="28" t="s">
        <v>1423</v>
      </c>
      <c r="K71" s="28" t="s">
        <v>1423</v>
      </c>
      <c r="L71" s="28" t="s">
        <v>1423</v>
      </c>
      <c r="M71" s="28" t="s">
        <v>1423</v>
      </c>
      <c r="N71" s="28" t="s">
        <v>1423</v>
      </c>
      <c r="O71" s="28" t="s">
        <v>1423</v>
      </c>
      <c r="P71" s="28" t="s">
        <v>1423</v>
      </c>
      <c r="Q71" s="28" t="s">
        <v>1423</v>
      </c>
      <c r="R71" s="28" t="s">
        <v>1423</v>
      </c>
      <c r="S71" s="28" t="s">
        <v>1423</v>
      </c>
      <c r="T71" s="28" t="s">
        <v>1423</v>
      </c>
      <c r="U71" s="28" t="s">
        <v>1423</v>
      </c>
      <c r="V71" s="28" t="s">
        <v>1423</v>
      </c>
      <c r="W71" s="28" t="s">
        <v>1423</v>
      </c>
      <c r="X71" s="28" t="s">
        <v>1423</v>
      </c>
      <c r="Y71" s="28" t="s">
        <v>1423</v>
      </c>
      <c r="Z71" s="28" t="s">
        <v>1423</v>
      </c>
      <c r="AA71" s="28" t="s">
        <v>1423</v>
      </c>
      <c r="AB71" s="28" t="s">
        <v>1423</v>
      </c>
      <c r="AC71" s="28" t="s">
        <v>1423</v>
      </c>
      <c r="AD71" s="28" t="s">
        <v>1423</v>
      </c>
      <c r="AE71" s="28" t="s">
        <v>1423</v>
      </c>
      <c r="AF71" s="28" t="s">
        <v>1423</v>
      </c>
      <c r="AG71" s="28" t="s">
        <v>1423</v>
      </c>
      <c r="AH71" s="28" t="s">
        <v>1423</v>
      </c>
      <c r="AI71" s="28" t="s">
        <v>1423</v>
      </c>
      <c r="AJ71" s="28" t="s">
        <v>1423</v>
      </c>
      <c r="AK71" s="29" t="s">
        <v>1423</v>
      </c>
      <c r="AL71" s="29" t="s">
        <v>1423</v>
      </c>
    </row>
    <row r="72" spans="1:38">
      <c r="A72" s="29" t="s">
        <v>1200</v>
      </c>
      <c r="B72" s="28" t="s">
        <v>1422</v>
      </c>
      <c r="C72" s="28" t="s">
        <v>1422</v>
      </c>
      <c r="D72" s="28" t="s">
        <v>1422</v>
      </c>
      <c r="E72" s="28" t="s">
        <v>1422</v>
      </c>
      <c r="F72" s="28" t="s">
        <v>1422</v>
      </c>
      <c r="G72" s="28" t="s">
        <v>1422</v>
      </c>
      <c r="H72" s="28" t="s">
        <v>1422</v>
      </c>
      <c r="I72" s="28" t="s">
        <v>1422</v>
      </c>
      <c r="J72" s="28" t="s">
        <v>1422</v>
      </c>
      <c r="K72" s="28" t="s">
        <v>1422</v>
      </c>
      <c r="L72" s="28" t="s">
        <v>1422</v>
      </c>
      <c r="M72" s="28" t="s">
        <v>1422</v>
      </c>
      <c r="N72" s="28" t="s">
        <v>1422</v>
      </c>
      <c r="O72" s="28" t="s">
        <v>1422</v>
      </c>
      <c r="P72" s="28" t="s">
        <v>1422</v>
      </c>
      <c r="Q72" s="28" t="s">
        <v>1422</v>
      </c>
      <c r="R72" s="28" t="s">
        <v>1422</v>
      </c>
      <c r="S72" s="28" t="s">
        <v>1422</v>
      </c>
      <c r="T72" s="28" t="s">
        <v>1422</v>
      </c>
      <c r="U72" s="28" t="s">
        <v>1422</v>
      </c>
      <c r="V72" s="28" t="s">
        <v>1422</v>
      </c>
      <c r="W72" s="28" t="s">
        <v>1422</v>
      </c>
      <c r="X72" s="28" t="s">
        <v>1422</v>
      </c>
      <c r="Y72" s="28" t="s">
        <v>1422</v>
      </c>
      <c r="Z72" s="28" t="s">
        <v>1422</v>
      </c>
      <c r="AA72" s="28" t="s">
        <v>1422</v>
      </c>
      <c r="AB72" s="28" t="s">
        <v>1422</v>
      </c>
      <c r="AC72" s="28" t="s">
        <v>1422</v>
      </c>
      <c r="AD72" s="28" t="s">
        <v>1422</v>
      </c>
      <c r="AE72" s="28" t="s">
        <v>1422</v>
      </c>
      <c r="AF72" s="28" t="s">
        <v>1422</v>
      </c>
      <c r="AG72" s="28" t="s">
        <v>1422</v>
      </c>
      <c r="AH72" s="28" t="s">
        <v>1422</v>
      </c>
      <c r="AI72" s="28" t="s">
        <v>1422</v>
      </c>
      <c r="AJ72" s="28" t="s">
        <v>1422</v>
      </c>
      <c r="AK72" s="29" t="s">
        <v>1422</v>
      </c>
      <c r="AL72" s="29" t="s">
        <v>1422</v>
      </c>
    </row>
    <row r="73" spans="1:38">
      <c r="A73" s="29" t="s">
        <v>217</v>
      </c>
      <c r="B73" s="28" t="s">
        <v>1419</v>
      </c>
      <c r="C73" s="28" t="s">
        <v>1419</v>
      </c>
      <c r="D73" s="28" t="s">
        <v>1419</v>
      </c>
      <c r="E73" s="28" t="s">
        <v>1419</v>
      </c>
      <c r="F73" s="28" t="s">
        <v>1419</v>
      </c>
      <c r="G73" s="28" t="s">
        <v>1419</v>
      </c>
      <c r="H73" s="28" t="s">
        <v>1419</v>
      </c>
      <c r="I73" s="28" t="s">
        <v>1419</v>
      </c>
      <c r="J73" s="28" t="s">
        <v>1419</v>
      </c>
      <c r="K73" s="28" t="s">
        <v>1419</v>
      </c>
      <c r="L73" s="28" t="s">
        <v>1419</v>
      </c>
      <c r="M73" s="28" t="s">
        <v>1419</v>
      </c>
      <c r="N73" s="28" t="s">
        <v>1419</v>
      </c>
      <c r="O73" s="28" t="s">
        <v>1419</v>
      </c>
      <c r="P73" s="28" t="s">
        <v>1419</v>
      </c>
      <c r="Q73" s="28" t="s">
        <v>1419</v>
      </c>
      <c r="R73" s="28" t="s">
        <v>1419</v>
      </c>
      <c r="S73" s="28" t="s">
        <v>1419</v>
      </c>
      <c r="T73" s="28" t="s">
        <v>1419</v>
      </c>
      <c r="U73" s="28" t="s">
        <v>1419</v>
      </c>
      <c r="V73" s="28" t="s">
        <v>1419</v>
      </c>
      <c r="W73" s="28" t="s">
        <v>1419</v>
      </c>
      <c r="X73" s="28" t="s">
        <v>1419</v>
      </c>
      <c r="Y73" s="28" t="s">
        <v>1419</v>
      </c>
      <c r="Z73" s="28" t="s">
        <v>1419</v>
      </c>
      <c r="AA73" s="28" t="s">
        <v>1419</v>
      </c>
      <c r="AB73" s="28" t="s">
        <v>1419</v>
      </c>
      <c r="AC73" s="28" t="s">
        <v>1419</v>
      </c>
      <c r="AD73" s="28" t="s">
        <v>1419</v>
      </c>
      <c r="AE73" s="28" t="s">
        <v>1419</v>
      </c>
      <c r="AF73" s="28" t="s">
        <v>1419</v>
      </c>
      <c r="AG73" s="28" t="s">
        <v>1419</v>
      </c>
      <c r="AH73" s="28" t="s">
        <v>1419</v>
      </c>
      <c r="AI73" s="28" t="s">
        <v>1419</v>
      </c>
      <c r="AJ73" s="28" t="s">
        <v>1419</v>
      </c>
      <c r="AK73" s="29" t="s">
        <v>1419</v>
      </c>
      <c r="AL73" s="29" t="s">
        <v>1419</v>
      </c>
    </row>
    <row r="74" spans="1:38">
      <c r="A74" s="29" t="s">
        <v>270</v>
      </c>
      <c r="B74" s="28" t="s">
        <v>1420</v>
      </c>
      <c r="C74" s="28" t="s">
        <v>1420</v>
      </c>
      <c r="D74" s="28" t="s">
        <v>1420</v>
      </c>
      <c r="E74" s="28" t="s">
        <v>1420</v>
      </c>
      <c r="F74" s="28" t="s">
        <v>1421</v>
      </c>
      <c r="G74" s="28" t="s">
        <v>1421</v>
      </c>
      <c r="H74" s="28" t="s">
        <v>1419</v>
      </c>
      <c r="I74" s="28" t="s">
        <v>1419</v>
      </c>
      <c r="J74" s="28" t="s">
        <v>1419</v>
      </c>
      <c r="K74" s="28" t="s">
        <v>1421</v>
      </c>
      <c r="L74" s="28" t="s">
        <v>1421</v>
      </c>
      <c r="M74" s="28" t="s">
        <v>1421</v>
      </c>
      <c r="N74" s="28" t="s">
        <v>1419</v>
      </c>
      <c r="O74" s="28" t="s">
        <v>1419</v>
      </c>
      <c r="P74" s="28" t="s">
        <v>1419</v>
      </c>
      <c r="Q74" s="28" t="s">
        <v>1419</v>
      </c>
      <c r="R74" s="28" t="s">
        <v>1421</v>
      </c>
      <c r="S74" s="28" t="s">
        <v>1421</v>
      </c>
      <c r="T74" s="28" t="s">
        <v>1421</v>
      </c>
      <c r="U74" s="28" t="s">
        <v>1421</v>
      </c>
      <c r="V74" s="28" t="s">
        <v>1421</v>
      </c>
      <c r="W74" s="28" t="s">
        <v>1421</v>
      </c>
      <c r="X74" s="28" t="s">
        <v>1421</v>
      </c>
      <c r="Y74" s="28" t="s">
        <v>1421</v>
      </c>
      <c r="Z74" s="28" t="s">
        <v>1421</v>
      </c>
      <c r="AA74" s="28" t="s">
        <v>1421</v>
      </c>
      <c r="AB74" s="28" t="s">
        <v>1421</v>
      </c>
      <c r="AC74" s="28" t="s">
        <v>1421</v>
      </c>
      <c r="AD74" s="28" t="s">
        <v>1422</v>
      </c>
      <c r="AE74" s="28" t="s">
        <v>1421</v>
      </c>
      <c r="AF74" s="28" t="s">
        <v>1421</v>
      </c>
      <c r="AG74" s="28" t="s">
        <v>1422</v>
      </c>
      <c r="AH74" s="28" t="s">
        <v>1422</v>
      </c>
      <c r="AI74" s="28" t="s">
        <v>1422</v>
      </c>
      <c r="AJ74" s="28" t="s">
        <v>1422</v>
      </c>
      <c r="AK74" s="29" t="s">
        <v>1422</v>
      </c>
      <c r="AL74" s="29" t="s">
        <v>1422</v>
      </c>
    </row>
    <row r="75" spans="1:38">
      <c r="A75" s="29" t="s">
        <v>1180</v>
      </c>
      <c r="B75" s="28" t="s">
        <v>1423</v>
      </c>
      <c r="C75" s="28" t="s">
        <v>1423</v>
      </c>
      <c r="D75" s="28" t="s">
        <v>1423</v>
      </c>
      <c r="E75" s="28" t="s">
        <v>1423</v>
      </c>
      <c r="F75" s="28" t="s">
        <v>1423</v>
      </c>
      <c r="G75" s="28" t="s">
        <v>1423</v>
      </c>
      <c r="H75" s="28" t="s">
        <v>1423</v>
      </c>
      <c r="I75" s="28" t="s">
        <v>1423</v>
      </c>
      <c r="J75" s="28" t="s">
        <v>1423</v>
      </c>
      <c r="K75" s="28" t="s">
        <v>1423</v>
      </c>
      <c r="L75" s="28" t="s">
        <v>1423</v>
      </c>
      <c r="M75" s="28" t="s">
        <v>1423</v>
      </c>
      <c r="N75" s="28" t="s">
        <v>1423</v>
      </c>
      <c r="O75" s="28" t="s">
        <v>1423</v>
      </c>
      <c r="P75" s="28" t="s">
        <v>1423</v>
      </c>
      <c r="Q75" s="28" t="s">
        <v>1423</v>
      </c>
      <c r="R75" s="28" t="s">
        <v>1423</v>
      </c>
      <c r="S75" s="28" t="s">
        <v>1423</v>
      </c>
      <c r="T75" s="28" t="s">
        <v>1423</v>
      </c>
      <c r="U75" s="28" t="s">
        <v>1423</v>
      </c>
      <c r="V75" s="28" t="s">
        <v>1423</v>
      </c>
      <c r="W75" s="28" t="s">
        <v>1423</v>
      </c>
      <c r="X75" s="28" t="s">
        <v>1423</v>
      </c>
      <c r="Y75" s="28" t="s">
        <v>1423</v>
      </c>
      <c r="Z75" s="28" t="s">
        <v>1423</v>
      </c>
      <c r="AA75" s="28" t="s">
        <v>1423</v>
      </c>
      <c r="AB75" s="28" t="s">
        <v>1423</v>
      </c>
      <c r="AC75" s="28" t="s">
        <v>1423</v>
      </c>
      <c r="AD75" s="28" t="s">
        <v>1423</v>
      </c>
      <c r="AE75" s="28" t="s">
        <v>1423</v>
      </c>
      <c r="AF75" s="28" t="s">
        <v>1423</v>
      </c>
      <c r="AG75" s="28" t="s">
        <v>1423</v>
      </c>
      <c r="AH75" s="28" t="s">
        <v>1423</v>
      </c>
      <c r="AI75" s="28" t="s">
        <v>1423</v>
      </c>
      <c r="AJ75" s="28" t="s">
        <v>1423</v>
      </c>
      <c r="AK75" s="29" t="s">
        <v>1423</v>
      </c>
      <c r="AL75" s="29" t="s">
        <v>1423</v>
      </c>
    </row>
    <row r="76" spans="1:38">
      <c r="A76" s="29" t="s">
        <v>1202</v>
      </c>
      <c r="B76" s="28" t="s">
        <v>1419</v>
      </c>
      <c r="C76" s="28" t="s">
        <v>1419</v>
      </c>
      <c r="D76" s="28" t="s">
        <v>1419</v>
      </c>
      <c r="E76" s="28" t="s">
        <v>1419</v>
      </c>
      <c r="F76" s="28" t="s">
        <v>1419</v>
      </c>
      <c r="G76" s="28" t="s">
        <v>1419</v>
      </c>
      <c r="H76" s="28" t="s">
        <v>1419</v>
      </c>
      <c r="I76" s="28" t="s">
        <v>1419</v>
      </c>
      <c r="J76" s="28" t="s">
        <v>1419</v>
      </c>
      <c r="K76" s="28" t="s">
        <v>1419</v>
      </c>
      <c r="L76" s="28" t="s">
        <v>1419</v>
      </c>
      <c r="M76" s="28" t="s">
        <v>1419</v>
      </c>
      <c r="N76" s="28" t="s">
        <v>1419</v>
      </c>
      <c r="O76" s="28" t="s">
        <v>1419</v>
      </c>
      <c r="P76" s="28" t="s">
        <v>1419</v>
      </c>
      <c r="Q76" s="28" t="s">
        <v>1419</v>
      </c>
      <c r="R76" s="28" t="s">
        <v>1419</v>
      </c>
      <c r="S76" s="28" t="s">
        <v>1419</v>
      </c>
      <c r="T76" s="28" t="s">
        <v>1419</v>
      </c>
      <c r="U76" s="28" t="s">
        <v>1419</v>
      </c>
      <c r="V76" s="28" t="s">
        <v>1419</v>
      </c>
      <c r="W76" s="28" t="s">
        <v>1419</v>
      </c>
      <c r="X76" s="28" t="s">
        <v>1419</v>
      </c>
      <c r="Y76" s="28" t="s">
        <v>1421</v>
      </c>
      <c r="Z76" s="28" t="s">
        <v>1421</v>
      </c>
      <c r="AA76" s="28" t="s">
        <v>1421</v>
      </c>
      <c r="AB76" s="28" t="s">
        <v>1421</v>
      </c>
      <c r="AC76" s="28" t="s">
        <v>1421</v>
      </c>
      <c r="AD76" s="28" t="s">
        <v>1421</v>
      </c>
      <c r="AE76" s="28" t="s">
        <v>1421</v>
      </c>
      <c r="AF76" s="28" t="s">
        <v>1421</v>
      </c>
      <c r="AG76" s="28" t="s">
        <v>1421</v>
      </c>
      <c r="AH76" s="28" t="s">
        <v>1421</v>
      </c>
      <c r="AI76" s="28" t="s">
        <v>1421</v>
      </c>
      <c r="AJ76" s="28" t="s">
        <v>1421</v>
      </c>
      <c r="AK76" s="29" t="s">
        <v>1421</v>
      </c>
      <c r="AL76" s="29" t="s">
        <v>1421</v>
      </c>
    </row>
    <row r="77" spans="1:38">
      <c r="A77" s="29" t="s">
        <v>1203</v>
      </c>
      <c r="B77" s="28" t="s">
        <v>1422</v>
      </c>
      <c r="C77" s="28" t="s">
        <v>1422</v>
      </c>
      <c r="D77" s="28" t="s">
        <v>1422</v>
      </c>
      <c r="E77" s="28" t="s">
        <v>1422</v>
      </c>
      <c r="F77" s="28" t="s">
        <v>1422</v>
      </c>
      <c r="G77" s="28" t="s">
        <v>1422</v>
      </c>
      <c r="H77" s="28" t="s">
        <v>1422</v>
      </c>
      <c r="I77" s="28" t="s">
        <v>1420</v>
      </c>
      <c r="J77" s="28" t="s">
        <v>1420</v>
      </c>
      <c r="K77" s="28" t="s">
        <v>1420</v>
      </c>
      <c r="L77" s="28" t="s">
        <v>1420</v>
      </c>
      <c r="M77" s="28" t="s">
        <v>1420</v>
      </c>
      <c r="N77" s="28" t="s">
        <v>1420</v>
      </c>
      <c r="O77" s="28" t="s">
        <v>1420</v>
      </c>
      <c r="P77" s="28" t="s">
        <v>1420</v>
      </c>
      <c r="Q77" s="28" t="s">
        <v>1420</v>
      </c>
      <c r="R77" s="28" t="s">
        <v>1420</v>
      </c>
      <c r="S77" s="28" t="s">
        <v>1420</v>
      </c>
      <c r="T77" s="28" t="s">
        <v>1420</v>
      </c>
      <c r="U77" s="28" t="s">
        <v>1420</v>
      </c>
      <c r="V77" s="28" t="s">
        <v>1420</v>
      </c>
      <c r="W77" s="28" t="s">
        <v>1420</v>
      </c>
      <c r="X77" s="28" t="s">
        <v>1423</v>
      </c>
      <c r="Y77" s="28" t="s">
        <v>1423</v>
      </c>
      <c r="Z77" s="28" t="s">
        <v>1420</v>
      </c>
      <c r="AA77" s="28" t="s">
        <v>1420</v>
      </c>
      <c r="AB77" s="28" t="s">
        <v>1420</v>
      </c>
      <c r="AC77" s="28" t="s">
        <v>1420</v>
      </c>
      <c r="AD77" s="28" t="s">
        <v>1423</v>
      </c>
      <c r="AE77" s="28" t="s">
        <v>1423</v>
      </c>
      <c r="AF77" s="28" t="s">
        <v>1423</v>
      </c>
      <c r="AG77" s="28" t="s">
        <v>1423</v>
      </c>
      <c r="AH77" s="28" t="s">
        <v>1423</v>
      </c>
      <c r="AI77" s="28" t="s">
        <v>1423</v>
      </c>
      <c r="AJ77" s="28" t="s">
        <v>1423</v>
      </c>
      <c r="AK77" s="29" t="s">
        <v>1423</v>
      </c>
      <c r="AL77" s="29" t="s">
        <v>1423</v>
      </c>
    </row>
    <row r="78" spans="1:38">
      <c r="A78" s="29" t="s">
        <v>1207</v>
      </c>
      <c r="B78" s="28" t="s">
        <v>1422</v>
      </c>
      <c r="C78" s="28" t="s">
        <v>1422</v>
      </c>
      <c r="D78" s="28" t="s">
        <v>1422</v>
      </c>
      <c r="E78" s="28" t="s">
        <v>1422</v>
      </c>
      <c r="F78" s="28" t="s">
        <v>1422</v>
      </c>
      <c r="G78" s="28" t="s">
        <v>1422</v>
      </c>
      <c r="H78" s="28" t="s">
        <v>1422</v>
      </c>
      <c r="I78" s="28" t="s">
        <v>1422</v>
      </c>
      <c r="J78" s="28" t="s">
        <v>1422</v>
      </c>
      <c r="K78" s="28" t="s">
        <v>1423</v>
      </c>
      <c r="L78" s="28" t="s">
        <v>1423</v>
      </c>
      <c r="M78" s="28" t="s">
        <v>1423</v>
      </c>
      <c r="N78" s="28" t="s">
        <v>1423</v>
      </c>
      <c r="O78" s="28" t="s">
        <v>1423</v>
      </c>
      <c r="P78" s="28" t="s">
        <v>1423</v>
      </c>
      <c r="Q78" s="28" t="s">
        <v>1423</v>
      </c>
      <c r="R78" s="28" t="s">
        <v>1423</v>
      </c>
      <c r="S78" s="28" t="s">
        <v>1423</v>
      </c>
      <c r="T78" s="28" t="s">
        <v>1423</v>
      </c>
      <c r="U78" s="28" t="s">
        <v>1423</v>
      </c>
      <c r="V78" s="28" t="s">
        <v>1423</v>
      </c>
      <c r="W78" s="28" t="s">
        <v>1423</v>
      </c>
      <c r="X78" s="28" t="s">
        <v>1423</v>
      </c>
      <c r="Y78" s="28" t="s">
        <v>1423</v>
      </c>
      <c r="Z78" s="28" t="s">
        <v>1423</v>
      </c>
      <c r="AA78" s="28" t="s">
        <v>1423</v>
      </c>
      <c r="AB78" s="28" t="s">
        <v>1423</v>
      </c>
      <c r="AC78" s="28" t="s">
        <v>1423</v>
      </c>
      <c r="AD78" s="28" t="s">
        <v>1423</v>
      </c>
      <c r="AE78" s="28" t="s">
        <v>1423</v>
      </c>
      <c r="AF78" s="28" t="s">
        <v>1423</v>
      </c>
      <c r="AG78" s="28" t="s">
        <v>1423</v>
      </c>
      <c r="AH78" s="28" t="s">
        <v>1423</v>
      </c>
      <c r="AI78" s="28" t="s">
        <v>1423</v>
      </c>
      <c r="AJ78" s="28" t="s">
        <v>1423</v>
      </c>
      <c r="AK78" s="29" t="s">
        <v>1423</v>
      </c>
      <c r="AL78" s="29" t="s">
        <v>1423</v>
      </c>
    </row>
    <row r="79" spans="1:38">
      <c r="A79" s="29" t="s">
        <v>1209</v>
      </c>
      <c r="B79" s="28" t="s">
        <v>1423</v>
      </c>
      <c r="C79" s="28" t="s">
        <v>1423</v>
      </c>
      <c r="D79" s="28" t="s">
        <v>1423</v>
      </c>
      <c r="E79" s="28" t="s">
        <v>1423</v>
      </c>
      <c r="F79" s="28" t="s">
        <v>1423</v>
      </c>
      <c r="G79" s="28" t="s">
        <v>1423</v>
      </c>
      <c r="H79" s="28" t="s">
        <v>1423</v>
      </c>
      <c r="I79" s="28" t="s">
        <v>1423</v>
      </c>
      <c r="J79" s="28" t="s">
        <v>1423</v>
      </c>
      <c r="K79" s="28" t="s">
        <v>1423</v>
      </c>
      <c r="L79" s="28" t="s">
        <v>1423</v>
      </c>
      <c r="M79" s="28" t="s">
        <v>1423</v>
      </c>
      <c r="N79" s="28" t="s">
        <v>1423</v>
      </c>
      <c r="O79" s="28" t="s">
        <v>1423</v>
      </c>
      <c r="P79" s="28" t="s">
        <v>1423</v>
      </c>
      <c r="Q79" s="28" t="s">
        <v>1423</v>
      </c>
      <c r="R79" s="28" t="s">
        <v>1423</v>
      </c>
      <c r="S79" s="28" t="s">
        <v>1423</v>
      </c>
      <c r="T79" s="28" t="s">
        <v>1423</v>
      </c>
      <c r="U79" s="28" t="s">
        <v>1423</v>
      </c>
      <c r="V79" s="28" t="s">
        <v>1423</v>
      </c>
      <c r="W79" s="28" t="s">
        <v>1423</v>
      </c>
      <c r="X79" s="28" t="s">
        <v>1423</v>
      </c>
      <c r="Y79" s="28" t="s">
        <v>1423</v>
      </c>
      <c r="Z79" s="28" t="s">
        <v>1423</v>
      </c>
      <c r="AA79" s="28" t="s">
        <v>1423</v>
      </c>
      <c r="AB79" s="28" t="s">
        <v>1423</v>
      </c>
      <c r="AC79" s="28" t="s">
        <v>1423</v>
      </c>
      <c r="AD79" s="28" t="s">
        <v>1423</v>
      </c>
      <c r="AE79" s="28" t="s">
        <v>1423</v>
      </c>
      <c r="AF79" s="28" t="s">
        <v>1423</v>
      </c>
      <c r="AG79" s="28" t="s">
        <v>1423</v>
      </c>
      <c r="AH79" s="28" t="s">
        <v>1423</v>
      </c>
      <c r="AI79" s="28" t="s">
        <v>1423</v>
      </c>
      <c r="AJ79" s="28" t="s">
        <v>1423</v>
      </c>
      <c r="AK79" s="29" t="s">
        <v>1423</v>
      </c>
      <c r="AL79" s="29" t="s">
        <v>1423</v>
      </c>
    </row>
    <row r="80" spans="1:38">
      <c r="A80" s="29" t="s">
        <v>1208</v>
      </c>
      <c r="B80" s="28" t="s">
        <v>1421</v>
      </c>
      <c r="C80" s="28" t="s">
        <v>1421</v>
      </c>
      <c r="D80" s="28" t="s">
        <v>1421</v>
      </c>
      <c r="E80" s="28" t="s">
        <v>1421</v>
      </c>
      <c r="F80" s="28" t="s">
        <v>1421</v>
      </c>
      <c r="G80" s="28" t="s">
        <v>1421</v>
      </c>
      <c r="H80" s="28" t="s">
        <v>1421</v>
      </c>
      <c r="I80" s="28" t="s">
        <v>1421</v>
      </c>
      <c r="J80" s="28" t="s">
        <v>1421</v>
      </c>
      <c r="K80" s="28" t="s">
        <v>1421</v>
      </c>
      <c r="L80" s="28" t="s">
        <v>1422</v>
      </c>
      <c r="M80" s="28" t="s">
        <v>1422</v>
      </c>
      <c r="N80" s="28" t="s">
        <v>1422</v>
      </c>
      <c r="O80" s="28" t="s">
        <v>1422</v>
      </c>
      <c r="P80" s="28" t="s">
        <v>1422</v>
      </c>
      <c r="Q80" s="28" t="s">
        <v>1422</v>
      </c>
      <c r="R80" s="28" t="s">
        <v>1422</v>
      </c>
      <c r="S80" s="28" t="s">
        <v>1422</v>
      </c>
      <c r="T80" s="28" t="s">
        <v>1422</v>
      </c>
      <c r="U80" s="28" t="s">
        <v>1422</v>
      </c>
      <c r="V80" s="28" t="s">
        <v>1422</v>
      </c>
      <c r="W80" s="28" t="s">
        <v>1422</v>
      </c>
      <c r="X80" s="28" t="s">
        <v>1422</v>
      </c>
      <c r="Y80" s="28" t="s">
        <v>1422</v>
      </c>
      <c r="Z80" s="28" t="s">
        <v>1422</v>
      </c>
      <c r="AA80" s="28" t="s">
        <v>1422</v>
      </c>
      <c r="AB80" s="28" t="s">
        <v>1422</v>
      </c>
      <c r="AC80" s="28" t="s">
        <v>1422</v>
      </c>
      <c r="AD80" s="28" t="s">
        <v>1422</v>
      </c>
      <c r="AE80" s="28" t="s">
        <v>1422</v>
      </c>
      <c r="AF80" s="28" t="s">
        <v>1422</v>
      </c>
      <c r="AG80" s="28" t="s">
        <v>1422</v>
      </c>
      <c r="AH80" s="28" t="s">
        <v>1422</v>
      </c>
      <c r="AI80" s="28" t="s">
        <v>1422</v>
      </c>
      <c r="AJ80" s="28" t="s">
        <v>1422</v>
      </c>
      <c r="AK80" s="29" t="s">
        <v>1422</v>
      </c>
      <c r="AL80" s="29" t="s">
        <v>1422</v>
      </c>
    </row>
    <row r="81" spans="1:38">
      <c r="A81" s="29" t="s">
        <v>1211</v>
      </c>
      <c r="B81" s="28" t="s">
        <v>1423</v>
      </c>
      <c r="C81" s="28" t="s">
        <v>1423</v>
      </c>
      <c r="D81" s="28" t="s">
        <v>1423</v>
      </c>
      <c r="E81" s="28" t="s">
        <v>1422</v>
      </c>
      <c r="F81" s="28" t="s">
        <v>1422</v>
      </c>
      <c r="G81" s="28" t="s">
        <v>1422</v>
      </c>
      <c r="H81" s="28" t="s">
        <v>1422</v>
      </c>
      <c r="I81" s="28" t="s">
        <v>1422</v>
      </c>
      <c r="J81" s="28" t="s">
        <v>1423</v>
      </c>
      <c r="K81" s="28" t="s">
        <v>1423</v>
      </c>
      <c r="L81" s="28" t="s">
        <v>1423</v>
      </c>
      <c r="M81" s="28" t="s">
        <v>1423</v>
      </c>
      <c r="N81" s="28" t="s">
        <v>1423</v>
      </c>
      <c r="O81" s="28" t="s">
        <v>1423</v>
      </c>
      <c r="P81" s="28" t="s">
        <v>1423</v>
      </c>
      <c r="Q81" s="28" t="s">
        <v>1423</v>
      </c>
      <c r="R81" s="28" t="s">
        <v>1423</v>
      </c>
      <c r="S81" s="28" t="s">
        <v>1423</v>
      </c>
      <c r="T81" s="28" t="s">
        <v>1423</v>
      </c>
      <c r="U81" s="28" t="s">
        <v>1423</v>
      </c>
      <c r="V81" s="28" t="s">
        <v>1423</v>
      </c>
      <c r="W81" s="28" t="s">
        <v>1423</v>
      </c>
      <c r="X81" s="28" t="s">
        <v>1423</v>
      </c>
      <c r="Y81" s="28" t="s">
        <v>1423</v>
      </c>
      <c r="Z81" s="28" t="s">
        <v>1423</v>
      </c>
      <c r="AA81" s="28" t="s">
        <v>1423</v>
      </c>
      <c r="AB81" s="28" t="s">
        <v>1423</v>
      </c>
      <c r="AC81" s="28" t="s">
        <v>1423</v>
      </c>
      <c r="AD81" s="28" t="s">
        <v>1423</v>
      </c>
      <c r="AE81" s="28" t="s">
        <v>1423</v>
      </c>
      <c r="AF81" s="28" t="s">
        <v>1423</v>
      </c>
      <c r="AG81" s="28" t="s">
        <v>1423</v>
      </c>
      <c r="AH81" s="28" t="s">
        <v>1423</v>
      </c>
      <c r="AI81" s="28" t="s">
        <v>1423</v>
      </c>
      <c r="AJ81" s="28" t="s">
        <v>1423</v>
      </c>
      <c r="AK81" s="29" t="s">
        <v>1423</v>
      </c>
      <c r="AL81" s="29" t="s">
        <v>1423</v>
      </c>
    </row>
    <row r="82" spans="1:38">
      <c r="A82" s="29" t="s">
        <v>1210</v>
      </c>
      <c r="B82" s="28" t="s">
        <v>1421</v>
      </c>
      <c r="C82" s="28" t="s">
        <v>1421</v>
      </c>
      <c r="D82" s="28" t="s">
        <v>1421</v>
      </c>
      <c r="E82" s="28" t="s">
        <v>1421</v>
      </c>
      <c r="F82" s="28" t="s">
        <v>1421</v>
      </c>
      <c r="G82" s="28" t="s">
        <v>1421</v>
      </c>
      <c r="H82" s="28" t="s">
        <v>1421</v>
      </c>
      <c r="I82" s="28" t="s">
        <v>1421</v>
      </c>
      <c r="J82" s="28" t="s">
        <v>1421</v>
      </c>
      <c r="K82" s="28" t="s">
        <v>1421</v>
      </c>
      <c r="L82" s="28" t="s">
        <v>1421</v>
      </c>
      <c r="M82" s="28" t="s">
        <v>1421</v>
      </c>
      <c r="N82" s="28" t="s">
        <v>1421</v>
      </c>
      <c r="O82" s="28" t="s">
        <v>1421</v>
      </c>
      <c r="P82" s="28" t="s">
        <v>1421</v>
      </c>
      <c r="Q82" s="28" t="s">
        <v>1421</v>
      </c>
      <c r="R82" s="28" t="s">
        <v>1421</v>
      </c>
      <c r="S82" s="28" t="s">
        <v>1421</v>
      </c>
      <c r="T82" s="28" t="s">
        <v>1421</v>
      </c>
      <c r="U82" s="28" t="s">
        <v>1421</v>
      </c>
      <c r="V82" s="28" t="s">
        <v>1421</v>
      </c>
      <c r="W82" s="28" t="s">
        <v>1421</v>
      </c>
      <c r="X82" s="28" t="s">
        <v>1421</v>
      </c>
      <c r="Y82" s="28" t="s">
        <v>1421</v>
      </c>
      <c r="Z82" s="28" t="s">
        <v>1421</v>
      </c>
      <c r="AA82" s="28" t="s">
        <v>1421</v>
      </c>
      <c r="AB82" s="28" t="s">
        <v>1421</v>
      </c>
      <c r="AC82" s="28" t="s">
        <v>1421</v>
      </c>
      <c r="AD82" s="28" t="s">
        <v>1421</v>
      </c>
      <c r="AE82" s="28" t="s">
        <v>1421</v>
      </c>
      <c r="AF82" s="28" t="s">
        <v>1422</v>
      </c>
      <c r="AG82" s="28" t="s">
        <v>1422</v>
      </c>
      <c r="AH82" s="28" t="s">
        <v>1422</v>
      </c>
      <c r="AI82" s="28" t="s">
        <v>1422</v>
      </c>
      <c r="AJ82" s="28" t="s">
        <v>1422</v>
      </c>
      <c r="AK82" s="29" t="s">
        <v>1422</v>
      </c>
      <c r="AL82" s="29" t="s">
        <v>1422</v>
      </c>
    </row>
    <row r="83" spans="1:38">
      <c r="A83" s="29" t="s">
        <v>1204</v>
      </c>
      <c r="B83" s="28" t="s">
        <v>1419</v>
      </c>
      <c r="C83" s="28" t="s">
        <v>1419</v>
      </c>
      <c r="D83" s="28" t="s">
        <v>1419</v>
      </c>
      <c r="E83" s="28" t="s">
        <v>1419</v>
      </c>
      <c r="F83" s="28" t="s">
        <v>1419</v>
      </c>
      <c r="G83" s="28" t="s">
        <v>1419</v>
      </c>
      <c r="H83" s="28" t="s">
        <v>1419</v>
      </c>
      <c r="I83" s="28" t="s">
        <v>1419</v>
      </c>
      <c r="J83" s="28" t="s">
        <v>1419</v>
      </c>
      <c r="K83" s="28" t="s">
        <v>1419</v>
      </c>
      <c r="L83" s="28" t="s">
        <v>1419</v>
      </c>
      <c r="M83" s="28" t="s">
        <v>1419</v>
      </c>
      <c r="N83" s="28" t="s">
        <v>1419</v>
      </c>
      <c r="O83" s="28" t="s">
        <v>1419</v>
      </c>
      <c r="P83" s="28" t="s">
        <v>1419</v>
      </c>
      <c r="Q83" s="28" t="s">
        <v>1419</v>
      </c>
      <c r="R83" s="28" t="s">
        <v>1419</v>
      </c>
      <c r="S83" s="28" t="s">
        <v>1419</v>
      </c>
      <c r="T83" s="28" t="s">
        <v>1419</v>
      </c>
      <c r="U83" s="28" t="s">
        <v>1419</v>
      </c>
      <c r="V83" s="28" t="s">
        <v>1419</v>
      </c>
      <c r="W83" s="28" t="s">
        <v>1419</v>
      </c>
      <c r="X83" s="28" t="s">
        <v>1419</v>
      </c>
      <c r="Y83" s="28" t="s">
        <v>1419</v>
      </c>
      <c r="Z83" s="28" t="s">
        <v>1419</v>
      </c>
      <c r="AA83" s="28" t="s">
        <v>1419</v>
      </c>
      <c r="AB83" s="28" t="s">
        <v>1419</v>
      </c>
      <c r="AC83" s="28" t="s">
        <v>1419</v>
      </c>
      <c r="AD83" s="28" t="s">
        <v>1419</v>
      </c>
      <c r="AE83" s="28" t="s">
        <v>1419</v>
      </c>
      <c r="AF83" s="28" t="s">
        <v>1419</v>
      </c>
      <c r="AG83" s="28" t="s">
        <v>1419</v>
      </c>
      <c r="AH83" s="28" t="s">
        <v>1419</v>
      </c>
      <c r="AI83" s="28" t="s">
        <v>1419</v>
      </c>
      <c r="AJ83" s="28" t="s">
        <v>1419</v>
      </c>
      <c r="AK83" s="29" t="s">
        <v>1421</v>
      </c>
      <c r="AL83" s="29" t="s">
        <v>1421</v>
      </c>
    </row>
    <row r="84" spans="1:38">
      <c r="A84" s="29" t="s">
        <v>1205</v>
      </c>
      <c r="B84" s="28" t="s">
        <v>1419</v>
      </c>
      <c r="C84" s="28" t="s">
        <v>1419</v>
      </c>
      <c r="D84" s="28" t="s">
        <v>1419</v>
      </c>
      <c r="E84" s="28" t="s">
        <v>1419</v>
      </c>
      <c r="F84" s="28" t="s">
        <v>1419</v>
      </c>
      <c r="G84" s="28" t="s">
        <v>1419</v>
      </c>
      <c r="H84" s="28" t="s">
        <v>1419</v>
      </c>
      <c r="I84" s="28" t="s">
        <v>1419</v>
      </c>
      <c r="J84" s="28" t="s">
        <v>1419</v>
      </c>
      <c r="K84" s="28" t="s">
        <v>1419</v>
      </c>
      <c r="L84" s="28" t="s">
        <v>1419</v>
      </c>
      <c r="M84" s="28" t="s">
        <v>1419</v>
      </c>
      <c r="N84" s="28" t="s">
        <v>1419</v>
      </c>
      <c r="O84" s="28" t="s">
        <v>1419</v>
      </c>
      <c r="P84" s="28" t="s">
        <v>1419</v>
      </c>
      <c r="Q84" s="28" t="s">
        <v>1419</v>
      </c>
      <c r="R84" s="28" t="s">
        <v>1419</v>
      </c>
      <c r="S84" s="28" t="s">
        <v>1419</v>
      </c>
      <c r="T84" s="28" t="s">
        <v>1419</v>
      </c>
      <c r="U84" s="28" t="s">
        <v>1419</v>
      </c>
      <c r="V84" s="28" t="s">
        <v>1419</v>
      </c>
      <c r="W84" s="28" t="s">
        <v>1419</v>
      </c>
      <c r="X84" s="28" t="s">
        <v>1419</v>
      </c>
      <c r="Y84" s="28" t="s">
        <v>1419</v>
      </c>
      <c r="Z84" s="28" t="s">
        <v>1419</v>
      </c>
      <c r="AA84" s="28" t="s">
        <v>1419</v>
      </c>
      <c r="AB84" s="28" t="s">
        <v>1419</v>
      </c>
      <c r="AC84" s="28" t="s">
        <v>1419</v>
      </c>
      <c r="AD84" s="28" t="s">
        <v>1419</v>
      </c>
      <c r="AE84" s="28" t="s">
        <v>1419</v>
      </c>
      <c r="AF84" s="28" t="s">
        <v>1419</v>
      </c>
      <c r="AG84" s="28" t="s">
        <v>1419</v>
      </c>
      <c r="AH84" s="28" t="s">
        <v>1419</v>
      </c>
      <c r="AI84" s="28" t="s">
        <v>1419</v>
      </c>
      <c r="AJ84" s="28" t="s">
        <v>1419</v>
      </c>
      <c r="AK84" s="29" t="s">
        <v>1419</v>
      </c>
      <c r="AL84" s="29" t="s">
        <v>1419</v>
      </c>
    </row>
    <row r="85" spans="1:38">
      <c r="A85" s="29" t="s">
        <v>1212</v>
      </c>
      <c r="B85" s="28" t="s">
        <v>1419</v>
      </c>
      <c r="C85" s="28" t="s">
        <v>1419</v>
      </c>
      <c r="D85" s="28" t="s">
        <v>1419</v>
      </c>
      <c r="E85" s="28" t="s">
        <v>1419</v>
      </c>
      <c r="F85" s="28" t="s">
        <v>1419</v>
      </c>
      <c r="G85" s="28" t="s">
        <v>1419</v>
      </c>
      <c r="H85" s="28" t="s">
        <v>1419</v>
      </c>
      <c r="I85" s="28" t="s">
        <v>1419</v>
      </c>
      <c r="J85" s="28" t="s">
        <v>1419</v>
      </c>
      <c r="K85" s="28" t="s">
        <v>1419</v>
      </c>
      <c r="L85" s="28" t="s">
        <v>1421</v>
      </c>
      <c r="M85" s="28" t="s">
        <v>1421</v>
      </c>
      <c r="N85" s="28" t="s">
        <v>1421</v>
      </c>
      <c r="O85" s="28" t="s">
        <v>1421</v>
      </c>
      <c r="P85" s="28" t="s">
        <v>1421</v>
      </c>
      <c r="Q85" s="28" t="s">
        <v>1421</v>
      </c>
      <c r="R85" s="28" t="s">
        <v>1421</v>
      </c>
      <c r="S85" s="28" t="s">
        <v>1421</v>
      </c>
      <c r="T85" s="28" t="s">
        <v>1421</v>
      </c>
      <c r="U85" s="28" t="s">
        <v>1421</v>
      </c>
      <c r="V85" s="28" t="s">
        <v>1421</v>
      </c>
      <c r="W85" s="28" t="s">
        <v>1421</v>
      </c>
      <c r="X85" s="28" t="s">
        <v>1421</v>
      </c>
      <c r="Y85" s="28" t="s">
        <v>1421</v>
      </c>
      <c r="Z85" s="28" t="s">
        <v>1421</v>
      </c>
      <c r="AA85" s="28" t="s">
        <v>1421</v>
      </c>
      <c r="AB85" s="28" t="s">
        <v>1421</v>
      </c>
      <c r="AC85" s="28" t="s">
        <v>1421</v>
      </c>
      <c r="AD85" s="28" t="s">
        <v>1422</v>
      </c>
      <c r="AE85" s="28" t="s">
        <v>1422</v>
      </c>
      <c r="AF85" s="28" t="s">
        <v>1422</v>
      </c>
      <c r="AG85" s="28" t="s">
        <v>1422</v>
      </c>
      <c r="AH85" s="28" t="s">
        <v>1422</v>
      </c>
      <c r="AI85" s="28" t="s">
        <v>1422</v>
      </c>
      <c r="AJ85" s="28" t="s">
        <v>1422</v>
      </c>
      <c r="AK85" s="29" t="s">
        <v>1423</v>
      </c>
      <c r="AL85" s="29" t="s">
        <v>1423</v>
      </c>
    </row>
    <row r="86" spans="1:38">
      <c r="A86" s="29" t="s">
        <v>1217</v>
      </c>
      <c r="B86" s="28" t="s">
        <v>1419</v>
      </c>
      <c r="C86" s="28" t="s">
        <v>1419</v>
      </c>
      <c r="D86" s="28" t="s">
        <v>1419</v>
      </c>
      <c r="E86" s="28" t="s">
        <v>1419</v>
      </c>
      <c r="F86" s="28" t="s">
        <v>1419</v>
      </c>
      <c r="G86" s="28" t="s">
        <v>1419</v>
      </c>
      <c r="H86" s="28" t="s">
        <v>1419</v>
      </c>
      <c r="I86" s="28" t="s">
        <v>1419</v>
      </c>
      <c r="J86" s="28" t="s">
        <v>1419</v>
      </c>
      <c r="K86" s="28" t="s">
        <v>1419</v>
      </c>
      <c r="L86" s="28" t="s">
        <v>1419</v>
      </c>
      <c r="M86" s="28" t="s">
        <v>1419</v>
      </c>
      <c r="N86" s="28" t="s">
        <v>1419</v>
      </c>
      <c r="O86" s="28" t="s">
        <v>1419</v>
      </c>
      <c r="P86" s="28" t="s">
        <v>1419</v>
      </c>
      <c r="Q86" s="28" t="s">
        <v>1419</v>
      </c>
      <c r="R86" s="28" t="s">
        <v>1419</v>
      </c>
      <c r="S86" s="28" t="s">
        <v>1419</v>
      </c>
      <c r="T86" s="28" t="s">
        <v>1419</v>
      </c>
      <c r="U86" s="28" t="s">
        <v>1419</v>
      </c>
      <c r="V86" s="28" t="s">
        <v>1419</v>
      </c>
      <c r="W86" s="28" t="s">
        <v>1419</v>
      </c>
      <c r="X86" s="28" t="s">
        <v>1419</v>
      </c>
      <c r="Y86" s="28" t="s">
        <v>1419</v>
      </c>
      <c r="Z86" s="28" t="s">
        <v>1419</v>
      </c>
      <c r="AA86" s="28" t="s">
        <v>1419</v>
      </c>
      <c r="AB86" s="28" t="s">
        <v>1419</v>
      </c>
      <c r="AC86" s="28" t="s">
        <v>1419</v>
      </c>
      <c r="AD86" s="28" t="s">
        <v>1419</v>
      </c>
      <c r="AE86" s="28" t="s">
        <v>1419</v>
      </c>
      <c r="AF86" s="28" t="s">
        <v>1419</v>
      </c>
      <c r="AG86" s="28" t="s">
        <v>1419</v>
      </c>
      <c r="AH86" s="28" t="s">
        <v>1419</v>
      </c>
      <c r="AI86" s="28" t="s">
        <v>1421</v>
      </c>
      <c r="AJ86" s="28" t="s">
        <v>1421</v>
      </c>
      <c r="AK86" s="29" t="s">
        <v>1421</v>
      </c>
      <c r="AL86" s="29" t="s">
        <v>1421</v>
      </c>
    </row>
    <row r="87" spans="1:38">
      <c r="A87" s="29" t="s">
        <v>287</v>
      </c>
      <c r="B87" s="28" t="s">
        <v>1421</v>
      </c>
      <c r="C87" s="28" t="s">
        <v>1421</v>
      </c>
      <c r="D87" s="28" t="s">
        <v>1421</v>
      </c>
      <c r="E87" s="28" t="s">
        <v>1419</v>
      </c>
      <c r="F87" s="28" t="s">
        <v>1419</v>
      </c>
      <c r="G87" s="28" t="s">
        <v>1419</v>
      </c>
      <c r="H87" s="28" t="s">
        <v>1419</v>
      </c>
      <c r="I87" s="28" t="s">
        <v>1419</v>
      </c>
      <c r="J87" s="28" t="s">
        <v>1419</v>
      </c>
      <c r="K87" s="28" t="s">
        <v>1419</v>
      </c>
      <c r="L87" s="28" t="s">
        <v>1419</v>
      </c>
      <c r="M87" s="28" t="s">
        <v>1419</v>
      </c>
      <c r="N87" s="28" t="s">
        <v>1421</v>
      </c>
      <c r="O87" s="28" t="s">
        <v>1421</v>
      </c>
      <c r="P87" s="28" t="s">
        <v>1421</v>
      </c>
      <c r="Q87" s="28" t="s">
        <v>1421</v>
      </c>
      <c r="R87" s="28" t="s">
        <v>1421</v>
      </c>
      <c r="S87" s="28" t="s">
        <v>1421</v>
      </c>
      <c r="T87" s="28" t="s">
        <v>1421</v>
      </c>
      <c r="U87" s="28" t="s">
        <v>1421</v>
      </c>
      <c r="V87" s="28" t="s">
        <v>1421</v>
      </c>
      <c r="W87" s="28" t="s">
        <v>1421</v>
      </c>
      <c r="X87" s="28" t="s">
        <v>1421</v>
      </c>
      <c r="Y87" s="28" t="s">
        <v>1421</v>
      </c>
      <c r="Z87" s="28" t="s">
        <v>1421</v>
      </c>
      <c r="AA87" s="28" t="s">
        <v>1421</v>
      </c>
      <c r="AB87" s="28" t="s">
        <v>1421</v>
      </c>
      <c r="AC87" s="28" t="s">
        <v>1421</v>
      </c>
      <c r="AD87" s="28" t="s">
        <v>1421</v>
      </c>
      <c r="AE87" s="28" t="s">
        <v>1421</v>
      </c>
      <c r="AF87" s="28" t="s">
        <v>1421</v>
      </c>
      <c r="AG87" s="28" t="s">
        <v>1421</v>
      </c>
      <c r="AH87" s="28" t="s">
        <v>1421</v>
      </c>
      <c r="AI87" s="28" t="s">
        <v>1421</v>
      </c>
      <c r="AJ87" s="28" t="s">
        <v>1421</v>
      </c>
      <c r="AK87" s="29" t="s">
        <v>1421</v>
      </c>
      <c r="AL87" s="29" t="s">
        <v>1421</v>
      </c>
    </row>
    <row r="88" spans="1:38">
      <c r="A88" s="29" t="s">
        <v>1214</v>
      </c>
      <c r="B88" s="28" t="s">
        <v>1423</v>
      </c>
      <c r="C88" s="28" t="s">
        <v>1423</v>
      </c>
      <c r="D88" s="28" t="s">
        <v>1423</v>
      </c>
      <c r="E88" s="28" t="s">
        <v>1423</v>
      </c>
      <c r="F88" s="28" t="s">
        <v>1423</v>
      </c>
      <c r="G88" s="28" t="s">
        <v>1423</v>
      </c>
      <c r="H88" s="28" t="s">
        <v>1423</v>
      </c>
      <c r="I88" s="28" t="s">
        <v>1423</v>
      </c>
      <c r="J88" s="28" t="s">
        <v>1423</v>
      </c>
      <c r="K88" s="28" t="s">
        <v>1423</v>
      </c>
      <c r="L88" s="28" t="s">
        <v>1423</v>
      </c>
      <c r="M88" s="28" t="s">
        <v>1423</v>
      </c>
      <c r="N88" s="28" t="s">
        <v>1423</v>
      </c>
      <c r="O88" s="28" t="s">
        <v>1423</v>
      </c>
      <c r="P88" s="28" t="s">
        <v>1423</v>
      </c>
      <c r="Q88" s="28" t="s">
        <v>1423</v>
      </c>
      <c r="R88" s="28" t="s">
        <v>1423</v>
      </c>
      <c r="S88" s="28" t="s">
        <v>1423</v>
      </c>
      <c r="T88" s="28" t="s">
        <v>1423</v>
      </c>
      <c r="U88" s="28" t="s">
        <v>1423</v>
      </c>
      <c r="V88" s="28" t="s">
        <v>1423</v>
      </c>
      <c r="W88" s="28" t="s">
        <v>1423</v>
      </c>
      <c r="X88" s="28" t="s">
        <v>1423</v>
      </c>
      <c r="Y88" s="28" t="s">
        <v>1423</v>
      </c>
      <c r="Z88" s="28" t="s">
        <v>1423</v>
      </c>
      <c r="AA88" s="28" t="s">
        <v>1423</v>
      </c>
      <c r="AB88" s="28" t="s">
        <v>1423</v>
      </c>
      <c r="AC88" s="28" t="s">
        <v>1423</v>
      </c>
      <c r="AD88" s="28" t="s">
        <v>1423</v>
      </c>
      <c r="AE88" s="28" t="s">
        <v>1423</v>
      </c>
      <c r="AF88" s="28" t="s">
        <v>1423</v>
      </c>
      <c r="AG88" s="28" t="s">
        <v>1423</v>
      </c>
      <c r="AH88" s="28" t="s">
        <v>1423</v>
      </c>
      <c r="AI88" s="28" t="s">
        <v>1423</v>
      </c>
      <c r="AJ88" s="28" t="s">
        <v>1423</v>
      </c>
      <c r="AK88" s="29" t="s">
        <v>1423</v>
      </c>
      <c r="AL88" s="29" t="s">
        <v>1423</v>
      </c>
    </row>
    <row r="89" spans="1:38">
      <c r="A89" s="29" t="s">
        <v>1218</v>
      </c>
      <c r="B89" s="28" t="s">
        <v>1422</v>
      </c>
      <c r="C89" s="28" t="s">
        <v>1422</v>
      </c>
      <c r="D89" s="28" t="s">
        <v>1422</v>
      </c>
      <c r="E89" s="28" t="s">
        <v>1422</v>
      </c>
      <c r="F89" s="28" t="s">
        <v>1422</v>
      </c>
      <c r="G89" s="28" t="s">
        <v>1422</v>
      </c>
      <c r="H89" s="28" t="s">
        <v>1422</v>
      </c>
      <c r="I89" s="28" t="s">
        <v>1422</v>
      </c>
      <c r="J89" s="28" t="s">
        <v>1422</v>
      </c>
      <c r="K89" s="28" t="s">
        <v>1422</v>
      </c>
      <c r="L89" s="28" t="s">
        <v>1422</v>
      </c>
      <c r="M89" s="28" t="s">
        <v>1422</v>
      </c>
      <c r="N89" s="28" t="s">
        <v>1422</v>
      </c>
      <c r="O89" s="28" t="s">
        <v>1422</v>
      </c>
      <c r="P89" s="28" t="s">
        <v>1422</v>
      </c>
      <c r="Q89" s="28" t="s">
        <v>1422</v>
      </c>
      <c r="R89" s="28" t="s">
        <v>1422</v>
      </c>
      <c r="S89" s="28" t="s">
        <v>1422</v>
      </c>
      <c r="T89" s="28" t="s">
        <v>1422</v>
      </c>
      <c r="U89" s="28" t="s">
        <v>1422</v>
      </c>
      <c r="V89" s="28" t="s">
        <v>1423</v>
      </c>
      <c r="W89" s="28" t="s">
        <v>1423</v>
      </c>
      <c r="X89" s="28" t="s">
        <v>1423</v>
      </c>
      <c r="Y89" s="28" t="s">
        <v>1423</v>
      </c>
      <c r="Z89" s="28" t="s">
        <v>1423</v>
      </c>
      <c r="AA89" s="28" t="s">
        <v>1422</v>
      </c>
      <c r="AB89" s="28" t="s">
        <v>1422</v>
      </c>
      <c r="AC89" s="28" t="s">
        <v>1423</v>
      </c>
      <c r="AD89" s="28" t="s">
        <v>1423</v>
      </c>
      <c r="AE89" s="28" t="s">
        <v>1423</v>
      </c>
      <c r="AF89" s="28" t="s">
        <v>1423</v>
      </c>
      <c r="AG89" s="28" t="s">
        <v>1423</v>
      </c>
      <c r="AH89" s="28" t="s">
        <v>1423</v>
      </c>
      <c r="AI89" s="28" t="s">
        <v>1423</v>
      </c>
      <c r="AJ89" s="28" t="s">
        <v>1423</v>
      </c>
      <c r="AK89" s="29" t="s">
        <v>1423</v>
      </c>
      <c r="AL89" s="29" t="s">
        <v>1423</v>
      </c>
    </row>
    <row r="90" spans="1:38">
      <c r="A90" s="29" t="s">
        <v>1228</v>
      </c>
      <c r="B90" s="28" t="s">
        <v>1423</v>
      </c>
      <c r="C90" s="28" t="s">
        <v>1423</v>
      </c>
      <c r="D90" s="28" t="s">
        <v>1423</v>
      </c>
      <c r="E90" s="28" t="s">
        <v>1423</v>
      </c>
      <c r="F90" s="28" t="s">
        <v>1423</v>
      </c>
      <c r="G90" s="28" t="s">
        <v>1423</v>
      </c>
      <c r="H90" s="28" t="s">
        <v>1423</v>
      </c>
      <c r="I90" s="28" t="s">
        <v>1423</v>
      </c>
      <c r="J90" s="28" t="s">
        <v>1423</v>
      </c>
      <c r="K90" s="28" t="s">
        <v>1423</v>
      </c>
      <c r="L90" s="28" t="s">
        <v>1423</v>
      </c>
      <c r="M90" s="28" t="s">
        <v>1423</v>
      </c>
      <c r="N90" s="28" t="s">
        <v>1423</v>
      </c>
      <c r="O90" s="28" t="s">
        <v>1423</v>
      </c>
      <c r="P90" s="28" t="s">
        <v>1423</v>
      </c>
      <c r="Q90" s="28" t="s">
        <v>1423</v>
      </c>
      <c r="R90" s="28" t="s">
        <v>1423</v>
      </c>
      <c r="S90" s="28" t="s">
        <v>1423</v>
      </c>
      <c r="T90" s="28" t="s">
        <v>1423</v>
      </c>
      <c r="U90" s="28" t="s">
        <v>1423</v>
      </c>
      <c r="V90" s="28" t="s">
        <v>1423</v>
      </c>
      <c r="W90" s="28" t="s">
        <v>1423</v>
      </c>
      <c r="X90" s="28" t="s">
        <v>1423</v>
      </c>
      <c r="Y90" s="28" t="s">
        <v>1423</v>
      </c>
      <c r="Z90" s="28" t="s">
        <v>1423</v>
      </c>
      <c r="AA90" s="28" t="s">
        <v>1423</v>
      </c>
      <c r="AB90" s="28" t="s">
        <v>1423</v>
      </c>
      <c r="AC90" s="28" t="s">
        <v>1423</v>
      </c>
      <c r="AD90" s="28" t="s">
        <v>1423</v>
      </c>
      <c r="AE90" s="28" t="s">
        <v>1423</v>
      </c>
      <c r="AF90" s="28" t="s">
        <v>1423</v>
      </c>
      <c r="AG90" s="28" t="s">
        <v>1423</v>
      </c>
      <c r="AH90" s="28" t="s">
        <v>1423</v>
      </c>
      <c r="AI90" s="28" t="s">
        <v>1423</v>
      </c>
      <c r="AJ90" s="28" t="s">
        <v>1423</v>
      </c>
      <c r="AK90" s="29" t="s">
        <v>1423</v>
      </c>
      <c r="AL90" s="29" t="s">
        <v>1423</v>
      </c>
    </row>
    <row r="91" spans="1:38">
      <c r="A91" s="29" t="s">
        <v>189</v>
      </c>
      <c r="B91" s="28" t="s">
        <v>1419</v>
      </c>
      <c r="C91" s="28" t="s">
        <v>1419</v>
      </c>
      <c r="D91" s="28" t="s">
        <v>1419</v>
      </c>
      <c r="E91" s="28" t="s">
        <v>1419</v>
      </c>
      <c r="F91" s="28" t="s">
        <v>1419</v>
      </c>
      <c r="G91" s="28" t="s">
        <v>1419</v>
      </c>
      <c r="H91" s="28" t="s">
        <v>1419</v>
      </c>
      <c r="I91" s="28" t="s">
        <v>1419</v>
      </c>
      <c r="J91" s="28" t="s">
        <v>1419</v>
      </c>
      <c r="K91" s="28" t="s">
        <v>1419</v>
      </c>
      <c r="L91" s="28" t="s">
        <v>1419</v>
      </c>
      <c r="M91" s="28" t="s">
        <v>1419</v>
      </c>
      <c r="N91" s="28" t="s">
        <v>1419</v>
      </c>
      <c r="O91" s="28" t="s">
        <v>1419</v>
      </c>
      <c r="P91" s="28" t="s">
        <v>1419</v>
      </c>
      <c r="Q91" s="28" t="s">
        <v>1419</v>
      </c>
      <c r="R91" s="28" t="s">
        <v>1419</v>
      </c>
      <c r="S91" s="28" t="s">
        <v>1419</v>
      </c>
      <c r="T91" s="28" t="s">
        <v>1419</v>
      </c>
      <c r="U91" s="28" t="s">
        <v>1419</v>
      </c>
      <c r="V91" s="28" t="s">
        <v>1421</v>
      </c>
      <c r="W91" s="28" t="s">
        <v>1421</v>
      </c>
      <c r="X91" s="28" t="s">
        <v>1421</v>
      </c>
      <c r="Y91" s="28" t="s">
        <v>1421</v>
      </c>
      <c r="Z91" s="28" t="s">
        <v>1421</v>
      </c>
      <c r="AA91" s="28" t="s">
        <v>1421</v>
      </c>
      <c r="AB91" s="28" t="s">
        <v>1421</v>
      </c>
      <c r="AC91" s="28" t="s">
        <v>1421</v>
      </c>
      <c r="AD91" s="28" t="s">
        <v>1421</v>
      </c>
      <c r="AE91" s="28" t="s">
        <v>1421</v>
      </c>
      <c r="AF91" s="28" t="s">
        <v>1421</v>
      </c>
      <c r="AG91" s="28" t="s">
        <v>1421</v>
      </c>
      <c r="AH91" s="28" t="s">
        <v>1421</v>
      </c>
      <c r="AI91" s="28" t="s">
        <v>1421</v>
      </c>
      <c r="AJ91" s="28" t="s">
        <v>1421</v>
      </c>
      <c r="AK91" s="29" t="s">
        <v>1421</v>
      </c>
      <c r="AL91" s="29" t="s">
        <v>1421</v>
      </c>
    </row>
    <row r="92" spans="1:38">
      <c r="A92" s="29" t="s">
        <v>301</v>
      </c>
      <c r="B92" s="28" t="s">
        <v>1419</v>
      </c>
      <c r="C92" s="28" t="s">
        <v>1419</v>
      </c>
      <c r="D92" s="28" t="s">
        <v>1419</v>
      </c>
      <c r="E92" s="28" t="s">
        <v>1419</v>
      </c>
      <c r="F92" s="28" t="s">
        <v>1419</v>
      </c>
      <c r="G92" s="28" t="s">
        <v>1419</v>
      </c>
      <c r="H92" s="28" t="s">
        <v>1421</v>
      </c>
      <c r="I92" s="28" t="s">
        <v>1421</v>
      </c>
      <c r="J92" s="28" t="s">
        <v>1421</v>
      </c>
      <c r="K92" s="28" t="s">
        <v>1421</v>
      </c>
      <c r="L92" s="28" t="s">
        <v>1421</v>
      </c>
      <c r="M92" s="28" t="s">
        <v>1419</v>
      </c>
      <c r="N92" s="28" t="s">
        <v>1419</v>
      </c>
      <c r="O92" s="28" t="s">
        <v>1419</v>
      </c>
      <c r="P92" s="28" t="s">
        <v>1419</v>
      </c>
      <c r="Q92" s="28" t="s">
        <v>1419</v>
      </c>
      <c r="R92" s="28" t="s">
        <v>1421</v>
      </c>
      <c r="S92" s="28" t="s">
        <v>1421</v>
      </c>
      <c r="T92" s="28" t="s">
        <v>1421</v>
      </c>
      <c r="U92" s="28" t="s">
        <v>1421</v>
      </c>
      <c r="V92" s="28" t="s">
        <v>1421</v>
      </c>
      <c r="W92" s="28" t="s">
        <v>1421</v>
      </c>
      <c r="X92" s="28" t="s">
        <v>1421</v>
      </c>
      <c r="Y92" s="28" t="s">
        <v>1421</v>
      </c>
      <c r="Z92" s="28" t="s">
        <v>1421</v>
      </c>
      <c r="AA92" s="28" t="s">
        <v>1421</v>
      </c>
      <c r="AB92" s="28" t="s">
        <v>1421</v>
      </c>
      <c r="AC92" s="28" t="s">
        <v>1421</v>
      </c>
      <c r="AD92" s="28" t="s">
        <v>1421</v>
      </c>
      <c r="AE92" s="28" t="s">
        <v>1421</v>
      </c>
      <c r="AF92" s="28" t="s">
        <v>1421</v>
      </c>
      <c r="AG92" s="28" t="s">
        <v>1421</v>
      </c>
      <c r="AH92" s="28" t="s">
        <v>1422</v>
      </c>
      <c r="AI92" s="28" t="s">
        <v>1421</v>
      </c>
      <c r="AJ92" s="28" t="s">
        <v>1421</v>
      </c>
      <c r="AK92" s="29" t="s">
        <v>1422</v>
      </c>
      <c r="AL92" s="29" t="s">
        <v>1422</v>
      </c>
    </row>
    <row r="93" spans="1:38">
      <c r="A93" s="29" t="s">
        <v>252</v>
      </c>
      <c r="B93" s="28" t="s">
        <v>1422</v>
      </c>
      <c r="C93" s="28" t="s">
        <v>1422</v>
      </c>
      <c r="D93" s="28" t="s">
        <v>1422</v>
      </c>
      <c r="E93" s="28" t="s">
        <v>1421</v>
      </c>
      <c r="F93" s="28" t="s">
        <v>1421</v>
      </c>
      <c r="G93" s="28" t="s">
        <v>1421</v>
      </c>
      <c r="H93" s="28" t="s">
        <v>1421</v>
      </c>
      <c r="I93" s="28" t="s">
        <v>1421</v>
      </c>
      <c r="J93" s="28" t="s">
        <v>1421</v>
      </c>
      <c r="K93" s="28" t="s">
        <v>1421</v>
      </c>
      <c r="L93" s="28" t="s">
        <v>1421</v>
      </c>
      <c r="M93" s="28" t="s">
        <v>1421</v>
      </c>
      <c r="N93" s="28" t="s">
        <v>1421</v>
      </c>
      <c r="O93" s="28" t="s">
        <v>1421</v>
      </c>
      <c r="P93" s="28" t="s">
        <v>1421</v>
      </c>
      <c r="Q93" s="28" t="s">
        <v>1421</v>
      </c>
      <c r="R93" s="28" t="s">
        <v>1421</v>
      </c>
      <c r="S93" s="28" t="s">
        <v>1421</v>
      </c>
      <c r="T93" s="28" t="s">
        <v>1421</v>
      </c>
      <c r="U93" s="28" t="s">
        <v>1421</v>
      </c>
      <c r="V93" s="28" t="s">
        <v>1421</v>
      </c>
      <c r="W93" s="28" t="s">
        <v>1421</v>
      </c>
      <c r="X93" s="28" t="s">
        <v>1422</v>
      </c>
      <c r="Y93" s="28" t="s">
        <v>1422</v>
      </c>
      <c r="Z93" s="28" t="s">
        <v>1422</v>
      </c>
      <c r="AA93" s="28" t="s">
        <v>1422</v>
      </c>
      <c r="AB93" s="28" t="s">
        <v>1422</v>
      </c>
      <c r="AC93" s="28" t="s">
        <v>1422</v>
      </c>
      <c r="AD93" s="28" t="s">
        <v>1422</v>
      </c>
      <c r="AE93" s="28" t="s">
        <v>1422</v>
      </c>
      <c r="AF93" s="28" t="s">
        <v>1422</v>
      </c>
      <c r="AG93" s="28" t="s">
        <v>1422</v>
      </c>
      <c r="AH93" s="28" t="s">
        <v>1422</v>
      </c>
      <c r="AI93" s="28" t="s">
        <v>1421</v>
      </c>
      <c r="AJ93" s="28" t="s">
        <v>1421</v>
      </c>
      <c r="AK93" s="29" t="s">
        <v>1421</v>
      </c>
      <c r="AL93" s="29" t="s">
        <v>1422</v>
      </c>
    </row>
    <row r="94" spans="1:38">
      <c r="A94" s="29" t="s">
        <v>1227</v>
      </c>
      <c r="B94" s="28" t="s">
        <v>1422</v>
      </c>
      <c r="C94" s="28" t="s">
        <v>1422</v>
      </c>
      <c r="D94" s="28" t="s">
        <v>1422</v>
      </c>
      <c r="E94" s="28" t="s">
        <v>1422</v>
      </c>
      <c r="F94" s="28" t="s">
        <v>1421</v>
      </c>
      <c r="G94" s="28" t="s">
        <v>1421</v>
      </c>
      <c r="H94" s="28" t="s">
        <v>1421</v>
      </c>
      <c r="I94" s="28" t="s">
        <v>1421</v>
      </c>
      <c r="J94" s="28" t="s">
        <v>1421</v>
      </c>
      <c r="K94" s="28" t="s">
        <v>1421</v>
      </c>
      <c r="L94" s="28" t="s">
        <v>1421</v>
      </c>
      <c r="M94" s="28" t="s">
        <v>1421</v>
      </c>
      <c r="N94" s="28" t="s">
        <v>1421</v>
      </c>
      <c r="O94" s="28" t="s">
        <v>1421</v>
      </c>
      <c r="P94" s="28" t="s">
        <v>1421</v>
      </c>
      <c r="Q94" s="28" t="s">
        <v>1421</v>
      </c>
      <c r="R94" s="28" t="s">
        <v>1421</v>
      </c>
      <c r="S94" s="28" t="s">
        <v>1421</v>
      </c>
      <c r="T94" s="28" t="s">
        <v>1421</v>
      </c>
      <c r="U94" s="28" t="s">
        <v>1421</v>
      </c>
      <c r="V94" s="28" t="s">
        <v>1421</v>
      </c>
      <c r="W94" s="28" t="s">
        <v>1421</v>
      </c>
      <c r="X94" s="28" t="s">
        <v>1421</v>
      </c>
      <c r="Y94" s="28" t="s">
        <v>1421</v>
      </c>
      <c r="Z94" s="28" t="s">
        <v>1421</v>
      </c>
      <c r="AA94" s="28" t="s">
        <v>1422</v>
      </c>
      <c r="AB94" s="28" t="s">
        <v>1422</v>
      </c>
      <c r="AC94" s="28" t="s">
        <v>1422</v>
      </c>
      <c r="AD94" s="28" t="s">
        <v>1422</v>
      </c>
      <c r="AE94" s="28" t="s">
        <v>1422</v>
      </c>
      <c r="AF94" s="28" t="s">
        <v>1422</v>
      </c>
      <c r="AG94" s="28" t="s">
        <v>1422</v>
      </c>
      <c r="AH94" s="28" t="s">
        <v>1422</v>
      </c>
      <c r="AI94" s="28" t="s">
        <v>1422</v>
      </c>
      <c r="AJ94" s="28" t="s">
        <v>1422</v>
      </c>
      <c r="AK94" s="29" t="s">
        <v>1422</v>
      </c>
      <c r="AL94" s="29" t="s">
        <v>1422</v>
      </c>
    </row>
    <row r="95" spans="1:38">
      <c r="A95" s="29" t="s">
        <v>1226</v>
      </c>
      <c r="B95" s="28" t="s">
        <v>1423</v>
      </c>
      <c r="C95" s="28" t="s">
        <v>1423</v>
      </c>
      <c r="D95" s="28" t="s">
        <v>1423</v>
      </c>
      <c r="E95" s="28" t="s">
        <v>1423</v>
      </c>
      <c r="F95" s="28" t="s">
        <v>1423</v>
      </c>
      <c r="G95" s="28" t="s">
        <v>1423</v>
      </c>
      <c r="H95" s="28" t="s">
        <v>1423</v>
      </c>
      <c r="I95" s="28" t="s">
        <v>1423</v>
      </c>
      <c r="J95" s="28" t="s">
        <v>1423</v>
      </c>
      <c r="K95" s="28" t="s">
        <v>1423</v>
      </c>
      <c r="L95" s="28" t="s">
        <v>1423</v>
      </c>
      <c r="M95" s="28" t="s">
        <v>1423</v>
      </c>
      <c r="N95" s="28" t="s">
        <v>1423</v>
      </c>
      <c r="O95" s="28" t="s">
        <v>1423</v>
      </c>
      <c r="P95" s="28" t="s">
        <v>1423</v>
      </c>
      <c r="Q95" s="28" t="s">
        <v>1423</v>
      </c>
      <c r="R95" s="28" t="s">
        <v>1423</v>
      </c>
      <c r="S95" s="28" t="s">
        <v>1423</v>
      </c>
      <c r="T95" s="28" t="s">
        <v>1423</v>
      </c>
      <c r="U95" s="28" t="s">
        <v>1423</v>
      </c>
      <c r="V95" s="28" t="s">
        <v>1423</v>
      </c>
      <c r="W95" s="28" t="s">
        <v>1423</v>
      </c>
      <c r="X95" s="28" t="s">
        <v>1423</v>
      </c>
      <c r="Y95" s="28" t="s">
        <v>1423</v>
      </c>
      <c r="Z95" s="28" t="s">
        <v>1423</v>
      </c>
      <c r="AA95" s="28" t="s">
        <v>1423</v>
      </c>
      <c r="AB95" s="28" t="s">
        <v>1423</v>
      </c>
      <c r="AC95" s="28" t="s">
        <v>1423</v>
      </c>
      <c r="AD95" s="28" t="s">
        <v>1423</v>
      </c>
      <c r="AE95" s="28" t="s">
        <v>1423</v>
      </c>
      <c r="AF95" s="28" t="s">
        <v>1423</v>
      </c>
      <c r="AG95" s="28" t="s">
        <v>1423</v>
      </c>
      <c r="AH95" s="28" t="s">
        <v>1423</v>
      </c>
      <c r="AI95" s="28" t="s">
        <v>1423</v>
      </c>
      <c r="AJ95" s="28" t="s">
        <v>1423</v>
      </c>
      <c r="AK95" s="29" t="s">
        <v>1423</v>
      </c>
      <c r="AL95" s="29" t="s">
        <v>1423</v>
      </c>
    </row>
    <row r="96" spans="1:38">
      <c r="A96" s="29" t="s">
        <v>1224</v>
      </c>
      <c r="B96" s="28" t="s">
        <v>1423</v>
      </c>
      <c r="C96" s="28" t="s">
        <v>1423</v>
      </c>
      <c r="D96" s="28" t="s">
        <v>1423</v>
      </c>
      <c r="E96" s="28" t="s">
        <v>1422</v>
      </c>
      <c r="F96" s="28" t="s">
        <v>1422</v>
      </c>
      <c r="G96" s="28" t="s">
        <v>1422</v>
      </c>
      <c r="H96" s="28" t="s">
        <v>1422</v>
      </c>
      <c r="I96" s="28" t="s">
        <v>1422</v>
      </c>
      <c r="J96" s="28" t="s">
        <v>1422</v>
      </c>
      <c r="K96" s="28" t="s">
        <v>1422</v>
      </c>
      <c r="L96" s="28" t="s">
        <v>1422</v>
      </c>
      <c r="M96" s="28" t="s">
        <v>1422</v>
      </c>
      <c r="N96" s="28" t="s">
        <v>1422</v>
      </c>
      <c r="O96" s="28" t="s">
        <v>1422</v>
      </c>
      <c r="P96" s="28" t="s">
        <v>1422</v>
      </c>
      <c r="Q96" s="28" t="s">
        <v>1423</v>
      </c>
      <c r="R96" s="28" t="s">
        <v>1423</v>
      </c>
      <c r="S96" s="28" t="s">
        <v>1423</v>
      </c>
      <c r="T96" s="28" t="s">
        <v>1423</v>
      </c>
      <c r="U96" s="28" t="s">
        <v>1423</v>
      </c>
      <c r="V96" s="28" t="s">
        <v>1423</v>
      </c>
      <c r="W96" s="28" t="s">
        <v>1423</v>
      </c>
      <c r="X96" s="28" t="s">
        <v>1423</v>
      </c>
      <c r="Y96" s="28" t="s">
        <v>1423</v>
      </c>
      <c r="Z96" s="28" t="s">
        <v>1423</v>
      </c>
      <c r="AA96" s="28" t="s">
        <v>1423</v>
      </c>
      <c r="AB96" s="28" t="s">
        <v>1423</v>
      </c>
      <c r="AC96" s="28" t="s">
        <v>1423</v>
      </c>
      <c r="AD96" s="28" t="s">
        <v>1423</v>
      </c>
      <c r="AE96" s="28" t="s">
        <v>1423</v>
      </c>
      <c r="AF96" s="28" t="s">
        <v>1423</v>
      </c>
      <c r="AG96" s="28" t="s">
        <v>1423</v>
      </c>
      <c r="AH96" s="28" t="s">
        <v>1423</v>
      </c>
      <c r="AI96" s="28" t="s">
        <v>1423</v>
      </c>
      <c r="AJ96" s="28" t="s">
        <v>1423</v>
      </c>
      <c r="AK96" s="29" t="s">
        <v>1423</v>
      </c>
      <c r="AL96" s="29" t="s">
        <v>1423</v>
      </c>
    </row>
    <row r="97" spans="1:38">
      <c r="A97" s="29" t="s">
        <v>1229</v>
      </c>
      <c r="B97" s="28" t="s">
        <v>1423</v>
      </c>
      <c r="C97" s="28" t="s">
        <v>1423</v>
      </c>
      <c r="D97" s="28" t="s">
        <v>1423</v>
      </c>
      <c r="E97" s="28" t="s">
        <v>1423</v>
      </c>
      <c r="F97" s="28" t="s">
        <v>1423</v>
      </c>
      <c r="G97" s="28" t="s">
        <v>1423</v>
      </c>
      <c r="H97" s="28" t="s">
        <v>1423</v>
      </c>
      <c r="I97" s="28" t="s">
        <v>1423</v>
      </c>
      <c r="J97" s="28" t="s">
        <v>1423</v>
      </c>
      <c r="K97" s="28" t="s">
        <v>1423</v>
      </c>
      <c r="L97" s="28" t="s">
        <v>1423</v>
      </c>
      <c r="M97" s="28" t="s">
        <v>1423</v>
      </c>
      <c r="N97" s="28" t="s">
        <v>1423</v>
      </c>
      <c r="O97" s="28" t="s">
        <v>1423</v>
      </c>
      <c r="P97" s="28" t="s">
        <v>1423</v>
      </c>
      <c r="Q97" s="28" t="s">
        <v>1423</v>
      </c>
      <c r="R97" s="28" t="s">
        <v>1423</v>
      </c>
      <c r="S97" s="28" t="s">
        <v>1423</v>
      </c>
      <c r="T97" s="28" t="s">
        <v>1423</v>
      </c>
      <c r="U97" s="28" t="s">
        <v>1423</v>
      </c>
      <c r="V97" s="28" t="s">
        <v>1423</v>
      </c>
      <c r="W97" s="28" t="s">
        <v>1423</v>
      </c>
      <c r="X97" s="28" t="s">
        <v>1423</v>
      </c>
      <c r="Y97" s="28" t="s">
        <v>1423</v>
      </c>
      <c r="Z97" s="28" t="s">
        <v>1423</v>
      </c>
      <c r="AA97" s="28" t="s">
        <v>1423</v>
      </c>
      <c r="AB97" s="28" t="s">
        <v>1423</v>
      </c>
      <c r="AC97" s="28" t="s">
        <v>1423</v>
      </c>
      <c r="AD97" s="28" t="s">
        <v>1423</v>
      </c>
      <c r="AE97" s="28" t="s">
        <v>1423</v>
      </c>
      <c r="AF97" s="28" t="s">
        <v>1423</v>
      </c>
      <c r="AG97" s="28" t="s">
        <v>1423</v>
      </c>
      <c r="AH97" s="28" t="s">
        <v>1423</v>
      </c>
      <c r="AI97" s="28" t="s">
        <v>1423</v>
      </c>
      <c r="AJ97" s="28" t="s">
        <v>1423</v>
      </c>
      <c r="AK97" s="29" t="s">
        <v>1423</v>
      </c>
      <c r="AL97" s="29" t="s">
        <v>1423</v>
      </c>
    </row>
    <row r="98" spans="1:38">
      <c r="A98" s="29" t="s">
        <v>1230</v>
      </c>
      <c r="B98" s="28" t="s">
        <v>1423</v>
      </c>
      <c r="C98" s="28" t="s">
        <v>1423</v>
      </c>
      <c r="D98" s="28" t="s">
        <v>1423</v>
      </c>
      <c r="E98" s="28" t="s">
        <v>1423</v>
      </c>
      <c r="F98" s="28" t="s">
        <v>1423</v>
      </c>
      <c r="G98" s="28" t="s">
        <v>1423</v>
      </c>
      <c r="H98" s="28" t="s">
        <v>1423</v>
      </c>
      <c r="I98" s="28" t="s">
        <v>1423</v>
      </c>
      <c r="J98" s="28" t="s">
        <v>1423</v>
      </c>
      <c r="K98" s="28" t="s">
        <v>1423</v>
      </c>
      <c r="L98" s="28" t="s">
        <v>1423</v>
      </c>
      <c r="M98" s="28" t="s">
        <v>1423</v>
      </c>
      <c r="N98" s="28" t="s">
        <v>1423</v>
      </c>
      <c r="O98" s="28" t="s">
        <v>1423</v>
      </c>
      <c r="P98" s="28" t="s">
        <v>1423</v>
      </c>
      <c r="Q98" s="28" t="s">
        <v>1423</v>
      </c>
      <c r="R98" s="28" t="s">
        <v>1423</v>
      </c>
      <c r="S98" s="28" t="s">
        <v>1423</v>
      </c>
      <c r="T98" s="28" t="s">
        <v>1423</v>
      </c>
      <c r="U98" s="28" t="s">
        <v>1423</v>
      </c>
      <c r="V98" s="28" t="s">
        <v>1423</v>
      </c>
      <c r="W98" s="28" t="s">
        <v>1423</v>
      </c>
      <c r="X98" s="28" t="s">
        <v>1423</v>
      </c>
      <c r="Y98" s="28" t="s">
        <v>1423</v>
      </c>
      <c r="Z98" s="28" t="s">
        <v>1423</v>
      </c>
      <c r="AA98" s="28" t="s">
        <v>1423</v>
      </c>
      <c r="AB98" s="28" t="s">
        <v>1423</v>
      </c>
      <c r="AC98" s="28" t="s">
        <v>1423</v>
      </c>
      <c r="AD98" s="28" t="s">
        <v>1423</v>
      </c>
      <c r="AE98" s="28" t="s">
        <v>1423</v>
      </c>
      <c r="AF98" s="28" t="s">
        <v>1423</v>
      </c>
      <c r="AG98" s="28" t="s">
        <v>1423</v>
      </c>
      <c r="AH98" s="28" t="s">
        <v>1423</v>
      </c>
      <c r="AI98" s="28" t="s">
        <v>1423</v>
      </c>
      <c r="AJ98" s="28" t="s">
        <v>1423</v>
      </c>
      <c r="AK98" s="29" t="s">
        <v>1423</v>
      </c>
      <c r="AL98" s="29" t="s">
        <v>1423</v>
      </c>
    </row>
    <row r="99" spans="1:38">
      <c r="A99" s="29" t="s">
        <v>1231</v>
      </c>
      <c r="B99" s="28" t="s">
        <v>1421</v>
      </c>
      <c r="C99" s="28" t="s">
        <v>1421</v>
      </c>
      <c r="D99" s="28" t="s">
        <v>1421</v>
      </c>
      <c r="E99" s="28" t="s">
        <v>1421</v>
      </c>
      <c r="F99" s="28" t="s">
        <v>1421</v>
      </c>
      <c r="G99" s="28" t="s">
        <v>1421</v>
      </c>
      <c r="H99" s="28" t="s">
        <v>1421</v>
      </c>
      <c r="I99" s="28" t="s">
        <v>1421</v>
      </c>
      <c r="J99" s="28" t="s">
        <v>1421</v>
      </c>
      <c r="K99" s="28" t="s">
        <v>1421</v>
      </c>
      <c r="L99" s="28" t="s">
        <v>1421</v>
      </c>
      <c r="M99" s="28" t="s">
        <v>1421</v>
      </c>
      <c r="N99" s="28" t="s">
        <v>1421</v>
      </c>
      <c r="O99" s="28" t="s">
        <v>1421</v>
      </c>
      <c r="P99" s="28" t="s">
        <v>1421</v>
      </c>
      <c r="Q99" s="28" t="s">
        <v>1421</v>
      </c>
      <c r="R99" s="28" t="s">
        <v>1421</v>
      </c>
      <c r="S99" s="28" t="s">
        <v>1421</v>
      </c>
      <c r="T99" s="28" t="s">
        <v>1421</v>
      </c>
      <c r="U99" s="28" t="s">
        <v>1421</v>
      </c>
      <c r="V99" s="28" t="s">
        <v>1422</v>
      </c>
      <c r="W99" s="28" t="s">
        <v>1422</v>
      </c>
      <c r="X99" s="28" t="s">
        <v>1422</v>
      </c>
      <c r="Y99" s="28" t="s">
        <v>1422</v>
      </c>
      <c r="Z99" s="28" t="s">
        <v>1422</v>
      </c>
      <c r="AA99" s="28" t="s">
        <v>1422</v>
      </c>
      <c r="AB99" s="28" t="s">
        <v>1422</v>
      </c>
      <c r="AC99" s="28" t="s">
        <v>1422</v>
      </c>
      <c r="AD99" s="28" t="s">
        <v>1422</v>
      </c>
      <c r="AE99" s="28" t="s">
        <v>1422</v>
      </c>
      <c r="AF99" s="28" t="s">
        <v>1422</v>
      </c>
      <c r="AG99" s="28" t="s">
        <v>1422</v>
      </c>
      <c r="AH99" s="28" t="s">
        <v>1422</v>
      </c>
      <c r="AI99" s="28" t="s">
        <v>1422</v>
      </c>
      <c r="AJ99" s="28" t="s">
        <v>1422</v>
      </c>
      <c r="AK99" s="29" t="s">
        <v>1422</v>
      </c>
      <c r="AL99" s="29" t="s">
        <v>1422</v>
      </c>
    </row>
    <row r="100" spans="1:38">
      <c r="A100" s="29" t="s">
        <v>1233</v>
      </c>
      <c r="B100" s="28" t="s">
        <v>1423</v>
      </c>
      <c r="C100" s="28" t="s">
        <v>1423</v>
      </c>
      <c r="D100" s="28" t="s">
        <v>1423</v>
      </c>
      <c r="E100" s="28" t="s">
        <v>1423</v>
      </c>
      <c r="F100" s="28" t="s">
        <v>1423</v>
      </c>
      <c r="G100" s="28" t="s">
        <v>1423</v>
      </c>
      <c r="H100" s="28" t="s">
        <v>1423</v>
      </c>
      <c r="I100" s="28" t="s">
        <v>1423</v>
      </c>
      <c r="J100" s="28" t="s">
        <v>1423</v>
      </c>
      <c r="K100" s="28" t="s">
        <v>1423</v>
      </c>
      <c r="L100" s="28" t="s">
        <v>1423</v>
      </c>
      <c r="M100" s="28" t="s">
        <v>1423</v>
      </c>
      <c r="N100" s="28" t="s">
        <v>1423</v>
      </c>
      <c r="O100" s="28" t="s">
        <v>1423</v>
      </c>
      <c r="P100" s="28" t="s">
        <v>1423</v>
      </c>
      <c r="Q100" s="28" t="s">
        <v>1423</v>
      </c>
      <c r="R100" s="28" t="s">
        <v>1423</v>
      </c>
      <c r="S100" s="28" t="s">
        <v>1423</v>
      </c>
      <c r="T100" s="28" t="s">
        <v>1423</v>
      </c>
      <c r="U100" s="28" t="s">
        <v>1423</v>
      </c>
      <c r="V100" s="28" t="s">
        <v>1423</v>
      </c>
      <c r="W100" s="28" t="s">
        <v>1423</v>
      </c>
      <c r="X100" s="28" t="s">
        <v>1423</v>
      </c>
      <c r="Y100" s="28" t="s">
        <v>1423</v>
      </c>
      <c r="Z100" s="28" t="s">
        <v>1423</v>
      </c>
      <c r="AA100" s="28" t="s">
        <v>1423</v>
      </c>
      <c r="AB100" s="28" t="s">
        <v>1423</v>
      </c>
      <c r="AC100" s="28" t="s">
        <v>1423</v>
      </c>
      <c r="AD100" s="28" t="s">
        <v>1423</v>
      </c>
      <c r="AE100" s="28" t="s">
        <v>1423</v>
      </c>
      <c r="AF100" s="28" t="s">
        <v>1423</v>
      </c>
      <c r="AG100" s="28" t="s">
        <v>1423</v>
      </c>
      <c r="AH100" s="28" t="s">
        <v>1423</v>
      </c>
      <c r="AI100" s="28" t="s">
        <v>1423</v>
      </c>
      <c r="AJ100" s="28" t="s">
        <v>1423</v>
      </c>
      <c r="AK100" s="29" t="s">
        <v>1423</v>
      </c>
      <c r="AL100" s="29" t="s">
        <v>1423</v>
      </c>
    </row>
    <row r="101" spans="1:38">
      <c r="A101" s="29" t="s">
        <v>1232</v>
      </c>
      <c r="B101" s="28" t="s">
        <v>1421</v>
      </c>
      <c r="C101" s="28" t="s">
        <v>1421</v>
      </c>
      <c r="D101" s="28" t="s">
        <v>1421</v>
      </c>
      <c r="E101" s="28" t="s">
        <v>1421</v>
      </c>
      <c r="F101" s="28" t="s">
        <v>1421</v>
      </c>
      <c r="G101" s="28" t="s">
        <v>1421</v>
      </c>
      <c r="H101" s="28" t="s">
        <v>1421</v>
      </c>
      <c r="I101" s="28" t="s">
        <v>1421</v>
      </c>
      <c r="J101" s="28" t="s">
        <v>1421</v>
      </c>
      <c r="K101" s="28" t="s">
        <v>1421</v>
      </c>
      <c r="L101" s="28" t="s">
        <v>1421</v>
      </c>
      <c r="M101" s="28" t="s">
        <v>1421</v>
      </c>
      <c r="N101" s="28" t="s">
        <v>1421</v>
      </c>
      <c r="O101" s="28" t="s">
        <v>1421</v>
      </c>
      <c r="P101" s="28" t="s">
        <v>1421</v>
      </c>
      <c r="Q101" s="28" t="s">
        <v>1421</v>
      </c>
      <c r="R101" s="28" t="s">
        <v>1421</v>
      </c>
      <c r="S101" s="28" t="s">
        <v>1421</v>
      </c>
      <c r="T101" s="28" t="s">
        <v>1421</v>
      </c>
      <c r="U101" s="28" t="s">
        <v>1421</v>
      </c>
      <c r="V101" s="28" t="s">
        <v>1421</v>
      </c>
      <c r="W101" s="28" t="s">
        <v>1421</v>
      </c>
      <c r="X101" s="28" t="s">
        <v>1421</v>
      </c>
      <c r="Y101" s="28" t="s">
        <v>1422</v>
      </c>
      <c r="Z101" s="28" t="s">
        <v>1422</v>
      </c>
      <c r="AA101" s="28" t="s">
        <v>1422</v>
      </c>
      <c r="AB101" s="28" t="s">
        <v>1422</v>
      </c>
      <c r="AC101" s="28" t="s">
        <v>1422</v>
      </c>
      <c r="AD101" s="28" t="s">
        <v>1422</v>
      </c>
      <c r="AE101" s="28" t="s">
        <v>1421</v>
      </c>
      <c r="AF101" s="28" t="s">
        <v>1422</v>
      </c>
      <c r="AG101" s="28" t="s">
        <v>1422</v>
      </c>
      <c r="AH101" s="28" t="s">
        <v>1422</v>
      </c>
      <c r="AI101" s="28" t="s">
        <v>1422</v>
      </c>
      <c r="AJ101" s="28" t="s">
        <v>1422</v>
      </c>
      <c r="AK101" s="29" t="s">
        <v>1421</v>
      </c>
      <c r="AL101" s="29" t="s">
        <v>1421</v>
      </c>
    </row>
    <row r="102" spans="1:38">
      <c r="A102" s="29" t="s">
        <v>1234</v>
      </c>
      <c r="B102" s="28" t="s">
        <v>1420</v>
      </c>
      <c r="C102" s="28" t="s">
        <v>1420</v>
      </c>
      <c r="D102" s="28" t="s">
        <v>1420</v>
      </c>
      <c r="E102" s="28" t="s">
        <v>1420</v>
      </c>
      <c r="F102" s="28" t="s">
        <v>1421</v>
      </c>
      <c r="G102" s="28" t="s">
        <v>1421</v>
      </c>
      <c r="H102" s="28" t="s">
        <v>1421</v>
      </c>
      <c r="I102" s="28" t="s">
        <v>1421</v>
      </c>
      <c r="J102" s="28" t="s">
        <v>1421</v>
      </c>
      <c r="K102" s="28" t="s">
        <v>1421</v>
      </c>
      <c r="L102" s="28" t="s">
        <v>1421</v>
      </c>
      <c r="M102" s="28" t="s">
        <v>1421</v>
      </c>
      <c r="N102" s="28" t="s">
        <v>1421</v>
      </c>
      <c r="O102" s="28" t="s">
        <v>1421</v>
      </c>
      <c r="P102" s="28" t="s">
        <v>1421</v>
      </c>
      <c r="Q102" s="28" t="s">
        <v>1421</v>
      </c>
      <c r="R102" s="28" t="s">
        <v>1421</v>
      </c>
      <c r="S102" s="28" t="s">
        <v>1421</v>
      </c>
      <c r="T102" s="28" t="s">
        <v>1421</v>
      </c>
      <c r="U102" s="28" t="s">
        <v>1422</v>
      </c>
      <c r="V102" s="28" t="s">
        <v>1422</v>
      </c>
      <c r="W102" s="28" t="s">
        <v>1422</v>
      </c>
      <c r="X102" s="28" t="s">
        <v>1422</v>
      </c>
      <c r="Y102" s="28" t="s">
        <v>1422</v>
      </c>
      <c r="Z102" s="28" t="s">
        <v>1422</v>
      </c>
      <c r="AA102" s="28" t="s">
        <v>1422</v>
      </c>
      <c r="AB102" s="28" t="s">
        <v>1422</v>
      </c>
      <c r="AC102" s="28" t="s">
        <v>1422</v>
      </c>
      <c r="AD102" s="28" t="s">
        <v>1422</v>
      </c>
      <c r="AE102" s="28" t="s">
        <v>1422</v>
      </c>
      <c r="AF102" s="28" t="s">
        <v>1422</v>
      </c>
      <c r="AG102" s="28" t="s">
        <v>1422</v>
      </c>
      <c r="AH102" s="28" t="s">
        <v>1422</v>
      </c>
      <c r="AI102" s="28" t="s">
        <v>1422</v>
      </c>
      <c r="AJ102" s="28" t="s">
        <v>1422</v>
      </c>
      <c r="AK102" s="29" t="s">
        <v>1422</v>
      </c>
      <c r="AL102" s="29" t="s">
        <v>1422</v>
      </c>
    </row>
    <row r="103" spans="1:38">
      <c r="A103" s="29" t="s">
        <v>226</v>
      </c>
      <c r="B103" s="28" t="s">
        <v>1419</v>
      </c>
      <c r="C103" s="28" t="s">
        <v>1419</v>
      </c>
      <c r="D103" s="28" t="s">
        <v>1419</v>
      </c>
      <c r="E103" s="28" t="s">
        <v>1419</v>
      </c>
      <c r="F103" s="28" t="s">
        <v>1419</v>
      </c>
      <c r="G103" s="28" t="s">
        <v>1419</v>
      </c>
      <c r="H103" s="28" t="s">
        <v>1419</v>
      </c>
      <c r="I103" s="28" t="s">
        <v>1419</v>
      </c>
      <c r="J103" s="28" t="s">
        <v>1419</v>
      </c>
      <c r="K103" s="28" t="s">
        <v>1419</v>
      </c>
      <c r="L103" s="28" t="s">
        <v>1419</v>
      </c>
      <c r="M103" s="28" t="s">
        <v>1419</v>
      </c>
      <c r="N103" s="28" t="s">
        <v>1419</v>
      </c>
      <c r="O103" s="28" t="s">
        <v>1419</v>
      </c>
      <c r="P103" s="28" t="s">
        <v>1419</v>
      </c>
      <c r="Q103" s="28" t="s">
        <v>1419</v>
      </c>
      <c r="R103" s="28" t="s">
        <v>1419</v>
      </c>
      <c r="S103" s="28" t="s">
        <v>1419</v>
      </c>
      <c r="T103" s="28" t="s">
        <v>1419</v>
      </c>
      <c r="U103" s="28" t="s">
        <v>1419</v>
      </c>
      <c r="V103" s="28" t="s">
        <v>1419</v>
      </c>
      <c r="W103" s="28" t="s">
        <v>1419</v>
      </c>
      <c r="X103" s="28" t="s">
        <v>1419</v>
      </c>
      <c r="Y103" s="28" t="s">
        <v>1419</v>
      </c>
      <c r="Z103" s="28" t="s">
        <v>1419</v>
      </c>
      <c r="AA103" s="28" t="s">
        <v>1419</v>
      </c>
      <c r="AB103" s="28" t="s">
        <v>1419</v>
      </c>
      <c r="AC103" s="28" t="s">
        <v>1421</v>
      </c>
      <c r="AD103" s="28" t="s">
        <v>1421</v>
      </c>
      <c r="AE103" s="28" t="s">
        <v>1421</v>
      </c>
      <c r="AF103" s="28" t="s">
        <v>1421</v>
      </c>
      <c r="AG103" s="28" t="s">
        <v>1421</v>
      </c>
      <c r="AH103" s="28" t="s">
        <v>1421</v>
      </c>
      <c r="AI103" s="28" t="s">
        <v>1421</v>
      </c>
      <c r="AJ103" s="28" t="s">
        <v>1421</v>
      </c>
      <c r="AK103" s="29" t="s">
        <v>1421</v>
      </c>
      <c r="AL103" s="29" t="s">
        <v>1421</v>
      </c>
    </row>
    <row r="104" spans="1:38">
      <c r="A104" s="29" t="s">
        <v>1237</v>
      </c>
      <c r="B104" s="28" t="s">
        <v>1421</v>
      </c>
      <c r="C104" s="28" t="s">
        <v>1421</v>
      </c>
      <c r="D104" s="28" t="s">
        <v>1421</v>
      </c>
      <c r="E104" s="28" t="s">
        <v>1421</v>
      </c>
      <c r="F104" s="28" t="s">
        <v>1421</v>
      </c>
      <c r="G104" s="28" t="s">
        <v>1421</v>
      </c>
      <c r="H104" s="28" t="s">
        <v>1421</v>
      </c>
      <c r="I104" s="28" t="s">
        <v>1421</v>
      </c>
      <c r="J104" s="28" t="s">
        <v>1421</v>
      </c>
      <c r="K104" s="28" t="s">
        <v>1421</v>
      </c>
      <c r="L104" s="28" t="s">
        <v>1421</v>
      </c>
      <c r="M104" s="28" t="s">
        <v>1421</v>
      </c>
      <c r="N104" s="28" t="s">
        <v>1421</v>
      </c>
      <c r="O104" s="28" t="s">
        <v>1421</v>
      </c>
      <c r="P104" s="28" t="s">
        <v>1421</v>
      </c>
      <c r="Q104" s="28" t="s">
        <v>1421</v>
      </c>
      <c r="R104" s="28" t="s">
        <v>1421</v>
      </c>
      <c r="S104" s="28" t="s">
        <v>1421</v>
      </c>
      <c r="T104" s="28" t="s">
        <v>1421</v>
      </c>
      <c r="U104" s="28" t="s">
        <v>1421</v>
      </c>
      <c r="V104" s="28" t="s">
        <v>1421</v>
      </c>
      <c r="W104" s="28" t="s">
        <v>1421</v>
      </c>
      <c r="X104" s="28" t="s">
        <v>1421</v>
      </c>
      <c r="Y104" s="28" t="s">
        <v>1421</v>
      </c>
      <c r="Z104" s="28" t="s">
        <v>1421</v>
      </c>
      <c r="AA104" s="28" t="s">
        <v>1421</v>
      </c>
      <c r="AB104" s="28" t="s">
        <v>1421</v>
      </c>
      <c r="AC104" s="28" t="s">
        <v>1421</v>
      </c>
      <c r="AD104" s="28" t="s">
        <v>1421</v>
      </c>
      <c r="AE104" s="28" t="s">
        <v>1421</v>
      </c>
      <c r="AF104" s="28" t="s">
        <v>1421</v>
      </c>
      <c r="AG104" s="28" t="s">
        <v>1421</v>
      </c>
      <c r="AH104" s="28" t="s">
        <v>1421</v>
      </c>
      <c r="AI104" s="28" t="s">
        <v>1421</v>
      </c>
      <c r="AJ104" s="28" t="s">
        <v>1421</v>
      </c>
      <c r="AK104" s="29" t="s">
        <v>1421</v>
      </c>
      <c r="AL104" s="29" t="s">
        <v>1421</v>
      </c>
    </row>
    <row r="105" spans="1:38">
      <c r="A105" s="29" t="s">
        <v>1427</v>
      </c>
      <c r="B105" s="28" t="s">
        <v>1420</v>
      </c>
      <c r="C105" s="28" t="s">
        <v>1420</v>
      </c>
      <c r="D105" s="28" t="s">
        <v>1420</v>
      </c>
      <c r="E105" s="28" t="s">
        <v>1421</v>
      </c>
      <c r="F105" s="28" t="s">
        <v>1421</v>
      </c>
      <c r="G105" s="28" t="s">
        <v>1421</v>
      </c>
      <c r="H105" s="28" t="s">
        <v>1421</v>
      </c>
      <c r="I105" s="28" t="s">
        <v>1421</v>
      </c>
      <c r="J105" s="28" t="s">
        <v>1421</v>
      </c>
      <c r="K105" s="28" t="s">
        <v>1421</v>
      </c>
      <c r="L105" s="28" t="s">
        <v>1421</v>
      </c>
      <c r="M105" s="28" t="s">
        <v>1419</v>
      </c>
      <c r="N105" s="28" t="s">
        <v>1419</v>
      </c>
      <c r="O105" s="28" t="s">
        <v>1419</v>
      </c>
      <c r="P105" s="28" t="s">
        <v>1419</v>
      </c>
      <c r="Q105" s="28" t="s">
        <v>1419</v>
      </c>
      <c r="R105" s="28" t="s">
        <v>1419</v>
      </c>
      <c r="S105" s="28" t="s">
        <v>1419</v>
      </c>
      <c r="T105" s="28" t="s">
        <v>1419</v>
      </c>
      <c r="U105" s="28" t="s">
        <v>1419</v>
      </c>
      <c r="V105" s="28" t="s">
        <v>1419</v>
      </c>
      <c r="W105" s="28" t="s">
        <v>1419</v>
      </c>
      <c r="X105" s="28" t="s">
        <v>1419</v>
      </c>
      <c r="Y105" s="28" t="s">
        <v>1419</v>
      </c>
      <c r="Z105" s="28" t="s">
        <v>1419</v>
      </c>
      <c r="AA105" s="28" t="s">
        <v>1419</v>
      </c>
      <c r="AB105" s="28" t="s">
        <v>1419</v>
      </c>
      <c r="AC105" s="28" t="s">
        <v>1419</v>
      </c>
      <c r="AD105" s="28" t="s">
        <v>1419</v>
      </c>
      <c r="AE105" s="28" t="s">
        <v>1419</v>
      </c>
      <c r="AF105" s="28" t="s">
        <v>1419</v>
      </c>
      <c r="AG105" s="28" t="s">
        <v>1419</v>
      </c>
      <c r="AH105" s="28" t="s">
        <v>1419</v>
      </c>
      <c r="AI105" s="28" t="s">
        <v>1419</v>
      </c>
      <c r="AJ105" s="28" t="s">
        <v>1419</v>
      </c>
      <c r="AK105" s="29" t="s">
        <v>1419</v>
      </c>
      <c r="AL105" s="29" t="s">
        <v>1419</v>
      </c>
    </row>
    <row r="106" spans="1:38">
      <c r="A106" s="29" t="s">
        <v>1239</v>
      </c>
      <c r="B106" s="28" t="s">
        <v>1422</v>
      </c>
      <c r="C106" s="28" t="s">
        <v>1422</v>
      </c>
      <c r="D106" s="28" t="s">
        <v>1422</v>
      </c>
      <c r="E106" s="28" t="s">
        <v>1422</v>
      </c>
      <c r="F106" s="28" t="s">
        <v>1422</v>
      </c>
      <c r="G106" s="28" t="s">
        <v>1422</v>
      </c>
      <c r="H106" s="28" t="s">
        <v>1422</v>
      </c>
      <c r="I106" s="28" t="s">
        <v>1422</v>
      </c>
      <c r="J106" s="28" t="s">
        <v>1423</v>
      </c>
      <c r="K106" s="28" t="s">
        <v>1423</v>
      </c>
      <c r="L106" s="28" t="s">
        <v>1423</v>
      </c>
      <c r="M106" s="28" t="s">
        <v>1422</v>
      </c>
      <c r="N106" s="28" t="s">
        <v>1422</v>
      </c>
      <c r="O106" s="28" t="s">
        <v>1422</v>
      </c>
      <c r="P106" s="28" t="s">
        <v>1423</v>
      </c>
      <c r="Q106" s="28" t="s">
        <v>1423</v>
      </c>
      <c r="R106" s="28" t="s">
        <v>1423</v>
      </c>
      <c r="S106" s="28" t="s">
        <v>1423</v>
      </c>
      <c r="T106" s="28" t="s">
        <v>1423</v>
      </c>
      <c r="U106" s="28" t="s">
        <v>1423</v>
      </c>
      <c r="V106" s="28" t="s">
        <v>1423</v>
      </c>
      <c r="W106" s="28" t="s">
        <v>1423</v>
      </c>
      <c r="X106" s="28" t="s">
        <v>1423</v>
      </c>
      <c r="Y106" s="28" t="s">
        <v>1423</v>
      </c>
      <c r="Z106" s="28" t="s">
        <v>1423</v>
      </c>
      <c r="AA106" s="28" t="s">
        <v>1423</v>
      </c>
      <c r="AB106" s="28" t="s">
        <v>1423</v>
      </c>
      <c r="AC106" s="28" t="s">
        <v>1423</v>
      </c>
      <c r="AD106" s="28" t="s">
        <v>1423</v>
      </c>
      <c r="AE106" s="28" t="s">
        <v>1423</v>
      </c>
      <c r="AF106" s="28" t="s">
        <v>1423</v>
      </c>
      <c r="AG106" s="28" t="s">
        <v>1423</v>
      </c>
      <c r="AH106" s="28" t="s">
        <v>1423</v>
      </c>
      <c r="AI106" s="28" t="s">
        <v>1423</v>
      </c>
      <c r="AJ106" s="28" t="s">
        <v>1423</v>
      </c>
      <c r="AK106" s="29" t="s">
        <v>1423</v>
      </c>
      <c r="AL106" s="29" t="s">
        <v>1423</v>
      </c>
    </row>
    <row r="107" spans="1:38">
      <c r="A107" s="29" t="s">
        <v>1361</v>
      </c>
      <c r="B107" s="28" t="s">
        <v>1420</v>
      </c>
      <c r="C107" s="28" t="s">
        <v>1420</v>
      </c>
      <c r="D107" s="28" t="s">
        <v>1420</v>
      </c>
      <c r="E107" s="28" t="s">
        <v>1420</v>
      </c>
      <c r="F107" s="28" t="s">
        <v>1420</v>
      </c>
      <c r="G107" s="28" t="s">
        <v>1420</v>
      </c>
      <c r="H107" s="28" t="s">
        <v>1420</v>
      </c>
      <c r="I107" s="28" t="s">
        <v>1420</v>
      </c>
      <c r="J107" s="28" t="s">
        <v>1420</v>
      </c>
      <c r="K107" s="28" t="s">
        <v>1420</v>
      </c>
      <c r="L107" s="28" t="s">
        <v>1420</v>
      </c>
      <c r="M107" s="28" t="s">
        <v>1420</v>
      </c>
      <c r="N107" s="28" t="s">
        <v>1420</v>
      </c>
      <c r="O107" s="28" t="s">
        <v>1420</v>
      </c>
      <c r="P107" s="28" t="s">
        <v>1420</v>
      </c>
      <c r="Q107" s="28" t="s">
        <v>1420</v>
      </c>
      <c r="R107" s="28" t="s">
        <v>1420</v>
      </c>
      <c r="S107" s="28" t="s">
        <v>1420</v>
      </c>
      <c r="T107" s="28" t="s">
        <v>1420</v>
      </c>
      <c r="U107" s="28" t="s">
        <v>1420</v>
      </c>
      <c r="V107" s="28" t="s">
        <v>1420</v>
      </c>
      <c r="W107" s="28" t="s">
        <v>1421</v>
      </c>
      <c r="X107" s="28" t="s">
        <v>1421</v>
      </c>
      <c r="Y107" s="28" t="s">
        <v>1421</v>
      </c>
      <c r="Z107" s="28" t="s">
        <v>1421</v>
      </c>
      <c r="AA107" s="28" t="s">
        <v>1421</v>
      </c>
      <c r="AB107" s="28" t="s">
        <v>1421</v>
      </c>
      <c r="AC107" s="28" t="s">
        <v>1421</v>
      </c>
      <c r="AD107" s="28" t="s">
        <v>1421</v>
      </c>
      <c r="AE107" s="28" t="s">
        <v>1421</v>
      </c>
      <c r="AF107" s="28" t="s">
        <v>1421</v>
      </c>
      <c r="AG107" s="28" t="s">
        <v>1422</v>
      </c>
      <c r="AH107" s="28" t="s">
        <v>1422</v>
      </c>
      <c r="AI107" s="28" t="s">
        <v>1422</v>
      </c>
      <c r="AJ107" s="28" t="s">
        <v>1422</v>
      </c>
      <c r="AK107" s="29" t="s">
        <v>1422</v>
      </c>
      <c r="AL107" s="29" t="s">
        <v>1422</v>
      </c>
    </row>
    <row r="108" spans="1:38">
      <c r="A108" s="29" t="s">
        <v>1240</v>
      </c>
      <c r="B108" s="28" t="s">
        <v>1423</v>
      </c>
      <c r="C108" s="28" t="s">
        <v>1423</v>
      </c>
      <c r="D108" s="28" t="s">
        <v>1423</v>
      </c>
      <c r="E108" s="28" t="s">
        <v>1423</v>
      </c>
      <c r="F108" s="28" t="s">
        <v>1423</v>
      </c>
      <c r="G108" s="28" t="s">
        <v>1423</v>
      </c>
      <c r="H108" s="28" t="s">
        <v>1423</v>
      </c>
      <c r="I108" s="28" t="s">
        <v>1423</v>
      </c>
      <c r="J108" s="28" t="s">
        <v>1423</v>
      </c>
      <c r="K108" s="28" t="s">
        <v>1423</v>
      </c>
      <c r="L108" s="28" t="s">
        <v>1423</v>
      </c>
      <c r="M108" s="28" t="s">
        <v>1423</v>
      </c>
      <c r="N108" s="28" t="s">
        <v>1423</v>
      </c>
      <c r="O108" s="28" t="s">
        <v>1423</v>
      </c>
      <c r="P108" s="28" t="s">
        <v>1423</v>
      </c>
      <c r="Q108" s="28" t="s">
        <v>1423</v>
      </c>
      <c r="R108" s="28" t="s">
        <v>1423</v>
      </c>
      <c r="S108" s="28" t="s">
        <v>1423</v>
      </c>
      <c r="T108" s="28" t="s">
        <v>1423</v>
      </c>
      <c r="U108" s="28" t="s">
        <v>1423</v>
      </c>
      <c r="V108" s="28" t="s">
        <v>1423</v>
      </c>
      <c r="W108" s="28" t="s">
        <v>1423</v>
      </c>
      <c r="X108" s="28" t="s">
        <v>1423</v>
      </c>
      <c r="Y108" s="28" t="s">
        <v>1423</v>
      </c>
      <c r="Z108" s="28" t="s">
        <v>1423</v>
      </c>
      <c r="AA108" s="28" t="s">
        <v>1423</v>
      </c>
      <c r="AB108" s="28" t="s">
        <v>1423</v>
      </c>
      <c r="AC108" s="28" t="s">
        <v>1423</v>
      </c>
      <c r="AD108" s="28" t="s">
        <v>1423</v>
      </c>
      <c r="AE108" s="28" t="s">
        <v>1423</v>
      </c>
      <c r="AF108" s="28" t="s">
        <v>1423</v>
      </c>
      <c r="AG108" s="28" t="s">
        <v>1423</v>
      </c>
      <c r="AH108" s="28" t="s">
        <v>1423</v>
      </c>
      <c r="AI108" s="28" t="s">
        <v>1423</v>
      </c>
      <c r="AJ108" s="28" t="s">
        <v>1423</v>
      </c>
      <c r="AK108" s="29" t="s">
        <v>1423</v>
      </c>
      <c r="AL108" s="29" t="s">
        <v>1423</v>
      </c>
    </row>
    <row r="109" spans="1:38">
      <c r="A109" s="29" t="s">
        <v>1235</v>
      </c>
      <c r="B109" s="28" t="s">
        <v>1420</v>
      </c>
      <c r="C109" s="28" t="s">
        <v>1420</v>
      </c>
      <c r="D109" s="28" t="s">
        <v>1420</v>
      </c>
      <c r="E109" s="28" t="s">
        <v>1420</v>
      </c>
      <c r="F109" s="28" t="s">
        <v>1421</v>
      </c>
      <c r="G109" s="28" t="s">
        <v>1421</v>
      </c>
      <c r="H109" s="28" t="s">
        <v>1421</v>
      </c>
      <c r="I109" s="28" t="s">
        <v>1419</v>
      </c>
      <c r="J109" s="28" t="s">
        <v>1419</v>
      </c>
      <c r="K109" s="28" t="s">
        <v>1419</v>
      </c>
      <c r="L109" s="28" t="s">
        <v>1419</v>
      </c>
      <c r="M109" s="28" t="s">
        <v>1419</v>
      </c>
      <c r="N109" s="28" t="s">
        <v>1419</v>
      </c>
      <c r="O109" s="28" t="s">
        <v>1419</v>
      </c>
      <c r="P109" s="28" t="s">
        <v>1419</v>
      </c>
      <c r="Q109" s="28" t="s">
        <v>1419</v>
      </c>
      <c r="R109" s="28" t="s">
        <v>1419</v>
      </c>
      <c r="S109" s="28" t="s">
        <v>1419</v>
      </c>
      <c r="T109" s="28" t="s">
        <v>1419</v>
      </c>
      <c r="U109" s="28" t="s">
        <v>1419</v>
      </c>
      <c r="V109" s="28" t="s">
        <v>1419</v>
      </c>
      <c r="W109" s="28" t="s">
        <v>1419</v>
      </c>
      <c r="X109" s="28" t="s">
        <v>1419</v>
      </c>
      <c r="Y109" s="28" t="s">
        <v>1419</v>
      </c>
      <c r="Z109" s="28" t="s">
        <v>1419</v>
      </c>
      <c r="AA109" s="28" t="s">
        <v>1419</v>
      </c>
      <c r="AB109" s="28" t="s">
        <v>1421</v>
      </c>
      <c r="AC109" s="28" t="s">
        <v>1421</v>
      </c>
      <c r="AD109" s="28" t="s">
        <v>1421</v>
      </c>
      <c r="AE109" s="28" t="s">
        <v>1421</v>
      </c>
      <c r="AF109" s="28" t="s">
        <v>1421</v>
      </c>
      <c r="AG109" s="28" t="s">
        <v>1421</v>
      </c>
      <c r="AH109" s="28" t="s">
        <v>1421</v>
      </c>
      <c r="AI109" s="28" t="s">
        <v>1421</v>
      </c>
      <c r="AJ109" s="28" t="s">
        <v>1421</v>
      </c>
      <c r="AK109" s="29" t="s">
        <v>1421</v>
      </c>
      <c r="AL109" s="29" t="s">
        <v>1421</v>
      </c>
    </row>
    <row r="110" spans="1:38">
      <c r="A110" s="29" t="s">
        <v>1242</v>
      </c>
      <c r="B110" s="28" t="s">
        <v>1419</v>
      </c>
      <c r="C110" s="28" t="s">
        <v>1419</v>
      </c>
      <c r="D110" s="28" t="s">
        <v>1419</v>
      </c>
      <c r="E110" s="28" t="s">
        <v>1419</v>
      </c>
      <c r="F110" s="28" t="s">
        <v>1419</v>
      </c>
      <c r="G110" s="28" t="s">
        <v>1419</v>
      </c>
      <c r="H110" s="28" t="s">
        <v>1419</v>
      </c>
      <c r="I110" s="28" t="s">
        <v>1419</v>
      </c>
      <c r="J110" s="28" t="s">
        <v>1419</v>
      </c>
      <c r="K110" s="28" t="s">
        <v>1419</v>
      </c>
      <c r="L110" s="28" t="s">
        <v>1419</v>
      </c>
      <c r="M110" s="28" t="s">
        <v>1419</v>
      </c>
      <c r="N110" s="28" t="s">
        <v>1419</v>
      </c>
      <c r="O110" s="28" t="s">
        <v>1419</v>
      </c>
      <c r="P110" s="28" t="s">
        <v>1419</v>
      </c>
      <c r="Q110" s="28" t="s">
        <v>1419</v>
      </c>
      <c r="R110" s="28" t="s">
        <v>1419</v>
      </c>
      <c r="S110" s="28" t="s">
        <v>1419</v>
      </c>
      <c r="T110" s="28" t="s">
        <v>1419</v>
      </c>
      <c r="U110" s="28" t="s">
        <v>1419</v>
      </c>
      <c r="V110" s="28" t="s">
        <v>1419</v>
      </c>
      <c r="W110" s="28" t="s">
        <v>1419</v>
      </c>
      <c r="X110" s="28" t="s">
        <v>1419</v>
      </c>
      <c r="Y110" s="28" t="s">
        <v>1421</v>
      </c>
      <c r="Z110" s="28" t="s">
        <v>1421</v>
      </c>
      <c r="AA110" s="28" t="s">
        <v>1421</v>
      </c>
      <c r="AB110" s="28" t="s">
        <v>1421</v>
      </c>
      <c r="AC110" s="28" t="s">
        <v>1421</v>
      </c>
      <c r="AD110" s="28" t="s">
        <v>1421</v>
      </c>
      <c r="AE110" s="28" t="s">
        <v>1421</v>
      </c>
      <c r="AF110" s="28" t="s">
        <v>1421</v>
      </c>
      <c r="AG110" s="28" t="s">
        <v>1421</v>
      </c>
      <c r="AH110" s="28" t="s">
        <v>1421</v>
      </c>
      <c r="AI110" s="28" t="s">
        <v>1421</v>
      </c>
      <c r="AJ110" s="28" t="s">
        <v>1421</v>
      </c>
      <c r="AK110" s="29" t="s">
        <v>1421</v>
      </c>
      <c r="AL110" s="29" t="s">
        <v>1421</v>
      </c>
    </row>
    <row r="111" spans="1:38">
      <c r="A111" s="29" t="s">
        <v>1258</v>
      </c>
      <c r="B111" s="28" t="s">
        <v>1420</v>
      </c>
      <c r="C111" s="28" t="s">
        <v>1420</v>
      </c>
      <c r="D111" s="28" t="s">
        <v>1420</v>
      </c>
      <c r="E111" s="28" t="s">
        <v>1420</v>
      </c>
      <c r="F111" s="28" t="s">
        <v>1422</v>
      </c>
      <c r="G111" s="28" t="s">
        <v>1421</v>
      </c>
      <c r="H111" s="28" t="s">
        <v>1421</v>
      </c>
      <c r="I111" s="28" t="s">
        <v>1421</v>
      </c>
      <c r="J111" s="28" t="s">
        <v>1421</v>
      </c>
      <c r="K111" s="28" t="s">
        <v>1421</v>
      </c>
      <c r="L111" s="28" t="s">
        <v>1421</v>
      </c>
      <c r="M111" s="28" t="s">
        <v>1421</v>
      </c>
      <c r="N111" s="28" t="s">
        <v>1421</v>
      </c>
      <c r="O111" s="28" t="s">
        <v>1421</v>
      </c>
      <c r="P111" s="28" t="s">
        <v>1422</v>
      </c>
      <c r="Q111" s="28" t="s">
        <v>1422</v>
      </c>
      <c r="R111" s="28" t="s">
        <v>1422</v>
      </c>
      <c r="S111" s="28" t="s">
        <v>1422</v>
      </c>
      <c r="T111" s="28" t="s">
        <v>1422</v>
      </c>
      <c r="U111" s="28" t="s">
        <v>1422</v>
      </c>
      <c r="V111" s="28" t="s">
        <v>1422</v>
      </c>
      <c r="W111" s="28" t="s">
        <v>1422</v>
      </c>
      <c r="X111" s="28" t="s">
        <v>1423</v>
      </c>
      <c r="Y111" s="28" t="s">
        <v>1422</v>
      </c>
      <c r="Z111" s="28" t="s">
        <v>1422</v>
      </c>
      <c r="AA111" s="28" t="s">
        <v>1423</v>
      </c>
      <c r="AB111" s="28" t="s">
        <v>1423</v>
      </c>
      <c r="AC111" s="28" t="s">
        <v>1423</v>
      </c>
      <c r="AD111" s="28" t="s">
        <v>1423</v>
      </c>
      <c r="AE111" s="28" t="s">
        <v>1423</v>
      </c>
      <c r="AF111" s="28" t="s">
        <v>1423</v>
      </c>
      <c r="AG111" s="28" t="s">
        <v>1423</v>
      </c>
      <c r="AH111" s="28" t="s">
        <v>1423</v>
      </c>
      <c r="AI111" s="28" t="s">
        <v>1423</v>
      </c>
      <c r="AJ111" s="28" t="s">
        <v>1423</v>
      </c>
      <c r="AK111" s="29" t="s">
        <v>1423</v>
      </c>
      <c r="AL111" s="29" t="s">
        <v>1423</v>
      </c>
    </row>
    <row r="112" spans="1:38">
      <c r="A112" s="29" t="s">
        <v>1243</v>
      </c>
      <c r="B112" s="28" t="s">
        <v>1421</v>
      </c>
      <c r="C112" s="28" t="s">
        <v>1421</v>
      </c>
      <c r="D112" s="28" t="s">
        <v>1421</v>
      </c>
      <c r="E112" s="28" t="s">
        <v>1421</v>
      </c>
      <c r="F112" s="28" t="s">
        <v>1421</v>
      </c>
      <c r="G112" s="28" t="s">
        <v>1421</v>
      </c>
      <c r="H112" s="28" t="s">
        <v>1421</v>
      </c>
      <c r="I112" s="28" t="s">
        <v>1421</v>
      </c>
      <c r="J112" s="28" t="s">
        <v>1421</v>
      </c>
      <c r="K112" s="28" t="s">
        <v>1421</v>
      </c>
      <c r="L112" s="28" t="s">
        <v>1422</v>
      </c>
      <c r="M112" s="28" t="s">
        <v>1422</v>
      </c>
      <c r="N112" s="28" t="s">
        <v>1422</v>
      </c>
      <c r="O112" s="28" t="s">
        <v>1422</v>
      </c>
      <c r="P112" s="28" t="s">
        <v>1422</v>
      </c>
      <c r="Q112" s="28" t="s">
        <v>1422</v>
      </c>
      <c r="R112" s="28" t="s">
        <v>1422</v>
      </c>
      <c r="S112" s="28" t="s">
        <v>1422</v>
      </c>
      <c r="T112" s="28" t="s">
        <v>1422</v>
      </c>
      <c r="U112" s="28" t="s">
        <v>1422</v>
      </c>
      <c r="V112" s="28" t="s">
        <v>1422</v>
      </c>
      <c r="W112" s="28" t="s">
        <v>1422</v>
      </c>
      <c r="X112" s="28" t="s">
        <v>1422</v>
      </c>
      <c r="Y112" s="28" t="s">
        <v>1422</v>
      </c>
      <c r="Z112" s="28" t="s">
        <v>1422</v>
      </c>
      <c r="AA112" s="28" t="s">
        <v>1422</v>
      </c>
      <c r="AB112" s="28" t="s">
        <v>1422</v>
      </c>
      <c r="AC112" s="28" t="s">
        <v>1422</v>
      </c>
      <c r="AD112" s="28" t="s">
        <v>1422</v>
      </c>
      <c r="AE112" s="28" t="s">
        <v>1422</v>
      </c>
      <c r="AF112" s="28" t="s">
        <v>1422</v>
      </c>
      <c r="AG112" s="28" t="s">
        <v>1422</v>
      </c>
      <c r="AH112" s="28" t="s">
        <v>1422</v>
      </c>
      <c r="AI112" s="28" t="s">
        <v>1422</v>
      </c>
      <c r="AJ112" s="28" t="s">
        <v>1421</v>
      </c>
      <c r="AK112" s="29" t="s">
        <v>1421</v>
      </c>
      <c r="AL112" s="29" t="s">
        <v>1421</v>
      </c>
    </row>
    <row r="113" spans="1:38">
      <c r="A113" s="29" t="s">
        <v>1254</v>
      </c>
      <c r="B113" s="28" t="s">
        <v>1419</v>
      </c>
      <c r="C113" s="28" t="s">
        <v>1419</v>
      </c>
      <c r="D113" s="28" t="s">
        <v>1419</v>
      </c>
      <c r="E113" s="28" t="s">
        <v>1419</v>
      </c>
      <c r="F113" s="28" t="s">
        <v>1419</v>
      </c>
      <c r="G113" s="28" t="s">
        <v>1419</v>
      </c>
      <c r="H113" s="28" t="s">
        <v>1419</v>
      </c>
      <c r="I113" s="28" t="s">
        <v>1419</v>
      </c>
      <c r="J113" s="28" t="s">
        <v>1421</v>
      </c>
      <c r="K113" s="28" t="s">
        <v>1419</v>
      </c>
      <c r="L113" s="28" t="s">
        <v>1419</v>
      </c>
      <c r="M113" s="28" t="s">
        <v>1419</v>
      </c>
      <c r="N113" s="28" t="s">
        <v>1419</v>
      </c>
      <c r="O113" s="28" t="s">
        <v>1419</v>
      </c>
      <c r="P113" s="28" t="s">
        <v>1419</v>
      </c>
      <c r="Q113" s="28" t="s">
        <v>1419</v>
      </c>
      <c r="R113" s="28" t="s">
        <v>1419</v>
      </c>
      <c r="S113" s="28" t="s">
        <v>1419</v>
      </c>
      <c r="T113" s="28" t="s">
        <v>1421</v>
      </c>
      <c r="U113" s="28" t="s">
        <v>1421</v>
      </c>
      <c r="V113" s="28" t="s">
        <v>1421</v>
      </c>
      <c r="W113" s="28" t="s">
        <v>1421</v>
      </c>
      <c r="X113" s="28" t="s">
        <v>1421</v>
      </c>
      <c r="Y113" s="28" t="s">
        <v>1421</v>
      </c>
      <c r="Z113" s="28" t="s">
        <v>1421</v>
      </c>
      <c r="AA113" s="28" t="s">
        <v>1421</v>
      </c>
      <c r="AB113" s="28" t="s">
        <v>1421</v>
      </c>
      <c r="AC113" s="28" t="s">
        <v>1421</v>
      </c>
      <c r="AD113" s="28" t="s">
        <v>1421</v>
      </c>
      <c r="AE113" s="28" t="s">
        <v>1421</v>
      </c>
      <c r="AF113" s="28" t="s">
        <v>1421</v>
      </c>
      <c r="AG113" s="28" t="s">
        <v>1421</v>
      </c>
      <c r="AH113" s="28" t="s">
        <v>1421</v>
      </c>
      <c r="AI113" s="28" t="s">
        <v>1421</v>
      </c>
      <c r="AJ113" s="28" t="s">
        <v>1421</v>
      </c>
      <c r="AK113" s="29" t="s">
        <v>1421</v>
      </c>
      <c r="AL113" s="29" t="s">
        <v>1421</v>
      </c>
    </row>
    <row r="114" spans="1:38">
      <c r="A114" s="29" t="s">
        <v>1244</v>
      </c>
      <c r="B114" s="28" t="s">
        <v>1419</v>
      </c>
      <c r="C114" s="28" t="s">
        <v>1419</v>
      </c>
      <c r="D114" s="28" t="s">
        <v>1419</v>
      </c>
      <c r="E114" s="28" t="s">
        <v>1419</v>
      </c>
      <c r="F114" s="28" t="s">
        <v>1419</v>
      </c>
      <c r="G114" s="28" t="s">
        <v>1419</v>
      </c>
      <c r="H114" s="28" t="s">
        <v>1419</v>
      </c>
      <c r="I114" s="28" t="s">
        <v>1419</v>
      </c>
      <c r="J114" s="28" t="s">
        <v>1419</v>
      </c>
      <c r="K114" s="28" t="s">
        <v>1419</v>
      </c>
      <c r="L114" s="28" t="s">
        <v>1419</v>
      </c>
      <c r="M114" s="28" t="s">
        <v>1419</v>
      </c>
      <c r="N114" s="28" t="s">
        <v>1419</v>
      </c>
      <c r="O114" s="28" t="s">
        <v>1419</v>
      </c>
      <c r="P114" s="28" t="s">
        <v>1419</v>
      </c>
      <c r="Q114" s="28" t="s">
        <v>1419</v>
      </c>
      <c r="R114" s="28" t="s">
        <v>1419</v>
      </c>
      <c r="S114" s="28" t="s">
        <v>1419</v>
      </c>
      <c r="T114" s="28" t="s">
        <v>1419</v>
      </c>
      <c r="U114" s="28" t="s">
        <v>1419</v>
      </c>
      <c r="V114" s="28" t="s">
        <v>1419</v>
      </c>
      <c r="W114" s="28" t="s">
        <v>1419</v>
      </c>
      <c r="X114" s="28" t="s">
        <v>1419</v>
      </c>
      <c r="Y114" s="28" t="s">
        <v>1419</v>
      </c>
      <c r="Z114" s="28" t="s">
        <v>1419</v>
      </c>
      <c r="AA114" s="28" t="s">
        <v>1419</v>
      </c>
      <c r="AB114" s="28" t="s">
        <v>1419</v>
      </c>
      <c r="AC114" s="28" t="s">
        <v>1419</v>
      </c>
      <c r="AD114" s="28" t="s">
        <v>1419</v>
      </c>
      <c r="AE114" s="28" t="s">
        <v>1419</v>
      </c>
      <c r="AF114" s="28" t="s">
        <v>1419</v>
      </c>
      <c r="AG114" s="28" t="s">
        <v>1419</v>
      </c>
      <c r="AH114" s="28" t="s">
        <v>1419</v>
      </c>
      <c r="AI114" s="28" t="s">
        <v>1419</v>
      </c>
      <c r="AJ114" s="28" t="s">
        <v>1419</v>
      </c>
      <c r="AK114" s="29" t="s">
        <v>1419</v>
      </c>
      <c r="AL114" s="29" t="s">
        <v>1419</v>
      </c>
    </row>
    <row r="115" spans="1:38">
      <c r="A115" s="29" t="s">
        <v>1245</v>
      </c>
      <c r="B115" s="28" t="s">
        <v>1422</v>
      </c>
      <c r="C115" s="28" t="s">
        <v>1422</v>
      </c>
      <c r="D115" s="28" t="s">
        <v>1422</v>
      </c>
      <c r="E115" s="28" t="s">
        <v>1422</v>
      </c>
      <c r="F115" s="28" t="s">
        <v>1422</v>
      </c>
      <c r="G115" s="28" t="s">
        <v>1422</v>
      </c>
      <c r="H115" s="28" t="s">
        <v>1422</v>
      </c>
      <c r="I115" s="28" t="s">
        <v>1422</v>
      </c>
      <c r="J115" s="28" t="s">
        <v>1422</v>
      </c>
      <c r="K115" s="28" t="s">
        <v>1422</v>
      </c>
      <c r="L115" s="28" t="s">
        <v>1422</v>
      </c>
      <c r="M115" s="28" t="s">
        <v>1422</v>
      </c>
      <c r="N115" s="28" t="s">
        <v>1422</v>
      </c>
      <c r="O115" s="28" t="s">
        <v>1422</v>
      </c>
      <c r="P115" s="28" t="s">
        <v>1422</v>
      </c>
      <c r="Q115" s="28" t="s">
        <v>1422</v>
      </c>
      <c r="R115" s="28" t="s">
        <v>1422</v>
      </c>
      <c r="S115" s="28" t="s">
        <v>1422</v>
      </c>
      <c r="T115" s="28" t="s">
        <v>1422</v>
      </c>
      <c r="U115" s="28" t="s">
        <v>1422</v>
      </c>
      <c r="V115" s="28" t="s">
        <v>1422</v>
      </c>
      <c r="W115" s="28" t="s">
        <v>1422</v>
      </c>
      <c r="X115" s="28" t="s">
        <v>1422</v>
      </c>
      <c r="Y115" s="28" t="s">
        <v>1422</v>
      </c>
      <c r="Z115" s="28" t="s">
        <v>1422</v>
      </c>
      <c r="AA115" s="28" t="s">
        <v>1422</v>
      </c>
      <c r="AB115" s="28" t="s">
        <v>1422</v>
      </c>
      <c r="AC115" s="28" t="s">
        <v>1422</v>
      </c>
      <c r="AD115" s="28" t="s">
        <v>1422</v>
      </c>
      <c r="AE115" s="28" t="s">
        <v>1422</v>
      </c>
      <c r="AF115" s="28" t="s">
        <v>1422</v>
      </c>
      <c r="AG115" s="28" t="s">
        <v>1422</v>
      </c>
      <c r="AH115" s="28" t="s">
        <v>1422</v>
      </c>
      <c r="AI115" s="28" t="s">
        <v>1422</v>
      </c>
      <c r="AJ115" s="28" t="s">
        <v>1422</v>
      </c>
      <c r="AK115" s="29" t="s">
        <v>1422</v>
      </c>
      <c r="AL115" s="29" t="s">
        <v>1422</v>
      </c>
    </row>
    <row r="116" spans="1:38">
      <c r="A116" s="29" t="s">
        <v>1250</v>
      </c>
      <c r="B116" s="28" t="s">
        <v>1420</v>
      </c>
      <c r="C116" s="28" t="s">
        <v>1420</v>
      </c>
      <c r="D116" s="28" t="s">
        <v>1420</v>
      </c>
      <c r="E116" s="28" t="s">
        <v>1420</v>
      </c>
      <c r="F116" s="28" t="s">
        <v>1420</v>
      </c>
      <c r="G116" s="28" t="s">
        <v>1420</v>
      </c>
      <c r="H116" s="28" t="s">
        <v>1420</v>
      </c>
      <c r="I116" s="28" t="s">
        <v>1423</v>
      </c>
      <c r="J116" s="28" t="s">
        <v>1423</v>
      </c>
      <c r="K116" s="28" t="s">
        <v>1423</v>
      </c>
      <c r="L116" s="28" t="s">
        <v>1423</v>
      </c>
      <c r="M116" s="28" t="s">
        <v>1423</v>
      </c>
      <c r="N116" s="28" t="s">
        <v>1423</v>
      </c>
      <c r="O116" s="28" t="s">
        <v>1423</v>
      </c>
      <c r="P116" s="28" t="s">
        <v>1423</v>
      </c>
      <c r="Q116" s="28" t="s">
        <v>1423</v>
      </c>
      <c r="R116" s="28" t="s">
        <v>1423</v>
      </c>
      <c r="S116" s="28" t="s">
        <v>1423</v>
      </c>
      <c r="T116" s="28" t="s">
        <v>1423</v>
      </c>
      <c r="U116" s="28" t="s">
        <v>1423</v>
      </c>
      <c r="V116" s="28" t="s">
        <v>1423</v>
      </c>
      <c r="W116" s="28" t="s">
        <v>1423</v>
      </c>
      <c r="X116" s="28" t="s">
        <v>1423</v>
      </c>
      <c r="Y116" s="28" t="s">
        <v>1423</v>
      </c>
      <c r="Z116" s="28" t="s">
        <v>1423</v>
      </c>
      <c r="AA116" s="28" t="s">
        <v>1423</v>
      </c>
      <c r="AB116" s="28" t="s">
        <v>1423</v>
      </c>
      <c r="AC116" s="28" t="s">
        <v>1423</v>
      </c>
      <c r="AD116" s="28" t="s">
        <v>1423</v>
      </c>
      <c r="AE116" s="28" t="s">
        <v>1423</v>
      </c>
      <c r="AF116" s="28" t="s">
        <v>1423</v>
      </c>
      <c r="AG116" s="28" t="s">
        <v>1423</v>
      </c>
      <c r="AH116" s="28" t="s">
        <v>1423</v>
      </c>
      <c r="AI116" s="28" t="s">
        <v>1423</v>
      </c>
      <c r="AJ116" s="28" t="s">
        <v>1423</v>
      </c>
      <c r="AK116" s="29" t="s">
        <v>1423</v>
      </c>
      <c r="AL116" s="29" t="s">
        <v>1423</v>
      </c>
    </row>
    <row r="117" spans="1:38">
      <c r="A117" s="29" t="s">
        <v>1256</v>
      </c>
      <c r="B117" s="28" t="s">
        <v>1420</v>
      </c>
      <c r="C117" s="28" t="s">
        <v>1420</v>
      </c>
      <c r="D117" s="28" t="s">
        <v>1420</v>
      </c>
      <c r="E117" s="28" t="s">
        <v>1420</v>
      </c>
      <c r="F117" s="28" t="s">
        <v>1422</v>
      </c>
      <c r="G117" s="28" t="s">
        <v>1421</v>
      </c>
      <c r="H117" s="28" t="s">
        <v>1421</v>
      </c>
      <c r="I117" s="28" t="s">
        <v>1421</v>
      </c>
      <c r="J117" s="28" t="s">
        <v>1421</v>
      </c>
      <c r="K117" s="28" t="s">
        <v>1421</v>
      </c>
      <c r="L117" s="28" t="s">
        <v>1421</v>
      </c>
      <c r="M117" s="28" t="s">
        <v>1421</v>
      </c>
      <c r="N117" s="28" t="s">
        <v>1421</v>
      </c>
      <c r="O117" s="28" t="s">
        <v>1421</v>
      </c>
      <c r="P117" s="28" t="s">
        <v>1422</v>
      </c>
      <c r="Q117" s="28" t="s">
        <v>1422</v>
      </c>
      <c r="R117" s="28" t="s">
        <v>1422</v>
      </c>
      <c r="S117" s="28" t="s">
        <v>1422</v>
      </c>
      <c r="T117" s="28" t="s">
        <v>1422</v>
      </c>
      <c r="U117" s="28" t="s">
        <v>1422</v>
      </c>
      <c r="V117" s="28" t="s">
        <v>1422</v>
      </c>
      <c r="W117" s="28" t="s">
        <v>1422</v>
      </c>
      <c r="X117" s="28" t="s">
        <v>1422</v>
      </c>
      <c r="Y117" s="28" t="s">
        <v>1422</v>
      </c>
      <c r="Z117" s="28" t="s">
        <v>1422</v>
      </c>
      <c r="AA117" s="28" t="s">
        <v>1423</v>
      </c>
      <c r="AB117" s="28" t="s">
        <v>1423</v>
      </c>
      <c r="AC117" s="28" t="s">
        <v>1423</v>
      </c>
      <c r="AD117" s="28" t="s">
        <v>1423</v>
      </c>
      <c r="AE117" s="28" t="s">
        <v>1423</v>
      </c>
      <c r="AF117" s="28" t="s">
        <v>1423</v>
      </c>
      <c r="AG117" s="28" t="s">
        <v>1423</v>
      </c>
      <c r="AH117" s="28" t="s">
        <v>1423</v>
      </c>
      <c r="AI117" s="28" t="s">
        <v>1423</v>
      </c>
      <c r="AJ117" s="28" t="s">
        <v>1423</v>
      </c>
      <c r="AK117" s="29" t="s">
        <v>1423</v>
      </c>
      <c r="AL117" s="29" t="s">
        <v>1423</v>
      </c>
    </row>
    <row r="118" spans="1:38">
      <c r="A118" s="29" t="s">
        <v>1257</v>
      </c>
      <c r="B118" s="28" t="s">
        <v>1423</v>
      </c>
      <c r="C118" s="28" t="s">
        <v>1423</v>
      </c>
      <c r="D118" s="28" t="s">
        <v>1423</v>
      </c>
      <c r="E118" s="28" t="s">
        <v>1423</v>
      </c>
      <c r="F118" s="28" t="s">
        <v>1423</v>
      </c>
      <c r="G118" s="28" t="s">
        <v>1423</v>
      </c>
      <c r="H118" s="28" t="s">
        <v>1423</v>
      </c>
      <c r="I118" s="28" t="s">
        <v>1423</v>
      </c>
      <c r="J118" s="28" t="s">
        <v>1423</v>
      </c>
      <c r="K118" s="28" t="s">
        <v>1423</v>
      </c>
      <c r="L118" s="28" t="s">
        <v>1423</v>
      </c>
      <c r="M118" s="28" t="s">
        <v>1423</v>
      </c>
      <c r="N118" s="28" t="s">
        <v>1423</v>
      </c>
      <c r="O118" s="28" t="s">
        <v>1423</v>
      </c>
      <c r="P118" s="28" t="s">
        <v>1423</v>
      </c>
      <c r="Q118" s="28" t="s">
        <v>1423</v>
      </c>
      <c r="R118" s="28" t="s">
        <v>1423</v>
      </c>
      <c r="S118" s="28" t="s">
        <v>1423</v>
      </c>
      <c r="T118" s="28" t="s">
        <v>1423</v>
      </c>
      <c r="U118" s="28" t="s">
        <v>1423</v>
      </c>
      <c r="V118" s="28" t="s">
        <v>1423</v>
      </c>
      <c r="W118" s="28" t="s">
        <v>1423</v>
      </c>
      <c r="X118" s="28" t="s">
        <v>1423</v>
      </c>
      <c r="Y118" s="28" t="s">
        <v>1423</v>
      </c>
      <c r="Z118" s="28" t="s">
        <v>1423</v>
      </c>
      <c r="AA118" s="28" t="s">
        <v>1423</v>
      </c>
      <c r="AB118" s="28" t="s">
        <v>1423</v>
      </c>
      <c r="AC118" s="28" t="s">
        <v>1423</v>
      </c>
      <c r="AD118" s="28" t="s">
        <v>1423</v>
      </c>
      <c r="AE118" s="28" t="s">
        <v>1423</v>
      </c>
      <c r="AF118" s="28" t="s">
        <v>1423</v>
      </c>
      <c r="AG118" s="28" t="s">
        <v>1423</v>
      </c>
      <c r="AH118" s="28" t="s">
        <v>1423</v>
      </c>
      <c r="AI118" s="28" t="s">
        <v>1423</v>
      </c>
      <c r="AJ118" s="28" t="s">
        <v>1423</v>
      </c>
      <c r="AK118" s="29" t="s">
        <v>1423</v>
      </c>
      <c r="AL118" s="29" t="s">
        <v>1423</v>
      </c>
    </row>
    <row r="119" spans="1:38">
      <c r="A119" s="29" t="s">
        <v>1259</v>
      </c>
      <c r="B119" s="28" t="s">
        <v>1422</v>
      </c>
      <c r="C119" s="28" t="s">
        <v>1422</v>
      </c>
      <c r="D119" s="28" t="s">
        <v>1422</v>
      </c>
      <c r="E119" s="28" t="s">
        <v>1422</v>
      </c>
      <c r="F119" s="28" t="s">
        <v>1422</v>
      </c>
      <c r="G119" s="28" t="s">
        <v>1422</v>
      </c>
      <c r="H119" s="28" t="s">
        <v>1422</v>
      </c>
      <c r="I119" s="28" t="s">
        <v>1423</v>
      </c>
      <c r="J119" s="28" t="s">
        <v>1423</v>
      </c>
      <c r="K119" s="28" t="s">
        <v>1423</v>
      </c>
      <c r="L119" s="28" t="s">
        <v>1423</v>
      </c>
      <c r="M119" s="28" t="s">
        <v>1423</v>
      </c>
      <c r="N119" s="28" t="s">
        <v>1423</v>
      </c>
      <c r="O119" s="28" t="s">
        <v>1423</v>
      </c>
      <c r="P119" s="28" t="s">
        <v>1423</v>
      </c>
      <c r="Q119" s="28" t="s">
        <v>1423</v>
      </c>
      <c r="R119" s="28" t="s">
        <v>1423</v>
      </c>
      <c r="S119" s="28" t="s">
        <v>1423</v>
      </c>
      <c r="T119" s="28" t="s">
        <v>1423</v>
      </c>
      <c r="U119" s="28" t="s">
        <v>1423</v>
      </c>
      <c r="V119" s="28" t="s">
        <v>1423</v>
      </c>
      <c r="W119" s="28" t="s">
        <v>1423</v>
      </c>
      <c r="X119" s="28" t="s">
        <v>1423</v>
      </c>
      <c r="Y119" s="28" t="s">
        <v>1423</v>
      </c>
      <c r="Z119" s="28" t="s">
        <v>1423</v>
      </c>
      <c r="AA119" s="28" t="s">
        <v>1423</v>
      </c>
      <c r="AB119" s="28" t="s">
        <v>1423</v>
      </c>
      <c r="AC119" s="28" t="s">
        <v>1423</v>
      </c>
      <c r="AD119" s="28" t="s">
        <v>1423</v>
      </c>
      <c r="AE119" s="28" t="s">
        <v>1423</v>
      </c>
      <c r="AF119" s="28" t="s">
        <v>1423</v>
      </c>
      <c r="AG119" s="28" t="s">
        <v>1423</v>
      </c>
      <c r="AH119" s="28" t="s">
        <v>1423</v>
      </c>
      <c r="AI119" s="28" t="s">
        <v>1423</v>
      </c>
      <c r="AJ119" s="28" t="s">
        <v>1423</v>
      </c>
      <c r="AK119" s="29" t="s">
        <v>1423</v>
      </c>
      <c r="AL119" s="29" t="s">
        <v>1423</v>
      </c>
    </row>
    <row r="120" spans="1:38">
      <c r="A120" s="29" t="s">
        <v>1264</v>
      </c>
      <c r="B120" s="28" t="s">
        <v>1419</v>
      </c>
      <c r="C120" s="28" t="s">
        <v>1419</v>
      </c>
      <c r="D120" s="28" t="s">
        <v>1419</v>
      </c>
      <c r="E120" s="28" t="s">
        <v>1419</v>
      </c>
      <c r="F120" s="28" t="s">
        <v>1419</v>
      </c>
      <c r="G120" s="28" t="s">
        <v>1419</v>
      </c>
      <c r="H120" s="28" t="s">
        <v>1419</v>
      </c>
      <c r="I120" s="28" t="s">
        <v>1419</v>
      </c>
      <c r="J120" s="28" t="s">
        <v>1419</v>
      </c>
      <c r="K120" s="28" t="s">
        <v>1419</v>
      </c>
      <c r="L120" s="28" t="s">
        <v>1419</v>
      </c>
      <c r="M120" s="28" t="s">
        <v>1419</v>
      </c>
      <c r="N120" s="28" t="s">
        <v>1419</v>
      </c>
      <c r="O120" s="28" t="s">
        <v>1419</v>
      </c>
      <c r="P120" s="28" t="s">
        <v>1419</v>
      </c>
      <c r="Q120" s="28" t="s">
        <v>1419</v>
      </c>
      <c r="R120" s="28" t="s">
        <v>1419</v>
      </c>
      <c r="S120" s="28" t="s">
        <v>1419</v>
      </c>
      <c r="T120" s="28" t="s">
        <v>1419</v>
      </c>
      <c r="U120" s="28" t="s">
        <v>1419</v>
      </c>
      <c r="V120" s="28" t="s">
        <v>1419</v>
      </c>
      <c r="W120" s="28" t="s">
        <v>1419</v>
      </c>
      <c r="X120" s="28" t="s">
        <v>1419</v>
      </c>
      <c r="Y120" s="28" t="s">
        <v>1419</v>
      </c>
      <c r="Z120" s="28" t="s">
        <v>1419</v>
      </c>
      <c r="AA120" s="28" t="s">
        <v>1419</v>
      </c>
      <c r="AB120" s="28" t="s">
        <v>1419</v>
      </c>
      <c r="AC120" s="28" t="s">
        <v>1419</v>
      </c>
      <c r="AD120" s="28" t="s">
        <v>1419</v>
      </c>
      <c r="AE120" s="28" t="s">
        <v>1419</v>
      </c>
      <c r="AF120" s="28" t="s">
        <v>1419</v>
      </c>
      <c r="AG120" s="28" t="s">
        <v>1419</v>
      </c>
      <c r="AH120" s="28" t="s">
        <v>1419</v>
      </c>
      <c r="AI120" s="28" t="s">
        <v>1419</v>
      </c>
      <c r="AJ120" s="28" t="s">
        <v>1419</v>
      </c>
      <c r="AK120" s="29" t="s">
        <v>1419</v>
      </c>
      <c r="AL120" s="29" t="s">
        <v>1419</v>
      </c>
    </row>
    <row r="121" spans="1:38">
      <c r="A121" s="29" t="s">
        <v>1279</v>
      </c>
      <c r="B121" s="28" t="s">
        <v>1419</v>
      </c>
      <c r="C121" s="28" t="s">
        <v>1419</v>
      </c>
      <c r="D121" s="28" t="s">
        <v>1419</v>
      </c>
      <c r="E121" s="28" t="s">
        <v>1419</v>
      </c>
      <c r="F121" s="28" t="s">
        <v>1419</v>
      </c>
      <c r="G121" s="28" t="s">
        <v>1419</v>
      </c>
      <c r="H121" s="28" t="s">
        <v>1419</v>
      </c>
      <c r="I121" s="28" t="s">
        <v>1419</v>
      </c>
      <c r="J121" s="28" t="s">
        <v>1419</v>
      </c>
      <c r="K121" s="28" t="s">
        <v>1419</v>
      </c>
      <c r="L121" s="28" t="s">
        <v>1419</v>
      </c>
      <c r="M121" s="28" t="s">
        <v>1419</v>
      </c>
      <c r="N121" s="28" t="s">
        <v>1419</v>
      </c>
      <c r="O121" s="28" t="s">
        <v>1419</v>
      </c>
      <c r="P121" s="28" t="s">
        <v>1419</v>
      </c>
      <c r="Q121" s="28" t="s">
        <v>1419</v>
      </c>
      <c r="R121" s="28" t="s">
        <v>1419</v>
      </c>
      <c r="S121" s="28" t="s">
        <v>1419</v>
      </c>
      <c r="T121" s="28" t="s">
        <v>1419</v>
      </c>
      <c r="U121" s="28" t="s">
        <v>1419</v>
      </c>
      <c r="V121" s="28" t="s">
        <v>1419</v>
      </c>
      <c r="W121" s="28" t="s">
        <v>1419</v>
      </c>
      <c r="X121" s="28" t="s">
        <v>1419</v>
      </c>
      <c r="Y121" s="28" t="s">
        <v>1419</v>
      </c>
      <c r="Z121" s="28" t="s">
        <v>1419</v>
      </c>
      <c r="AA121" s="28" t="s">
        <v>1419</v>
      </c>
      <c r="AB121" s="28" t="s">
        <v>1419</v>
      </c>
      <c r="AC121" s="28" t="s">
        <v>1419</v>
      </c>
      <c r="AD121" s="28" t="s">
        <v>1419</v>
      </c>
      <c r="AE121" s="28" t="s">
        <v>1419</v>
      </c>
      <c r="AF121" s="28" t="s">
        <v>1419</v>
      </c>
      <c r="AG121" s="28" t="s">
        <v>1419</v>
      </c>
      <c r="AH121" s="28" t="s">
        <v>1419</v>
      </c>
      <c r="AI121" s="28" t="s">
        <v>1419</v>
      </c>
      <c r="AJ121" s="28" t="s">
        <v>1419</v>
      </c>
      <c r="AK121" s="29" t="s">
        <v>1419</v>
      </c>
      <c r="AL121" s="29" t="s">
        <v>1419</v>
      </c>
    </row>
    <row r="122" spans="1:38">
      <c r="A122" s="29" t="s">
        <v>180</v>
      </c>
      <c r="B122" s="28" t="s">
        <v>1421</v>
      </c>
      <c r="C122" s="28" t="s">
        <v>1421</v>
      </c>
      <c r="D122" s="28" t="s">
        <v>1421</v>
      </c>
      <c r="E122" s="28" t="s">
        <v>1421</v>
      </c>
      <c r="F122" s="28" t="s">
        <v>1421</v>
      </c>
      <c r="G122" s="28" t="s">
        <v>1422</v>
      </c>
      <c r="H122" s="28" t="s">
        <v>1422</v>
      </c>
      <c r="I122" s="28" t="s">
        <v>1422</v>
      </c>
      <c r="J122" s="28" t="s">
        <v>1422</v>
      </c>
      <c r="K122" s="28" t="s">
        <v>1422</v>
      </c>
      <c r="L122" s="28" t="s">
        <v>1422</v>
      </c>
      <c r="M122" s="28" t="s">
        <v>1422</v>
      </c>
      <c r="N122" s="28" t="s">
        <v>1422</v>
      </c>
      <c r="O122" s="28" t="s">
        <v>1422</v>
      </c>
      <c r="P122" s="28" t="s">
        <v>1422</v>
      </c>
      <c r="Q122" s="28" t="s">
        <v>1422</v>
      </c>
      <c r="R122" s="28" t="s">
        <v>1422</v>
      </c>
      <c r="S122" s="28" t="s">
        <v>1422</v>
      </c>
      <c r="T122" s="28" t="s">
        <v>1422</v>
      </c>
      <c r="U122" s="28" t="s">
        <v>1422</v>
      </c>
      <c r="V122" s="28" t="s">
        <v>1422</v>
      </c>
      <c r="W122" s="28" t="s">
        <v>1422</v>
      </c>
      <c r="X122" s="28" t="s">
        <v>1422</v>
      </c>
      <c r="Y122" s="28" t="s">
        <v>1422</v>
      </c>
      <c r="Z122" s="28" t="s">
        <v>1422</v>
      </c>
      <c r="AA122" s="28" t="s">
        <v>1422</v>
      </c>
      <c r="AB122" s="28" t="s">
        <v>1422</v>
      </c>
      <c r="AC122" s="28" t="s">
        <v>1422</v>
      </c>
      <c r="AD122" s="28" t="s">
        <v>1422</v>
      </c>
      <c r="AE122" s="28" t="s">
        <v>1422</v>
      </c>
      <c r="AF122" s="28" t="s">
        <v>1422</v>
      </c>
      <c r="AG122" s="28" t="s">
        <v>1422</v>
      </c>
      <c r="AH122" s="28" t="s">
        <v>1422</v>
      </c>
      <c r="AI122" s="28" t="s">
        <v>1422</v>
      </c>
      <c r="AJ122" s="28" t="s">
        <v>1422</v>
      </c>
      <c r="AK122" s="29" t="s">
        <v>1422</v>
      </c>
      <c r="AL122" s="29" t="s">
        <v>1422</v>
      </c>
    </row>
    <row r="123" spans="1:38">
      <c r="A123" s="29" t="s">
        <v>1265</v>
      </c>
      <c r="B123" s="28" t="s">
        <v>1419</v>
      </c>
      <c r="C123" s="28" t="s">
        <v>1419</v>
      </c>
      <c r="D123" s="28" t="s">
        <v>1419</v>
      </c>
      <c r="E123" s="28" t="s">
        <v>1419</v>
      </c>
      <c r="F123" s="28" t="s">
        <v>1419</v>
      </c>
      <c r="G123" s="28" t="s">
        <v>1419</v>
      </c>
      <c r="H123" s="28" t="s">
        <v>1421</v>
      </c>
      <c r="I123" s="28" t="s">
        <v>1421</v>
      </c>
      <c r="J123" s="28" t="s">
        <v>1421</v>
      </c>
      <c r="K123" s="28" t="s">
        <v>1421</v>
      </c>
      <c r="L123" s="28" t="s">
        <v>1421</v>
      </c>
      <c r="M123" s="28" t="s">
        <v>1421</v>
      </c>
      <c r="N123" s="28" t="s">
        <v>1421</v>
      </c>
      <c r="O123" s="28" t="s">
        <v>1421</v>
      </c>
      <c r="P123" s="28" t="s">
        <v>1421</v>
      </c>
      <c r="Q123" s="28" t="s">
        <v>1421</v>
      </c>
      <c r="R123" s="28" t="s">
        <v>1421</v>
      </c>
      <c r="S123" s="28" t="s">
        <v>1421</v>
      </c>
      <c r="T123" s="28" t="s">
        <v>1421</v>
      </c>
      <c r="U123" s="28" t="s">
        <v>1421</v>
      </c>
      <c r="V123" s="28" t="s">
        <v>1421</v>
      </c>
      <c r="W123" s="28" t="s">
        <v>1421</v>
      </c>
      <c r="X123" s="28" t="s">
        <v>1421</v>
      </c>
      <c r="Y123" s="28" t="s">
        <v>1422</v>
      </c>
      <c r="Z123" s="28" t="s">
        <v>1422</v>
      </c>
      <c r="AA123" s="28" t="s">
        <v>1422</v>
      </c>
      <c r="AB123" s="28" t="s">
        <v>1422</v>
      </c>
      <c r="AC123" s="28" t="s">
        <v>1422</v>
      </c>
      <c r="AD123" s="28" t="s">
        <v>1422</v>
      </c>
      <c r="AE123" s="28" t="s">
        <v>1422</v>
      </c>
      <c r="AF123" s="28" t="s">
        <v>1422</v>
      </c>
      <c r="AG123" s="28" t="s">
        <v>1422</v>
      </c>
      <c r="AH123" s="28" t="s">
        <v>1422</v>
      </c>
      <c r="AI123" s="28" t="s">
        <v>1422</v>
      </c>
      <c r="AJ123" s="28" t="s">
        <v>1422</v>
      </c>
      <c r="AK123" s="29" t="s">
        <v>1422</v>
      </c>
      <c r="AL123" s="29" t="s">
        <v>1422</v>
      </c>
    </row>
    <row r="124" spans="1:38">
      <c r="A124" s="29" t="s">
        <v>1270</v>
      </c>
      <c r="B124" s="28" t="s">
        <v>1419</v>
      </c>
      <c r="C124" s="28" t="s">
        <v>1419</v>
      </c>
      <c r="D124" s="28" t="s">
        <v>1419</v>
      </c>
      <c r="E124" s="28" t="s">
        <v>1419</v>
      </c>
      <c r="F124" s="28" t="s">
        <v>1419</v>
      </c>
      <c r="G124" s="28" t="s">
        <v>1419</v>
      </c>
      <c r="H124" s="28" t="s">
        <v>1419</v>
      </c>
      <c r="I124" s="28" t="s">
        <v>1419</v>
      </c>
      <c r="J124" s="28" t="s">
        <v>1419</v>
      </c>
      <c r="K124" s="28" t="s">
        <v>1419</v>
      </c>
      <c r="L124" s="28" t="s">
        <v>1419</v>
      </c>
      <c r="M124" s="28" t="s">
        <v>1419</v>
      </c>
      <c r="N124" s="28" t="s">
        <v>1419</v>
      </c>
      <c r="O124" s="28" t="s">
        <v>1419</v>
      </c>
      <c r="P124" s="28" t="s">
        <v>1419</v>
      </c>
      <c r="Q124" s="28" t="s">
        <v>1419</v>
      </c>
      <c r="R124" s="28" t="s">
        <v>1419</v>
      </c>
      <c r="S124" s="28" t="s">
        <v>1419</v>
      </c>
      <c r="T124" s="28" t="s">
        <v>1419</v>
      </c>
      <c r="U124" s="28" t="s">
        <v>1419</v>
      </c>
      <c r="V124" s="28" t="s">
        <v>1419</v>
      </c>
      <c r="W124" s="28" t="s">
        <v>1419</v>
      </c>
      <c r="X124" s="28" t="s">
        <v>1419</v>
      </c>
      <c r="Y124" s="28" t="s">
        <v>1419</v>
      </c>
      <c r="Z124" s="28" t="s">
        <v>1419</v>
      </c>
      <c r="AA124" s="28" t="s">
        <v>1419</v>
      </c>
      <c r="AB124" s="28" t="s">
        <v>1419</v>
      </c>
      <c r="AC124" s="28" t="s">
        <v>1419</v>
      </c>
      <c r="AD124" s="28" t="s">
        <v>1419</v>
      </c>
      <c r="AE124" s="28" t="s">
        <v>1419</v>
      </c>
      <c r="AF124" s="28" t="s">
        <v>1419</v>
      </c>
      <c r="AG124" s="28" t="s">
        <v>1419</v>
      </c>
      <c r="AH124" s="28" t="s">
        <v>1419</v>
      </c>
      <c r="AI124" s="28" t="s">
        <v>1419</v>
      </c>
      <c r="AJ124" s="28" t="s">
        <v>1419</v>
      </c>
      <c r="AK124" s="29" t="s">
        <v>1419</v>
      </c>
      <c r="AL124" s="29" t="s">
        <v>1419</v>
      </c>
    </row>
    <row r="125" spans="1:38">
      <c r="A125" s="29" t="s">
        <v>1271</v>
      </c>
      <c r="B125" s="28" t="s">
        <v>1422</v>
      </c>
      <c r="C125" s="28" t="s">
        <v>1422</v>
      </c>
      <c r="D125" s="28" t="s">
        <v>1423</v>
      </c>
      <c r="E125" s="28" t="s">
        <v>1422</v>
      </c>
      <c r="F125" s="28" t="s">
        <v>1422</v>
      </c>
      <c r="G125" s="28" t="s">
        <v>1422</v>
      </c>
      <c r="H125" s="28" t="s">
        <v>1422</v>
      </c>
      <c r="I125" s="28" t="s">
        <v>1422</v>
      </c>
      <c r="J125" s="28" t="s">
        <v>1422</v>
      </c>
      <c r="K125" s="28" t="s">
        <v>1422</v>
      </c>
      <c r="L125" s="28" t="s">
        <v>1422</v>
      </c>
      <c r="M125" s="28" t="s">
        <v>1423</v>
      </c>
      <c r="N125" s="28" t="s">
        <v>1422</v>
      </c>
      <c r="O125" s="28" t="s">
        <v>1423</v>
      </c>
      <c r="P125" s="28" t="s">
        <v>1422</v>
      </c>
      <c r="Q125" s="28" t="s">
        <v>1423</v>
      </c>
      <c r="R125" s="28" t="s">
        <v>1423</v>
      </c>
      <c r="S125" s="28" t="s">
        <v>1423</v>
      </c>
      <c r="T125" s="28" t="s">
        <v>1423</v>
      </c>
      <c r="U125" s="28" t="s">
        <v>1423</v>
      </c>
      <c r="V125" s="28" t="s">
        <v>1423</v>
      </c>
      <c r="W125" s="28" t="s">
        <v>1423</v>
      </c>
      <c r="X125" s="28" t="s">
        <v>1423</v>
      </c>
      <c r="Y125" s="28" t="s">
        <v>1423</v>
      </c>
      <c r="Z125" s="28" t="s">
        <v>1423</v>
      </c>
      <c r="AA125" s="28" t="s">
        <v>1423</v>
      </c>
      <c r="AB125" s="28" t="s">
        <v>1423</v>
      </c>
      <c r="AC125" s="28" t="s">
        <v>1423</v>
      </c>
      <c r="AD125" s="28" t="s">
        <v>1423</v>
      </c>
      <c r="AE125" s="28" t="s">
        <v>1423</v>
      </c>
      <c r="AF125" s="28" t="s">
        <v>1423</v>
      </c>
      <c r="AG125" s="28" t="s">
        <v>1423</v>
      </c>
      <c r="AH125" s="28" t="s">
        <v>1423</v>
      </c>
      <c r="AI125" s="28" t="s">
        <v>1423</v>
      </c>
      <c r="AJ125" s="28" t="s">
        <v>1423</v>
      </c>
      <c r="AK125" s="29" t="s">
        <v>1423</v>
      </c>
      <c r="AL125" s="29" t="s">
        <v>1423</v>
      </c>
    </row>
    <row r="126" spans="1:38">
      <c r="A126" s="29" t="s">
        <v>1267</v>
      </c>
      <c r="B126" s="28" t="s">
        <v>1420</v>
      </c>
      <c r="C126" s="28" t="s">
        <v>1420</v>
      </c>
      <c r="D126" s="28" t="s">
        <v>1420</v>
      </c>
      <c r="E126" s="28" t="s">
        <v>1420</v>
      </c>
      <c r="F126" s="28" t="s">
        <v>1421</v>
      </c>
      <c r="G126" s="28" t="s">
        <v>1421</v>
      </c>
      <c r="H126" s="28" t="s">
        <v>1421</v>
      </c>
      <c r="I126" s="28" t="s">
        <v>1421</v>
      </c>
      <c r="J126" s="28" t="s">
        <v>1421</v>
      </c>
      <c r="K126" s="28" t="s">
        <v>1421</v>
      </c>
      <c r="L126" s="28" t="s">
        <v>1421</v>
      </c>
      <c r="M126" s="28" t="s">
        <v>1421</v>
      </c>
      <c r="N126" s="28" t="s">
        <v>1421</v>
      </c>
      <c r="O126" s="28" t="s">
        <v>1421</v>
      </c>
      <c r="P126" s="28" t="s">
        <v>1421</v>
      </c>
      <c r="Q126" s="28" t="s">
        <v>1421</v>
      </c>
      <c r="R126" s="28" t="s">
        <v>1421</v>
      </c>
      <c r="S126" s="28" t="s">
        <v>1421</v>
      </c>
      <c r="T126" s="28" t="s">
        <v>1421</v>
      </c>
      <c r="U126" s="28" t="s">
        <v>1421</v>
      </c>
      <c r="V126" s="28" t="s">
        <v>1421</v>
      </c>
      <c r="W126" s="28" t="s">
        <v>1421</v>
      </c>
      <c r="X126" s="28" t="s">
        <v>1421</v>
      </c>
      <c r="Y126" s="28" t="s">
        <v>1421</v>
      </c>
      <c r="Z126" s="28" t="s">
        <v>1421</v>
      </c>
      <c r="AA126" s="28" t="s">
        <v>1422</v>
      </c>
      <c r="AB126" s="28" t="s">
        <v>1422</v>
      </c>
      <c r="AC126" s="28" t="s">
        <v>1422</v>
      </c>
      <c r="AD126" s="28" t="s">
        <v>1422</v>
      </c>
      <c r="AE126" s="28" t="s">
        <v>1422</v>
      </c>
      <c r="AF126" s="28" t="s">
        <v>1422</v>
      </c>
      <c r="AG126" s="28" t="s">
        <v>1422</v>
      </c>
      <c r="AH126" s="28" t="s">
        <v>1422</v>
      </c>
      <c r="AI126" s="28" t="s">
        <v>1422</v>
      </c>
      <c r="AJ126" s="28" t="s">
        <v>1422</v>
      </c>
      <c r="AK126" s="29" t="s">
        <v>1422</v>
      </c>
      <c r="AL126" s="29" t="s">
        <v>1422</v>
      </c>
    </row>
    <row r="127" spans="1:38">
      <c r="A127" s="29" t="s">
        <v>1277</v>
      </c>
      <c r="B127" s="28" t="s">
        <v>1419</v>
      </c>
      <c r="C127" s="28" t="s">
        <v>1419</v>
      </c>
      <c r="D127" s="28" t="s">
        <v>1419</v>
      </c>
      <c r="E127" s="28" t="s">
        <v>1419</v>
      </c>
      <c r="F127" s="28" t="s">
        <v>1419</v>
      </c>
      <c r="G127" s="28" t="s">
        <v>1419</v>
      </c>
      <c r="H127" s="28" t="s">
        <v>1419</v>
      </c>
      <c r="I127" s="28" t="s">
        <v>1419</v>
      </c>
      <c r="J127" s="28" t="s">
        <v>1419</v>
      </c>
      <c r="K127" s="28" t="s">
        <v>1419</v>
      </c>
      <c r="L127" s="28" t="s">
        <v>1419</v>
      </c>
      <c r="M127" s="28" t="s">
        <v>1419</v>
      </c>
      <c r="N127" s="28" t="s">
        <v>1419</v>
      </c>
      <c r="O127" s="28" t="s">
        <v>1419</v>
      </c>
      <c r="P127" s="28" t="s">
        <v>1419</v>
      </c>
      <c r="Q127" s="28" t="s">
        <v>1419</v>
      </c>
      <c r="R127" s="28" t="s">
        <v>1419</v>
      </c>
      <c r="S127" s="28" t="s">
        <v>1419</v>
      </c>
      <c r="T127" s="28" t="s">
        <v>1419</v>
      </c>
      <c r="U127" s="28" t="s">
        <v>1419</v>
      </c>
      <c r="V127" s="28" t="s">
        <v>1419</v>
      </c>
      <c r="W127" s="28" t="s">
        <v>1419</v>
      </c>
      <c r="X127" s="28" t="s">
        <v>1419</v>
      </c>
      <c r="Y127" s="28" t="s">
        <v>1421</v>
      </c>
      <c r="Z127" s="28" t="s">
        <v>1419</v>
      </c>
      <c r="AA127" s="28" t="s">
        <v>1421</v>
      </c>
      <c r="AB127" s="28" t="s">
        <v>1421</v>
      </c>
      <c r="AC127" s="28" t="s">
        <v>1421</v>
      </c>
      <c r="AD127" s="28" t="s">
        <v>1421</v>
      </c>
      <c r="AE127" s="28" t="s">
        <v>1421</v>
      </c>
      <c r="AF127" s="28" t="s">
        <v>1421</v>
      </c>
      <c r="AG127" s="28" t="s">
        <v>1421</v>
      </c>
      <c r="AH127" s="28" t="s">
        <v>1421</v>
      </c>
      <c r="AI127" s="28" t="s">
        <v>1421</v>
      </c>
      <c r="AJ127" s="28" t="s">
        <v>1421</v>
      </c>
      <c r="AK127" s="29" t="s">
        <v>1421</v>
      </c>
      <c r="AL127" s="29" t="s">
        <v>1421</v>
      </c>
    </row>
    <row r="128" spans="1:38">
      <c r="A128" s="29" t="s">
        <v>1278</v>
      </c>
      <c r="B128" s="28" t="s">
        <v>1421</v>
      </c>
      <c r="C128" s="28" t="s">
        <v>1421</v>
      </c>
      <c r="D128" s="28" t="s">
        <v>1421</v>
      </c>
      <c r="E128" s="28" t="s">
        <v>1421</v>
      </c>
      <c r="F128" s="28" t="s">
        <v>1421</v>
      </c>
      <c r="G128" s="28" t="s">
        <v>1422</v>
      </c>
      <c r="H128" s="28" t="s">
        <v>1422</v>
      </c>
      <c r="I128" s="28" t="s">
        <v>1422</v>
      </c>
      <c r="J128" s="28" t="s">
        <v>1422</v>
      </c>
      <c r="K128" s="28" t="s">
        <v>1422</v>
      </c>
      <c r="L128" s="28" t="s">
        <v>1422</v>
      </c>
      <c r="M128" s="28" t="s">
        <v>1422</v>
      </c>
      <c r="N128" s="28" t="s">
        <v>1422</v>
      </c>
      <c r="O128" s="28" t="s">
        <v>1422</v>
      </c>
      <c r="P128" s="28" t="s">
        <v>1422</v>
      </c>
      <c r="Q128" s="28" t="s">
        <v>1422</v>
      </c>
      <c r="R128" s="28" t="s">
        <v>1422</v>
      </c>
      <c r="S128" s="28" t="s">
        <v>1422</v>
      </c>
      <c r="T128" s="28" t="s">
        <v>1422</v>
      </c>
      <c r="U128" s="28" t="s">
        <v>1422</v>
      </c>
      <c r="V128" s="28" t="s">
        <v>1422</v>
      </c>
      <c r="W128" s="28" t="s">
        <v>1422</v>
      </c>
      <c r="X128" s="28" t="s">
        <v>1422</v>
      </c>
      <c r="Y128" s="28" t="s">
        <v>1422</v>
      </c>
      <c r="Z128" s="28" t="s">
        <v>1422</v>
      </c>
      <c r="AA128" s="28" t="s">
        <v>1422</v>
      </c>
      <c r="AB128" s="28" t="s">
        <v>1422</v>
      </c>
      <c r="AC128" s="28" t="s">
        <v>1422</v>
      </c>
      <c r="AD128" s="28" t="s">
        <v>1422</v>
      </c>
      <c r="AE128" s="28" t="s">
        <v>1422</v>
      </c>
      <c r="AF128" s="28" t="s">
        <v>1422</v>
      </c>
      <c r="AG128" s="28" t="s">
        <v>1422</v>
      </c>
      <c r="AH128" s="28" t="s">
        <v>1423</v>
      </c>
      <c r="AI128" s="28" t="s">
        <v>1422</v>
      </c>
      <c r="AJ128" s="28" t="s">
        <v>1422</v>
      </c>
      <c r="AK128" s="29" t="s">
        <v>1422</v>
      </c>
      <c r="AL128" s="29" t="s">
        <v>1422</v>
      </c>
    </row>
    <row r="129" spans="1:38">
      <c r="A129" s="29" t="s">
        <v>281</v>
      </c>
      <c r="B129" s="28" t="s">
        <v>1421</v>
      </c>
      <c r="C129" s="28" t="s">
        <v>1421</v>
      </c>
      <c r="D129" s="28" t="s">
        <v>1421</v>
      </c>
      <c r="E129" s="28" t="s">
        <v>1422</v>
      </c>
      <c r="F129" s="28" t="s">
        <v>1422</v>
      </c>
      <c r="G129" s="28" t="s">
        <v>1422</v>
      </c>
      <c r="H129" s="28" t="s">
        <v>1422</v>
      </c>
      <c r="I129" s="28" t="s">
        <v>1422</v>
      </c>
      <c r="J129" s="28" t="s">
        <v>1422</v>
      </c>
      <c r="K129" s="28" t="s">
        <v>1422</v>
      </c>
      <c r="L129" s="28" t="s">
        <v>1422</v>
      </c>
      <c r="M129" s="28" t="s">
        <v>1422</v>
      </c>
      <c r="N129" s="28" t="s">
        <v>1422</v>
      </c>
      <c r="O129" s="28" t="s">
        <v>1422</v>
      </c>
      <c r="P129" s="28" t="s">
        <v>1422</v>
      </c>
      <c r="Q129" s="28" t="s">
        <v>1422</v>
      </c>
      <c r="R129" s="28" t="s">
        <v>1422</v>
      </c>
      <c r="S129" s="28" t="s">
        <v>1422</v>
      </c>
      <c r="T129" s="28" t="s">
        <v>1422</v>
      </c>
      <c r="U129" s="28" t="s">
        <v>1422</v>
      </c>
      <c r="V129" s="28" t="s">
        <v>1422</v>
      </c>
      <c r="W129" s="28" t="s">
        <v>1422</v>
      </c>
      <c r="X129" s="28" t="s">
        <v>1422</v>
      </c>
      <c r="Y129" s="28" t="s">
        <v>1422</v>
      </c>
      <c r="Z129" s="28" t="s">
        <v>1422</v>
      </c>
      <c r="AA129" s="28" t="s">
        <v>1422</v>
      </c>
      <c r="AB129" s="28" t="s">
        <v>1422</v>
      </c>
      <c r="AC129" s="28" t="s">
        <v>1422</v>
      </c>
      <c r="AD129" s="28" t="s">
        <v>1422</v>
      </c>
      <c r="AE129" s="28" t="s">
        <v>1422</v>
      </c>
      <c r="AF129" s="28" t="s">
        <v>1422</v>
      </c>
      <c r="AG129" s="28" t="s">
        <v>1422</v>
      </c>
      <c r="AH129" s="28" t="s">
        <v>1422</v>
      </c>
      <c r="AI129" s="28" t="s">
        <v>1422</v>
      </c>
      <c r="AJ129" s="28" t="s">
        <v>1422</v>
      </c>
      <c r="AK129" s="29" t="s">
        <v>1422</v>
      </c>
      <c r="AL129" s="29" t="s">
        <v>1422</v>
      </c>
    </row>
    <row r="130" spans="1:38">
      <c r="A130" s="29" t="s">
        <v>1199</v>
      </c>
      <c r="B130" s="28" t="s">
        <v>1420</v>
      </c>
      <c r="C130" s="28" t="s">
        <v>1420</v>
      </c>
      <c r="D130" s="28" t="s">
        <v>1420</v>
      </c>
      <c r="E130" s="28" t="s">
        <v>1420</v>
      </c>
      <c r="F130" s="28" t="s">
        <v>1421</v>
      </c>
      <c r="G130" s="28" t="s">
        <v>1421</v>
      </c>
      <c r="H130" s="28" t="s">
        <v>1421</v>
      </c>
      <c r="I130" s="28" t="s">
        <v>1421</v>
      </c>
      <c r="J130" s="28" t="s">
        <v>1421</v>
      </c>
      <c r="K130" s="28" t="s">
        <v>1421</v>
      </c>
      <c r="L130" s="28" t="s">
        <v>1421</v>
      </c>
      <c r="M130" s="28" t="s">
        <v>1421</v>
      </c>
      <c r="N130" s="28" t="s">
        <v>1421</v>
      </c>
      <c r="O130" s="28" t="s">
        <v>1421</v>
      </c>
      <c r="P130" s="28" t="s">
        <v>1421</v>
      </c>
      <c r="Q130" s="28" t="s">
        <v>1421</v>
      </c>
      <c r="R130" s="28" t="s">
        <v>1421</v>
      </c>
      <c r="S130" s="28" t="s">
        <v>1421</v>
      </c>
      <c r="T130" s="28" t="s">
        <v>1421</v>
      </c>
      <c r="U130" s="28" t="s">
        <v>1421</v>
      </c>
      <c r="V130" s="28" t="s">
        <v>1421</v>
      </c>
      <c r="W130" s="28" t="s">
        <v>1421</v>
      </c>
      <c r="X130" s="28" t="s">
        <v>1421</v>
      </c>
      <c r="Y130" s="28" t="s">
        <v>1421</v>
      </c>
      <c r="Z130" s="28" t="s">
        <v>1421</v>
      </c>
      <c r="AA130" s="28" t="s">
        <v>1421</v>
      </c>
      <c r="AB130" s="28" t="s">
        <v>1421</v>
      </c>
      <c r="AC130" s="28" t="s">
        <v>1421</v>
      </c>
      <c r="AD130" s="28" t="s">
        <v>1421</v>
      </c>
      <c r="AE130" s="28" t="s">
        <v>1421</v>
      </c>
      <c r="AF130" s="28" t="s">
        <v>1421</v>
      </c>
      <c r="AG130" s="28" t="s">
        <v>1421</v>
      </c>
      <c r="AH130" s="28" t="s">
        <v>1421</v>
      </c>
      <c r="AI130" s="28" t="s">
        <v>1421</v>
      </c>
      <c r="AJ130" s="28" t="s">
        <v>1421</v>
      </c>
      <c r="AK130" s="29" t="s">
        <v>1421</v>
      </c>
      <c r="AL130" s="29" t="s">
        <v>1421</v>
      </c>
    </row>
    <row r="131" spans="1:38">
      <c r="A131" s="29" t="s">
        <v>1263</v>
      </c>
      <c r="B131" s="28" t="s">
        <v>1420</v>
      </c>
      <c r="C131" s="28" t="s">
        <v>1420</v>
      </c>
      <c r="D131" s="28" t="s">
        <v>1420</v>
      </c>
      <c r="E131" s="28" t="s">
        <v>1420</v>
      </c>
      <c r="F131" s="28" t="s">
        <v>1421</v>
      </c>
      <c r="G131" s="28" t="s">
        <v>1421</v>
      </c>
      <c r="H131" s="28" t="s">
        <v>1421</v>
      </c>
      <c r="I131" s="28" t="s">
        <v>1421</v>
      </c>
      <c r="J131" s="28" t="s">
        <v>1421</v>
      </c>
      <c r="K131" s="28" t="s">
        <v>1419</v>
      </c>
      <c r="L131" s="28" t="s">
        <v>1419</v>
      </c>
      <c r="M131" s="28" t="s">
        <v>1419</v>
      </c>
      <c r="N131" s="28" t="s">
        <v>1419</v>
      </c>
      <c r="O131" s="28" t="s">
        <v>1419</v>
      </c>
      <c r="P131" s="28" t="s">
        <v>1419</v>
      </c>
      <c r="Q131" s="28" t="s">
        <v>1419</v>
      </c>
      <c r="R131" s="28" t="s">
        <v>1419</v>
      </c>
      <c r="S131" s="28" t="s">
        <v>1419</v>
      </c>
      <c r="T131" s="28" t="s">
        <v>1421</v>
      </c>
      <c r="U131" s="28" t="s">
        <v>1421</v>
      </c>
      <c r="V131" s="28" t="s">
        <v>1421</v>
      </c>
      <c r="W131" s="28" t="s">
        <v>1421</v>
      </c>
      <c r="X131" s="28" t="s">
        <v>1421</v>
      </c>
      <c r="Y131" s="28" t="s">
        <v>1421</v>
      </c>
      <c r="Z131" s="28" t="s">
        <v>1421</v>
      </c>
      <c r="AA131" s="28" t="s">
        <v>1421</v>
      </c>
      <c r="AB131" s="28" t="s">
        <v>1421</v>
      </c>
      <c r="AC131" s="28" t="s">
        <v>1421</v>
      </c>
      <c r="AD131" s="28" t="s">
        <v>1421</v>
      </c>
      <c r="AE131" s="28" t="s">
        <v>1421</v>
      </c>
      <c r="AF131" s="28" t="s">
        <v>1421</v>
      </c>
      <c r="AG131" s="28" t="s">
        <v>1421</v>
      </c>
      <c r="AH131" s="28" t="s">
        <v>1421</v>
      </c>
      <c r="AI131" s="28" t="s">
        <v>1422</v>
      </c>
      <c r="AJ131" s="28" t="s">
        <v>1422</v>
      </c>
      <c r="AK131" s="29" t="s">
        <v>1422</v>
      </c>
      <c r="AL131" s="29" t="s">
        <v>1422</v>
      </c>
    </row>
    <row r="132" spans="1:38">
      <c r="A132" s="29" t="s">
        <v>1262</v>
      </c>
      <c r="B132" s="28" t="s">
        <v>1420</v>
      </c>
      <c r="C132" s="28" t="s">
        <v>1420</v>
      </c>
      <c r="D132" s="28" t="s">
        <v>1420</v>
      </c>
      <c r="E132" s="28" t="s">
        <v>1420</v>
      </c>
      <c r="F132" s="28" t="s">
        <v>1420</v>
      </c>
      <c r="G132" s="28" t="s">
        <v>1420</v>
      </c>
      <c r="H132" s="28" t="s">
        <v>1420</v>
      </c>
      <c r="I132" s="28" t="s">
        <v>1423</v>
      </c>
      <c r="J132" s="28" t="s">
        <v>1423</v>
      </c>
      <c r="K132" s="28" t="s">
        <v>1423</v>
      </c>
      <c r="L132" s="28" t="s">
        <v>1423</v>
      </c>
      <c r="M132" s="28" t="s">
        <v>1423</v>
      </c>
      <c r="N132" s="28" t="s">
        <v>1423</v>
      </c>
      <c r="O132" s="28" t="s">
        <v>1423</v>
      </c>
      <c r="P132" s="28" t="s">
        <v>1423</v>
      </c>
      <c r="Q132" s="28" t="s">
        <v>1423</v>
      </c>
      <c r="R132" s="28" t="s">
        <v>1423</v>
      </c>
      <c r="S132" s="28" t="s">
        <v>1423</v>
      </c>
      <c r="T132" s="28" t="s">
        <v>1423</v>
      </c>
      <c r="U132" s="28" t="s">
        <v>1423</v>
      </c>
      <c r="V132" s="28" t="s">
        <v>1423</v>
      </c>
      <c r="W132" s="28" t="s">
        <v>1423</v>
      </c>
      <c r="X132" s="28" t="s">
        <v>1423</v>
      </c>
      <c r="Y132" s="28" t="s">
        <v>1423</v>
      </c>
      <c r="Z132" s="28" t="s">
        <v>1423</v>
      </c>
      <c r="AA132" s="28" t="s">
        <v>1423</v>
      </c>
      <c r="AB132" s="28" t="s">
        <v>1423</v>
      </c>
      <c r="AC132" s="28" t="s">
        <v>1423</v>
      </c>
      <c r="AD132" s="28" t="s">
        <v>1423</v>
      </c>
      <c r="AE132" s="28" t="s">
        <v>1423</v>
      </c>
      <c r="AF132" s="28" t="s">
        <v>1423</v>
      </c>
      <c r="AG132" s="28" t="s">
        <v>1423</v>
      </c>
      <c r="AH132" s="28" t="s">
        <v>1423</v>
      </c>
      <c r="AI132" s="28" t="s">
        <v>1423</v>
      </c>
      <c r="AJ132" s="28" t="s">
        <v>1423</v>
      </c>
      <c r="AK132" s="29" t="s">
        <v>1423</v>
      </c>
      <c r="AL132" s="29" t="s">
        <v>1423</v>
      </c>
    </row>
    <row r="133" spans="1:38">
      <c r="A133" s="29" t="s">
        <v>206</v>
      </c>
      <c r="B133" s="28" t="s">
        <v>1420</v>
      </c>
      <c r="C133" s="28" t="s">
        <v>1420</v>
      </c>
      <c r="D133" s="28" t="s">
        <v>1421</v>
      </c>
      <c r="E133" s="28" t="s">
        <v>1421</v>
      </c>
      <c r="F133" s="28" t="s">
        <v>1421</v>
      </c>
      <c r="G133" s="28" t="s">
        <v>1421</v>
      </c>
      <c r="H133" s="28" t="s">
        <v>1419</v>
      </c>
      <c r="I133" s="28" t="s">
        <v>1419</v>
      </c>
      <c r="J133" s="28" t="s">
        <v>1419</v>
      </c>
      <c r="K133" s="28" t="s">
        <v>1419</v>
      </c>
      <c r="L133" s="28" t="s">
        <v>1419</v>
      </c>
      <c r="M133" s="28" t="s">
        <v>1419</v>
      </c>
      <c r="N133" s="28" t="s">
        <v>1419</v>
      </c>
      <c r="O133" s="28" t="s">
        <v>1419</v>
      </c>
      <c r="P133" s="28" t="s">
        <v>1419</v>
      </c>
      <c r="Q133" s="28" t="s">
        <v>1419</v>
      </c>
      <c r="R133" s="28" t="s">
        <v>1419</v>
      </c>
      <c r="S133" s="28" t="s">
        <v>1419</v>
      </c>
      <c r="T133" s="28" t="s">
        <v>1419</v>
      </c>
      <c r="U133" s="28" t="s">
        <v>1419</v>
      </c>
      <c r="V133" s="28" t="s">
        <v>1421</v>
      </c>
      <c r="W133" s="28" t="s">
        <v>1421</v>
      </c>
      <c r="X133" s="28" t="s">
        <v>1421</v>
      </c>
      <c r="Y133" s="28" t="s">
        <v>1421</v>
      </c>
      <c r="Z133" s="28" t="s">
        <v>1421</v>
      </c>
      <c r="AA133" s="28" t="s">
        <v>1421</v>
      </c>
      <c r="AB133" s="28" t="s">
        <v>1421</v>
      </c>
      <c r="AC133" s="28" t="s">
        <v>1422</v>
      </c>
      <c r="AD133" s="28" t="s">
        <v>1421</v>
      </c>
      <c r="AE133" s="28" t="s">
        <v>1421</v>
      </c>
      <c r="AF133" s="28" t="s">
        <v>1421</v>
      </c>
      <c r="AG133" s="28" t="s">
        <v>1421</v>
      </c>
      <c r="AH133" s="28" t="s">
        <v>1421</v>
      </c>
      <c r="AI133" s="28" t="s">
        <v>1421</v>
      </c>
      <c r="AJ133" s="28" t="s">
        <v>1421</v>
      </c>
      <c r="AK133" s="29" t="s">
        <v>1421</v>
      </c>
      <c r="AL133" s="29" t="s">
        <v>1422</v>
      </c>
    </row>
    <row r="134" spans="1:38">
      <c r="A134" s="29" t="s">
        <v>1274</v>
      </c>
      <c r="B134" s="28" t="s">
        <v>1420</v>
      </c>
      <c r="C134" s="28" t="s">
        <v>1420</v>
      </c>
      <c r="D134" s="28" t="s">
        <v>1420</v>
      </c>
      <c r="E134" s="28" t="s">
        <v>1420</v>
      </c>
      <c r="F134" s="28" t="s">
        <v>1420</v>
      </c>
      <c r="G134" s="28" t="s">
        <v>1420</v>
      </c>
      <c r="H134" s="28" t="s">
        <v>1420</v>
      </c>
      <c r="I134" s="28" t="s">
        <v>1420</v>
      </c>
      <c r="J134" s="28" t="s">
        <v>1420</v>
      </c>
      <c r="K134" s="28" t="s">
        <v>1420</v>
      </c>
      <c r="L134" s="28" t="s">
        <v>1420</v>
      </c>
      <c r="M134" s="28" t="s">
        <v>1420</v>
      </c>
      <c r="N134" s="28" t="s">
        <v>1420</v>
      </c>
      <c r="O134" s="28" t="s">
        <v>1420</v>
      </c>
      <c r="P134" s="28" t="s">
        <v>1420</v>
      </c>
      <c r="Q134" s="28" t="s">
        <v>1420</v>
      </c>
      <c r="R134" s="28" t="s">
        <v>1420</v>
      </c>
      <c r="S134" s="28" t="s">
        <v>1420</v>
      </c>
      <c r="T134" s="28" t="s">
        <v>1420</v>
      </c>
      <c r="U134" s="28" t="s">
        <v>1422</v>
      </c>
      <c r="V134" s="28" t="s">
        <v>1422</v>
      </c>
      <c r="W134" s="28" t="s">
        <v>1422</v>
      </c>
      <c r="X134" s="28" t="s">
        <v>1422</v>
      </c>
      <c r="Y134" s="28" t="s">
        <v>1422</v>
      </c>
      <c r="Z134" s="28" t="s">
        <v>1422</v>
      </c>
      <c r="AA134" s="28" t="s">
        <v>1422</v>
      </c>
      <c r="AB134" s="28" t="s">
        <v>1422</v>
      </c>
      <c r="AC134" s="28" t="s">
        <v>1422</v>
      </c>
      <c r="AD134" s="28" t="s">
        <v>1422</v>
      </c>
      <c r="AE134" s="28" t="s">
        <v>1422</v>
      </c>
      <c r="AF134" s="28" t="s">
        <v>1422</v>
      </c>
      <c r="AG134" s="28" t="s">
        <v>1422</v>
      </c>
      <c r="AH134" s="28" t="s">
        <v>1422</v>
      </c>
      <c r="AI134" s="28" t="s">
        <v>1422</v>
      </c>
      <c r="AJ134" s="28" t="s">
        <v>1422</v>
      </c>
      <c r="AK134" s="29" t="s">
        <v>1422</v>
      </c>
      <c r="AL134" s="29" t="s">
        <v>1422</v>
      </c>
    </row>
    <row r="135" spans="1:38">
      <c r="A135" s="29" t="s">
        <v>1261</v>
      </c>
      <c r="B135" s="28" t="s">
        <v>1421</v>
      </c>
      <c r="C135" s="28" t="s">
        <v>1421</v>
      </c>
      <c r="D135" s="28" t="s">
        <v>1421</v>
      </c>
      <c r="E135" s="28" t="s">
        <v>1421</v>
      </c>
      <c r="F135" s="28" t="s">
        <v>1421</v>
      </c>
      <c r="G135" s="28" t="s">
        <v>1421</v>
      </c>
      <c r="H135" s="28" t="s">
        <v>1421</v>
      </c>
      <c r="I135" s="28" t="s">
        <v>1421</v>
      </c>
      <c r="J135" s="28" t="s">
        <v>1421</v>
      </c>
      <c r="K135" s="28" t="s">
        <v>1421</v>
      </c>
      <c r="L135" s="28" t="s">
        <v>1421</v>
      </c>
      <c r="M135" s="28" t="s">
        <v>1421</v>
      </c>
      <c r="N135" s="28" t="s">
        <v>1421</v>
      </c>
      <c r="O135" s="28" t="s">
        <v>1421</v>
      </c>
      <c r="P135" s="28" t="s">
        <v>1421</v>
      </c>
      <c r="Q135" s="28" t="s">
        <v>1421</v>
      </c>
      <c r="R135" s="28" t="s">
        <v>1421</v>
      </c>
      <c r="S135" s="28" t="s">
        <v>1421</v>
      </c>
      <c r="T135" s="28" t="s">
        <v>1421</v>
      </c>
      <c r="U135" s="28" t="s">
        <v>1421</v>
      </c>
      <c r="V135" s="28" t="s">
        <v>1421</v>
      </c>
      <c r="W135" s="28" t="s">
        <v>1421</v>
      </c>
      <c r="X135" s="28" t="s">
        <v>1421</v>
      </c>
      <c r="Y135" s="28" t="s">
        <v>1421</v>
      </c>
      <c r="Z135" s="28" t="s">
        <v>1421</v>
      </c>
      <c r="AA135" s="28" t="s">
        <v>1421</v>
      </c>
      <c r="AB135" s="28" t="s">
        <v>1421</v>
      </c>
      <c r="AC135" s="28" t="s">
        <v>1421</v>
      </c>
      <c r="AD135" s="28" t="s">
        <v>1421</v>
      </c>
      <c r="AE135" s="28" t="s">
        <v>1421</v>
      </c>
      <c r="AF135" s="28" t="s">
        <v>1421</v>
      </c>
      <c r="AG135" s="28" t="s">
        <v>1421</v>
      </c>
      <c r="AH135" s="28" t="s">
        <v>1421</v>
      </c>
      <c r="AI135" s="28" t="s">
        <v>1421</v>
      </c>
      <c r="AJ135" s="28" t="s">
        <v>1421</v>
      </c>
      <c r="AK135" s="29" t="s">
        <v>1421</v>
      </c>
      <c r="AL135" s="29" t="s">
        <v>1421</v>
      </c>
    </row>
    <row r="136" spans="1:38">
      <c r="A136" s="29" t="s">
        <v>1276</v>
      </c>
      <c r="B136" s="28" t="s">
        <v>1419</v>
      </c>
      <c r="C136" s="28" t="s">
        <v>1419</v>
      </c>
      <c r="D136" s="28" t="s">
        <v>1419</v>
      </c>
      <c r="E136" s="28" t="s">
        <v>1419</v>
      </c>
      <c r="F136" s="28" t="s">
        <v>1419</v>
      </c>
      <c r="G136" s="28" t="s">
        <v>1419</v>
      </c>
      <c r="H136" s="28" t="s">
        <v>1419</v>
      </c>
      <c r="I136" s="28" t="s">
        <v>1419</v>
      </c>
      <c r="J136" s="28" t="s">
        <v>1419</v>
      </c>
      <c r="K136" s="28" t="s">
        <v>1419</v>
      </c>
      <c r="L136" s="28" t="s">
        <v>1419</v>
      </c>
      <c r="M136" s="28" t="s">
        <v>1419</v>
      </c>
      <c r="N136" s="28" t="s">
        <v>1419</v>
      </c>
      <c r="O136" s="28" t="s">
        <v>1419</v>
      </c>
      <c r="P136" s="28" t="s">
        <v>1419</v>
      </c>
      <c r="Q136" s="28" t="s">
        <v>1419</v>
      </c>
      <c r="R136" s="28" t="s">
        <v>1419</v>
      </c>
      <c r="S136" s="28" t="s">
        <v>1419</v>
      </c>
      <c r="T136" s="28" t="s">
        <v>1419</v>
      </c>
      <c r="U136" s="28" t="s">
        <v>1419</v>
      </c>
      <c r="V136" s="28" t="s">
        <v>1419</v>
      </c>
      <c r="W136" s="28" t="s">
        <v>1419</v>
      </c>
      <c r="X136" s="28" t="s">
        <v>1419</v>
      </c>
      <c r="Y136" s="28" t="s">
        <v>1419</v>
      </c>
      <c r="Z136" s="28" t="s">
        <v>1419</v>
      </c>
      <c r="AA136" s="28" t="s">
        <v>1419</v>
      </c>
      <c r="AB136" s="28" t="s">
        <v>1419</v>
      </c>
      <c r="AC136" s="28" t="s">
        <v>1419</v>
      </c>
      <c r="AD136" s="28" t="s">
        <v>1419</v>
      </c>
      <c r="AE136" s="28" t="s">
        <v>1419</v>
      </c>
      <c r="AF136" s="28" t="s">
        <v>1419</v>
      </c>
      <c r="AG136" s="28" t="s">
        <v>1419</v>
      </c>
      <c r="AH136" s="28" t="s">
        <v>1419</v>
      </c>
      <c r="AI136" s="28" t="s">
        <v>1419</v>
      </c>
      <c r="AJ136" s="28" t="s">
        <v>1419</v>
      </c>
      <c r="AK136" s="29" t="s">
        <v>1419</v>
      </c>
      <c r="AL136" s="29" t="s">
        <v>1419</v>
      </c>
    </row>
    <row r="137" spans="1:38">
      <c r="A137" s="29" t="s">
        <v>1272</v>
      </c>
      <c r="B137" s="28" t="s">
        <v>1419</v>
      </c>
      <c r="C137" s="28" t="s">
        <v>1419</v>
      </c>
      <c r="D137" s="28" t="s">
        <v>1419</v>
      </c>
      <c r="E137" s="28" t="s">
        <v>1419</v>
      </c>
      <c r="F137" s="28" t="s">
        <v>1419</v>
      </c>
      <c r="G137" s="28" t="s">
        <v>1419</v>
      </c>
      <c r="H137" s="28" t="s">
        <v>1419</v>
      </c>
      <c r="I137" s="28" t="s">
        <v>1419</v>
      </c>
      <c r="J137" s="28" t="s">
        <v>1419</v>
      </c>
      <c r="K137" s="28" t="s">
        <v>1419</v>
      </c>
      <c r="L137" s="28" t="s">
        <v>1419</v>
      </c>
      <c r="M137" s="28" t="s">
        <v>1419</v>
      </c>
      <c r="N137" s="28" t="s">
        <v>1419</v>
      </c>
      <c r="O137" s="28" t="s">
        <v>1419</v>
      </c>
      <c r="P137" s="28" t="s">
        <v>1419</v>
      </c>
      <c r="Q137" s="28" t="s">
        <v>1419</v>
      </c>
      <c r="R137" s="28" t="s">
        <v>1419</v>
      </c>
      <c r="S137" s="28" t="s">
        <v>1419</v>
      </c>
      <c r="T137" s="28" t="s">
        <v>1419</v>
      </c>
      <c r="U137" s="28" t="s">
        <v>1419</v>
      </c>
      <c r="V137" s="28" t="s">
        <v>1419</v>
      </c>
      <c r="W137" s="28" t="s">
        <v>1419</v>
      </c>
      <c r="X137" s="28" t="s">
        <v>1419</v>
      </c>
      <c r="Y137" s="28" t="s">
        <v>1419</v>
      </c>
      <c r="Z137" s="28" t="s">
        <v>1419</v>
      </c>
      <c r="AA137" s="28" t="s">
        <v>1419</v>
      </c>
      <c r="AB137" s="28" t="s">
        <v>1419</v>
      </c>
      <c r="AC137" s="28" t="s">
        <v>1421</v>
      </c>
      <c r="AD137" s="28" t="s">
        <v>1421</v>
      </c>
      <c r="AE137" s="28" t="s">
        <v>1421</v>
      </c>
      <c r="AF137" s="28" t="s">
        <v>1421</v>
      </c>
      <c r="AG137" s="28" t="s">
        <v>1421</v>
      </c>
      <c r="AH137" s="28" t="s">
        <v>1421</v>
      </c>
      <c r="AI137" s="28" t="s">
        <v>1421</v>
      </c>
      <c r="AJ137" s="28" t="s">
        <v>1421</v>
      </c>
      <c r="AK137" s="29" t="s">
        <v>1421</v>
      </c>
      <c r="AL137" s="29" t="s">
        <v>1421</v>
      </c>
    </row>
    <row r="138" spans="1:38">
      <c r="A138" s="29" t="s">
        <v>1281</v>
      </c>
      <c r="B138" s="28" t="s">
        <v>1420</v>
      </c>
      <c r="C138" s="28" t="s">
        <v>1420</v>
      </c>
      <c r="D138" s="28" t="s">
        <v>1421</v>
      </c>
      <c r="E138" s="28" t="s">
        <v>1421</v>
      </c>
      <c r="F138" s="28" t="s">
        <v>1421</v>
      </c>
      <c r="G138" s="28" t="s">
        <v>1421</v>
      </c>
      <c r="H138" s="28" t="s">
        <v>1421</v>
      </c>
      <c r="I138" s="28" t="s">
        <v>1421</v>
      </c>
      <c r="J138" s="28" t="s">
        <v>1421</v>
      </c>
      <c r="K138" s="28" t="s">
        <v>1421</v>
      </c>
      <c r="L138" s="28" t="s">
        <v>1421</v>
      </c>
      <c r="M138" s="28" t="s">
        <v>1421</v>
      </c>
      <c r="N138" s="28" t="s">
        <v>1421</v>
      </c>
      <c r="O138" s="28" t="s">
        <v>1421</v>
      </c>
      <c r="P138" s="28" t="s">
        <v>1421</v>
      </c>
      <c r="Q138" s="28" t="s">
        <v>1421</v>
      </c>
      <c r="R138" s="28" t="s">
        <v>1421</v>
      </c>
      <c r="S138" s="28" t="s">
        <v>1421</v>
      </c>
      <c r="T138" s="28" t="s">
        <v>1421</v>
      </c>
      <c r="U138" s="28" t="s">
        <v>1421</v>
      </c>
      <c r="V138" s="28" t="s">
        <v>1421</v>
      </c>
      <c r="W138" s="28" t="s">
        <v>1422</v>
      </c>
      <c r="X138" s="28" t="s">
        <v>1422</v>
      </c>
      <c r="Y138" s="28" t="s">
        <v>1422</v>
      </c>
      <c r="Z138" s="28" t="s">
        <v>1422</v>
      </c>
      <c r="AA138" s="28" t="s">
        <v>1422</v>
      </c>
      <c r="AB138" s="28" t="s">
        <v>1422</v>
      </c>
      <c r="AC138" s="28" t="s">
        <v>1422</v>
      </c>
      <c r="AD138" s="28" t="s">
        <v>1422</v>
      </c>
      <c r="AE138" s="28" t="s">
        <v>1422</v>
      </c>
      <c r="AF138" s="28" t="s">
        <v>1422</v>
      </c>
      <c r="AG138" s="28" t="s">
        <v>1422</v>
      </c>
      <c r="AH138" s="28" t="s">
        <v>1422</v>
      </c>
      <c r="AI138" s="28" t="s">
        <v>1422</v>
      </c>
      <c r="AJ138" s="28" t="s">
        <v>1422</v>
      </c>
      <c r="AK138" s="29" t="s">
        <v>1422</v>
      </c>
      <c r="AL138" s="29" t="s">
        <v>1422</v>
      </c>
    </row>
    <row r="139" spans="1:38">
      <c r="A139" s="29" t="s">
        <v>1289</v>
      </c>
      <c r="B139" s="28" t="s">
        <v>1420</v>
      </c>
      <c r="C139" s="28" t="s">
        <v>1420</v>
      </c>
      <c r="D139" s="28" t="s">
        <v>1420</v>
      </c>
      <c r="E139" s="28" t="s">
        <v>1420</v>
      </c>
      <c r="F139" s="28" t="s">
        <v>1420</v>
      </c>
      <c r="G139" s="28" t="s">
        <v>1420</v>
      </c>
      <c r="H139" s="28" t="s">
        <v>1420</v>
      </c>
      <c r="I139" s="28" t="s">
        <v>1420</v>
      </c>
      <c r="J139" s="28" t="s">
        <v>1420</v>
      </c>
      <c r="K139" s="28" t="s">
        <v>1420</v>
      </c>
      <c r="L139" s="28" t="s">
        <v>1420</v>
      </c>
      <c r="M139" s="28" t="s">
        <v>1420</v>
      </c>
      <c r="N139" s="28" t="s">
        <v>1420</v>
      </c>
      <c r="O139" s="28" t="s">
        <v>1420</v>
      </c>
      <c r="P139" s="28" t="s">
        <v>1420</v>
      </c>
      <c r="Q139" s="28" t="s">
        <v>1420</v>
      </c>
      <c r="R139" s="28" t="s">
        <v>1420</v>
      </c>
      <c r="S139" s="28" t="s">
        <v>1420</v>
      </c>
      <c r="T139" s="28" t="s">
        <v>1420</v>
      </c>
      <c r="U139" s="28" t="s">
        <v>1420</v>
      </c>
      <c r="V139" s="28" t="s">
        <v>1420</v>
      </c>
      <c r="W139" s="28" t="s">
        <v>1420</v>
      </c>
      <c r="X139" s="28" t="s">
        <v>1420</v>
      </c>
      <c r="Y139" s="28" t="s">
        <v>1420</v>
      </c>
      <c r="Z139" s="28" t="s">
        <v>1420</v>
      </c>
      <c r="AA139" s="28" t="s">
        <v>1420</v>
      </c>
      <c r="AB139" s="28" t="s">
        <v>1420</v>
      </c>
      <c r="AC139" s="28" t="s">
        <v>1420</v>
      </c>
      <c r="AD139" s="28" t="s">
        <v>1423</v>
      </c>
      <c r="AE139" s="28" t="s">
        <v>1422</v>
      </c>
      <c r="AF139" s="28" t="s">
        <v>1422</v>
      </c>
      <c r="AG139" s="28" t="s">
        <v>1422</v>
      </c>
      <c r="AH139" s="28" t="s">
        <v>1423</v>
      </c>
      <c r="AI139" s="28" t="s">
        <v>1423</v>
      </c>
      <c r="AJ139" s="28" t="s">
        <v>1423</v>
      </c>
      <c r="AK139" s="29" t="s">
        <v>1423</v>
      </c>
      <c r="AL139" s="29" t="s">
        <v>1423</v>
      </c>
    </row>
    <row r="140" spans="1:38">
      <c r="A140" s="29" t="s">
        <v>1288</v>
      </c>
      <c r="B140" s="28" t="s">
        <v>1419</v>
      </c>
      <c r="C140" s="28" t="s">
        <v>1419</v>
      </c>
      <c r="D140" s="28" t="s">
        <v>1419</v>
      </c>
      <c r="E140" s="28" t="s">
        <v>1419</v>
      </c>
      <c r="F140" s="28" t="s">
        <v>1419</v>
      </c>
      <c r="G140" s="28" t="s">
        <v>1419</v>
      </c>
      <c r="H140" s="28" t="s">
        <v>1419</v>
      </c>
      <c r="I140" s="28" t="s">
        <v>1419</v>
      </c>
      <c r="J140" s="28" t="s">
        <v>1419</v>
      </c>
      <c r="K140" s="28" t="s">
        <v>1419</v>
      </c>
      <c r="L140" s="28" t="s">
        <v>1419</v>
      </c>
      <c r="M140" s="28" t="s">
        <v>1419</v>
      </c>
      <c r="N140" s="28" t="s">
        <v>1419</v>
      </c>
      <c r="O140" s="28" t="s">
        <v>1419</v>
      </c>
      <c r="P140" s="28" t="s">
        <v>1419</v>
      </c>
      <c r="Q140" s="28" t="s">
        <v>1419</v>
      </c>
      <c r="R140" s="28" t="s">
        <v>1419</v>
      </c>
      <c r="S140" s="28" t="s">
        <v>1419</v>
      </c>
      <c r="T140" s="28" t="s">
        <v>1419</v>
      </c>
      <c r="U140" s="28" t="s">
        <v>1419</v>
      </c>
      <c r="V140" s="28" t="s">
        <v>1419</v>
      </c>
      <c r="W140" s="28" t="s">
        <v>1419</v>
      </c>
      <c r="X140" s="28" t="s">
        <v>1419</v>
      </c>
      <c r="Y140" s="28" t="s">
        <v>1419</v>
      </c>
      <c r="Z140" s="28" t="s">
        <v>1419</v>
      </c>
      <c r="AA140" s="28" t="s">
        <v>1419</v>
      </c>
      <c r="AB140" s="28" t="s">
        <v>1419</v>
      </c>
      <c r="AC140" s="28" t="s">
        <v>1419</v>
      </c>
      <c r="AD140" s="28" t="s">
        <v>1419</v>
      </c>
      <c r="AE140" s="28" t="s">
        <v>1419</v>
      </c>
      <c r="AF140" s="28" t="s">
        <v>1419</v>
      </c>
      <c r="AG140" s="28" t="s">
        <v>1419</v>
      </c>
      <c r="AH140" s="28" t="s">
        <v>1421</v>
      </c>
      <c r="AI140" s="28" t="s">
        <v>1421</v>
      </c>
      <c r="AJ140" s="28" t="s">
        <v>1421</v>
      </c>
      <c r="AK140" s="29" t="s">
        <v>1421</v>
      </c>
      <c r="AL140" s="29" t="s">
        <v>1421</v>
      </c>
    </row>
    <row r="141" spans="1:38">
      <c r="A141" s="29" t="s">
        <v>1286</v>
      </c>
      <c r="B141" s="28" t="s">
        <v>1423</v>
      </c>
      <c r="C141" s="28" t="s">
        <v>1423</v>
      </c>
      <c r="D141" s="28" t="s">
        <v>1423</v>
      </c>
      <c r="E141" s="28" t="s">
        <v>1423</v>
      </c>
      <c r="F141" s="28" t="s">
        <v>1423</v>
      </c>
      <c r="G141" s="28" t="s">
        <v>1423</v>
      </c>
      <c r="H141" s="28" t="s">
        <v>1423</v>
      </c>
      <c r="I141" s="28" t="s">
        <v>1423</v>
      </c>
      <c r="J141" s="28" t="s">
        <v>1423</v>
      </c>
      <c r="K141" s="28" t="s">
        <v>1423</v>
      </c>
      <c r="L141" s="28" t="s">
        <v>1423</v>
      </c>
      <c r="M141" s="28" t="s">
        <v>1423</v>
      </c>
      <c r="N141" s="28" t="s">
        <v>1423</v>
      </c>
      <c r="O141" s="28" t="s">
        <v>1423</v>
      </c>
      <c r="P141" s="28" t="s">
        <v>1423</v>
      </c>
      <c r="Q141" s="28" t="s">
        <v>1423</v>
      </c>
      <c r="R141" s="28" t="s">
        <v>1423</v>
      </c>
      <c r="S141" s="28" t="s">
        <v>1423</v>
      </c>
      <c r="T141" s="28" t="s">
        <v>1423</v>
      </c>
      <c r="U141" s="28" t="s">
        <v>1423</v>
      </c>
      <c r="V141" s="28" t="s">
        <v>1423</v>
      </c>
      <c r="W141" s="28" t="s">
        <v>1423</v>
      </c>
      <c r="X141" s="28" t="s">
        <v>1423</v>
      </c>
      <c r="Y141" s="28" t="s">
        <v>1423</v>
      </c>
      <c r="Z141" s="28" t="s">
        <v>1423</v>
      </c>
      <c r="AA141" s="28" t="s">
        <v>1423</v>
      </c>
      <c r="AB141" s="28" t="s">
        <v>1423</v>
      </c>
      <c r="AC141" s="28" t="s">
        <v>1423</v>
      </c>
      <c r="AD141" s="28" t="s">
        <v>1423</v>
      </c>
      <c r="AE141" s="28" t="s">
        <v>1423</v>
      </c>
      <c r="AF141" s="28" t="s">
        <v>1423</v>
      </c>
      <c r="AG141" s="28" t="s">
        <v>1423</v>
      </c>
      <c r="AH141" s="28" t="s">
        <v>1423</v>
      </c>
      <c r="AI141" s="28" t="s">
        <v>1423</v>
      </c>
      <c r="AJ141" s="28" t="s">
        <v>1423</v>
      </c>
      <c r="AK141" s="29" t="s">
        <v>1423</v>
      </c>
      <c r="AL141" s="29" t="s">
        <v>1423</v>
      </c>
    </row>
    <row r="142" spans="1:38">
      <c r="A142" s="29" t="s">
        <v>1282</v>
      </c>
      <c r="B142" s="28" t="s">
        <v>1422</v>
      </c>
      <c r="C142" s="28" t="s">
        <v>1422</v>
      </c>
      <c r="D142" s="28" t="s">
        <v>1422</v>
      </c>
      <c r="E142" s="28" t="s">
        <v>1422</v>
      </c>
      <c r="F142" s="28" t="s">
        <v>1422</v>
      </c>
      <c r="G142" s="28" t="s">
        <v>1422</v>
      </c>
      <c r="H142" s="28" t="s">
        <v>1422</v>
      </c>
      <c r="I142" s="28" t="s">
        <v>1422</v>
      </c>
      <c r="J142" s="28" t="s">
        <v>1423</v>
      </c>
      <c r="K142" s="28" t="s">
        <v>1423</v>
      </c>
      <c r="L142" s="28" t="s">
        <v>1423</v>
      </c>
      <c r="M142" s="28" t="s">
        <v>1423</v>
      </c>
      <c r="N142" s="28" t="s">
        <v>1423</v>
      </c>
      <c r="O142" s="28" t="s">
        <v>1423</v>
      </c>
      <c r="P142" s="28" t="s">
        <v>1423</v>
      </c>
      <c r="Q142" s="28" t="s">
        <v>1423</v>
      </c>
      <c r="R142" s="28" t="s">
        <v>1423</v>
      </c>
      <c r="S142" s="28" t="s">
        <v>1423</v>
      </c>
      <c r="T142" s="28" t="s">
        <v>1423</v>
      </c>
      <c r="U142" s="28" t="s">
        <v>1423</v>
      </c>
      <c r="V142" s="28" t="s">
        <v>1423</v>
      </c>
      <c r="W142" s="28" t="s">
        <v>1423</v>
      </c>
      <c r="X142" s="28" t="s">
        <v>1423</v>
      </c>
      <c r="Y142" s="28" t="s">
        <v>1423</v>
      </c>
      <c r="Z142" s="28" t="s">
        <v>1423</v>
      </c>
      <c r="AA142" s="28" t="s">
        <v>1423</v>
      </c>
      <c r="AB142" s="28" t="s">
        <v>1423</v>
      </c>
      <c r="AC142" s="28" t="s">
        <v>1423</v>
      </c>
      <c r="AD142" s="28" t="s">
        <v>1423</v>
      </c>
      <c r="AE142" s="28" t="s">
        <v>1423</v>
      </c>
      <c r="AF142" s="28" t="s">
        <v>1423</v>
      </c>
      <c r="AG142" s="28" t="s">
        <v>1423</v>
      </c>
      <c r="AH142" s="28" t="s">
        <v>1423</v>
      </c>
      <c r="AI142" s="28" t="s">
        <v>1423</v>
      </c>
      <c r="AJ142" s="28" t="s">
        <v>1423</v>
      </c>
      <c r="AK142" s="29" t="s">
        <v>1423</v>
      </c>
      <c r="AL142" s="29" t="s">
        <v>1423</v>
      </c>
    </row>
    <row r="143" spans="1:38">
      <c r="A143" s="29" t="s">
        <v>1290</v>
      </c>
      <c r="B143" s="28" t="s">
        <v>1423</v>
      </c>
      <c r="C143" s="28" t="s">
        <v>1423</v>
      </c>
      <c r="D143" s="28" t="s">
        <v>1423</v>
      </c>
      <c r="E143" s="28" t="s">
        <v>1423</v>
      </c>
      <c r="F143" s="28" t="s">
        <v>1423</v>
      </c>
      <c r="G143" s="28" t="s">
        <v>1423</v>
      </c>
      <c r="H143" s="28" t="s">
        <v>1423</v>
      </c>
      <c r="I143" s="28" t="s">
        <v>1423</v>
      </c>
      <c r="J143" s="28" t="s">
        <v>1423</v>
      </c>
      <c r="K143" s="28" t="s">
        <v>1423</v>
      </c>
      <c r="L143" s="28" t="s">
        <v>1423</v>
      </c>
      <c r="M143" s="28" t="s">
        <v>1423</v>
      </c>
      <c r="N143" s="28" t="s">
        <v>1423</v>
      </c>
      <c r="O143" s="28" t="s">
        <v>1423</v>
      </c>
      <c r="P143" s="28" t="s">
        <v>1423</v>
      </c>
      <c r="Q143" s="28" t="s">
        <v>1423</v>
      </c>
      <c r="R143" s="28" t="s">
        <v>1423</v>
      </c>
      <c r="S143" s="28" t="s">
        <v>1423</v>
      </c>
      <c r="T143" s="28" t="s">
        <v>1423</v>
      </c>
      <c r="U143" s="28" t="s">
        <v>1423</v>
      </c>
      <c r="V143" s="28" t="s">
        <v>1423</v>
      </c>
      <c r="W143" s="28" t="s">
        <v>1423</v>
      </c>
      <c r="X143" s="28" t="s">
        <v>1423</v>
      </c>
      <c r="Y143" s="28" t="s">
        <v>1423</v>
      </c>
      <c r="Z143" s="28" t="s">
        <v>1423</v>
      </c>
      <c r="AA143" s="28" t="s">
        <v>1423</v>
      </c>
      <c r="AB143" s="28" t="s">
        <v>1423</v>
      </c>
      <c r="AC143" s="28" t="s">
        <v>1423</v>
      </c>
      <c r="AD143" s="28" t="s">
        <v>1423</v>
      </c>
      <c r="AE143" s="28" t="s">
        <v>1423</v>
      </c>
      <c r="AF143" s="28" t="s">
        <v>1423</v>
      </c>
      <c r="AG143" s="28" t="s">
        <v>1423</v>
      </c>
      <c r="AH143" s="28" t="s">
        <v>1423</v>
      </c>
      <c r="AI143" s="28" t="s">
        <v>1423</v>
      </c>
      <c r="AJ143" s="28" t="s">
        <v>1423</v>
      </c>
      <c r="AK143" s="29" t="s">
        <v>1423</v>
      </c>
      <c r="AL143" s="29" t="s">
        <v>1423</v>
      </c>
    </row>
    <row r="144" spans="1:38">
      <c r="A144" s="29" t="s">
        <v>1285</v>
      </c>
      <c r="B144" s="28" t="s">
        <v>1421</v>
      </c>
      <c r="C144" s="28" t="s">
        <v>1421</v>
      </c>
      <c r="D144" s="28" t="s">
        <v>1421</v>
      </c>
      <c r="E144" s="28" t="s">
        <v>1421</v>
      </c>
      <c r="F144" s="28" t="s">
        <v>1419</v>
      </c>
      <c r="G144" s="28" t="s">
        <v>1419</v>
      </c>
      <c r="H144" s="28" t="s">
        <v>1419</v>
      </c>
      <c r="I144" s="28" t="s">
        <v>1419</v>
      </c>
      <c r="J144" s="28" t="s">
        <v>1419</v>
      </c>
      <c r="K144" s="28" t="s">
        <v>1419</v>
      </c>
      <c r="L144" s="28" t="s">
        <v>1419</v>
      </c>
      <c r="M144" s="28" t="s">
        <v>1419</v>
      </c>
      <c r="N144" s="28" t="s">
        <v>1419</v>
      </c>
      <c r="O144" s="28" t="s">
        <v>1419</v>
      </c>
      <c r="P144" s="28" t="s">
        <v>1419</v>
      </c>
      <c r="Q144" s="28" t="s">
        <v>1419</v>
      </c>
      <c r="R144" s="28" t="s">
        <v>1419</v>
      </c>
      <c r="S144" s="28" t="s">
        <v>1419</v>
      </c>
      <c r="T144" s="28" t="s">
        <v>1421</v>
      </c>
      <c r="U144" s="28" t="s">
        <v>1421</v>
      </c>
      <c r="V144" s="28" t="s">
        <v>1421</v>
      </c>
      <c r="W144" s="28" t="s">
        <v>1421</v>
      </c>
      <c r="X144" s="28" t="s">
        <v>1421</v>
      </c>
      <c r="Y144" s="28" t="s">
        <v>1421</v>
      </c>
      <c r="Z144" s="28" t="s">
        <v>1421</v>
      </c>
      <c r="AA144" s="28" t="s">
        <v>1421</v>
      </c>
      <c r="AB144" s="28" t="s">
        <v>1421</v>
      </c>
      <c r="AC144" s="28" t="s">
        <v>1421</v>
      </c>
      <c r="AD144" s="28" t="s">
        <v>1421</v>
      </c>
      <c r="AE144" s="28" t="s">
        <v>1421</v>
      </c>
      <c r="AF144" s="28" t="s">
        <v>1421</v>
      </c>
      <c r="AG144" s="28" t="s">
        <v>1421</v>
      </c>
      <c r="AH144" s="28" t="s">
        <v>1421</v>
      </c>
      <c r="AI144" s="28" t="s">
        <v>1421</v>
      </c>
      <c r="AJ144" s="28" t="s">
        <v>1421</v>
      </c>
      <c r="AK144" s="29" t="s">
        <v>1421</v>
      </c>
      <c r="AL144" s="29" t="s">
        <v>1421</v>
      </c>
    </row>
    <row r="145" spans="1:38">
      <c r="A145" s="29" t="s">
        <v>1283</v>
      </c>
      <c r="B145" s="28" t="s">
        <v>1419</v>
      </c>
      <c r="C145" s="28" t="s">
        <v>1419</v>
      </c>
      <c r="D145" s="28" t="s">
        <v>1419</v>
      </c>
      <c r="E145" s="28" t="s">
        <v>1419</v>
      </c>
      <c r="F145" s="28" t="s">
        <v>1419</v>
      </c>
      <c r="G145" s="28" t="s">
        <v>1419</v>
      </c>
      <c r="H145" s="28" t="s">
        <v>1419</v>
      </c>
      <c r="I145" s="28" t="s">
        <v>1419</v>
      </c>
      <c r="J145" s="28" t="s">
        <v>1419</v>
      </c>
      <c r="K145" s="28" t="s">
        <v>1419</v>
      </c>
      <c r="L145" s="28" t="s">
        <v>1419</v>
      </c>
      <c r="M145" s="28" t="s">
        <v>1419</v>
      </c>
      <c r="N145" s="28" t="s">
        <v>1419</v>
      </c>
      <c r="O145" s="28" t="s">
        <v>1419</v>
      </c>
      <c r="P145" s="28" t="s">
        <v>1419</v>
      </c>
      <c r="Q145" s="28" t="s">
        <v>1419</v>
      </c>
      <c r="R145" s="28" t="s">
        <v>1419</v>
      </c>
      <c r="S145" s="28" t="s">
        <v>1419</v>
      </c>
      <c r="T145" s="28" t="s">
        <v>1419</v>
      </c>
      <c r="U145" s="28" t="s">
        <v>1419</v>
      </c>
      <c r="V145" s="28" t="s">
        <v>1419</v>
      </c>
      <c r="W145" s="28" t="s">
        <v>1419</v>
      </c>
      <c r="X145" s="28" t="s">
        <v>1419</v>
      </c>
      <c r="Y145" s="28" t="s">
        <v>1419</v>
      </c>
      <c r="Z145" s="28" t="s">
        <v>1419</v>
      </c>
      <c r="AA145" s="28" t="s">
        <v>1419</v>
      </c>
      <c r="AB145" s="28" t="s">
        <v>1419</v>
      </c>
      <c r="AC145" s="28" t="s">
        <v>1419</v>
      </c>
      <c r="AD145" s="28" t="s">
        <v>1419</v>
      </c>
      <c r="AE145" s="28" t="s">
        <v>1419</v>
      </c>
      <c r="AF145" s="28" t="s">
        <v>1419</v>
      </c>
      <c r="AG145" s="28" t="s">
        <v>1419</v>
      </c>
      <c r="AH145" s="28" t="s">
        <v>1419</v>
      </c>
      <c r="AI145" s="28" t="s">
        <v>1419</v>
      </c>
      <c r="AJ145" s="28" t="s">
        <v>1419</v>
      </c>
      <c r="AK145" s="29" t="s">
        <v>1419</v>
      </c>
      <c r="AL145" s="29" t="s">
        <v>1419</v>
      </c>
    </row>
    <row r="146" spans="1:38">
      <c r="A146" s="29" t="s">
        <v>1284</v>
      </c>
      <c r="B146" s="28" t="s">
        <v>1419</v>
      </c>
      <c r="C146" s="28" t="s">
        <v>1419</v>
      </c>
      <c r="D146" s="28" t="s">
        <v>1419</v>
      </c>
      <c r="E146" s="28" t="s">
        <v>1419</v>
      </c>
      <c r="F146" s="28" t="s">
        <v>1419</v>
      </c>
      <c r="G146" s="28" t="s">
        <v>1419</v>
      </c>
      <c r="H146" s="28" t="s">
        <v>1419</v>
      </c>
      <c r="I146" s="28" t="s">
        <v>1419</v>
      </c>
      <c r="J146" s="28" t="s">
        <v>1419</v>
      </c>
      <c r="K146" s="28" t="s">
        <v>1419</v>
      </c>
      <c r="L146" s="28" t="s">
        <v>1419</v>
      </c>
      <c r="M146" s="28" t="s">
        <v>1419</v>
      </c>
      <c r="N146" s="28" t="s">
        <v>1419</v>
      </c>
      <c r="O146" s="28" t="s">
        <v>1419</v>
      </c>
      <c r="P146" s="28" t="s">
        <v>1419</v>
      </c>
      <c r="Q146" s="28" t="s">
        <v>1419</v>
      </c>
      <c r="R146" s="28" t="s">
        <v>1419</v>
      </c>
      <c r="S146" s="28" t="s">
        <v>1419</v>
      </c>
      <c r="T146" s="28" t="s">
        <v>1419</v>
      </c>
      <c r="U146" s="28" t="s">
        <v>1419</v>
      </c>
      <c r="V146" s="28" t="s">
        <v>1419</v>
      </c>
      <c r="W146" s="28" t="s">
        <v>1421</v>
      </c>
      <c r="X146" s="28" t="s">
        <v>1421</v>
      </c>
      <c r="Y146" s="28" t="s">
        <v>1421</v>
      </c>
      <c r="Z146" s="28" t="s">
        <v>1421</v>
      </c>
      <c r="AA146" s="28" t="s">
        <v>1421</v>
      </c>
      <c r="AB146" s="28" t="s">
        <v>1421</v>
      </c>
      <c r="AC146" s="28" t="s">
        <v>1421</v>
      </c>
      <c r="AD146" s="28" t="s">
        <v>1421</v>
      </c>
      <c r="AE146" s="28" t="s">
        <v>1421</v>
      </c>
      <c r="AF146" s="28" t="s">
        <v>1421</v>
      </c>
      <c r="AG146" s="28" t="s">
        <v>1421</v>
      </c>
      <c r="AH146" s="28" t="s">
        <v>1421</v>
      </c>
      <c r="AI146" s="28" t="s">
        <v>1421</v>
      </c>
      <c r="AJ146" s="28" t="s">
        <v>1421</v>
      </c>
      <c r="AK146" s="29" t="s">
        <v>1421</v>
      </c>
      <c r="AL146" s="29" t="s">
        <v>1421</v>
      </c>
    </row>
    <row r="147" spans="1:38">
      <c r="A147" s="29" t="s">
        <v>1269</v>
      </c>
      <c r="B147" s="28" t="s">
        <v>1420</v>
      </c>
      <c r="C147" s="28" t="s">
        <v>1420</v>
      </c>
      <c r="D147" s="28" t="s">
        <v>1420</v>
      </c>
      <c r="E147" s="28" t="s">
        <v>1420</v>
      </c>
      <c r="F147" s="28" t="s">
        <v>1420</v>
      </c>
      <c r="G147" s="28" t="s">
        <v>1421</v>
      </c>
      <c r="H147" s="28" t="s">
        <v>1421</v>
      </c>
      <c r="I147" s="28" t="s">
        <v>1421</v>
      </c>
      <c r="J147" s="28" t="s">
        <v>1421</v>
      </c>
      <c r="K147" s="28" t="s">
        <v>1421</v>
      </c>
      <c r="L147" s="28" t="s">
        <v>1421</v>
      </c>
      <c r="M147" s="28" t="s">
        <v>1421</v>
      </c>
      <c r="N147" s="28" t="s">
        <v>1421</v>
      </c>
      <c r="O147" s="28" t="s">
        <v>1421</v>
      </c>
      <c r="P147" s="28" t="s">
        <v>1421</v>
      </c>
      <c r="Q147" s="28" t="s">
        <v>1421</v>
      </c>
      <c r="R147" s="28" t="s">
        <v>1421</v>
      </c>
      <c r="S147" s="28" t="s">
        <v>1421</v>
      </c>
      <c r="T147" s="28" t="s">
        <v>1421</v>
      </c>
      <c r="U147" s="28" t="s">
        <v>1421</v>
      </c>
      <c r="V147" s="28" t="s">
        <v>1421</v>
      </c>
      <c r="W147" s="28" t="s">
        <v>1422</v>
      </c>
      <c r="X147" s="28" t="s">
        <v>1422</v>
      </c>
      <c r="Y147" s="28" t="s">
        <v>1422</v>
      </c>
      <c r="Z147" s="28" t="s">
        <v>1422</v>
      </c>
      <c r="AA147" s="28" t="s">
        <v>1422</v>
      </c>
      <c r="AB147" s="28" t="s">
        <v>1422</v>
      </c>
      <c r="AC147" s="28" t="s">
        <v>1422</v>
      </c>
      <c r="AD147" s="28" t="s">
        <v>1422</v>
      </c>
      <c r="AE147" s="28" t="s">
        <v>1422</v>
      </c>
      <c r="AF147" s="28" t="s">
        <v>1422</v>
      </c>
      <c r="AG147" s="28" t="s">
        <v>1422</v>
      </c>
      <c r="AH147" s="28" t="s">
        <v>1422</v>
      </c>
      <c r="AI147" s="28" t="s">
        <v>1422</v>
      </c>
      <c r="AJ147" s="28" t="s">
        <v>1422</v>
      </c>
      <c r="AK147" s="29" t="s">
        <v>1422</v>
      </c>
      <c r="AL147" s="29" t="s">
        <v>1422</v>
      </c>
    </row>
    <row r="148" spans="1:38">
      <c r="A148" s="29" t="s">
        <v>1275</v>
      </c>
      <c r="B148" s="28" t="s">
        <v>1420</v>
      </c>
      <c r="C148" s="28" t="s">
        <v>1420</v>
      </c>
      <c r="D148" s="28" t="s">
        <v>1420</v>
      </c>
      <c r="E148" s="28" t="s">
        <v>1420</v>
      </c>
      <c r="F148" s="28" t="s">
        <v>1420</v>
      </c>
      <c r="G148" s="28" t="s">
        <v>1421</v>
      </c>
      <c r="H148" s="28" t="s">
        <v>1421</v>
      </c>
      <c r="I148" s="28" t="s">
        <v>1421</v>
      </c>
      <c r="J148" s="28" t="s">
        <v>1423</v>
      </c>
      <c r="K148" s="28" t="s">
        <v>1423</v>
      </c>
      <c r="L148" s="28" t="s">
        <v>1423</v>
      </c>
      <c r="M148" s="28" t="s">
        <v>1423</v>
      </c>
      <c r="N148" s="28" t="s">
        <v>1423</v>
      </c>
      <c r="O148" s="28" t="s">
        <v>1423</v>
      </c>
      <c r="P148" s="28" t="s">
        <v>1423</v>
      </c>
      <c r="Q148" s="28" t="s">
        <v>1422</v>
      </c>
      <c r="R148" s="28" t="s">
        <v>1422</v>
      </c>
      <c r="S148" s="28" t="s">
        <v>1422</v>
      </c>
      <c r="T148" s="28" t="s">
        <v>1422</v>
      </c>
      <c r="U148" s="28" t="s">
        <v>1422</v>
      </c>
      <c r="V148" s="28" t="s">
        <v>1423</v>
      </c>
      <c r="W148" s="28" t="s">
        <v>1423</v>
      </c>
      <c r="X148" s="28" t="s">
        <v>1423</v>
      </c>
      <c r="Y148" s="28" t="s">
        <v>1423</v>
      </c>
      <c r="Z148" s="28" t="s">
        <v>1423</v>
      </c>
      <c r="AA148" s="28" t="s">
        <v>1423</v>
      </c>
      <c r="AB148" s="28" t="s">
        <v>1423</v>
      </c>
      <c r="AC148" s="28" t="s">
        <v>1423</v>
      </c>
      <c r="AD148" s="28" t="s">
        <v>1423</v>
      </c>
      <c r="AE148" s="28" t="s">
        <v>1423</v>
      </c>
      <c r="AF148" s="28" t="s">
        <v>1423</v>
      </c>
      <c r="AG148" s="28" t="s">
        <v>1423</v>
      </c>
      <c r="AH148" s="28" t="s">
        <v>1423</v>
      </c>
      <c r="AI148" s="28" t="s">
        <v>1423</v>
      </c>
      <c r="AJ148" s="28" t="s">
        <v>1423</v>
      </c>
      <c r="AK148" s="29" t="s">
        <v>1423</v>
      </c>
      <c r="AL148" s="29" t="s">
        <v>1423</v>
      </c>
    </row>
    <row r="149" spans="1:38">
      <c r="A149" s="29" t="s">
        <v>1287</v>
      </c>
      <c r="B149" s="28" t="s">
        <v>1423</v>
      </c>
      <c r="C149" s="28" t="s">
        <v>1423</v>
      </c>
      <c r="D149" s="28" t="s">
        <v>1423</v>
      </c>
      <c r="E149" s="28" t="s">
        <v>1423</v>
      </c>
      <c r="F149" s="28" t="s">
        <v>1423</v>
      </c>
      <c r="G149" s="28" t="s">
        <v>1423</v>
      </c>
      <c r="H149" s="28" t="s">
        <v>1423</v>
      </c>
      <c r="I149" s="28" t="s">
        <v>1423</v>
      </c>
      <c r="J149" s="28" t="s">
        <v>1423</v>
      </c>
      <c r="K149" s="28" t="s">
        <v>1423</v>
      </c>
      <c r="L149" s="28" t="s">
        <v>1423</v>
      </c>
      <c r="M149" s="28" t="s">
        <v>1423</v>
      </c>
      <c r="N149" s="28" t="s">
        <v>1423</v>
      </c>
      <c r="O149" s="28" t="s">
        <v>1423</v>
      </c>
      <c r="P149" s="28" t="s">
        <v>1423</v>
      </c>
      <c r="Q149" s="28" t="s">
        <v>1423</v>
      </c>
      <c r="R149" s="28" t="s">
        <v>1423</v>
      </c>
      <c r="S149" s="28" t="s">
        <v>1423</v>
      </c>
      <c r="T149" s="28" t="s">
        <v>1423</v>
      </c>
      <c r="U149" s="28" t="s">
        <v>1423</v>
      </c>
      <c r="V149" s="28" t="s">
        <v>1423</v>
      </c>
      <c r="W149" s="28" t="s">
        <v>1423</v>
      </c>
      <c r="X149" s="28" t="s">
        <v>1423</v>
      </c>
      <c r="Y149" s="28" t="s">
        <v>1423</v>
      </c>
      <c r="Z149" s="28" t="s">
        <v>1423</v>
      </c>
      <c r="AA149" s="28" t="s">
        <v>1423</v>
      </c>
      <c r="AB149" s="28" t="s">
        <v>1423</v>
      </c>
      <c r="AC149" s="28" t="s">
        <v>1423</v>
      </c>
      <c r="AD149" s="28" t="s">
        <v>1423</v>
      </c>
      <c r="AE149" s="28" t="s">
        <v>1423</v>
      </c>
      <c r="AF149" s="28" t="s">
        <v>1423</v>
      </c>
      <c r="AG149" s="28" t="s">
        <v>1423</v>
      </c>
      <c r="AH149" s="28" t="s">
        <v>1423</v>
      </c>
      <c r="AI149" s="28" t="s">
        <v>1423</v>
      </c>
      <c r="AJ149" s="28" t="s">
        <v>1423</v>
      </c>
      <c r="AK149" s="29" t="s">
        <v>1423</v>
      </c>
      <c r="AL149" s="29" t="s">
        <v>1423</v>
      </c>
    </row>
    <row r="150" spans="1:38">
      <c r="A150" s="29" t="s">
        <v>1292</v>
      </c>
      <c r="B150" s="28" t="s">
        <v>1422</v>
      </c>
      <c r="C150" s="28" t="s">
        <v>1422</v>
      </c>
      <c r="D150" s="28" t="s">
        <v>1422</v>
      </c>
      <c r="E150" s="28" t="s">
        <v>1422</v>
      </c>
      <c r="F150" s="28" t="s">
        <v>1422</v>
      </c>
      <c r="G150" s="28" t="s">
        <v>1422</v>
      </c>
      <c r="H150" s="28" t="s">
        <v>1422</v>
      </c>
      <c r="I150" s="28" t="s">
        <v>1422</v>
      </c>
      <c r="J150" s="28" t="s">
        <v>1422</v>
      </c>
      <c r="K150" s="28" t="s">
        <v>1422</v>
      </c>
      <c r="L150" s="28" t="s">
        <v>1422</v>
      </c>
      <c r="M150" s="28" t="s">
        <v>1422</v>
      </c>
      <c r="N150" s="28" t="s">
        <v>1422</v>
      </c>
      <c r="O150" s="28" t="s">
        <v>1422</v>
      </c>
      <c r="P150" s="28" t="s">
        <v>1422</v>
      </c>
      <c r="Q150" s="28" t="s">
        <v>1422</v>
      </c>
      <c r="R150" s="28" t="s">
        <v>1422</v>
      </c>
      <c r="S150" s="28" t="s">
        <v>1422</v>
      </c>
      <c r="T150" s="28" t="s">
        <v>1422</v>
      </c>
      <c r="U150" s="28" t="s">
        <v>1422</v>
      </c>
      <c r="V150" s="28" t="s">
        <v>1423</v>
      </c>
      <c r="W150" s="28" t="s">
        <v>1423</v>
      </c>
      <c r="X150" s="28" t="s">
        <v>1423</v>
      </c>
      <c r="Y150" s="28" t="s">
        <v>1423</v>
      </c>
      <c r="Z150" s="28" t="s">
        <v>1423</v>
      </c>
      <c r="AA150" s="28" t="s">
        <v>1423</v>
      </c>
      <c r="AB150" s="28" t="s">
        <v>1423</v>
      </c>
      <c r="AC150" s="28" t="s">
        <v>1423</v>
      </c>
      <c r="AD150" s="28" t="s">
        <v>1423</v>
      </c>
      <c r="AE150" s="28" t="s">
        <v>1423</v>
      </c>
      <c r="AF150" s="28" t="s">
        <v>1423</v>
      </c>
      <c r="AG150" s="28" t="s">
        <v>1423</v>
      </c>
      <c r="AH150" s="28" t="s">
        <v>1423</v>
      </c>
      <c r="AI150" s="28" t="s">
        <v>1423</v>
      </c>
      <c r="AJ150" s="28" t="s">
        <v>1423</v>
      </c>
      <c r="AK150" s="29" t="s">
        <v>1423</v>
      </c>
      <c r="AL150" s="29" t="s">
        <v>1423</v>
      </c>
    </row>
    <row r="151" spans="1:38">
      <c r="A151" s="29" t="s">
        <v>1294</v>
      </c>
      <c r="B151" s="28" t="s">
        <v>1419</v>
      </c>
      <c r="C151" s="28" t="s">
        <v>1419</v>
      </c>
      <c r="D151" s="28" t="s">
        <v>1419</v>
      </c>
      <c r="E151" s="28" t="s">
        <v>1419</v>
      </c>
      <c r="F151" s="28" t="s">
        <v>1419</v>
      </c>
      <c r="G151" s="28" t="s">
        <v>1419</v>
      </c>
      <c r="H151" s="28" t="s">
        <v>1419</v>
      </c>
      <c r="I151" s="28" t="s">
        <v>1419</v>
      </c>
      <c r="J151" s="28" t="s">
        <v>1419</v>
      </c>
      <c r="K151" s="28" t="s">
        <v>1419</v>
      </c>
      <c r="L151" s="28" t="s">
        <v>1419</v>
      </c>
      <c r="M151" s="28" t="s">
        <v>1419</v>
      </c>
      <c r="N151" s="28" t="s">
        <v>1419</v>
      </c>
      <c r="O151" s="28" t="s">
        <v>1419</v>
      </c>
      <c r="P151" s="28" t="s">
        <v>1419</v>
      </c>
      <c r="Q151" s="28" t="s">
        <v>1419</v>
      </c>
      <c r="R151" s="28" t="s">
        <v>1419</v>
      </c>
      <c r="S151" s="28" t="s">
        <v>1419</v>
      </c>
      <c r="T151" s="28" t="s">
        <v>1419</v>
      </c>
      <c r="U151" s="28" t="s">
        <v>1419</v>
      </c>
      <c r="V151" s="28" t="s">
        <v>1419</v>
      </c>
      <c r="W151" s="28" t="s">
        <v>1421</v>
      </c>
      <c r="X151" s="28" t="s">
        <v>1421</v>
      </c>
      <c r="Y151" s="28" t="s">
        <v>1421</v>
      </c>
      <c r="Z151" s="28" t="s">
        <v>1421</v>
      </c>
      <c r="AA151" s="28" t="s">
        <v>1421</v>
      </c>
      <c r="AB151" s="28" t="s">
        <v>1421</v>
      </c>
      <c r="AC151" s="28" t="s">
        <v>1421</v>
      </c>
      <c r="AD151" s="28" t="s">
        <v>1421</v>
      </c>
      <c r="AE151" s="28" t="s">
        <v>1421</v>
      </c>
      <c r="AF151" s="28" t="s">
        <v>1421</v>
      </c>
      <c r="AG151" s="28" t="s">
        <v>1421</v>
      </c>
      <c r="AH151" s="28" t="s">
        <v>1421</v>
      </c>
      <c r="AI151" s="28" t="s">
        <v>1421</v>
      </c>
      <c r="AJ151" s="28" t="s">
        <v>1421</v>
      </c>
      <c r="AK151" s="29" t="s">
        <v>1421</v>
      </c>
      <c r="AL151" s="29" t="s">
        <v>1421</v>
      </c>
    </row>
    <row r="152" spans="1:38">
      <c r="A152" s="29" t="s">
        <v>1296</v>
      </c>
      <c r="B152" s="28" t="s">
        <v>1420</v>
      </c>
      <c r="C152" s="28" t="s">
        <v>1420</v>
      </c>
      <c r="D152" s="28" t="s">
        <v>1420</v>
      </c>
      <c r="E152" s="28" t="s">
        <v>1420</v>
      </c>
      <c r="F152" s="28" t="s">
        <v>1420</v>
      </c>
      <c r="G152" s="28" t="s">
        <v>1420</v>
      </c>
      <c r="H152" s="28" t="s">
        <v>1420</v>
      </c>
      <c r="I152" s="28" t="s">
        <v>1420</v>
      </c>
      <c r="J152" s="28" t="s">
        <v>1420</v>
      </c>
      <c r="K152" s="28" t="s">
        <v>1422</v>
      </c>
      <c r="L152" s="28" t="s">
        <v>1422</v>
      </c>
      <c r="M152" s="28" t="s">
        <v>1422</v>
      </c>
      <c r="N152" s="28" t="s">
        <v>1422</v>
      </c>
      <c r="O152" s="28" t="s">
        <v>1422</v>
      </c>
      <c r="P152" s="28" t="s">
        <v>1422</v>
      </c>
      <c r="Q152" s="28" t="s">
        <v>1422</v>
      </c>
      <c r="R152" s="28" t="s">
        <v>1422</v>
      </c>
      <c r="S152" s="28" t="s">
        <v>1422</v>
      </c>
      <c r="T152" s="28" t="s">
        <v>1422</v>
      </c>
      <c r="U152" s="28" t="s">
        <v>1422</v>
      </c>
      <c r="V152" s="28" t="s">
        <v>1422</v>
      </c>
      <c r="W152" s="28" t="s">
        <v>1422</v>
      </c>
      <c r="X152" s="28" t="s">
        <v>1422</v>
      </c>
      <c r="Y152" s="28" t="s">
        <v>1422</v>
      </c>
      <c r="Z152" s="28" t="s">
        <v>1422</v>
      </c>
      <c r="AA152" s="28" t="s">
        <v>1422</v>
      </c>
      <c r="AB152" s="28" t="s">
        <v>1422</v>
      </c>
      <c r="AC152" s="28" t="s">
        <v>1422</v>
      </c>
      <c r="AD152" s="28" t="s">
        <v>1422</v>
      </c>
      <c r="AE152" s="28" t="s">
        <v>1423</v>
      </c>
      <c r="AF152" s="28" t="s">
        <v>1423</v>
      </c>
      <c r="AG152" s="28" t="s">
        <v>1423</v>
      </c>
      <c r="AH152" s="28" t="s">
        <v>1423</v>
      </c>
      <c r="AI152" s="28" t="s">
        <v>1423</v>
      </c>
      <c r="AJ152" s="28" t="s">
        <v>1422</v>
      </c>
      <c r="AK152" s="29" t="s">
        <v>1422</v>
      </c>
      <c r="AL152" s="29" t="s">
        <v>1423</v>
      </c>
    </row>
    <row r="153" spans="1:38">
      <c r="A153" s="29" t="s">
        <v>1295</v>
      </c>
      <c r="B153" s="28" t="s">
        <v>1422</v>
      </c>
      <c r="C153" s="28" t="s">
        <v>1421</v>
      </c>
      <c r="D153" s="28" t="s">
        <v>1421</v>
      </c>
      <c r="E153" s="28" t="s">
        <v>1421</v>
      </c>
      <c r="F153" s="28" t="s">
        <v>1421</v>
      </c>
      <c r="G153" s="28" t="s">
        <v>1421</v>
      </c>
      <c r="H153" s="28" t="s">
        <v>1421</v>
      </c>
      <c r="I153" s="28" t="s">
        <v>1421</v>
      </c>
      <c r="J153" s="28" t="s">
        <v>1421</v>
      </c>
      <c r="K153" s="28" t="s">
        <v>1421</v>
      </c>
      <c r="L153" s="28" t="s">
        <v>1421</v>
      </c>
      <c r="M153" s="28" t="s">
        <v>1422</v>
      </c>
      <c r="N153" s="28" t="s">
        <v>1422</v>
      </c>
      <c r="O153" s="28" t="s">
        <v>1422</v>
      </c>
      <c r="P153" s="28" t="s">
        <v>1422</v>
      </c>
      <c r="Q153" s="28" t="s">
        <v>1422</v>
      </c>
      <c r="R153" s="28" t="s">
        <v>1422</v>
      </c>
      <c r="S153" s="28" t="s">
        <v>1422</v>
      </c>
      <c r="T153" s="28" t="s">
        <v>1422</v>
      </c>
      <c r="U153" s="28" t="s">
        <v>1422</v>
      </c>
      <c r="V153" s="28" t="s">
        <v>1422</v>
      </c>
      <c r="W153" s="28" t="s">
        <v>1422</v>
      </c>
      <c r="X153" s="28" t="s">
        <v>1422</v>
      </c>
      <c r="Y153" s="28" t="s">
        <v>1422</v>
      </c>
      <c r="Z153" s="28" t="s">
        <v>1422</v>
      </c>
      <c r="AA153" s="28" t="s">
        <v>1422</v>
      </c>
      <c r="AB153" s="28" t="s">
        <v>1422</v>
      </c>
      <c r="AC153" s="28" t="s">
        <v>1422</v>
      </c>
      <c r="AD153" s="28" t="s">
        <v>1422</v>
      </c>
      <c r="AE153" s="28" t="s">
        <v>1422</v>
      </c>
      <c r="AF153" s="28" t="s">
        <v>1423</v>
      </c>
      <c r="AG153" s="28" t="s">
        <v>1423</v>
      </c>
      <c r="AH153" s="28" t="s">
        <v>1423</v>
      </c>
      <c r="AI153" s="28" t="s">
        <v>1422</v>
      </c>
      <c r="AJ153" s="28" t="s">
        <v>1423</v>
      </c>
      <c r="AK153" s="29" t="s">
        <v>1423</v>
      </c>
      <c r="AL153" s="29" t="s">
        <v>1423</v>
      </c>
    </row>
    <row r="154" spans="1:38">
      <c r="A154" s="29" t="s">
        <v>1297</v>
      </c>
      <c r="B154" s="28" t="s">
        <v>1421</v>
      </c>
      <c r="C154" s="28" t="s">
        <v>1421</v>
      </c>
      <c r="D154" s="28" t="s">
        <v>1421</v>
      </c>
      <c r="E154" s="28" t="s">
        <v>1421</v>
      </c>
      <c r="F154" s="28" t="s">
        <v>1421</v>
      </c>
      <c r="G154" s="28" t="s">
        <v>1421</v>
      </c>
      <c r="H154" s="28" t="s">
        <v>1421</v>
      </c>
      <c r="I154" s="28" t="s">
        <v>1421</v>
      </c>
      <c r="J154" s="28" t="s">
        <v>1421</v>
      </c>
      <c r="K154" s="28" t="s">
        <v>1421</v>
      </c>
      <c r="L154" s="28" t="s">
        <v>1421</v>
      </c>
      <c r="M154" s="28" t="s">
        <v>1421</v>
      </c>
      <c r="N154" s="28" t="s">
        <v>1421</v>
      </c>
      <c r="O154" s="28" t="s">
        <v>1421</v>
      </c>
      <c r="P154" s="28" t="s">
        <v>1419</v>
      </c>
      <c r="Q154" s="28" t="s">
        <v>1419</v>
      </c>
      <c r="R154" s="28" t="s">
        <v>1419</v>
      </c>
      <c r="S154" s="28" t="s">
        <v>1419</v>
      </c>
      <c r="T154" s="28" t="s">
        <v>1419</v>
      </c>
      <c r="U154" s="28" t="s">
        <v>1419</v>
      </c>
      <c r="V154" s="28" t="s">
        <v>1419</v>
      </c>
      <c r="W154" s="28" t="s">
        <v>1421</v>
      </c>
      <c r="X154" s="28" t="s">
        <v>1421</v>
      </c>
      <c r="Y154" s="28" t="s">
        <v>1421</v>
      </c>
      <c r="Z154" s="28" t="s">
        <v>1421</v>
      </c>
      <c r="AA154" s="28" t="s">
        <v>1421</v>
      </c>
      <c r="AB154" s="28" t="s">
        <v>1421</v>
      </c>
      <c r="AC154" s="28" t="s">
        <v>1421</v>
      </c>
      <c r="AD154" s="28" t="s">
        <v>1421</v>
      </c>
      <c r="AE154" s="28" t="s">
        <v>1421</v>
      </c>
      <c r="AF154" s="28" t="s">
        <v>1421</v>
      </c>
      <c r="AG154" s="28" t="s">
        <v>1421</v>
      </c>
      <c r="AH154" s="28" t="s">
        <v>1421</v>
      </c>
      <c r="AI154" s="28" t="s">
        <v>1421</v>
      </c>
      <c r="AJ154" s="28" t="s">
        <v>1421</v>
      </c>
      <c r="AK154" s="29" t="s">
        <v>1421</v>
      </c>
      <c r="AL154" s="29" t="s">
        <v>1421</v>
      </c>
    </row>
    <row r="155" spans="1:38">
      <c r="A155" s="29" t="s">
        <v>267</v>
      </c>
      <c r="B155" s="28" t="s">
        <v>1421</v>
      </c>
      <c r="C155" s="28" t="s">
        <v>1421</v>
      </c>
      <c r="D155" s="28" t="s">
        <v>1421</v>
      </c>
      <c r="E155" s="28" t="s">
        <v>1421</v>
      </c>
      <c r="F155" s="28" t="s">
        <v>1421</v>
      </c>
      <c r="G155" s="28" t="s">
        <v>1421</v>
      </c>
      <c r="H155" s="28" t="s">
        <v>1421</v>
      </c>
      <c r="I155" s="28" t="s">
        <v>1421</v>
      </c>
      <c r="J155" s="28" t="s">
        <v>1421</v>
      </c>
      <c r="K155" s="28" t="s">
        <v>1421</v>
      </c>
      <c r="L155" s="28" t="s">
        <v>1421</v>
      </c>
      <c r="M155" s="28" t="s">
        <v>1421</v>
      </c>
      <c r="N155" s="28" t="s">
        <v>1421</v>
      </c>
      <c r="O155" s="28" t="s">
        <v>1421</v>
      </c>
      <c r="P155" s="28" t="s">
        <v>1421</v>
      </c>
      <c r="Q155" s="28" t="s">
        <v>1421</v>
      </c>
      <c r="R155" s="28" t="s">
        <v>1421</v>
      </c>
      <c r="S155" s="28" t="s">
        <v>1421</v>
      </c>
      <c r="T155" s="28" t="s">
        <v>1421</v>
      </c>
      <c r="U155" s="28" t="s">
        <v>1421</v>
      </c>
      <c r="V155" s="28" t="s">
        <v>1421</v>
      </c>
      <c r="W155" s="28" t="s">
        <v>1421</v>
      </c>
      <c r="X155" s="28" t="s">
        <v>1421</v>
      </c>
      <c r="Y155" s="28" t="s">
        <v>1421</v>
      </c>
      <c r="Z155" s="28" t="s">
        <v>1421</v>
      </c>
      <c r="AA155" s="28" t="s">
        <v>1421</v>
      </c>
      <c r="AB155" s="28" t="s">
        <v>1421</v>
      </c>
      <c r="AC155" s="28" t="s">
        <v>1422</v>
      </c>
      <c r="AD155" s="28" t="s">
        <v>1422</v>
      </c>
      <c r="AE155" s="28" t="s">
        <v>1422</v>
      </c>
      <c r="AF155" s="28" t="s">
        <v>1422</v>
      </c>
      <c r="AG155" s="28" t="s">
        <v>1422</v>
      </c>
      <c r="AH155" s="28" t="s">
        <v>1422</v>
      </c>
      <c r="AI155" s="28" t="s">
        <v>1422</v>
      </c>
      <c r="AJ155" s="28" t="s">
        <v>1422</v>
      </c>
      <c r="AK155" s="29" t="s">
        <v>1422</v>
      </c>
      <c r="AL155" s="29" t="s">
        <v>1422</v>
      </c>
    </row>
    <row r="156" spans="1:38">
      <c r="A156" s="29" t="s">
        <v>234</v>
      </c>
      <c r="B156" s="28" t="s">
        <v>1421</v>
      </c>
      <c r="C156" s="28" t="s">
        <v>1421</v>
      </c>
      <c r="D156" s="28" t="s">
        <v>1421</v>
      </c>
      <c r="E156" s="28" t="s">
        <v>1421</v>
      </c>
      <c r="F156" s="28" t="s">
        <v>1421</v>
      </c>
      <c r="G156" s="28" t="s">
        <v>1421</v>
      </c>
      <c r="H156" s="28" t="s">
        <v>1421</v>
      </c>
      <c r="I156" s="28" t="s">
        <v>1421</v>
      </c>
      <c r="J156" s="28" t="s">
        <v>1421</v>
      </c>
      <c r="K156" s="28" t="s">
        <v>1421</v>
      </c>
      <c r="L156" s="28" t="s">
        <v>1421</v>
      </c>
      <c r="M156" s="28" t="s">
        <v>1421</v>
      </c>
      <c r="N156" s="28" t="s">
        <v>1421</v>
      </c>
      <c r="O156" s="28" t="s">
        <v>1421</v>
      </c>
      <c r="P156" s="28" t="s">
        <v>1421</v>
      </c>
      <c r="Q156" s="28" t="s">
        <v>1421</v>
      </c>
      <c r="R156" s="28" t="s">
        <v>1421</v>
      </c>
      <c r="S156" s="28" t="s">
        <v>1421</v>
      </c>
      <c r="T156" s="28" t="s">
        <v>1421</v>
      </c>
      <c r="U156" s="28" t="s">
        <v>1421</v>
      </c>
      <c r="V156" s="28" t="s">
        <v>1421</v>
      </c>
      <c r="W156" s="28" t="s">
        <v>1422</v>
      </c>
      <c r="X156" s="28" t="s">
        <v>1422</v>
      </c>
      <c r="Y156" s="28" t="s">
        <v>1422</v>
      </c>
      <c r="Z156" s="28" t="s">
        <v>1422</v>
      </c>
      <c r="AA156" s="28" t="s">
        <v>1422</v>
      </c>
      <c r="AB156" s="28" t="s">
        <v>1422</v>
      </c>
      <c r="AC156" s="28" t="s">
        <v>1422</v>
      </c>
      <c r="AD156" s="28" t="s">
        <v>1422</v>
      </c>
      <c r="AE156" s="28" t="s">
        <v>1422</v>
      </c>
      <c r="AF156" s="28" t="s">
        <v>1422</v>
      </c>
      <c r="AG156" s="28" t="s">
        <v>1422</v>
      </c>
      <c r="AH156" s="28" t="s">
        <v>1422</v>
      </c>
      <c r="AI156" s="28" t="s">
        <v>1422</v>
      </c>
      <c r="AJ156" s="28" t="s">
        <v>1422</v>
      </c>
      <c r="AK156" s="29" t="s">
        <v>1422</v>
      </c>
      <c r="AL156" s="29" t="s">
        <v>1422</v>
      </c>
    </row>
    <row r="157" spans="1:38">
      <c r="A157" s="29" t="s">
        <v>200</v>
      </c>
      <c r="B157" s="28" t="s">
        <v>1421</v>
      </c>
      <c r="C157" s="28" t="s">
        <v>1421</v>
      </c>
      <c r="D157" s="28" t="s">
        <v>1421</v>
      </c>
      <c r="E157" s="28" t="s">
        <v>1421</v>
      </c>
      <c r="F157" s="28" t="s">
        <v>1421</v>
      </c>
      <c r="G157" s="28" t="s">
        <v>1421</v>
      </c>
      <c r="H157" s="28" t="s">
        <v>1421</v>
      </c>
      <c r="I157" s="28" t="s">
        <v>1421</v>
      </c>
      <c r="J157" s="28" t="s">
        <v>1421</v>
      </c>
      <c r="K157" s="28" t="s">
        <v>1421</v>
      </c>
      <c r="L157" s="28" t="s">
        <v>1421</v>
      </c>
      <c r="M157" s="28" t="s">
        <v>1421</v>
      </c>
      <c r="N157" s="28" t="s">
        <v>1421</v>
      </c>
      <c r="O157" s="28" t="s">
        <v>1421</v>
      </c>
      <c r="P157" s="28" t="s">
        <v>1421</v>
      </c>
      <c r="Q157" s="28" t="s">
        <v>1421</v>
      </c>
      <c r="R157" s="28" t="s">
        <v>1421</v>
      </c>
      <c r="S157" s="28" t="s">
        <v>1421</v>
      </c>
      <c r="T157" s="28" t="s">
        <v>1421</v>
      </c>
      <c r="U157" s="28" t="s">
        <v>1421</v>
      </c>
      <c r="V157" s="28" t="s">
        <v>1421</v>
      </c>
      <c r="W157" s="28" t="s">
        <v>1421</v>
      </c>
      <c r="X157" s="28" t="s">
        <v>1421</v>
      </c>
      <c r="Y157" s="28" t="s">
        <v>1421</v>
      </c>
      <c r="Z157" s="28" t="s">
        <v>1421</v>
      </c>
      <c r="AA157" s="28" t="s">
        <v>1421</v>
      </c>
      <c r="AB157" s="28" t="s">
        <v>1421</v>
      </c>
      <c r="AC157" s="28" t="s">
        <v>1421</v>
      </c>
      <c r="AD157" s="28" t="s">
        <v>1421</v>
      </c>
      <c r="AE157" s="28" t="s">
        <v>1421</v>
      </c>
      <c r="AF157" s="28" t="s">
        <v>1421</v>
      </c>
      <c r="AG157" s="28" t="s">
        <v>1421</v>
      </c>
      <c r="AH157" s="28" t="s">
        <v>1421</v>
      </c>
      <c r="AI157" s="28" t="s">
        <v>1421</v>
      </c>
      <c r="AJ157" s="28" t="s">
        <v>1421</v>
      </c>
      <c r="AK157" s="29" t="s">
        <v>1421</v>
      </c>
      <c r="AL157" s="29" t="s">
        <v>1421</v>
      </c>
    </row>
    <row r="158" spans="1:38">
      <c r="A158" s="29" t="s">
        <v>1298</v>
      </c>
      <c r="B158" s="28" t="s">
        <v>1421</v>
      </c>
      <c r="C158" s="28" t="s">
        <v>1421</v>
      </c>
      <c r="D158" s="28" t="s">
        <v>1421</v>
      </c>
      <c r="E158" s="28" t="s">
        <v>1421</v>
      </c>
      <c r="F158" s="28" t="s">
        <v>1421</v>
      </c>
      <c r="G158" s="28" t="s">
        <v>1421</v>
      </c>
      <c r="H158" s="28" t="s">
        <v>1421</v>
      </c>
      <c r="I158" s="28" t="s">
        <v>1421</v>
      </c>
      <c r="J158" s="28" t="s">
        <v>1421</v>
      </c>
      <c r="K158" s="28" t="s">
        <v>1422</v>
      </c>
      <c r="L158" s="28" t="s">
        <v>1422</v>
      </c>
      <c r="M158" s="28" t="s">
        <v>1422</v>
      </c>
      <c r="N158" s="28" t="s">
        <v>1422</v>
      </c>
      <c r="O158" s="28" t="s">
        <v>1422</v>
      </c>
      <c r="P158" s="28" t="s">
        <v>1422</v>
      </c>
      <c r="Q158" s="28" t="s">
        <v>1422</v>
      </c>
      <c r="R158" s="28" t="s">
        <v>1422</v>
      </c>
      <c r="S158" s="28" t="s">
        <v>1422</v>
      </c>
      <c r="T158" s="28" t="s">
        <v>1422</v>
      </c>
      <c r="U158" s="28" t="s">
        <v>1422</v>
      </c>
      <c r="V158" s="28" t="s">
        <v>1422</v>
      </c>
      <c r="W158" s="28" t="s">
        <v>1422</v>
      </c>
      <c r="X158" s="28" t="s">
        <v>1423</v>
      </c>
      <c r="Y158" s="28" t="s">
        <v>1423</v>
      </c>
      <c r="Z158" s="28" t="s">
        <v>1423</v>
      </c>
      <c r="AA158" s="28" t="s">
        <v>1423</v>
      </c>
      <c r="AB158" s="28" t="s">
        <v>1423</v>
      </c>
      <c r="AC158" s="28" t="s">
        <v>1423</v>
      </c>
      <c r="AD158" s="28" t="s">
        <v>1423</v>
      </c>
      <c r="AE158" s="28" t="s">
        <v>1423</v>
      </c>
      <c r="AF158" s="28" t="s">
        <v>1423</v>
      </c>
      <c r="AG158" s="28" t="s">
        <v>1423</v>
      </c>
      <c r="AH158" s="28" t="s">
        <v>1423</v>
      </c>
      <c r="AI158" s="28" t="s">
        <v>1423</v>
      </c>
      <c r="AJ158" s="28" t="s">
        <v>1423</v>
      </c>
      <c r="AK158" s="29" t="s">
        <v>1423</v>
      </c>
      <c r="AL158" s="29" t="s">
        <v>1423</v>
      </c>
    </row>
    <row r="159" spans="1:38">
      <c r="A159" s="29" t="s">
        <v>1302</v>
      </c>
      <c r="B159" s="28" t="s">
        <v>1422</v>
      </c>
      <c r="C159" s="28" t="s">
        <v>1422</v>
      </c>
      <c r="D159" s="28" t="s">
        <v>1422</v>
      </c>
      <c r="E159" s="28" t="s">
        <v>1422</v>
      </c>
      <c r="F159" s="28" t="s">
        <v>1422</v>
      </c>
      <c r="G159" s="28" t="s">
        <v>1422</v>
      </c>
      <c r="H159" s="28" t="s">
        <v>1422</v>
      </c>
      <c r="I159" s="28" t="s">
        <v>1423</v>
      </c>
      <c r="J159" s="28" t="s">
        <v>1423</v>
      </c>
      <c r="K159" s="28" t="s">
        <v>1423</v>
      </c>
      <c r="L159" s="28" t="s">
        <v>1423</v>
      </c>
      <c r="M159" s="28" t="s">
        <v>1423</v>
      </c>
      <c r="N159" s="28" t="s">
        <v>1423</v>
      </c>
      <c r="O159" s="28" t="s">
        <v>1423</v>
      </c>
      <c r="P159" s="28" t="s">
        <v>1423</v>
      </c>
      <c r="Q159" s="28" t="s">
        <v>1423</v>
      </c>
      <c r="R159" s="28" t="s">
        <v>1423</v>
      </c>
      <c r="S159" s="28" t="s">
        <v>1423</v>
      </c>
      <c r="T159" s="28" t="s">
        <v>1423</v>
      </c>
      <c r="U159" s="28" t="s">
        <v>1423</v>
      </c>
      <c r="V159" s="28" t="s">
        <v>1423</v>
      </c>
      <c r="W159" s="28" t="s">
        <v>1423</v>
      </c>
      <c r="X159" s="28" t="s">
        <v>1423</v>
      </c>
      <c r="Y159" s="28" t="s">
        <v>1423</v>
      </c>
      <c r="Z159" s="28" t="s">
        <v>1423</v>
      </c>
      <c r="AA159" s="28" t="s">
        <v>1423</v>
      </c>
      <c r="AB159" s="28" t="s">
        <v>1423</v>
      </c>
      <c r="AC159" s="28" t="s">
        <v>1423</v>
      </c>
      <c r="AD159" s="28" t="s">
        <v>1423</v>
      </c>
      <c r="AE159" s="28" t="s">
        <v>1423</v>
      </c>
      <c r="AF159" s="28" t="s">
        <v>1423</v>
      </c>
      <c r="AG159" s="28" t="s">
        <v>1423</v>
      </c>
      <c r="AH159" s="28" t="s">
        <v>1423</v>
      </c>
      <c r="AI159" s="28" t="s">
        <v>1423</v>
      </c>
      <c r="AJ159" s="28" t="s">
        <v>1423</v>
      </c>
      <c r="AK159" s="29" t="s">
        <v>1423</v>
      </c>
      <c r="AL159" s="29" t="s">
        <v>1423</v>
      </c>
    </row>
    <row r="160" spans="1:38">
      <c r="A160" s="29" t="s">
        <v>1300</v>
      </c>
      <c r="B160" s="28" t="s">
        <v>1422</v>
      </c>
      <c r="C160" s="28" t="s">
        <v>1422</v>
      </c>
      <c r="D160" s="28" t="s">
        <v>1423</v>
      </c>
      <c r="E160" s="28" t="s">
        <v>1422</v>
      </c>
      <c r="F160" s="28" t="s">
        <v>1422</v>
      </c>
      <c r="G160" s="28" t="s">
        <v>1422</v>
      </c>
      <c r="H160" s="28" t="s">
        <v>1422</v>
      </c>
      <c r="I160" s="28" t="s">
        <v>1422</v>
      </c>
      <c r="J160" s="28" t="s">
        <v>1422</v>
      </c>
      <c r="K160" s="28" t="s">
        <v>1422</v>
      </c>
      <c r="L160" s="28" t="s">
        <v>1422</v>
      </c>
      <c r="M160" s="28" t="s">
        <v>1422</v>
      </c>
      <c r="N160" s="28" t="s">
        <v>1422</v>
      </c>
      <c r="O160" s="28" t="s">
        <v>1422</v>
      </c>
      <c r="P160" s="28" t="s">
        <v>1422</v>
      </c>
      <c r="Q160" s="28" t="s">
        <v>1423</v>
      </c>
      <c r="R160" s="28" t="s">
        <v>1423</v>
      </c>
      <c r="S160" s="28" t="s">
        <v>1423</v>
      </c>
      <c r="T160" s="28" t="s">
        <v>1423</v>
      </c>
      <c r="U160" s="28" t="s">
        <v>1423</v>
      </c>
      <c r="V160" s="28" t="s">
        <v>1423</v>
      </c>
      <c r="W160" s="28" t="s">
        <v>1423</v>
      </c>
      <c r="X160" s="28" t="s">
        <v>1423</v>
      </c>
      <c r="Y160" s="28" t="s">
        <v>1423</v>
      </c>
      <c r="Z160" s="28" t="s">
        <v>1423</v>
      </c>
      <c r="AA160" s="28" t="s">
        <v>1423</v>
      </c>
      <c r="AB160" s="28" t="s">
        <v>1423</v>
      </c>
      <c r="AC160" s="28" t="s">
        <v>1423</v>
      </c>
      <c r="AD160" s="28" t="s">
        <v>1423</v>
      </c>
      <c r="AE160" s="28" t="s">
        <v>1423</v>
      </c>
      <c r="AF160" s="28" t="s">
        <v>1423</v>
      </c>
      <c r="AG160" s="28" t="s">
        <v>1423</v>
      </c>
      <c r="AH160" s="28" t="s">
        <v>1423</v>
      </c>
      <c r="AI160" s="28" t="s">
        <v>1423</v>
      </c>
      <c r="AJ160" s="28" t="s">
        <v>1423</v>
      </c>
      <c r="AK160" s="29" t="s">
        <v>1423</v>
      </c>
      <c r="AL160" s="29" t="s">
        <v>1423</v>
      </c>
    </row>
    <row r="161" spans="1:38">
      <c r="A161" s="29" t="s">
        <v>1307</v>
      </c>
      <c r="B161" s="28" t="s">
        <v>1423</v>
      </c>
      <c r="C161" s="28" t="s">
        <v>1423</v>
      </c>
      <c r="D161" s="28" t="s">
        <v>1423</v>
      </c>
      <c r="E161" s="28" t="s">
        <v>1423</v>
      </c>
      <c r="F161" s="28" t="s">
        <v>1423</v>
      </c>
      <c r="G161" s="28" t="s">
        <v>1423</v>
      </c>
      <c r="H161" s="28" t="s">
        <v>1423</v>
      </c>
      <c r="I161" s="28" t="s">
        <v>1423</v>
      </c>
      <c r="J161" s="28" t="s">
        <v>1423</v>
      </c>
      <c r="K161" s="28" t="s">
        <v>1423</v>
      </c>
      <c r="L161" s="28" t="s">
        <v>1423</v>
      </c>
      <c r="M161" s="28" t="s">
        <v>1423</v>
      </c>
      <c r="N161" s="28" t="s">
        <v>1423</v>
      </c>
      <c r="O161" s="28" t="s">
        <v>1423</v>
      </c>
      <c r="P161" s="28" t="s">
        <v>1423</v>
      </c>
      <c r="Q161" s="28" t="s">
        <v>1423</v>
      </c>
      <c r="R161" s="28" t="s">
        <v>1423</v>
      </c>
      <c r="S161" s="28" t="s">
        <v>1423</v>
      </c>
      <c r="T161" s="28" t="s">
        <v>1423</v>
      </c>
      <c r="U161" s="28" t="s">
        <v>1423</v>
      </c>
      <c r="V161" s="28" t="s">
        <v>1423</v>
      </c>
      <c r="W161" s="28" t="s">
        <v>1423</v>
      </c>
      <c r="X161" s="28" t="s">
        <v>1423</v>
      </c>
      <c r="Y161" s="28" t="s">
        <v>1423</v>
      </c>
      <c r="Z161" s="28" t="s">
        <v>1423</v>
      </c>
      <c r="AA161" s="28" t="s">
        <v>1423</v>
      </c>
      <c r="AB161" s="28" t="s">
        <v>1423</v>
      </c>
      <c r="AC161" s="28" t="s">
        <v>1423</v>
      </c>
      <c r="AD161" s="28" t="s">
        <v>1423</v>
      </c>
      <c r="AE161" s="28" t="s">
        <v>1423</v>
      </c>
      <c r="AF161" s="28" t="s">
        <v>1423</v>
      </c>
      <c r="AG161" s="28" t="s">
        <v>1423</v>
      </c>
      <c r="AH161" s="28" t="s">
        <v>1423</v>
      </c>
      <c r="AI161" s="28" t="s">
        <v>1423</v>
      </c>
      <c r="AJ161" s="28" t="s">
        <v>1423</v>
      </c>
      <c r="AK161" s="29" t="s">
        <v>1423</v>
      </c>
      <c r="AL161" s="29" t="s">
        <v>1423</v>
      </c>
    </row>
    <row r="162" spans="1:38">
      <c r="A162" s="29" t="s">
        <v>1308</v>
      </c>
      <c r="B162" s="28" t="s">
        <v>1422</v>
      </c>
      <c r="C162" s="28" t="s">
        <v>1422</v>
      </c>
      <c r="D162" s="28" t="s">
        <v>1422</v>
      </c>
      <c r="E162" s="28" t="s">
        <v>1421</v>
      </c>
      <c r="F162" s="28" t="s">
        <v>1421</v>
      </c>
      <c r="G162" s="28" t="s">
        <v>1421</v>
      </c>
      <c r="H162" s="28" t="s">
        <v>1421</v>
      </c>
      <c r="I162" s="28" t="s">
        <v>1421</v>
      </c>
      <c r="J162" s="28" t="s">
        <v>1421</v>
      </c>
      <c r="K162" s="28" t="s">
        <v>1421</v>
      </c>
      <c r="L162" s="28" t="s">
        <v>1421</v>
      </c>
      <c r="M162" s="28" t="s">
        <v>1421</v>
      </c>
      <c r="N162" s="28" t="s">
        <v>1421</v>
      </c>
      <c r="O162" s="28" t="s">
        <v>1421</v>
      </c>
      <c r="P162" s="28" t="s">
        <v>1421</v>
      </c>
      <c r="Q162" s="28" t="s">
        <v>1421</v>
      </c>
      <c r="R162" s="28" t="s">
        <v>1421</v>
      </c>
      <c r="S162" s="28" t="s">
        <v>1421</v>
      </c>
      <c r="T162" s="28" t="s">
        <v>1422</v>
      </c>
      <c r="U162" s="28" t="s">
        <v>1422</v>
      </c>
      <c r="V162" s="28" t="s">
        <v>1422</v>
      </c>
      <c r="W162" s="28" t="s">
        <v>1422</v>
      </c>
      <c r="X162" s="28" t="s">
        <v>1422</v>
      </c>
      <c r="Y162" s="28" t="s">
        <v>1422</v>
      </c>
      <c r="Z162" s="28" t="s">
        <v>1422</v>
      </c>
      <c r="AA162" s="28" t="s">
        <v>1422</v>
      </c>
      <c r="AB162" s="28" t="s">
        <v>1422</v>
      </c>
      <c r="AC162" s="28" t="s">
        <v>1422</v>
      </c>
      <c r="AD162" s="28" t="s">
        <v>1422</v>
      </c>
      <c r="AE162" s="28" t="s">
        <v>1422</v>
      </c>
      <c r="AF162" s="28" t="s">
        <v>1422</v>
      </c>
      <c r="AG162" s="28" t="s">
        <v>1422</v>
      </c>
      <c r="AH162" s="28" t="s">
        <v>1423</v>
      </c>
      <c r="AI162" s="28" t="s">
        <v>1422</v>
      </c>
      <c r="AJ162" s="28" t="s">
        <v>1423</v>
      </c>
      <c r="AK162" s="29" t="s">
        <v>1423</v>
      </c>
      <c r="AL162" s="29" t="s">
        <v>1423</v>
      </c>
    </row>
    <row r="163" spans="1:38">
      <c r="A163" s="29" t="s">
        <v>1309</v>
      </c>
      <c r="B163" s="28" t="s">
        <v>1420</v>
      </c>
      <c r="C163" s="28" t="s">
        <v>1420</v>
      </c>
      <c r="D163" s="28" t="s">
        <v>1420</v>
      </c>
      <c r="E163" s="28" t="s">
        <v>1420</v>
      </c>
      <c r="F163" s="28" t="s">
        <v>1422</v>
      </c>
      <c r="G163" s="28" t="s">
        <v>1421</v>
      </c>
      <c r="H163" s="28" t="s">
        <v>1421</v>
      </c>
      <c r="I163" s="28" t="s">
        <v>1421</v>
      </c>
      <c r="J163" s="28" t="s">
        <v>1421</v>
      </c>
      <c r="K163" s="28" t="s">
        <v>1421</v>
      </c>
      <c r="L163" s="28" t="s">
        <v>1421</v>
      </c>
      <c r="M163" s="28" t="s">
        <v>1421</v>
      </c>
      <c r="N163" s="28" t="s">
        <v>1421</v>
      </c>
      <c r="O163" s="28" t="s">
        <v>1421</v>
      </c>
      <c r="P163" s="28" t="s">
        <v>1421</v>
      </c>
      <c r="Q163" s="28" t="s">
        <v>1421</v>
      </c>
      <c r="R163" s="28" t="s">
        <v>1421</v>
      </c>
      <c r="S163" s="28" t="s">
        <v>1422</v>
      </c>
      <c r="T163" s="28" t="s">
        <v>1422</v>
      </c>
      <c r="U163" s="28" t="s">
        <v>1422</v>
      </c>
      <c r="V163" s="28" t="s">
        <v>1422</v>
      </c>
      <c r="W163" s="28" t="s">
        <v>1422</v>
      </c>
      <c r="X163" s="28" t="s">
        <v>1422</v>
      </c>
      <c r="Y163" s="28" t="s">
        <v>1422</v>
      </c>
      <c r="Z163" s="28" t="s">
        <v>1422</v>
      </c>
      <c r="AA163" s="28" t="s">
        <v>1423</v>
      </c>
      <c r="AB163" s="28" t="s">
        <v>1423</v>
      </c>
      <c r="AC163" s="28" t="s">
        <v>1423</v>
      </c>
      <c r="AD163" s="28" t="s">
        <v>1422</v>
      </c>
      <c r="AE163" s="28" t="s">
        <v>1422</v>
      </c>
      <c r="AF163" s="28" t="s">
        <v>1422</v>
      </c>
      <c r="AG163" s="28" t="s">
        <v>1422</v>
      </c>
      <c r="AH163" s="28" t="s">
        <v>1422</v>
      </c>
      <c r="AI163" s="28" t="s">
        <v>1422</v>
      </c>
      <c r="AJ163" s="28" t="s">
        <v>1422</v>
      </c>
      <c r="AK163" s="29" t="s">
        <v>1422</v>
      </c>
      <c r="AL163" s="29" t="s">
        <v>1423</v>
      </c>
    </row>
    <row r="164" spans="1:38">
      <c r="A164" s="29" t="s">
        <v>1310</v>
      </c>
      <c r="B164" s="28" t="s">
        <v>1419</v>
      </c>
      <c r="C164" s="28" t="s">
        <v>1419</v>
      </c>
      <c r="D164" s="28" t="s">
        <v>1419</v>
      </c>
      <c r="E164" s="28" t="s">
        <v>1419</v>
      </c>
      <c r="F164" s="28" t="s">
        <v>1419</v>
      </c>
      <c r="G164" s="28" t="s">
        <v>1419</v>
      </c>
      <c r="H164" s="28" t="s">
        <v>1419</v>
      </c>
      <c r="I164" s="28" t="s">
        <v>1419</v>
      </c>
      <c r="J164" s="28" t="s">
        <v>1419</v>
      </c>
      <c r="K164" s="28" t="s">
        <v>1419</v>
      </c>
      <c r="L164" s="28" t="s">
        <v>1419</v>
      </c>
      <c r="M164" s="28" t="s">
        <v>1419</v>
      </c>
      <c r="N164" s="28" t="s">
        <v>1419</v>
      </c>
      <c r="O164" s="28" t="s">
        <v>1419</v>
      </c>
      <c r="P164" s="28" t="s">
        <v>1419</v>
      </c>
      <c r="Q164" s="28" t="s">
        <v>1419</v>
      </c>
      <c r="R164" s="28" t="s">
        <v>1419</v>
      </c>
      <c r="S164" s="28" t="s">
        <v>1419</v>
      </c>
      <c r="T164" s="28" t="s">
        <v>1419</v>
      </c>
      <c r="U164" s="28" t="s">
        <v>1419</v>
      </c>
      <c r="V164" s="28" t="s">
        <v>1419</v>
      </c>
      <c r="W164" s="28" t="s">
        <v>1419</v>
      </c>
      <c r="X164" s="28" t="s">
        <v>1419</v>
      </c>
      <c r="Y164" s="28" t="s">
        <v>1419</v>
      </c>
      <c r="Z164" s="28" t="s">
        <v>1419</v>
      </c>
      <c r="AA164" s="28" t="s">
        <v>1419</v>
      </c>
      <c r="AB164" s="28" t="s">
        <v>1419</v>
      </c>
      <c r="AC164" s="28" t="s">
        <v>1419</v>
      </c>
      <c r="AD164" s="28" t="s">
        <v>1419</v>
      </c>
      <c r="AE164" s="28" t="s">
        <v>1419</v>
      </c>
      <c r="AF164" s="28" t="s">
        <v>1419</v>
      </c>
      <c r="AG164" s="28" t="s">
        <v>1419</v>
      </c>
      <c r="AH164" s="28" t="s">
        <v>1419</v>
      </c>
      <c r="AI164" s="28" t="s">
        <v>1419</v>
      </c>
      <c r="AJ164" s="28" t="s">
        <v>1419</v>
      </c>
      <c r="AK164" s="29" t="s">
        <v>1419</v>
      </c>
      <c r="AL164" s="29" t="s">
        <v>1419</v>
      </c>
    </row>
    <row r="165" spans="1:38">
      <c r="A165" s="29" t="s">
        <v>1360</v>
      </c>
      <c r="B165" s="28" t="s">
        <v>1421</v>
      </c>
      <c r="C165" s="28" t="s">
        <v>1421</v>
      </c>
      <c r="D165" s="28" t="s">
        <v>1421</v>
      </c>
      <c r="E165" s="28" t="s">
        <v>1421</v>
      </c>
      <c r="F165" s="28" t="s">
        <v>1421</v>
      </c>
      <c r="G165" s="28" t="s">
        <v>1421</v>
      </c>
      <c r="H165" s="28" t="s">
        <v>1421</v>
      </c>
      <c r="I165" s="28" t="s">
        <v>1421</v>
      </c>
      <c r="J165" s="28" t="s">
        <v>1421</v>
      </c>
      <c r="K165" s="28" t="s">
        <v>1421</v>
      </c>
      <c r="L165" s="28" t="s">
        <v>1421</v>
      </c>
      <c r="M165" s="28" t="s">
        <v>1421</v>
      </c>
      <c r="N165" s="28" t="s">
        <v>1421</v>
      </c>
      <c r="O165" s="28" t="s">
        <v>1421</v>
      </c>
      <c r="P165" s="28" t="s">
        <v>1421</v>
      </c>
      <c r="Q165" s="28" t="s">
        <v>1421</v>
      </c>
      <c r="R165" s="28" t="s">
        <v>1421</v>
      </c>
      <c r="S165" s="28" t="s">
        <v>1421</v>
      </c>
      <c r="T165" s="28" t="s">
        <v>1421</v>
      </c>
      <c r="U165" s="28" t="s">
        <v>1421</v>
      </c>
      <c r="V165" s="28" t="s">
        <v>1421</v>
      </c>
      <c r="W165" s="28" t="s">
        <v>1421</v>
      </c>
      <c r="X165" s="28" t="s">
        <v>1421</v>
      </c>
      <c r="Y165" s="28" t="s">
        <v>1421</v>
      </c>
      <c r="Z165" s="28" t="s">
        <v>1421</v>
      </c>
      <c r="AA165" s="28" t="s">
        <v>1421</v>
      </c>
      <c r="AB165" s="28" t="s">
        <v>1421</v>
      </c>
      <c r="AC165" s="28" t="s">
        <v>1421</v>
      </c>
      <c r="AD165" s="28" t="s">
        <v>1421</v>
      </c>
      <c r="AE165" s="28" t="s">
        <v>1422</v>
      </c>
      <c r="AF165" s="28" t="s">
        <v>1422</v>
      </c>
      <c r="AG165" s="28" t="s">
        <v>1422</v>
      </c>
      <c r="AH165" s="28" t="s">
        <v>1422</v>
      </c>
      <c r="AI165" s="28" t="s">
        <v>1421</v>
      </c>
      <c r="AJ165" s="28" t="s">
        <v>1421</v>
      </c>
      <c r="AK165" s="29" t="s">
        <v>1421</v>
      </c>
      <c r="AL165" s="29" t="s">
        <v>1421</v>
      </c>
    </row>
    <row r="166" spans="1:38">
      <c r="A166" s="29" t="s">
        <v>1319</v>
      </c>
      <c r="B166" s="28" t="s">
        <v>1420</v>
      </c>
      <c r="C166" s="28" t="s">
        <v>1420</v>
      </c>
      <c r="D166" s="28" t="s">
        <v>1420</v>
      </c>
      <c r="E166" s="28" t="s">
        <v>1420</v>
      </c>
      <c r="F166" s="28" t="s">
        <v>1423</v>
      </c>
      <c r="G166" s="28" t="s">
        <v>1423</v>
      </c>
      <c r="H166" s="28" t="s">
        <v>1423</v>
      </c>
      <c r="I166" s="28" t="s">
        <v>1420</v>
      </c>
      <c r="J166" s="28" t="s">
        <v>1420</v>
      </c>
      <c r="K166" s="28" t="s">
        <v>1420</v>
      </c>
      <c r="L166" s="28" t="s">
        <v>1420</v>
      </c>
      <c r="M166" s="28" t="s">
        <v>1420</v>
      </c>
      <c r="N166" s="28" t="s">
        <v>1420</v>
      </c>
      <c r="O166" s="28" t="s">
        <v>1423</v>
      </c>
      <c r="P166" s="28" t="s">
        <v>1423</v>
      </c>
      <c r="Q166" s="28" t="s">
        <v>1423</v>
      </c>
      <c r="R166" s="28" t="s">
        <v>1423</v>
      </c>
      <c r="S166" s="28" t="s">
        <v>1423</v>
      </c>
      <c r="T166" s="28" t="s">
        <v>1423</v>
      </c>
      <c r="U166" s="28" t="s">
        <v>1423</v>
      </c>
      <c r="V166" s="28" t="s">
        <v>1423</v>
      </c>
      <c r="W166" s="28" t="s">
        <v>1423</v>
      </c>
      <c r="X166" s="28" t="s">
        <v>1423</v>
      </c>
      <c r="Y166" s="28" t="s">
        <v>1423</v>
      </c>
      <c r="Z166" s="28" t="s">
        <v>1423</v>
      </c>
      <c r="AA166" s="28" t="s">
        <v>1423</v>
      </c>
      <c r="AB166" s="28" t="s">
        <v>1423</v>
      </c>
      <c r="AC166" s="28" t="s">
        <v>1423</v>
      </c>
      <c r="AD166" s="28" t="s">
        <v>1423</v>
      </c>
      <c r="AE166" s="28" t="s">
        <v>1423</v>
      </c>
      <c r="AF166" s="28" t="s">
        <v>1423</v>
      </c>
      <c r="AG166" s="28" t="s">
        <v>1423</v>
      </c>
      <c r="AH166" s="28" t="s">
        <v>1423</v>
      </c>
      <c r="AI166" s="28" t="s">
        <v>1423</v>
      </c>
      <c r="AJ166" s="28" t="s">
        <v>1423</v>
      </c>
      <c r="AK166" s="29" t="s">
        <v>1423</v>
      </c>
      <c r="AL166" s="29" t="s">
        <v>1423</v>
      </c>
    </row>
    <row r="167" spans="1:38">
      <c r="A167" s="29" t="s">
        <v>1428</v>
      </c>
      <c r="B167" s="28" t="s">
        <v>1419</v>
      </c>
      <c r="C167" s="28" t="s">
        <v>1419</v>
      </c>
      <c r="D167" s="28" t="s">
        <v>1419</v>
      </c>
      <c r="E167" s="28" t="s">
        <v>1419</v>
      </c>
      <c r="F167" s="28" t="s">
        <v>1419</v>
      </c>
      <c r="G167" s="28" t="s">
        <v>1419</v>
      </c>
      <c r="H167" s="28" t="s">
        <v>1419</v>
      </c>
      <c r="I167" s="28" t="s">
        <v>1419</v>
      </c>
      <c r="J167" s="28" t="s">
        <v>1419</v>
      </c>
      <c r="K167" s="28" t="s">
        <v>1419</v>
      </c>
      <c r="L167" s="28" t="s">
        <v>1419</v>
      </c>
      <c r="M167" s="28" t="s">
        <v>1419</v>
      </c>
      <c r="N167" s="28" t="s">
        <v>1419</v>
      </c>
      <c r="O167" s="28" t="s">
        <v>1419</v>
      </c>
      <c r="P167" s="28" t="s">
        <v>1419</v>
      </c>
      <c r="Q167" s="28" t="s">
        <v>1419</v>
      </c>
      <c r="R167" s="28" t="s">
        <v>1419</v>
      </c>
      <c r="S167" s="28" t="s">
        <v>1419</v>
      </c>
      <c r="T167" s="28" t="s">
        <v>1419</v>
      </c>
      <c r="U167" s="28" t="s">
        <v>1419</v>
      </c>
      <c r="V167" s="28" t="s">
        <v>1419</v>
      </c>
      <c r="W167" s="28" t="s">
        <v>1421</v>
      </c>
      <c r="X167" s="28" t="s">
        <v>1421</v>
      </c>
      <c r="Y167" s="28" t="s">
        <v>1421</v>
      </c>
      <c r="Z167" s="28" t="s">
        <v>1421</v>
      </c>
      <c r="AA167" s="28" t="s">
        <v>1421</v>
      </c>
      <c r="AB167" s="28" t="s">
        <v>1421</v>
      </c>
      <c r="AC167" s="28" t="s">
        <v>1421</v>
      </c>
      <c r="AD167" s="28" t="s">
        <v>1421</v>
      </c>
      <c r="AE167" s="28" t="s">
        <v>1421</v>
      </c>
      <c r="AF167" s="28" t="s">
        <v>1421</v>
      </c>
      <c r="AG167" s="28" t="s">
        <v>1421</v>
      </c>
      <c r="AH167" s="28" t="s">
        <v>1421</v>
      </c>
      <c r="AI167" s="28" t="s">
        <v>1421</v>
      </c>
      <c r="AJ167" s="28" t="s">
        <v>1421</v>
      </c>
      <c r="AK167" s="29" t="s">
        <v>1421</v>
      </c>
      <c r="AL167" s="29" t="s">
        <v>1421</v>
      </c>
    </row>
    <row r="168" spans="1:38">
      <c r="A168" s="29" t="s">
        <v>1312</v>
      </c>
      <c r="B168" s="28" t="s">
        <v>1423</v>
      </c>
      <c r="C168" s="28" t="s">
        <v>1423</v>
      </c>
      <c r="D168" s="28" t="s">
        <v>1423</v>
      </c>
      <c r="E168" s="28" t="s">
        <v>1422</v>
      </c>
      <c r="F168" s="28" t="s">
        <v>1422</v>
      </c>
      <c r="G168" s="28" t="s">
        <v>1422</v>
      </c>
      <c r="H168" s="28" t="s">
        <v>1422</v>
      </c>
      <c r="I168" s="28" t="s">
        <v>1422</v>
      </c>
      <c r="J168" s="28" t="s">
        <v>1422</v>
      </c>
      <c r="K168" s="28" t="s">
        <v>1422</v>
      </c>
      <c r="L168" s="28" t="s">
        <v>1422</v>
      </c>
      <c r="M168" s="28" t="s">
        <v>1422</v>
      </c>
      <c r="N168" s="28" t="s">
        <v>1422</v>
      </c>
      <c r="O168" s="28" t="s">
        <v>1422</v>
      </c>
      <c r="P168" s="28" t="s">
        <v>1422</v>
      </c>
      <c r="Q168" s="28" t="s">
        <v>1422</v>
      </c>
      <c r="R168" s="28" t="s">
        <v>1422</v>
      </c>
      <c r="S168" s="28" t="s">
        <v>1423</v>
      </c>
      <c r="T168" s="28" t="s">
        <v>1423</v>
      </c>
      <c r="U168" s="28" t="s">
        <v>1423</v>
      </c>
      <c r="V168" s="28" t="s">
        <v>1423</v>
      </c>
      <c r="W168" s="28" t="s">
        <v>1423</v>
      </c>
      <c r="X168" s="28" t="s">
        <v>1423</v>
      </c>
      <c r="Y168" s="28" t="s">
        <v>1423</v>
      </c>
      <c r="Z168" s="28" t="s">
        <v>1423</v>
      </c>
      <c r="AA168" s="28" t="s">
        <v>1423</v>
      </c>
      <c r="AB168" s="28" t="s">
        <v>1423</v>
      </c>
      <c r="AC168" s="28" t="s">
        <v>1423</v>
      </c>
      <c r="AD168" s="28" t="s">
        <v>1423</v>
      </c>
      <c r="AE168" s="28" t="s">
        <v>1423</v>
      </c>
      <c r="AF168" s="28" t="s">
        <v>1423</v>
      </c>
      <c r="AG168" s="28" t="s">
        <v>1423</v>
      </c>
      <c r="AH168" s="28" t="s">
        <v>1423</v>
      </c>
      <c r="AI168" s="28" t="s">
        <v>1423</v>
      </c>
      <c r="AJ168" s="28" t="s">
        <v>1423</v>
      </c>
      <c r="AK168" s="29" t="s">
        <v>1423</v>
      </c>
      <c r="AL168" s="29" t="s">
        <v>1423</v>
      </c>
    </row>
    <row r="169" spans="1:38">
      <c r="A169" s="29" t="s">
        <v>1314</v>
      </c>
      <c r="B169" s="28" t="s">
        <v>1421</v>
      </c>
      <c r="C169" s="28" t="s">
        <v>1421</v>
      </c>
      <c r="D169" s="28" t="s">
        <v>1421</v>
      </c>
      <c r="E169" s="28" t="s">
        <v>1421</v>
      </c>
      <c r="F169" s="28" t="s">
        <v>1421</v>
      </c>
      <c r="G169" s="28" t="s">
        <v>1421</v>
      </c>
      <c r="H169" s="28" t="s">
        <v>1421</v>
      </c>
      <c r="I169" s="28" t="s">
        <v>1419</v>
      </c>
      <c r="J169" s="28" t="s">
        <v>1419</v>
      </c>
      <c r="K169" s="28" t="s">
        <v>1419</v>
      </c>
      <c r="L169" s="28" t="s">
        <v>1419</v>
      </c>
      <c r="M169" s="28" t="s">
        <v>1419</v>
      </c>
      <c r="N169" s="28" t="s">
        <v>1419</v>
      </c>
      <c r="O169" s="28" t="s">
        <v>1419</v>
      </c>
      <c r="P169" s="28" t="s">
        <v>1419</v>
      </c>
      <c r="Q169" s="28" t="s">
        <v>1419</v>
      </c>
      <c r="R169" s="28" t="s">
        <v>1419</v>
      </c>
      <c r="S169" s="28" t="s">
        <v>1419</v>
      </c>
      <c r="T169" s="28" t="s">
        <v>1419</v>
      </c>
      <c r="U169" s="28" t="s">
        <v>1419</v>
      </c>
      <c r="V169" s="28" t="s">
        <v>1419</v>
      </c>
      <c r="W169" s="28" t="s">
        <v>1419</v>
      </c>
      <c r="X169" s="28" t="s">
        <v>1421</v>
      </c>
      <c r="Y169" s="28" t="s">
        <v>1421</v>
      </c>
      <c r="Z169" s="28" t="s">
        <v>1421</v>
      </c>
      <c r="AA169" s="28" t="s">
        <v>1421</v>
      </c>
      <c r="AB169" s="28" t="s">
        <v>1421</v>
      </c>
      <c r="AC169" s="28" t="s">
        <v>1421</v>
      </c>
      <c r="AD169" s="28" t="s">
        <v>1419</v>
      </c>
      <c r="AE169" s="28" t="s">
        <v>1419</v>
      </c>
      <c r="AF169" s="28" t="s">
        <v>1419</v>
      </c>
      <c r="AG169" s="28" t="s">
        <v>1421</v>
      </c>
      <c r="AH169" s="28" t="s">
        <v>1421</v>
      </c>
      <c r="AI169" s="28" t="s">
        <v>1421</v>
      </c>
      <c r="AJ169" s="28" t="s">
        <v>1421</v>
      </c>
      <c r="AK169" s="29" t="s">
        <v>1421</v>
      </c>
      <c r="AL169" s="29" t="s">
        <v>1421</v>
      </c>
    </row>
    <row r="170" spans="1:38">
      <c r="A170" s="29" t="s">
        <v>1320</v>
      </c>
      <c r="B170" s="28" t="s">
        <v>1420</v>
      </c>
      <c r="C170" s="28" t="s">
        <v>1420</v>
      </c>
      <c r="D170" s="28" t="s">
        <v>1420</v>
      </c>
      <c r="E170" s="28" t="s">
        <v>1420</v>
      </c>
      <c r="F170" s="28" t="s">
        <v>1420</v>
      </c>
      <c r="G170" s="28" t="s">
        <v>1420</v>
      </c>
      <c r="H170" s="28" t="s">
        <v>1420</v>
      </c>
      <c r="I170" s="28" t="s">
        <v>1420</v>
      </c>
      <c r="J170" s="28" t="s">
        <v>1420</v>
      </c>
      <c r="K170" s="28" t="s">
        <v>1420</v>
      </c>
      <c r="L170" s="28" t="s">
        <v>1420</v>
      </c>
      <c r="M170" s="28" t="s">
        <v>1420</v>
      </c>
      <c r="N170" s="28" t="s">
        <v>1420</v>
      </c>
      <c r="O170" s="28" t="s">
        <v>1420</v>
      </c>
      <c r="P170" s="28" t="s">
        <v>1420</v>
      </c>
      <c r="Q170" s="28" t="s">
        <v>1420</v>
      </c>
      <c r="R170" s="28" t="s">
        <v>1420</v>
      </c>
      <c r="S170" s="28" t="s">
        <v>1420</v>
      </c>
      <c r="T170" s="28" t="s">
        <v>1420</v>
      </c>
      <c r="U170" s="28" t="s">
        <v>1422</v>
      </c>
      <c r="V170" s="28" t="s">
        <v>1422</v>
      </c>
      <c r="W170" s="28" t="s">
        <v>1422</v>
      </c>
      <c r="X170" s="28" t="s">
        <v>1422</v>
      </c>
      <c r="Y170" s="28" t="s">
        <v>1422</v>
      </c>
      <c r="Z170" s="28" t="s">
        <v>1422</v>
      </c>
      <c r="AA170" s="28" t="s">
        <v>1422</v>
      </c>
      <c r="AB170" s="28" t="s">
        <v>1422</v>
      </c>
      <c r="AC170" s="28" t="s">
        <v>1422</v>
      </c>
      <c r="AD170" s="28" t="s">
        <v>1422</v>
      </c>
      <c r="AE170" s="28" t="s">
        <v>1422</v>
      </c>
      <c r="AF170" s="28" t="s">
        <v>1422</v>
      </c>
      <c r="AG170" s="28" t="s">
        <v>1422</v>
      </c>
      <c r="AH170" s="28" t="s">
        <v>1422</v>
      </c>
      <c r="AI170" s="28" t="s">
        <v>1422</v>
      </c>
      <c r="AJ170" s="28" t="s">
        <v>1422</v>
      </c>
      <c r="AK170" s="29" t="s">
        <v>1422</v>
      </c>
      <c r="AL170" s="29" t="s">
        <v>1422</v>
      </c>
    </row>
    <row r="171" spans="1:38">
      <c r="A171" s="29" t="s">
        <v>1331</v>
      </c>
      <c r="B171" s="28" t="s">
        <v>1422</v>
      </c>
      <c r="C171" s="28" t="s">
        <v>1422</v>
      </c>
      <c r="D171" s="28" t="s">
        <v>1422</v>
      </c>
      <c r="E171" s="28" t="s">
        <v>1422</v>
      </c>
      <c r="F171" s="28" t="s">
        <v>1422</v>
      </c>
      <c r="G171" s="28" t="s">
        <v>1422</v>
      </c>
      <c r="H171" s="28" t="s">
        <v>1422</v>
      </c>
      <c r="I171" s="28" t="s">
        <v>1422</v>
      </c>
      <c r="J171" s="28" t="s">
        <v>1422</v>
      </c>
      <c r="K171" s="28" t="s">
        <v>1422</v>
      </c>
      <c r="L171" s="28" t="s">
        <v>1422</v>
      </c>
      <c r="M171" s="28" t="s">
        <v>1422</v>
      </c>
      <c r="N171" s="28" t="s">
        <v>1422</v>
      </c>
      <c r="O171" s="28" t="s">
        <v>1422</v>
      </c>
      <c r="P171" s="28" t="s">
        <v>1422</v>
      </c>
      <c r="Q171" s="28" t="s">
        <v>1422</v>
      </c>
      <c r="R171" s="28" t="s">
        <v>1422</v>
      </c>
      <c r="S171" s="28" t="s">
        <v>1422</v>
      </c>
      <c r="T171" s="28" t="s">
        <v>1422</v>
      </c>
      <c r="U171" s="28" t="s">
        <v>1422</v>
      </c>
      <c r="V171" s="28" t="s">
        <v>1422</v>
      </c>
      <c r="W171" s="28" t="s">
        <v>1422</v>
      </c>
      <c r="X171" s="28" t="s">
        <v>1422</v>
      </c>
      <c r="Y171" s="28" t="s">
        <v>1422</v>
      </c>
      <c r="Z171" s="28" t="s">
        <v>1422</v>
      </c>
      <c r="AA171" s="28" t="s">
        <v>1422</v>
      </c>
      <c r="AB171" s="28" t="s">
        <v>1422</v>
      </c>
      <c r="AC171" s="28" t="s">
        <v>1423</v>
      </c>
      <c r="AD171" s="28" t="s">
        <v>1423</v>
      </c>
      <c r="AE171" s="28" t="s">
        <v>1423</v>
      </c>
      <c r="AF171" s="28" t="s">
        <v>1423</v>
      </c>
      <c r="AG171" s="28" t="s">
        <v>1423</v>
      </c>
      <c r="AH171" s="28" t="s">
        <v>1423</v>
      </c>
      <c r="AI171" s="28" t="s">
        <v>1423</v>
      </c>
      <c r="AJ171" s="28" t="s">
        <v>1423</v>
      </c>
      <c r="AK171" s="29" t="s">
        <v>1423</v>
      </c>
      <c r="AL171" s="29" t="s">
        <v>1423</v>
      </c>
    </row>
    <row r="172" spans="1:38">
      <c r="A172" s="29" t="s">
        <v>1317</v>
      </c>
      <c r="B172" s="28" t="s">
        <v>1419</v>
      </c>
      <c r="C172" s="28" t="s">
        <v>1419</v>
      </c>
      <c r="D172" s="28" t="s">
        <v>1419</v>
      </c>
      <c r="E172" s="28" t="s">
        <v>1419</v>
      </c>
      <c r="F172" s="28" t="s">
        <v>1419</v>
      </c>
      <c r="G172" s="28" t="s">
        <v>1419</v>
      </c>
      <c r="H172" s="28" t="s">
        <v>1419</v>
      </c>
      <c r="I172" s="28" t="s">
        <v>1419</v>
      </c>
      <c r="J172" s="28" t="s">
        <v>1419</v>
      </c>
      <c r="K172" s="28" t="s">
        <v>1419</v>
      </c>
      <c r="L172" s="28" t="s">
        <v>1419</v>
      </c>
      <c r="M172" s="28" t="s">
        <v>1419</v>
      </c>
      <c r="N172" s="28" t="s">
        <v>1419</v>
      </c>
      <c r="O172" s="28" t="s">
        <v>1419</v>
      </c>
      <c r="P172" s="28" t="s">
        <v>1419</v>
      </c>
      <c r="Q172" s="28" t="s">
        <v>1419</v>
      </c>
      <c r="R172" s="28" t="s">
        <v>1419</v>
      </c>
      <c r="S172" s="28" t="s">
        <v>1419</v>
      </c>
      <c r="T172" s="28" t="s">
        <v>1419</v>
      </c>
      <c r="U172" s="28" t="s">
        <v>1419</v>
      </c>
      <c r="V172" s="28" t="s">
        <v>1419</v>
      </c>
      <c r="W172" s="28" t="s">
        <v>1419</v>
      </c>
      <c r="X172" s="28" t="s">
        <v>1419</v>
      </c>
      <c r="Y172" s="28" t="s">
        <v>1419</v>
      </c>
      <c r="Z172" s="28" t="s">
        <v>1419</v>
      </c>
      <c r="AA172" s="28" t="s">
        <v>1419</v>
      </c>
      <c r="AB172" s="28" t="s">
        <v>1419</v>
      </c>
      <c r="AC172" s="28" t="s">
        <v>1419</v>
      </c>
      <c r="AD172" s="28" t="s">
        <v>1419</v>
      </c>
      <c r="AE172" s="28" t="s">
        <v>1419</v>
      </c>
      <c r="AF172" s="28" t="s">
        <v>1419</v>
      </c>
      <c r="AG172" s="28" t="s">
        <v>1419</v>
      </c>
      <c r="AH172" s="28" t="s">
        <v>1419</v>
      </c>
      <c r="AI172" s="28" t="s">
        <v>1419</v>
      </c>
      <c r="AJ172" s="28" t="s">
        <v>1419</v>
      </c>
      <c r="AK172" s="29" t="s">
        <v>1419</v>
      </c>
      <c r="AL172" s="29" t="s">
        <v>1419</v>
      </c>
    </row>
    <row r="173" spans="1:38">
      <c r="A173" s="29" t="s">
        <v>1315</v>
      </c>
      <c r="B173" s="28" t="s">
        <v>1423</v>
      </c>
      <c r="C173" s="28" t="s">
        <v>1423</v>
      </c>
      <c r="D173" s="28" t="s">
        <v>1423</v>
      </c>
      <c r="E173" s="28" t="s">
        <v>1423</v>
      </c>
      <c r="F173" s="28" t="s">
        <v>1423</v>
      </c>
      <c r="G173" s="28" t="s">
        <v>1423</v>
      </c>
      <c r="H173" s="28" t="s">
        <v>1423</v>
      </c>
      <c r="I173" s="28" t="s">
        <v>1423</v>
      </c>
      <c r="J173" s="28" t="s">
        <v>1423</v>
      </c>
      <c r="K173" s="28" t="s">
        <v>1423</v>
      </c>
      <c r="L173" s="28" t="s">
        <v>1423</v>
      </c>
      <c r="M173" s="28" t="s">
        <v>1423</v>
      </c>
      <c r="N173" s="28" t="s">
        <v>1423</v>
      </c>
      <c r="O173" s="28" t="s">
        <v>1423</v>
      </c>
      <c r="P173" s="28" t="s">
        <v>1423</v>
      </c>
      <c r="Q173" s="28" t="s">
        <v>1423</v>
      </c>
      <c r="R173" s="28" t="s">
        <v>1423</v>
      </c>
      <c r="S173" s="28" t="s">
        <v>1423</v>
      </c>
      <c r="T173" s="28" t="s">
        <v>1423</v>
      </c>
      <c r="U173" s="28" t="s">
        <v>1423</v>
      </c>
      <c r="V173" s="28" t="s">
        <v>1423</v>
      </c>
      <c r="W173" s="28" t="s">
        <v>1423</v>
      </c>
      <c r="X173" s="28" t="s">
        <v>1423</v>
      </c>
      <c r="Y173" s="28" t="s">
        <v>1423</v>
      </c>
      <c r="Z173" s="28" t="s">
        <v>1423</v>
      </c>
      <c r="AA173" s="28" t="s">
        <v>1423</v>
      </c>
      <c r="AB173" s="28" t="s">
        <v>1423</v>
      </c>
      <c r="AC173" s="28" t="s">
        <v>1423</v>
      </c>
      <c r="AD173" s="28" t="s">
        <v>1423</v>
      </c>
      <c r="AE173" s="28" t="s">
        <v>1423</v>
      </c>
      <c r="AF173" s="28" t="s">
        <v>1423</v>
      </c>
      <c r="AG173" s="28" t="s">
        <v>1423</v>
      </c>
      <c r="AH173" s="28" t="s">
        <v>1423</v>
      </c>
      <c r="AI173" s="28" t="s">
        <v>1423</v>
      </c>
      <c r="AJ173" s="28" t="s">
        <v>1423</v>
      </c>
      <c r="AK173" s="29" t="s">
        <v>1423</v>
      </c>
      <c r="AL173" s="29" t="s">
        <v>1423</v>
      </c>
    </row>
    <row r="174" spans="1:38">
      <c r="A174" s="29" t="s">
        <v>1330</v>
      </c>
      <c r="B174" s="28" t="s">
        <v>1420</v>
      </c>
      <c r="C174" s="28" t="s">
        <v>1420</v>
      </c>
      <c r="D174" s="28" t="s">
        <v>1420</v>
      </c>
      <c r="E174" s="28" t="s">
        <v>1420</v>
      </c>
      <c r="F174" s="28" t="s">
        <v>1420</v>
      </c>
      <c r="G174" s="28" t="s">
        <v>1420</v>
      </c>
      <c r="H174" s="28" t="s">
        <v>1420</v>
      </c>
      <c r="I174" s="28" t="s">
        <v>1420</v>
      </c>
      <c r="J174" s="28" t="s">
        <v>1420</v>
      </c>
      <c r="K174" s="28" t="s">
        <v>1420</v>
      </c>
      <c r="L174" s="28" t="s">
        <v>1420</v>
      </c>
      <c r="M174" s="28" t="s">
        <v>1420</v>
      </c>
      <c r="N174" s="28" t="s">
        <v>1420</v>
      </c>
      <c r="O174" s="28" t="s">
        <v>1420</v>
      </c>
      <c r="P174" s="28" t="s">
        <v>1420</v>
      </c>
      <c r="Q174" s="28" t="s">
        <v>1420</v>
      </c>
      <c r="R174" s="28" t="s">
        <v>1420</v>
      </c>
      <c r="S174" s="28" t="s">
        <v>1420</v>
      </c>
      <c r="T174" s="28" t="s">
        <v>1420</v>
      </c>
      <c r="U174" s="28" t="s">
        <v>1420</v>
      </c>
      <c r="V174" s="28" t="s">
        <v>1420</v>
      </c>
      <c r="W174" s="28" t="s">
        <v>1420</v>
      </c>
      <c r="X174" s="28" t="s">
        <v>1420</v>
      </c>
      <c r="Y174" s="28" t="s">
        <v>1423</v>
      </c>
      <c r="Z174" s="28" t="s">
        <v>1423</v>
      </c>
      <c r="AA174" s="28" t="s">
        <v>1423</v>
      </c>
      <c r="AB174" s="28" t="s">
        <v>1423</v>
      </c>
      <c r="AC174" s="28" t="s">
        <v>1423</v>
      </c>
      <c r="AD174" s="28" t="s">
        <v>1423</v>
      </c>
      <c r="AE174" s="28" t="s">
        <v>1423</v>
      </c>
      <c r="AF174" s="28" t="s">
        <v>1423</v>
      </c>
      <c r="AG174" s="28" t="s">
        <v>1423</v>
      </c>
      <c r="AH174" s="28" t="s">
        <v>1423</v>
      </c>
      <c r="AI174" s="28" t="s">
        <v>1423</v>
      </c>
      <c r="AJ174" s="28" t="s">
        <v>1423</v>
      </c>
      <c r="AK174" s="29" t="s">
        <v>1423</v>
      </c>
      <c r="AL174" s="29" t="s">
        <v>1423</v>
      </c>
    </row>
    <row r="175" spans="1:38">
      <c r="A175" s="29" t="s">
        <v>1326</v>
      </c>
      <c r="B175" s="28" t="s">
        <v>1420</v>
      </c>
      <c r="C175" s="28" t="s">
        <v>1420</v>
      </c>
      <c r="D175" s="28" t="s">
        <v>1420</v>
      </c>
      <c r="E175" s="28" t="s">
        <v>1420</v>
      </c>
      <c r="F175" s="28" t="s">
        <v>1420</v>
      </c>
      <c r="G175" s="28" t="s">
        <v>1421</v>
      </c>
      <c r="H175" s="28" t="s">
        <v>1421</v>
      </c>
      <c r="I175" s="28" t="s">
        <v>1421</v>
      </c>
      <c r="J175" s="28" t="s">
        <v>1421</v>
      </c>
      <c r="K175" s="28" t="s">
        <v>1422</v>
      </c>
      <c r="L175" s="28" t="s">
        <v>1422</v>
      </c>
      <c r="M175" s="28" t="s">
        <v>1422</v>
      </c>
      <c r="N175" s="28" t="s">
        <v>1422</v>
      </c>
      <c r="O175" s="28" t="s">
        <v>1422</v>
      </c>
      <c r="P175" s="28" t="s">
        <v>1422</v>
      </c>
      <c r="Q175" s="28" t="s">
        <v>1422</v>
      </c>
      <c r="R175" s="28" t="s">
        <v>1422</v>
      </c>
      <c r="S175" s="28" t="s">
        <v>1422</v>
      </c>
      <c r="T175" s="28" t="s">
        <v>1422</v>
      </c>
      <c r="U175" s="28" t="s">
        <v>1422</v>
      </c>
      <c r="V175" s="28" t="s">
        <v>1423</v>
      </c>
      <c r="W175" s="28" t="s">
        <v>1423</v>
      </c>
      <c r="X175" s="28" t="s">
        <v>1423</v>
      </c>
      <c r="Y175" s="28" t="s">
        <v>1423</v>
      </c>
      <c r="Z175" s="28" t="s">
        <v>1423</v>
      </c>
      <c r="AA175" s="28" t="s">
        <v>1423</v>
      </c>
      <c r="AB175" s="28" t="s">
        <v>1423</v>
      </c>
      <c r="AC175" s="28" t="s">
        <v>1423</v>
      </c>
      <c r="AD175" s="28" t="s">
        <v>1423</v>
      </c>
      <c r="AE175" s="28" t="s">
        <v>1423</v>
      </c>
      <c r="AF175" s="28" t="s">
        <v>1423</v>
      </c>
      <c r="AG175" s="28" t="s">
        <v>1423</v>
      </c>
      <c r="AH175" s="28" t="s">
        <v>1423</v>
      </c>
      <c r="AI175" s="28" t="s">
        <v>1423</v>
      </c>
      <c r="AJ175" s="28" t="s">
        <v>1423</v>
      </c>
      <c r="AK175" s="29" t="s">
        <v>1423</v>
      </c>
      <c r="AL175" s="29" t="s">
        <v>1423</v>
      </c>
    </row>
    <row r="176" spans="1:38">
      <c r="A176" s="29" t="s">
        <v>1327</v>
      </c>
      <c r="B176" s="28" t="s">
        <v>1420</v>
      </c>
      <c r="C176" s="28" t="s">
        <v>1420</v>
      </c>
      <c r="D176" s="28" t="s">
        <v>1420</v>
      </c>
      <c r="E176" s="28" t="s">
        <v>1420</v>
      </c>
      <c r="F176" s="28" t="s">
        <v>1420</v>
      </c>
      <c r="G176" s="28" t="s">
        <v>1422</v>
      </c>
      <c r="H176" s="28" t="s">
        <v>1422</v>
      </c>
      <c r="I176" s="28" t="s">
        <v>1422</v>
      </c>
      <c r="J176" s="28" t="s">
        <v>1422</v>
      </c>
      <c r="K176" s="28" t="s">
        <v>1422</v>
      </c>
      <c r="L176" s="28" t="s">
        <v>1423</v>
      </c>
      <c r="M176" s="28" t="s">
        <v>1423</v>
      </c>
      <c r="N176" s="28" t="s">
        <v>1423</v>
      </c>
      <c r="O176" s="28" t="s">
        <v>1423</v>
      </c>
      <c r="P176" s="28" t="s">
        <v>1423</v>
      </c>
      <c r="Q176" s="28" t="s">
        <v>1423</v>
      </c>
      <c r="R176" s="28" t="s">
        <v>1423</v>
      </c>
      <c r="S176" s="28" t="s">
        <v>1423</v>
      </c>
      <c r="T176" s="28" t="s">
        <v>1423</v>
      </c>
      <c r="U176" s="28" t="s">
        <v>1423</v>
      </c>
      <c r="V176" s="28" t="s">
        <v>1423</v>
      </c>
      <c r="W176" s="28" t="s">
        <v>1423</v>
      </c>
      <c r="X176" s="28" t="s">
        <v>1423</v>
      </c>
      <c r="Y176" s="28" t="s">
        <v>1423</v>
      </c>
      <c r="Z176" s="28" t="s">
        <v>1423</v>
      </c>
      <c r="AA176" s="28" t="s">
        <v>1423</v>
      </c>
      <c r="AB176" s="28" t="s">
        <v>1423</v>
      </c>
      <c r="AC176" s="28" t="s">
        <v>1423</v>
      </c>
      <c r="AD176" s="28" t="s">
        <v>1423</v>
      </c>
      <c r="AE176" s="28" t="s">
        <v>1423</v>
      </c>
      <c r="AF176" s="28" t="s">
        <v>1423</v>
      </c>
      <c r="AG176" s="28" t="s">
        <v>1423</v>
      </c>
      <c r="AH176" s="28" t="s">
        <v>1423</v>
      </c>
      <c r="AI176" s="28" t="s">
        <v>1423</v>
      </c>
      <c r="AJ176" s="28" t="s">
        <v>1423</v>
      </c>
      <c r="AK176" s="29" t="s">
        <v>1423</v>
      </c>
      <c r="AL176" s="29" t="s">
        <v>1423</v>
      </c>
    </row>
    <row r="177" spans="1:38">
      <c r="A177" s="29" t="s">
        <v>1316</v>
      </c>
      <c r="B177" s="28" t="s">
        <v>1419</v>
      </c>
      <c r="C177" s="28" t="s">
        <v>1421</v>
      </c>
      <c r="D177" s="28" t="s">
        <v>1419</v>
      </c>
      <c r="E177" s="28" t="s">
        <v>1419</v>
      </c>
      <c r="F177" s="28" t="s">
        <v>1419</v>
      </c>
      <c r="G177" s="28" t="s">
        <v>1421</v>
      </c>
      <c r="H177" s="28" t="s">
        <v>1421</v>
      </c>
      <c r="I177" s="28" t="s">
        <v>1421</v>
      </c>
      <c r="J177" s="28" t="s">
        <v>1421</v>
      </c>
      <c r="K177" s="28" t="s">
        <v>1421</v>
      </c>
      <c r="L177" s="28" t="s">
        <v>1421</v>
      </c>
      <c r="M177" s="28" t="s">
        <v>1419</v>
      </c>
      <c r="N177" s="28" t="s">
        <v>1419</v>
      </c>
      <c r="O177" s="28" t="s">
        <v>1419</v>
      </c>
      <c r="P177" s="28" t="s">
        <v>1419</v>
      </c>
      <c r="Q177" s="28" t="s">
        <v>1419</v>
      </c>
      <c r="R177" s="28" t="s">
        <v>1419</v>
      </c>
      <c r="S177" s="28" t="s">
        <v>1419</v>
      </c>
      <c r="T177" s="28" t="s">
        <v>1419</v>
      </c>
      <c r="U177" s="28" t="s">
        <v>1419</v>
      </c>
      <c r="V177" s="28" t="s">
        <v>1419</v>
      </c>
      <c r="W177" s="28" t="s">
        <v>1421</v>
      </c>
      <c r="X177" s="28" t="s">
        <v>1419</v>
      </c>
      <c r="Y177" s="28" t="s">
        <v>1421</v>
      </c>
      <c r="Z177" s="28" t="s">
        <v>1421</v>
      </c>
      <c r="AA177" s="28" t="s">
        <v>1421</v>
      </c>
      <c r="AB177" s="28" t="s">
        <v>1421</v>
      </c>
      <c r="AC177" s="28" t="s">
        <v>1421</v>
      </c>
      <c r="AD177" s="28" t="s">
        <v>1421</v>
      </c>
      <c r="AE177" s="28" t="s">
        <v>1421</v>
      </c>
      <c r="AF177" s="28" t="s">
        <v>1421</v>
      </c>
      <c r="AG177" s="28" t="s">
        <v>1421</v>
      </c>
      <c r="AH177" s="28" t="s">
        <v>1421</v>
      </c>
      <c r="AI177" s="28" t="s">
        <v>1421</v>
      </c>
      <c r="AJ177" s="28" t="s">
        <v>1421</v>
      </c>
      <c r="AK177" s="29" t="s">
        <v>1421</v>
      </c>
      <c r="AL177" s="29" t="s">
        <v>1421</v>
      </c>
    </row>
    <row r="178" spans="1:38">
      <c r="A178" s="29" t="s">
        <v>229</v>
      </c>
      <c r="B178" s="28" t="s">
        <v>1419</v>
      </c>
      <c r="C178" s="28" t="s">
        <v>1419</v>
      </c>
      <c r="D178" s="28" t="s">
        <v>1419</v>
      </c>
      <c r="E178" s="28" t="s">
        <v>1419</v>
      </c>
      <c r="F178" s="28" t="s">
        <v>1419</v>
      </c>
      <c r="G178" s="28" t="s">
        <v>1419</v>
      </c>
      <c r="H178" s="28" t="s">
        <v>1419</v>
      </c>
      <c r="I178" s="28" t="s">
        <v>1419</v>
      </c>
      <c r="J178" s="28" t="s">
        <v>1419</v>
      </c>
      <c r="K178" s="28" t="s">
        <v>1419</v>
      </c>
      <c r="L178" s="28" t="s">
        <v>1419</v>
      </c>
      <c r="M178" s="28" t="s">
        <v>1419</v>
      </c>
      <c r="N178" s="28" t="s">
        <v>1419</v>
      </c>
      <c r="O178" s="28" t="s">
        <v>1419</v>
      </c>
      <c r="P178" s="28" t="s">
        <v>1419</v>
      </c>
      <c r="Q178" s="28" t="s">
        <v>1419</v>
      </c>
      <c r="R178" s="28" t="s">
        <v>1419</v>
      </c>
      <c r="S178" s="28" t="s">
        <v>1419</v>
      </c>
      <c r="T178" s="28" t="s">
        <v>1419</v>
      </c>
      <c r="U178" s="28" t="s">
        <v>1419</v>
      </c>
      <c r="V178" s="28" t="s">
        <v>1419</v>
      </c>
      <c r="W178" s="28" t="s">
        <v>1419</v>
      </c>
      <c r="X178" s="28" t="s">
        <v>1419</v>
      </c>
      <c r="Y178" s="28" t="s">
        <v>1419</v>
      </c>
      <c r="Z178" s="28" t="s">
        <v>1419</v>
      </c>
      <c r="AA178" s="28" t="s">
        <v>1419</v>
      </c>
      <c r="AB178" s="28" t="s">
        <v>1419</v>
      </c>
      <c r="AC178" s="28" t="s">
        <v>1419</v>
      </c>
      <c r="AD178" s="28" t="s">
        <v>1419</v>
      </c>
      <c r="AE178" s="28" t="s">
        <v>1419</v>
      </c>
      <c r="AF178" s="28" t="s">
        <v>1419</v>
      </c>
      <c r="AG178" s="28" t="s">
        <v>1419</v>
      </c>
      <c r="AH178" s="28" t="s">
        <v>1419</v>
      </c>
      <c r="AI178" s="28" t="s">
        <v>1419</v>
      </c>
      <c r="AJ178" s="28" t="s">
        <v>1419</v>
      </c>
      <c r="AK178" s="29" t="s">
        <v>1419</v>
      </c>
      <c r="AL178" s="29" t="s">
        <v>1419</v>
      </c>
    </row>
    <row r="179" spans="1:38">
      <c r="A179" s="29" t="s">
        <v>315</v>
      </c>
      <c r="B179" s="28" t="s">
        <v>1421</v>
      </c>
      <c r="C179" s="28" t="s">
        <v>1422</v>
      </c>
      <c r="D179" s="28" t="s">
        <v>1422</v>
      </c>
      <c r="E179" s="28" t="s">
        <v>1422</v>
      </c>
      <c r="F179" s="28" t="s">
        <v>1422</v>
      </c>
      <c r="G179" s="28" t="s">
        <v>1422</v>
      </c>
      <c r="H179" s="28" t="s">
        <v>1422</v>
      </c>
      <c r="I179" s="28" t="s">
        <v>1422</v>
      </c>
      <c r="J179" s="28" t="s">
        <v>1422</v>
      </c>
      <c r="K179" s="28" t="s">
        <v>1422</v>
      </c>
      <c r="L179" s="28" t="s">
        <v>1422</v>
      </c>
      <c r="M179" s="28" t="s">
        <v>1421</v>
      </c>
      <c r="N179" s="28" t="s">
        <v>1422</v>
      </c>
      <c r="O179" s="28" t="s">
        <v>1422</v>
      </c>
      <c r="P179" s="28" t="s">
        <v>1421</v>
      </c>
      <c r="Q179" s="28" t="s">
        <v>1421</v>
      </c>
      <c r="R179" s="28" t="s">
        <v>1421</v>
      </c>
      <c r="S179" s="28" t="s">
        <v>1422</v>
      </c>
      <c r="T179" s="28" t="s">
        <v>1422</v>
      </c>
      <c r="U179" s="28" t="s">
        <v>1422</v>
      </c>
      <c r="V179" s="28" t="s">
        <v>1422</v>
      </c>
      <c r="W179" s="28" t="s">
        <v>1422</v>
      </c>
      <c r="X179" s="28" t="s">
        <v>1422</v>
      </c>
      <c r="Y179" s="28" t="s">
        <v>1422</v>
      </c>
      <c r="Z179" s="28" t="s">
        <v>1422</v>
      </c>
      <c r="AA179" s="28" t="s">
        <v>1422</v>
      </c>
      <c r="AB179" s="28" t="s">
        <v>1422</v>
      </c>
      <c r="AC179" s="28" t="s">
        <v>1422</v>
      </c>
      <c r="AD179" s="28" t="s">
        <v>1422</v>
      </c>
      <c r="AE179" s="28" t="s">
        <v>1422</v>
      </c>
      <c r="AF179" s="28" t="s">
        <v>1422</v>
      </c>
      <c r="AG179" s="28" t="s">
        <v>1422</v>
      </c>
      <c r="AH179" s="28" t="s">
        <v>1422</v>
      </c>
      <c r="AI179" s="28" t="s">
        <v>1422</v>
      </c>
      <c r="AJ179" s="28" t="s">
        <v>1422</v>
      </c>
      <c r="AK179" s="29" t="s">
        <v>1422</v>
      </c>
      <c r="AL179" s="29" t="s">
        <v>1422</v>
      </c>
    </row>
    <row r="180" spans="1:38">
      <c r="A180" s="29" t="s">
        <v>236</v>
      </c>
      <c r="B180" s="28" t="s">
        <v>1420</v>
      </c>
      <c r="C180" s="28" t="s">
        <v>1420</v>
      </c>
      <c r="D180" s="28" t="s">
        <v>1420</v>
      </c>
      <c r="E180" s="28" t="s">
        <v>1420</v>
      </c>
      <c r="F180" s="28" t="s">
        <v>1420</v>
      </c>
      <c r="G180" s="28" t="s">
        <v>1420</v>
      </c>
      <c r="H180" s="28" t="s">
        <v>1420</v>
      </c>
      <c r="I180" s="28" t="s">
        <v>1420</v>
      </c>
      <c r="J180" s="28" t="s">
        <v>1420</v>
      </c>
      <c r="K180" s="28" t="s">
        <v>1420</v>
      </c>
      <c r="L180" s="28" t="s">
        <v>1420</v>
      </c>
      <c r="M180" s="28" t="s">
        <v>1420</v>
      </c>
      <c r="N180" s="28" t="s">
        <v>1420</v>
      </c>
      <c r="O180" s="28" t="s">
        <v>1420</v>
      </c>
      <c r="P180" s="28" t="s">
        <v>1420</v>
      </c>
      <c r="Q180" s="28" t="s">
        <v>1420</v>
      </c>
      <c r="R180" s="28" t="s">
        <v>1420</v>
      </c>
      <c r="S180" s="28" t="s">
        <v>1420</v>
      </c>
      <c r="T180" s="28" t="s">
        <v>1420</v>
      </c>
      <c r="U180" s="28" t="s">
        <v>1420</v>
      </c>
      <c r="V180" s="28" t="s">
        <v>1420</v>
      </c>
      <c r="W180" s="28" t="s">
        <v>1420</v>
      </c>
      <c r="X180" s="28" t="s">
        <v>1420</v>
      </c>
      <c r="Y180" s="28" t="s">
        <v>1420</v>
      </c>
      <c r="Z180" s="28" t="s">
        <v>1421</v>
      </c>
      <c r="AA180" s="28" t="s">
        <v>1419</v>
      </c>
      <c r="AB180" s="28" t="s">
        <v>1421</v>
      </c>
      <c r="AC180" s="28" t="s">
        <v>1419</v>
      </c>
      <c r="AD180" s="28" t="s">
        <v>1419</v>
      </c>
      <c r="AE180" s="28" t="s">
        <v>1419</v>
      </c>
      <c r="AF180" s="28" t="s">
        <v>1419</v>
      </c>
      <c r="AG180" s="28" t="s">
        <v>1419</v>
      </c>
      <c r="AH180" s="28" t="s">
        <v>1419</v>
      </c>
      <c r="AI180" s="28" t="s">
        <v>1419</v>
      </c>
      <c r="AJ180" s="28" t="s">
        <v>1419</v>
      </c>
      <c r="AK180" s="29" t="s">
        <v>1419</v>
      </c>
      <c r="AL180" s="29" t="s">
        <v>1419</v>
      </c>
    </row>
    <row r="181" spans="1:38">
      <c r="A181" s="29" t="s">
        <v>1191</v>
      </c>
      <c r="B181" s="28" t="s">
        <v>1423</v>
      </c>
      <c r="C181" s="28" t="s">
        <v>1423</v>
      </c>
      <c r="D181" s="28" t="s">
        <v>1423</v>
      </c>
      <c r="E181" s="28" t="s">
        <v>1423</v>
      </c>
      <c r="F181" s="28" t="s">
        <v>1423</v>
      </c>
      <c r="G181" s="28" t="s">
        <v>1423</v>
      </c>
      <c r="H181" s="28" t="s">
        <v>1423</v>
      </c>
      <c r="I181" s="28" t="s">
        <v>1423</v>
      </c>
      <c r="J181" s="28" t="s">
        <v>1423</v>
      </c>
      <c r="K181" s="28" t="s">
        <v>1423</v>
      </c>
      <c r="L181" s="28" t="s">
        <v>1423</v>
      </c>
      <c r="M181" s="28" t="s">
        <v>1423</v>
      </c>
      <c r="N181" s="28" t="s">
        <v>1423</v>
      </c>
      <c r="O181" s="28" t="s">
        <v>1423</v>
      </c>
      <c r="P181" s="28" t="s">
        <v>1423</v>
      </c>
      <c r="Q181" s="28" t="s">
        <v>1423</v>
      </c>
      <c r="R181" s="28" t="s">
        <v>1423</v>
      </c>
      <c r="S181" s="28" t="s">
        <v>1423</v>
      </c>
      <c r="T181" s="28" t="s">
        <v>1423</v>
      </c>
      <c r="U181" s="28" t="s">
        <v>1423</v>
      </c>
      <c r="V181" s="28" t="s">
        <v>1423</v>
      </c>
      <c r="W181" s="28" t="s">
        <v>1423</v>
      </c>
      <c r="X181" s="28" t="s">
        <v>1423</v>
      </c>
      <c r="Y181" s="28" t="s">
        <v>1423</v>
      </c>
      <c r="Z181" s="28" t="s">
        <v>1423</v>
      </c>
      <c r="AA181" s="28" t="s">
        <v>1423</v>
      </c>
      <c r="AB181" s="28" t="s">
        <v>1423</v>
      </c>
      <c r="AC181" s="28" t="s">
        <v>1423</v>
      </c>
      <c r="AD181" s="28" t="s">
        <v>1423</v>
      </c>
      <c r="AE181" s="28" t="s">
        <v>1423</v>
      </c>
      <c r="AF181" s="28" t="s">
        <v>1423</v>
      </c>
      <c r="AG181" s="28" t="s">
        <v>1423</v>
      </c>
      <c r="AH181" s="28" t="s">
        <v>1423</v>
      </c>
      <c r="AI181" s="28" t="s">
        <v>1423</v>
      </c>
      <c r="AJ181" s="28" t="s">
        <v>1423</v>
      </c>
      <c r="AK181" s="29" t="s">
        <v>1423</v>
      </c>
      <c r="AL181" s="29" t="s">
        <v>1423</v>
      </c>
    </row>
    <row r="182" spans="1:38">
      <c r="A182" s="29" t="s">
        <v>1251</v>
      </c>
      <c r="B182" s="28" t="s">
        <v>1419</v>
      </c>
      <c r="C182" s="28" t="s">
        <v>1419</v>
      </c>
      <c r="D182" s="28" t="s">
        <v>1419</v>
      </c>
      <c r="E182" s="28" t="s">
        <v>1419</v>
      </c>
      <c r="F182" s="28" t="s">
        <v>1419</v>
      </c>
      <c r="G182" s="28" t="s">
        <v>1419</v>
      </c>
      <c r="H182" s="28" t="s">
        <v>1419</v>
      </c>
      <c r="I182" s="28" t="s">
        <v>1419</v>
      </c>
      <c r="J182" s="28" t="s">
        <v>1419</v>
      </c>
      <c r="K182" s="28" t="s">
        <v>1419</v>
      </c>
      <c r="L182" s="28" t="s">
        <v>1421</v>
      </c>
      <c r="M182" s="28" t="s">
        <v>1421</v>
      </c>
      <c r="N182" s="28" t="s">
        <v>1421</v>
      </c>
      <c r="O182" s="28" t="s">
        <v>1421</v>
      </c>
      <c r="P182" s="28" t="s">
        <v>1421</v>
      </c>
      <c r="Q182" s="28" t="s">
        <v>1421</v>
      </c>
      <c r="R182" s="28" t="s">
        <v>1421</v>
      </c>
      <c r="S182" s="28" t="s">
        <v>1421</v>
      </c>
      <c r="T182" s="28" t="s">
        <v>1421</v>
      </c>
      <c r="U182" s="28" t="s">
        <v>1421</v>
      </c>
      <c r="V182" s="28" t="s">
        <v>1421</v>
      </c>
      <c r="W182" s="28" t="s">
        <v>1421</v>
      </c>
      <c r="X182" s="28" t="s">
        <v>1421</v>
      </c>
      <c r="Y182" s="28" t="s">
        <v>1421</v>
      </c>
      <c r="Z182" s="28" t="s">
        <v>1421</v>
      </c>
      <c r="AA182" s="28" t="s">
        <v>1421</v>
      </c>
      <c r="AB182" s="28" t="s">
        <v>1421</v>
      </c>
      <c r="AC182" s="28" t="s">
        <v>1421</v>
      </c>
      <c r="AD182" s="28" t="s">
        <v>1421</v>
      </c>
      <c r="AE182" s="28" t="s">
        <v>1421</v>
      </c>
      <c r="AF182" s="28" t="s">
        <v>1421</v>
      </c>
      <c r="AG182" s="28" t="s">
        <v>1422</v>
      </c>
      <c r="AH182" s="28" t="s">
        <v>1421</v>
      </c>
      <c r="AI182" s="28" t="s">
        <v>1421</v>
      </c>
      <c r="AJ182" s="28" t="s">
        <v>1421</v>
      </c>
      <c r="AK182" s="29" t="s">
        <v>1421</v>
      </c>
      <c r="AL182" s="29" t="s">
        <v>1421</v>
      </c>
    </row>
    <row r="183" spans="1:38">
      <c r="A183" s="29" t="s">
        <v>1238</v>
      </c>
      <c r="B183" s="28" t="s">
        <v>1422</v>
      </c>
      <c r="C183" s="28" t="s">
        <v>1422</v>
      </c>
      <c r="D183" s="28" t="s">
        <v>1422</v>
      </c>
      <c r="E183" s="28" t="s">
        <v>1422</v>
      </c>
      <c r="F183" s="28" t="s">
        <v>1422</v>
      </c>
      <c r="G183" s="28" t="s">
        <v>1422</v>
      </c>
      <c r="H183" s="28" t="s">
        <v>1422</v>
      </c>
      <c r="I183" s="28" t="s">
        <v>1422</v>
      </c>
      <c r="J183" s="28" t="s">
        <v>1422</v>
      </c>
      <c r="K183" s="28" t="s">
        <v>1422</v>
      </c>
      <c r="L183" s="28" t="s">
        <v>1422</v>
      </c>
      <c r="M183" s="28" t="s">
        <v>1422</v>
      </c>
      <c r="N183" s="28" t="s">
        <v>1422</v>
      </c>
      <c r="O183" s="28" t="s">
        <v>1422</v>
      </c>
      <c r="P183" s="28" t="s">
        <v>1422</v>
      </c>
      <c r="Q183" s="28" t="s">
        <v>1422</v>
      </c>
      <c r="R183" s="28" t="s">
        <v>1422</v>
      </c>
      <c r="S183" s="28" t="s">
        <v>1422</v>
      </c>
      <c r="T183" s="28" t="s">
        <v>1422</v>
      </c>
      <c r="U183" s="28" t="s">
        <v>1422</v>
      </c>
      <c r="V183" s="28" t="s">
        <v>1422</v>
      </c>
      <c r="W183" s="28" t="s">
        <v>1422</v>
      </c>
      <c r="X183" s="28" t="s">
        <v>1422</v>
      </c>
      <c r="Y183" s="28" t="s">
        <v>1422</v>
      </c>
      <c r="Z183" s="28" t="s">
        <v>1423</v>
      </c>
      <c r="AA183" s="28" t="s">
        <v>1423</v>
      </c>
      <c r="AB183" s="28" t="s">
        <v>1423</v>
      </c>
      <c r="AC183" s="28" t="s">
        <v>1423</v>
      </c>
      <c r="AD183" s="28" t="s">
        <v>1423</v>
      </c>
      <c r="AE183" s="28" t="s">
        <v>1423</v>
      </c>
      <c r="AF183" s="28" t="s">
        <v>1423</v>
      </c>
      <c r="AG183" s="28" t="s">
        <v>1423</v>
      </c>
      <c r="AH183" s="28" t="s">
        <v>1423</v>
      </c>
      <c r="AI183" s="28" t="s">
        <v>1423</v>
      </c>
      <c r="AJ183" s="28" t="s">
        <v>1423</v>
      </c>
      <c r="AK183" s="29" t="s">
        <v>1423</v>
      </c>
      <c r="AL183" s="29" t="s">
        <v>1423</v>
      </c>
    </row>
    <row r="184" spans="1:38">
      <c r="A184" s="29" t="s">
        <v>1246</v>
      </c>
      <c r="B184" s="28" t="s">
        <v>1421</v>
      </c>
      <c r="C184" s="28" t="s">
        <v>1421</v>
      </c>
      <c r="D184" s="28" t="s">
        <v>1421</v>
      </c>
      <c r="E184" s="28" t="s">
        <v>1421</v>
      </c>
      <c r="F184" s="28" t="s">
        <v>1421</v>
      </c>
      <c r="G184" s="28" t="s">
        <v>1422</v>
      </c>
      <c r="H184" s="28" t="s">
        <v>1422</v>
      </c>
      <c r="I184" s="28" t="s">
        <v>1422</v>
      </c>
      <c r="J184" s="28" t="s">
        <v>1422</v>
      </c>
      <c r="K184" s="28" t="s">
        <v>1422</v>
      </c>
      <c r="L184" s="28" t="s">
        <v>1422</v>
      </c>
      <c r="M184" s="28" t="s">
        <v>1422</v>
      </c>
      <c r="N184" s="28" t="s">
        <v>1422</v>
      </c>
      <c r="O184" s="28" t="s">
        <v>1422</v>
      </c>
      <c r="P184" s="28" t="s">
        <v>1422</v>
      </c>
      <c r="Q184" s="28" t="s">
        <v>1422</v>
      </c>
      <c r="R184" s="28" t="s">
        <v>1422</v>
      </c>
      <c r="S184" s="28" t="s">
        <v>1422</v>
      </c>
      <c r="T184" s="28" t="s">
        <v>1422</v>
      </c>
      <c r="U184" s="28" t="s">
        <v>1422</v>
      </c>
      <c r="V184" s="28" t="s">
        <v>1422</v>
      </c>
      <c r="W184" s="28" t="s">
        <v>1422</v>
      </c>
      <c r="X184" s="28" t="s">
        <v>1422</v>
      </c>
      <c r="Y184" s="28" t="s">
        <v>1422</v>
      </c>
      <c r="Z184" s="28" t="s">
        <v>1422</v>
      </c>
      <c r="AA184" s="28" t="s">
        <v>1422</v>
      </c>
      <c r="AB184" s="28" t="s">
        <v>1422</v>
      </c>
      <c r="AC184" s="28" t="s">
        <v>1422</v>
      </c>
      <c r="AD184" s="28" t="s">
        <v>1422</v>
      </c>
      <c r="AE184" s="28" t="s">
        <v>1422</v>
      </c>
      <c r="AF184" s="28" t="s">
        <v>1422</v>
      </c>
      <c r="AG184" s="28" t="s">
        <v>1422</v>
      </c>
      <c r="AH184" s="28" t="s">
        <v>1422</v>
      </c>
      <c r="AI184" s="28" t="s">
        <v>1422</v>
      </c>
      <c r="AJ184" s="28" t="s">
        <v>1422</v>
      </c>
      <c r="AK184" s="29" t="s">
        <v>1422</v>
      </c>
      <c r="AL184" s="29" t="s">
        <v>1422</v>
      </c>
    </row>
    <row r="185" spans="1:38">
      <c r="A185" s="29" t="s">
        <v>1260</v>
      </c>
      <c r="B185" s="28" t="s">
        <v>1420</v>
      </c>
      <c r="C185" s="28" t="s">
        <v>1420</v>
      </c>
      <c r="D185" s="28" t="s">
        <v>1420</v>
      </c>
      <c r="E185" s="28" t="s">
        <v>1420</v>
      </c>
      <c r="F185" s="28" t="s">
        <v>1420</v>
      </c>
      <c r="G185" s="28" t="s">
        <v>1420</v>
      </c>
      <c r="H185" s="28" t="s">
        <v>1420</v>
      </c>
      <c r="I185" s="28" t="s">
        <v>1420</v>
      </c>
      <c r="J185" s="28" t="s">
        <v>1420</v>
      </c>
      <c r="K185" s="28" t="s">
        <v>1420</v>
      </c>
      <c r="L185" s="28" t="s">
        <v>1420</v>
      </c>
      <c r="M185" s="28" t="s">
        <v>1420</v>
      </c>
      <c r="N185" s="28" t="s">
        <v>1420</v>
      </c>
      <c r="O185" s="28" t="s">
        <v>1420</v>
      </c>
      <c r="P185" s="28" t="s">
        <v>1420</v>
      </c>
      <c r="Q185" s="28" t="s">
        <v>1420</v>
      </c>
      <c r="R185" s="28" t="s">
        <v>1420</v>
      </c>
      <c r="S185" s="28" t="s">
        <v>1420</v>
      </c>
      <c r="T185" s="28" t="s">
        <v>1420</v>
      </c>
      <c r="U185" s="28" t="s">
        <v>1420</v>
      </c>
      <c r="V185" s="28" t="s">
        <v>1420</v>
      </c>
      <c r="W185" s="28" t="s">
        <v>1420</v>
      </c>
      <c r="X185" s="28" t="s">
        <v>1420</v>
      </c>
      <c r="Y185" s="28" t="s">
        <v>1423</v>
      </c>
      <c r="Z185" s="28" t="s">
        <v>1423</v>
      </c>
      <c r="AA185" s="28" t="s">
        <v>1423</v>
      </c>
      <c r="AB185" s="28" t="s">
        <v>1423</v>
      </c>
      <c r="AC185" s="28" t="s">
        <v>1423</v>
      </c>
      <c r="AD185" s="28" t="s">
        <v>1423</v>
      </c>
      <c r="AE185" s="28" t="s">
        <v>1423</v>
      </c>
      <c r="AF185" s="28" t="s">
        <v>1423</v>
      </c>
      <c r="AG185" s="28" t="s">
        <v>1423</v>
      </c>
      <c r="AH185" s="28" t="s">
        <v>1423</v>
      </c>
      <c r="AI185" s="28" t="s">
        <v>1423</v>
      </c>
      <c r="AJ185" s="28" t="s">
        <v>1423</v>
      </c>
      <c r="AK185" s="29" t="s">
        <v>1423</v>
      </c>
      <c r="AL185" s="29" t="s">
        <v>1423</v>
      </c>
    </row>
    <row r="186" spans="1:38">
      <c r="A186" s="29" t="s">
        <v>1353</v>
      </c>
      <c r="B186" s="28" t="s">
        <v>1421</v>
      </c>
      <c r="C186" s="28" t="s">
        <v>1421</v>
      </c>
      <c r="D186" s="28" t="s">
        <v>1421</v>
      </c>
      <c r="E186" s="28" t="s">
        <v>1421</v>
      </c>
      <c r="F186" s="28" t="s">
        <v>1421</v>
      </c>
      <c r="G186" s="28" t="s">
        <v>1421</v>
      </c>
      <c r="H186" s="28" t="s">
        <v>1421</v>
      </c>
      <c r="I186" s="28" t="s">
        <v>1421</v>
      </c>
      <c r="J186" s="28" t="s">
        <v>1421</v>
      </c>
      <c r="K186" s="28" t="s">
        <v>1421</v>
      </c>
      <c r="L186" s="28" t="s">
        <v>1421</v>
      </c>
      <c r="M186" s="28" t="s">
        <v>1421</v>
      </c>
      <c r="N186" s="28" t="s">
        <v>1421</v>
      </c>
      <c r="O186" s="28" t="s">
        <v>1421</v>
      </c>
      <c r="P186" s="28" t="s">
        <v>1421</v>
      </c>
      <c r="Q186" s="28" t="s">
        <v>1421</v>
      </c>
      <c r="R186" s="28" t="s">
        <v>1422</v>
      </c>
      <c r="S186" s="28" t="s">
        <v>1422</v>
      </c>
      <c r="T186" s="28" t="s">
        <v>1422</v>
      </c>
      <c r="U186" s="28" t="s">
        <v>1422</v>
      </c>
      <c r="V186" s="28" t="s">
        <v>1422</v>
      </c>
      <c r="W186" s="28" t="s">
        <v>1422</v>
      </c>
      <c r="X186" s="28" t="s">
        <v>1422</v>
      </c>
      <c r="Y186" s="28" t="s">
        <v>1422</v>
      </c>
      <c r="Z186" s="28" t="s">
        <v>1422</v>
      </c>
      <c r="AA186" s="28" t="s">
        <v>1422</v>
      </c>
      <c r="AB186" s="28" t="s">
        <v>1422</v>
      </c>
      <c r="AC186" s="28" t="s">
        <v>1422</v>
      </c>
      <c r="AD186" s="28" t="s">
        <v>1422</v>
      </c>
      <c r="AE186" s="28" t="s">
        <v>1422</v>
      </c>
      <c r="AF186" s="28" t="s">
        <v>1422</v>
      </c>
      <c r="AG186" s="28" t="s">
        <v>1422</v>
      </c>
      <c r="AH186" s="28" t="s">
        <v>1422</v>
      </c>
      <c r="AI186" s="28" t="s">
        <v>1422</v>
      </c>
      <c r="AJ186" s="28" t="s">
        <v>1422</v>
      </c>
      <c r="AK186" s="29" t="s">
        <v>1422</v>
      </c>
      <c r="AL186" s="29" t="s">
        <v>1422</v>
      </c>
    </row>
    <row r="187" spans="1:38">
      <c r="A187" s="29" t="s">
        <v>1313</v>
      </c>
      <c r="B187" s="28" t="s">
        <v>1419</v>
      </c>
      <c r="C187" s="28" t="s">
        <v>1419</v>
      </c>
      <c r="D187" s="28" t="s">
        <v>1419</v>
      </c>
      <c r="E187" s="28" t="s">
        <v>1419</v>
      </c>
      <c r="F187" s="28" t="s">
        <v>1419</v>
      </c>
      <c r="G187" s="28" t="s">
        <v>1419</v>
      </c>
      <c r="H187" s="28" t="s">
        <v>1419</v>
      </c>
      <c r="I187" s="28" t="s">
        <v>1419</v>
      </c>
      <c r="J187" s="28" t="s">
        <v>1419</v>
      </c>
      <c r="K187" s="28" t="s">
        <v>1419</v>
      </c>
      <c r="L187" s="28" t="s">
        <v>1419</v>
      </c>
      <c r="M187" s="28" t="s">
        <v>1419</v>
      </c>
      <c r="N187" s="28" t="s">
        <v>1419</v>
      </c>
      <c r="O187" s="28" t="s">
        <v>1419</v>
      </c>
      <c r="P187" s="28" t="s">
        <v>1419</v>
      </c>
      <c r="Q187" s="28" t="s">
        <v>1419</v>
      </c>
      <c r="R187" s="28" t="s">
        <v>1419</v>
      </c>
      <c r="S187" s="28" t="s">
        <v>1419</v>
      </c>
      <c r="T187" s="28" t="s">
        <v>1419</v>
      </c>
      <c r="U187" s="28" t="s">
        <v>1419</v>
      </c>
      <c r="V187" s="28" t="s">
        <v>1421</v>
      </c>
      <c r="W187" s="28" t="s">
        <v>1421</v>
      </c>
      <c r="X187" s="28" t="s">
        <v>1421</v>
      </c>
      <c r="Y187" s="28" t="s">
        <v>1421</v>
      </c>
      <c r="Z187" s="28" t="s">
        <v>1421</v>
      </c>
      <c r="AA187" s="28" t="s">
        <v>1421</v>
      </c>
      <c r="AB187" s="28" t="s">
        <v>1421</v>
      </c>
      <c r="AC187" s="28" t="s">
        <v>1421</v>
      </c>
      <c r="AD187" s="28" t="s">
        <v>1421</v>
      </c>
      <c r="AE187" s="28" t="s">
        <v>1421</v>
      </c>
      <c r="AF187" s="28" t="s">
        <v>1421</v>
      </c>
      <c r="AG187" s="28" t="s">
        <v>1421</v>
      </c>
      <c r="AH187" s="28" t="s">
        <v>1419</v>
      </c>
      <c r="AI187" s="28" t="s">
        <v>1419</v>
      </c>
      <c r="AJ187" s="28" t="s">
        <v>1419</v>
      </c>
      <c r="AK187" s="29" t="s">
        <v>1419</v>
      </c>
      <c r="AL187" s="29" t="s">
        <v>1419</v>
      </c>
    </row>
    <row r="188" spans="1:38">
      <c r="A188" s="29" t="s">
        <v>1325</v>
      </c>
      <c r="B188" s="28" t="s">
        <v>1422</v>
      </c>
      <c r="C188" s="28" t="s">
        <v>1422</v>
      </c>
      <c r="D188" s="28" t="s">
        <v>1422</v>
      </c>
      <c r="E188" s="28" t="s">
        <v>1422</v>
      </c>
      <c r="F188" s="28" t="s">
        <v>1422</v>
      </c>
      <c r="G188" s="28" t="s">
        <v>1422</v>
      </c>
      <c r="H188" s="28" t="s">
        <v>1421</v>
      </c>
      <c r="I188" s="28" t="s">
        <v>1421</v>
      </c>
      <c r="J188" s="28" t="s">
        <v>1421</v>
      </c>
      <c r="K188" s="28" t="s">
        <v>1421</v>
      </c>
      <c r="L188" s="28" t="s">
        <v>1421</v>
      </c>
      <c r="M188" s="28" t="s">
        <v>1421</v>
      </c>
      <c r="N188" s="28" t="s">
        <v>1421</v>
      </c>
      <c r="O188" s="28" t="s">
        <v>1421</v>
      </c>
      <c r="P188" s="28" t="s">
        <v>1421</v>
      </c>
      <c r="Q188" s="28" t="s">
        <v>1421</v>
      </c>
      <c r="R188" s="28" t="s">
        <v>1421</v>
      </c>
      <c r="S188" s="28" t="s">
        <v>1421</v>
      </c>
      <c r="T188" s="28" t="s">
        <v>1421</v>
      </c>
      <c r="U188" s="28" t="s">
        <v>1421</v>
      </c>
      <c r="V188" s="28" t="s">
        <v>1422</v>
      </c>
      <c r="W188" s="28" t="s">
        <v>1422</v>
      </c>
      <c r="X188" s="28" t="s">
        <v>1422</v>
      </c>
      <c r="Y188" s="28" t="s">
        <v>1422</v>
      </c>
      <c r="Z188" s="28" t="s">
        <v>1422</v>
      </c>
      <c r="AA188" s="28" t="s">
        <v>1422</v>
      </c>
      <c r="AB188" s="28" t="s">
        <v>1422</v>
      </c>
      <c r="AC188" s="28" t="s">
        <v>1422</v>
      </c>
      <c r="AD188" s="28" t="s">
        <v>1422</v>
      </c>
      <c r="AE188" s="28" t="s">
        <v>1422</v>
      </c>
      <c r="AF188" s="28" t="s">
        <v>1422</v>
      </c>
      <c r="AG188" s="28" t="s">
        <v>1422</v>
      </c>
      <c r="AH188" s="28" t="s">
        <v>1422</v>
      </c>
      <c r="AI188" s="28" t="s">
        <v>1422</v>
      </c>
      <c r="AJ188" s="28" t="s">
        <v>1422</v>
      </c>
      <c r="AK188" s="29" t="s">
        <v>1422</v>
      </c>
      <c r="AL188" s="29" t="s">
        <v>1422</v>
      </c>
    </row>
    <row r="189" spans="1:38">
      <c r="A189" s="29" t="s">
        <v>1328</v>
      </c>
      <c r="B189" s="28" t="s">
        <v>1423</v>
      </c>
      <c r="C189" s="28" t="s">
        <v>1423</v>
      </c>
      <c r="D189" s="28" t="s">
        <v>1423</v>
      </c>
      <c r="E189" s="28" t="s">
        <v>1423</v>
      </c>
      <c r="F189" s="28" t="s">
        <v>1423</v>
      </c>
      <c r="G189" s="28" t="s">
        <v>1423</v>
      </c>
      <c r="H189" s="28" t="s">
        <v>1423</v>
      </c>
      <c r="I189" s="28" t="s">
        <v>1423</v>
      </c>
      <c r="J189" s="28" t="s">
        <v>1423</v>
      </c>
      <c r="K189" s="28" t="s">
        <v>1423</v>
      </c>
      <c r="L189" s="28" t="s">
        <v>1423</v>
      </c>
      <c r="M189" s="28" t="s">
        <v>1423</v>
      </c>
      <c r="N189" s="28" t="s">
        <v>1423</v>
      </c>
      <c r="O189" s="28" t="s">
        <v>1423</v>
      </c>
      <c r="P189" s="28" t="s">
        <v>1423</v>
      </c>
      <c r="Q189" s="28" t="s">
        <v>1423</v>
      </c>
      <c r="R189" s="28" t="s">
        <v>1423</v>
      </c>
      <c r="S189" s="28" t="s">
        <v>1423</v>
      </c>
      <c r="T189" s="28" t="s">
        <v>1423</v>
      </c>
      <c r="U189" s="28" t="s">
        <v>1423</v>
      </c>
      <c r="V189" s="28" t="s">
        <v>1423</v>
      </c>
      <c r="W189" s="28" t="s">
        <v>1423</v>
      </c>
      <c r="X189" s="28" t="s">
        <v>1423</v>
      </c>
      <c r="Y189" s="28" t="s">
        <v>1423</v>
      </c>
      <c r="Z189" s="28" t="s">
        <v>1423</v>
      </c>
      <c r="AA189" s="28" t="s">
        <v>1423</v>
      </c>
      <c r="AB189" s="28" t="s">
        <v>1423</v>
      </c>
      <c r="AC189" s="28" t="s">
        <v>1423</v>
      </c>
      <c r="AD189" s="28" t="s">
        <v>1423</v>
      </c>
      <c r="AE189" s="28" t="s">
        <v>1423</v>
      </c>
      <c r="AF189" s="28" t="s">
        <v>1423</v>
      </c>
      <c r="AG189" s="28" t="s">
        <v>1423</v>
      </c>
      <c r="AH189" s="28" t="s">
        <v>1423</v>
      </c>
      <c r="AI189" s="28" t="s">
        <v>1423</v>
      </c>
      <c r="AJ189" s="28" t="s">
        <v>1423</v>
      </c>
      <c r="AK189" s="29" t="s">
        <v>1423</v>
      </c>
      <c r="AL189" s="29" t="s">
        <v>1423</v>
      </c>
    </row>
    <row r="190" spans="1:38">
      <c r="A190" s="29" t="s">
        <v>1165</v>
      </c>
      <c r="B190" s="28" t="s">
        <v>1423</v>
      </c>
      <c r="C190" s="28" t="s">
        <v>1423</v>
      </c>
      <c r="D190" s="28" t="s">
        <v>1423</v>
      </c>
      <c r="E190" s="28" t="s">
        <v>1423</v>
      </c>
      <c r="F190" s="28" t="s">
        <v>1423</v>
      </c>
      <c r="G190" s="28" t="s">
        <v>1423</v>
      </c>
      <c r="H190" s="28" t="s">
        <v>1423</v>
      </c>
      <c r="I190" s="28" t="s">
        <v>1423</v>
      </c>
      <c r="J190" s="28" t="s">
        <v>1423</v>
      </c>
      <c r="K190" s="28" t="s">
        <v>1423</v>
      </c>
      <c r="L190" s="28" t="s">
        <v>1423</v>
      </c>
      <c r="M190" s="28" t="s">
        <v>1423</v>
      </c>
      <c r="N190" s="28" t="s">
        <v>1423</v>
      </c>
      <c r="O190" s="28" t="s">
        <v>1423</v>
      </c>
      <c r="P190" s="28" t="s">
        <v>1423</v>
      </c>
      <c r="Q190" s="28" t="s">
        <v>1423</v>
      </c>
      <c r="R190" s="28" t="s">
        <v>1423</v>
      </c>
      <c r="S190" s="28" t="s">
        <v>1423</v>
      </c>
      <c r="T190" s="28" t="s">
        <v>1423</v>
      </c>
      <c r="U190" s="28" t="s">
        <v>1423</v>
      </c>
      <c r="V190" s="28" t="s">
        <v>1423</v>
      </c>
      <c r="W190" s="28" t="s">
        <v>1423</v>
      </c>
      <c r="X190" s="28" t="s">
        <v>1423</v>
      </c>
      <c r="Y190" s="28" t="s">
        <v>1423</v>
      </c>
      <c r="Z190" s="28" t="s">
        <v>1423</v>
      </c>
      <c r="AA190" s="28" t="s">
        <v>1423</v>
      </c>
      <c r="AB190" s="28" t="s">
        <v>1423</v>
      </c>
      <c r="AC190" s="28" t="s">
        <v>1423</v>
      </c>
      <c r="AD190" s="28" t="s">
        <v>1423</v>
      </c>
      <c r="AE190" s="28" t="s">
        <v>1423</v>
      </c>
      <c r="AF190" s="28" t="s">
        <v>1423</v>
      </c>
      <c r="AG190" s="28" t="s">
        <v>1423</v>
      </c>
      <c r="AH190" s="28" t="s">
        <v>1423</v>
      </c>
      <c r="AI190" s="28" t="s">
        <v>1423</v>
      </c>
      <c r="AJ190" s="28" t="s">
        <v>1423</v>
      </c>
      <c r="AK190" s="29" t="s">
        <v>1423</v>
      </c>
      <c r="AL190" s="29" t="s">
        <v>1423</v>
      </c>
    </row>
    <row r="191" spans="1:38">
      <c r="A191" s="29" t="s">
        <v>1332</v>
      </c>
      <c r="B191" s="28" t="s">
        <v>1421</v>
      </c>
      <c r="C191" s="28" t="s">
        <v>1421</v>
      </c>
      <c r="D191" s="28" t="s">
        <v>1421</v>
      </c>
      <c r="E191" s="28" t="s">
        <v>1421</v>
      </c>
      <c r="F191" s="28" t="s">
        <v>1421</v>
      </c>
      <c r="G191" s="28" t="s">
        <v>1421</v>
      </c>
      <c r="H191" s="28" t="s">
        <v>1421</v>
      </c>
      <c r="I191" s="28" t="s">
        <v>1421</v>
      </c>
      <c r="J191" s="28" t="s">
        <v>1421</v>
      </c>
      <c r="K191" s="28" t="s">
        <v>1421</v>
      </c>
      <c r="L191" s="28" t="s">
        <v>1421</v>
      </c>
      <c r="M191" s="28" t="s">
        <v>1421</v>
      </c>
      <c r="N191" s="28" t="s">
        <v>1421</v>
      </c>
      <c r="O191" s="28" t="s">
        <v>1421</v>
      </c>
      <c r="P191" s="28" t="s">
        <v>1421</v>
      </c>
      <c r="Q191" s="28" t="s">
        <v>1421</v>
      </c>
      <c r="R191" s="28" t="s">
        <v>1421</v>
      </c>
      <c r="S191" s="28" t="s">
        <v>1421</v>
      </c>
      <c r="T191" s="28" t="s">
        <v>1421</v>
      </c>
      <c r="U191" s="28" t="s">
        <v>1421</v>
      </c>
      <c r="V191" s="28" t="s">
        <v>1421</v>
      </c>
      <c r="W191" s="28" t="s">
        <v>1421</v>
      </c>
      <c r="X191" s="28" t="s">
        <v>1421</v>
      </c>
      <c r="Y191" s="28" t="s">
        <v>1421</v>
      </c>
      <c r="Z191" s="28" t="s">
        <v>1421</v>
      </c>
      <c r="AA191" s="28" t="s">
        <v>1421</v>
      </c>
      <c r="AB191" s="28" t="s">
        <v>1421</v>
      </c>
      <c r="AC191" s="28" t="s">
        <v>1421</v>
      </c>
      <c r="AD191" s="28" t="s">
        <v>1421</v>
      </c>
      <c r="AE191" s="28" t="s">
        <v>1421</v>
      </c>
      <c r="AF191" s="28" t="s">
        <v>1419</v>
      </c>
      <c r="AG191" s="28" t="s">
        <v>1419</v>
      </c>
      <c r="AH191" s="28" t="s">
        <v>1419</v>
      </c>
      <c r="AI191" s="28" t="s">
        <v>1419</v>
      </c>
      <c r="AJ191" s="28" t="s">
        <v>1419</v>
      </c>
      <c r="AK191" s="29" t="s">
        <v>1419</v>
      </c>
      <c r="AL191" s="29" t="s">
        <v>1419</v>
      </c>
    </row>
    <row r="192" spans="1:38">
      <c r="A192" s="29" t="s">
        <v>1429</v>
      </c>
      <c r="B192" s="28" t="s">
        <v>1423</v>
      </c>
      <c r="C192" s="28" t="s">
        <v>1423</v>
      </c>
      <c r="D192" s="28" t="s">
        <v>1423</v>
      </c>
      <c r="E192" s="28" t="s">
        <v>1423</v>
      </c>
      <c r="F192" s="28" t="s">
        <v>1423</v>
      </c>
      <c r="G192" s="28" t="s">
        <v>1423</v>
      </c>
      <c r="H192" s="28" t="s">
        <v>1423</v>
      </c>
      <c r="I192" s="28" t="s">
        <v>1423</v>
      </c>
      <c r="J192" s="28" t="s">
        <v>1423</v>
      </c>
      <c r="K192" s="28" t="s">
        <v>1423</v>
      </c>
      <c r="L192" s="28" t="s">
        <v>1423</v>
      </c>
      <c r="M192" s="28" t="s">
        <v>1423</v>
      </c>
      <c r="N192" s="28" t="s">
        <v>1423</v>
      </c>
      <c r="O192" s="28" t="s">
        <v>1423</v>
      </c>
      <c r="P192" s="28" t="s">
        <v>1423</v>
      </c>
      <c r="Q192" s="28" t="s">
        <v>1423</v>
      </c>
      <c r="R192" s="28" t="s">
        <v>1423</v>
      </c>
      <c r="S192" s="28" t="s">
        <v>1423</v>
      </c>
      <c r="T192" s="28" t="s">
        <v>1423</v>
      </c>
      <c r="U192" s="28" t="s">
        <v>1423</v>
      </c>
      <c r="V192" s="28" t="s">
        <v>1423</v>
      </c>
      <c r="W192" s="28" t="s">
        <v>1423</v>
      </c>
      <c r="X192" s="28" t="s">
        <v>1423</v>
      </c>
      <c r="Y192" s="28" t="s">
        <v>1423</v>
      </c>
      <c r="Z192" s="28" t="s">
        <v>1423</v>
      </c>
      <c r="AA192" s="28" t="s">
        <v>1423</v>
      </c>
      <c r="AB192" s="28" t="s">
        <v>1423</v>
      </c>
      <c r="AC192" s="28" t="s">
        <v>1423</v>
      </c>
      <c r="AD192" s="28" t="s">
        <v>1423</v>
      </c>
      <c r="AE192" s="28" t="s">
        <v>1423</v>
      </c>
      <c r="AF192" s="28" t="s">
        <v>1423</v>
      </c>
      <c r="AG192" s="28" t="s">
        <v>1423</v>
      </c>
      <c r="AH192" s="28" t="s">
        <v>1423</v>
      </c>
      <c r="AI192" s="28" t="s">
        <v>1423</v>
      </c>
      <c r="AJ192" s="28" t="s">
        <v>1423</v>
      </c>
      <c r="AK192" s="29" t="s">
        <v>1423</v>
      </c>
      <c r="AL192" s="29" t="s">
        <v>1423</v>
      </c>
    </row>
    <row r="193" spans="1:38">
      <c r="A193" s="29" t="s">
        <v>1338</v>
      </c>
      <c r="B193" s="28" t="s">
        <v>1420</v>
      </c>
      <c r="C193" s="28" t="s">
        <v>1420</v>
      </c>
      <c r="D193" s="28" t="s">
        <v>1420</v>
      </c>
      <c r="E193" s="28" t="s">
        <v>1420</v>
      </c>
      <c r="F193" s="28" t="s">
        <v>1421</v>
      </c>
      <c r="G193" s="28" t="s">
        <v>1419</v>
      </c>
      <c r="H193" s="28" t="s">
        <v>1419</v>
      </c>
      <c r="I193" s="28" t="s">
        <v>1419</v>
      </c>
      <c r="J193" s="28" t="s">
        <v>1419</v>
      </c>
      <c r="K193" s="28" t="s">
        <v>1419</v>
      </c>
      <c r="L193" s="28" t="s">
        <v>1419</v>
      </c>
      <c r="M193" s="28" t="s">
        <v>1419</v>
      </c>
      <c r="N193" s="28" t="s">
        <v>1419</v>
      </c>
      <c r="O193" s="28" t="s">
        <v>1419</v>
      </c>
      <c r="P193" s="28" t="s">
        <v>1419</v>
      </c>
      <c r="Q193" s="28" t="s">
        <v>1419</v>
      </c>
      <c r="R193" s="28" t="s">
        <v>1419</v>
      </c>
      <c r="S193" s="28" t="s">
        <v>1419</v>
      </c>
      <c r="T193" s="28" t="s">
        <v>1419</v>
      </c>
      <c r="U193" s="28" t="s">
        <v>1419</v>
      </c>
      <c r="V193" s="28" t="s">
        <v>1419</v>
      </c>
      <c r="W193" s="28" t="s">
        <v>1419</v>
      </c>
      <c r="X193" s="28" t="s">
        <v>1419</v>
      </c>
      <c r="Y193" s="28" t="s">
        <v>1419</v>
      </c>
      <c r="Z193" s="28" t="s">
        <v>1419</v>
      </c>
      <c r="AA193" s="28" t="s">
        <v>1419</v>
      </c>
      <c r="AB193" s="28" t="s">
        <v>1419</v>
      </c>
      <c r="AC193" s="28" t="s">
        <v>1421</v>
      </c>
      <c r="AD193" s="28" t="s">
        <v>1421</v>
      </c>
      <c r="AE193" s="28" t="s">
        <v>1421</v>
      </c>
      <c r="AF193" s="28" t="s">
        <v>1419</v>
      </c>
      <c r="AG193" s="28" t="s">
        <v>1419</v>
      </c>
      <c r="AH193" s="28" t="s">
        <v>1419</v>
      </c>
      <c r="AI193" s="28" t="s">
        <v>1421</v>
      </c>
      <c r="AJ193" s="28" t="s">
        <v>1421</v>
      </c>
      <c r="AK193" s="29" t="s">
        <v>1421</v>
      </c>
      <c r="AL193" s="29" t="s">
        <v>1421</v>
      </c>
    </row>
    <row r="194" spans="1:38">
      <c r="A194" s="29" t="s">
        <v>1348</v>
      </c>
      <c r="B194" s="28" t="s">
        <v>1419</v>
      </c>
      <c r="C194" s="28" t="s">
        <v>1419</v>
      </c>
      <c r="D194" s="28" t="s">
        <v>1419</v>
      </c>
      <c r="E194" s="28" t="s">
        <v>1419</v>
      </c>
      <c r="F194" s="28" t="s">
        <v>1419</v>
      </c>
      <c r="G194" s="28" t="s">
        <v>1419</v>
      </c>
      <c r="H194" s="28" t="s">
        <v>1419</v>
      </c>
      <c r="I194" s="28" t="s">
        <v>1419</v>
      </c>
      <c r="J194" s="28" t="s">
        <v>1419</v>
      </c>
      <c r="K194" s="28" t="s">
        <v>1419</v>
      </c>
      <c r="L194" s="28" t="s">
        <v>1419</v>
      </c>
      <c r="M194" s="28" t="s">
        <v>1419</v>
      </c>
      <c r="N194" s="28" t="s">
        <v>1419</v>
      </c>
      <c r="O194" s="28" t="s">
        <v>1419</v>
      </c>
      <c r="P194" s="28" t="s">
        <v>1419</v>
      </c>
      <c r="Q194" s="28" t="s">
        <v>1419</v>
      </c>
      <c r="R194" s="28" t="s">
        <v>1419</v>
      </c>
      <c r="S194" s="28" t="s">
        <v>1419</v>
      </c>
      <c r="T194" s="28" t="s">
        <v>1419</v>
      </c>
      <c r="U194" s="28" t="s">
        <v>1419</v>
      </c>
      <c r="V194" s="28" t="s">
        <v>1419</v>
      </c>
      <c r="W194" s="28" t="s">
        <v>1419</v>
      </c>
      <c r="X194" s="28" t="s">
        <v>1419</v>
      </c>
      <c r="Y194" s="28" t="s">
        <v>1419</v>
      </c>
      <c r="Z194" s="28" t="s">
        <v>1419</v>
      </c>
      <c r="AA194" s="28" t="s">
        <v>1419</v>
      </c>
      <c r="AB194" s="28" t="s">
        <v>1419</v>
      </c>
      <c r="AC194" s="28" t="s">
        <v>1419</v>
      </c>
      <c r="AD194" s="28" t="s">
        <v>1419</v>
      </c>
      <c r="AE194" s="28" t="s">
        <v>1419</v>
      </c>
      <c r="AF194" s="28" t="s">
        <v>1419</v>
      </c>
      <c r="AG194" s="28" t="s">
        <v>1419</v>
      </c>
      <c r="AH194" s="28" t="s">
        <v>1421</v>
      </c>
      <c r="AI194" s="28" t="s">
        <v>1421</v>
      </c>
      <c r="AJ194" s="28" t="s">
        <v>1421</v>
      </c>
      <c r="AK194" s="29" t="s">
        <v>1421</v>
      </c>
      <c r="AL194" s="29" t="s">
        <v>1421</v>
      </c>
    </row>
    <row r="195" spans="1:38">
      <c r="A195" s="29" t="s">
        <v>193</v>
      </c>
      <c r="B195" s="28" t="s">
        <v>1421</v>
      </c>
      <c r="C195" s="28" t="s">
        <v>1421</v>
      </c>
      <c r="D195" s="28" t="s">
        <v>1421</v>
      </c>
      <c r="E195" s="28" t="s">
        <v>1421</v>
      </c>
      <c r="F195" s="28" t="s">
        <v>1421</v>
      </c>
      <c r="G195" s="28" t="s">
        <v>1421</v>
      </c>
      <c r="H195" s="28" t="s">
        <v>1421</v>
      </c>
      <c r="I195" s="28" t="s">
        <v>1421</v>
      </c>
      <c r="J195" s="28" t="s">
        <v>1421</v>
      </c>
      <c r="K195" s="28" t="s">
        <v>1421</v>
      </c>
      <c r="L195" s="28" t="s">
        <v>1421</v>
      </c>
      <c r="M195" s="28" t="s">
        <v>1421</v>
      </c>
      <c r="N195" s="28" t="s">
        <v>1421</v>
      </c>
      <c r="O195" s="28" t="s">
        <v>1421</v>
      </c>
      <c r="P195" s="28" t="s">
        <v>1421</v>
      </c>
      <c r="Q195" s="28" t="s">
        <v>1421</v>
      </c>
      <c r="R195" s="28" t="s">
        <v>1421</v>
      </c>
      <c r="S195" s="28" t="s">
        <v>1421</v>
      </c>
      <c r="T195" s="28" t="s">
        <v>1421</v>
      </c>
      <c r="U195" s="28" t="s">
        <v>1421</v>
      </c>
      <c r="V195" s="28" t="s">
        <v>1421</v>
      </c>
      <c r="W195" s="28" t="s">
        <v>1421</v>
      </c>
      <c r="X195" s="28" t="s">
        <v>1421</v>
      </c>
      <c r="Y195" s="28" t="s">
        <v>1422</v>
      </c>
      <c r="Z195" s="28" t="s">
        <v>1422</v>
      </c>
      <c r="AA195" s="28" t="s">
        <v>1422</v>
      </c>
      <c r="AB195" s="28" t="s">
        <v>1422</v>
      </c>
      <c r="AC195" s="28" t="s">
        <v>1422</v>
      </c>
      <c r="AD195" s="28" t="s">
        <v>1422</v>
      </c>
      <c r="AE195" s="28" t="s">
        <v>1422</v>
      </c>
      <c r="AF195" s="28" t="s">
        <v>1422</v>
      </c>
      <c r="AG195" s="28" t="s">
        <v>1422</v>
      </c>
      <c r="AH195" s="28" t="s">
        <v>1422</v>
      </c>
      <c r="AI195" s="28" t="s">
        <v>1422</v>
      </c>
      <c r="AJ195" s="28" t="s">
        <v>1422</v>
      </c>
      <c r="AK195" s="29" t="s">
        <v>1422</v>
      </c>
      <c r="AL195" s="29" t="s">
        <v>1422</v>
      </c>
    </row>
    <row r="196" spans="1:38">
      <c r="A196" s="29" t="s">
        <v>1341</v>
      </c>
      <c r="B196" s="28" t="s">
        <v>1420</v>
      </c>
      <c r="C196" s="28" t="s">
        <v>1420</v>
      </c>
      <c r="D196" s="28" t="s">
        <v>1420</v>
      </c>
      <c r="E196" s="28" t="s">
        <v>1420</v>
      </c>
      <c r="F196" s="28" t="s">
        <v>1420</v>
      </c>
      <c r="G196" s="28" t="s">
        <v>1420</v>
      </c>
      <c r="H196" s="28" t="s">
        <v>1420</v>
      </c>
      <c r="I196" s="28" t="s">
        <v>1420</v>
      </c>
      <c r="J196" s="28" t="s">
        <v>1420</v>
      </c>
      <c r="K196" s="28" t="s">
        <v>1420</v>
      </c>
      <c r="L196" s="28" t="s">
        <v>1420</v>
      </c>
      <c r="M196" s="28" t="s">
        <v>1420</v>
      </c>
      <c r="N196" s="28" t="s">
        <v>1420</v>
      </c>
      <c r="O196" s="28" t="s">
        <v>1420</v>
      </c>
      <c r="P196" s="28" t="s">
        <v>1419</v>
      </c>
      <c r="Q196" s="28" t="s">
        <v>1419</v>
      </c>
      <c r="R196" s="28" t="s">
        <v>1419</v>
      </c>
      <c r="S196" s="28" t="s">
        <v>1419</v>
      </c>
      <c r="T196" s="28" t="s">
        <v>1419</v>
      </c>
      <c r="U196" s="28" t="s">
        <v>1419</v>
      </c>
      <c r="V196" s="28" t="s">
        <v>1421</v>
      </c>
      <c r="W196" s="28" t="s">
        <v>1421</v>
      </c>
      <c r="X196" s="28" t="s">
        <v>1421</v>
      </c>
      <c r="Y196" s="28" t="s">
        <v>1421</v>
      </c>
      <c r="Z196" s="28" t="s">
        <v>1421</v>
      </c>
      <c r="AA196" s="28" t="s">
        <v>1421</v>
      </c>
      <c r="AB196" s="28" t="s">
        <v>1421</v>
      </c>
      <c r="AC196" s="28" t="s">
        <v>1421</v>
      </c>
      <c r="AD196" s="28" t="s">
        <v>1421</v>
      </c>
      <c r="AE196" s="28" t="s">
        <v>1421</v>
      </c>
      <c r="AF196" s="28" t="s">
        <v>1421</v>
      </c>
      <c r="AG196" s="28" t="s">
        <v>1421</v>
      </c>
      <c r="AH196" s="28" t="s">
        <v>1421</v>
      </c>
      <c r="AI196" s="28" t="s">
        <v>1421</v>
      </c>
      <c r="AJ196" s="28" t="s">
        <v>1421</v>
      </c>
      <c r="AK196" s="29" t="s">
        <v>1421</v>
      </c>
      <c r="AL196" s="29" t="s">
        <v>1421</v>
      </c>
    </row>
    <row r="197" spans="1:38">
      <c r="A197" s="29" t="s">
        <v>1337</v>
      </c>
      <c r="B197" s="28" t="s">
        <v>1419</v>
      </c>
      <c r="C197" s="28" t="s">
        <v>1419</v>
      </c>
      <c r="D197" s="28" t="s">
        <v>1419</v>
      </c>
      <c r="E197" s="28" t="s">
        <v>1419</v>
      </c>
      <c r="F197" s="28" t="s">
        <v>1419</v>
      </c>
      <c r="G197" s="28" t="s">
        <v>1419</v>
      </c>
      <c r="H197" s="28" t="s">
        <v>1419</v>
      </c>
      <c r="I197" s="28" t="s">
        <v>1419</v>
      </c>
      <c r="J197" s="28" t="s">
        <v>1419</v>
      </c>
      <c r="K197" s="28" t="s">
        <v>1419</v>
      </c>
      <c r="L197" s="28" t="s">
        <v>1419</v>
      </c>
      <c r="M197" s="28" t="s">
        <v>1419</v>
      </c>
      <c r="N197" s="28" t="s">
        <v>1419</v>
      </c>
      <c r="O197" s="28" t="s">
        <v>1419</v>
      </c>
      <c r="P197" s="28" t="s">
        <v>1419</v>
      </c>
      <c r="Q197" s="28" t="s">
        <v>1419</v>
      </c>
      <c r="R197" s="28" t="s">
        <v>1419</v>
      </c>
      <c r="S197" s="28" t="s">
        <v>1419</v>
      </c>
      <c r="T197" s="28" t="s">
        <v>1419</v>
      </c>
      <c r="U197" s="28" t="s">
        <v>1419</v>
      </c>
      <c r="V197" s="28" t="s">
        <v>1419</v>
      </c>
      <c r="W197" s="28" t="s">
        <v>1419</v>
      </c>
      <c r="X197" s="28" t="s">
        <v>1419</v>
      </c>
      <c r="Y197" s="28" t="s">
        <v>1419</v>
      </c>
      <c r="Z197" s="28" t="s">
        <v>1419</v>
      </c>
      <c r="AA197" s="28" t="s">
        <v>1419</v>
      </c>
      <c r="AB197" s="28" t="s">
        <v>1419</v>
      </c>
      <c r="AC197" s="28" t="s">
        <v>1419</v>
      </c>
      <c r="AD197" s="28" t="s">
        <v>1419</v>
      </c>
      <c r="AE197" s="28" t="s">
        <v>1419</v>
      </c>
      <c r="AF197" s="28" t="s">
        <v>1419</v>
      </c>
      <c r="AG197" s="28" t="s">
        <v>1419</v>
      </c>
      <c r="AH197" s="28" t="s">
        <v>1419</v>
      </c>
      <c r="AI197" s="28" t="s">
        <v>1419</v>
      </c>
      <c r="AJ197" s="28" t="s">
        <v>1419</v>
      </c>
      <c r="AK197" s="29" t="s">
        <v>1419</v>
      </c>
      <c r="AL197" s="29" t="s">
        <v>1419</v>
      </c>
    </row>
    <row r="198" spans="1:38">
      <c r="A198" s="29" t="s">
        <v>1343</v>
      </c>
      <c r="B198" s="28" t="s">
        <v>1421</v>
      </c>
      <c r="C198" s="28" t="s">
        <v>1421</v>
      </c>
      <c r="D198" s="28" t="s">
        <v>1421</v>
      </c>
      <c r="E198" s="28" t="s">
        <v>1421</v>
      </c>
      <c r="F198" s="28" t="s">
        <v>1421</v>
      </c>
      <c r="G198" s="28" t="s">
        <v>1421</v>
      </c>
      <c r="H198" s="28" t="s">
        <v>1421</v>
      </c>
      <c r="I198" s="28" t="s">
        <v>1421</v>
      </c>
      <c r="J198" s="28" t="s">
        <v>1421</v>
      </c>
      <c r="K198" s="28" t="s">
        <v>1421</v>
      </c>
      <c r="L198" s="28" t="s">
        <v>1421</v>
      </c>
      <c r="M198" s="28" t="s">
        <v>1421</v>
      </c>
      <c r="N198" s="28" t="s">
        <v>1421</v>
      </c>
      <c r="O198" s="28" t="s">
        <v>1421</v>
      </c>
      <c r="P198" s="28" t="s">
        <v>1421</v>
      </c>
      <c r="Q198" s="28" t="s">
        <v>1421</v>
      </c>
      <c r="R198" s="28" t="s">
        <v>1421</v>
      </c>
      <c r="S198" s="28" t="s">
        <v>1421</v>
      </c>
      <c r="T198" s="28" t="s">
        <v>1421</v>
      </c>
      <c r="U198" s="28" t="s">
        <v>1421</v>
      </c>
      <c r="V198" s="28" t="s">
        <v>1421</v>
      </c>
      <c r="W198" s="28" t="s">
        <v>1421</v>
      </c>
      <c r="X198" s="28" t="s">
        <v>1421</v>
      </c>
      <c r="Y198" s="28" t="s">
        <v>1421</v>
      </c>
      <c r="Z198" s="28" t="s">
        <v>1421</v>
      </c>
      <c r="AA198" s="28" t="s">
        <v>1422</v>
      </c>
      <c r="AB198" s="28" t="s">
        <v>1422</v>
      </c>
      <c r="AC198" s="28" t="s">
        <v>1422</v>
      </c>
      <c r="AD198" s="28" t="s">
        <v>1421</v>
      </c>
      <c r="AE198" s="28" t="s">
        <v>1422</v>
      </c>
      <c r="AF198" s="28" t="s">
        <v>1422</v>
      </c>
      <c r="AG198" s="28" t="s">
        <v>1422</v>
      </c>
      <c r="AH198" s="28" t="s">
        <v>1422</v>
      </c>
      <c r="AI198" s="28" t="s">
        <v>1422</v>
      </c>
      <c r="AJ198" s="28" t="s">
        <v>1422</v>
      </c>
      <c r="AK198" s="29" t="s">
        <v>1422</v>
      </c>
      <c r="AL198" s="29" t="s">
        <v>1422</v>
      </c>
    </row>
    <row r="199" spans="1:38">
      <c r="A199" s="29" t="s">
        <v>1346</v>
      </c>
      <c r="B199" s="28" t="s">
        <v>1422</v>
      </c>
      <c r="C199" s="28" t="s">
        <v>1422</v>
      </c>
      <c r="D199" s="28" t="s">
        <v>1422</v>
      </c>
      <c r="E199" s="28" t="s">
        <v>1422</v>
      </c>
      <c r="F199" s="28" t="s">
        <v>1422</v>
      </c>
      <c r="G199" s="28" t="s">
        <v>1422</v>
      </c>
      <c r="H199" s="28" t="s">
        <v>1422</v>
      </c>
      <c r="I199" s="28" t="s">
        <v>1422</v>
      </c>
      <c r="J199" s="28" t="s">
        <v>1422</v>
      </c>
      <c r="K199" s="28" t="s">
        <v>1422</v>
      </c>
      <c r="L199" s="28" t="s">
        <v>1422</v>
      </c>
      <c r="M199" s="28" t="s">
        <v>1422</v>
      </c>
      <c r="N199" s="28" t="s">
        <v>1422</v>
      </c>
      <c r="O199" s="28" t="s">
        <v>1422</v>
      </c>
      <c r="P199" s="28" t="s">
        <v>1422</v>
      </c>
      <c r="Q199" s="28" t="s">
        <v>1422</v>
      </c>
      <c r="R199" s="28" t="s">
        <v>1422</v>
      </c>
      <c r="S199" s="28" t="s">
        <v>1422</v>
      </c>
      <c r="T199" s="28" t="s">
        <v>1422</v>
      </c>
      <c r="U199" s="28" t="s">
        <v>1423</v>
      </c>
      <c r="V199" s="28" t="s">
        <v>1423</v>
      </c>
      <c r="W199" s="28" t="s">
        <v>1423</v>
      </c>
      <c r="X199" s="28" t="s">
        <v>1423</v>
      </c>
      <c r="Y199" s="28" t="s">
        <v>1423</v>
      </c>
      <c r="Z199" s="28" t="s">
        <v>1423</v>
      </c>
      <c r="AA199" s="28" t="s">
        <v>1423</v>
      </c>
      <c r="AB199" s="28" t="s">
        <v>1423</v>
      </c>
      <c r="AC199" s="28" t="s">
        <v>1423</v>
      </c>
      <c r="AD199" s="28" t="s">
        <v>1423</v>
      </c>
      <c r="AE199" s="28" t="s">
        <v>1423</v>
      </c>
      <c r="AF199" s="28" t="s">
        <v>1423</v>
      </c>
      <c r="AG199" s="28" t="s">
        <v>1423</v>
      </c>
      <c r="AH199" s="28" t="s">
        <v>1423</v>
      </c>
      <c r="AI199" s="28" t="s">
        <v>1423</v>
      </c>
      <c r="AJ199" s="28" t="s">
        <v>1423</v>
      </c>
      <c r="AK199" s="29" t="s">
        <v>1423</v>
      </c>
      <c r="AL199" s="29" t="s">
        <v>1423</v>
      </c>
    </row>
    <row r="200" spans="1:38">
      <c r="A200" s="29" t="s">
        <v>293</v>
      </c>
      <c r="B200" s="28" t="s">
        <v>1421</v>
      </c>
      <c r="C200" s="28" t="s">
        <v>1421</v>
      </c>
      <c r="D200" s="28" t="s">
        <v>1421</v>
      </c>
      <c r="E200" s="28" t="s">
        <v>1421</v>
      </c>
      <c r="F200" s="28" t="s">
        <v>1421</v>
      </c>
      <c r="G200" s="28" t="s">
        <v>1421</v>
      </c>
      <c r="H200" s="28" t="s">
        <v>1421</v>
      </c>
      <c r="I200" s="28" t="s">
        <v>1421</v>
      </c>
      <c r="J200" s="28" t="s">
        <v>1421</v>
      </c>
      <c r="K200" s="28" t="s">
        <v>1421</v>
      </c>
      <c r="L200" s="28" t="s">
        <v>1421</v>
      </c>
      <c r="M200" s="28" t="s">
        <v>1421</v>
      </c>
      <c r="N200" s="28" t="s">
        <v>1421</v>
      </c>
      <c r="O200" s="28" t="s">
        <v>1421</v>
      </c>
      <c r="P200" s="28" t="s">
        <v>1421</v>
      </c>
      <c r="Q200" s="28" t="s">
        <v>1421</v>
      </c>
      <c r="R200" s="28" t="s">
        <v>1421</v>
      </c>
      <c r="S200" s="28" t="s">
        <v>1421</v>
      </c>
      <c r="T200" s="28" t="s">
        <v>1421</v>
      </c>
      <c r="U200" s="28" t="s">
        <v>1421</v>
      </c>
      <c r="V200" s="28" t="s">
        <v>1421</v>
      </c>
      <c r="W200" s="28" t="s">
        <v>1421</v>
      </c>
      <c r="X200" s="28" t="s">
        <v>1421</v>
      </c>
      <c r="Y200" s="28" t="s">
        <v>1422</v>
      </c>
      <c r="Z200" s="28" t="s">
        <v>1422</v>
      </c>
      <c r="AA200" s="28" t="s">
        <v>1422</v>
      </c>
      <c r="AB200" s="28" t="s">
        <v>1422</v>
      </c>
      <c r="AC200" s="28" t="s">
        <v>1422</v>
      </c>
      <c r="AD200" s="28" t="s">
        <v>1421</v>
      </c>
      <c r="AE200" s="28" t="s">
        <v>1421</v>
      </c>
      <c r="AF200" s="28" t="s">
        <v>1421</v>
      </c>
      <c r="AG200" s="28" t="s">
        <v>1421</v>
      </c>
      <c r="AH200" s="28" t="s">
        <v>1421</v>
      </c>
      <c r="AI200" s="28" t="s">
        <v>1421</v>
      </c>
      <c r="AJ200" s="28" t="s">
        <v>1421</v>
      </c>
      <c r="AK200" s="29" t="s">
        <v>1421</v>
      </c>
      <c r="AL200" s="29" t="s">
        <v>1421</v>
      </c>
    </row>
    <row r="201" spans="1:38">
      <c r="A201" s="29" t="s">
        <v>259</v>
      </c>
      <c r="B201" s="28" t="s">
        <v>1421</v>
      </c>
      <c r="C201" s="28" t="s">
        <v>1421</v>
      </c>
      <c r="D201" s="28" t="s">
        <v>1421</v>
      </c>
      <c r="E201" s="28" t="s">
        <v>1421</v>
      </c>
      <c r="F201" s="28" t="s">
        <v>1421</v>
      </c>
      <c r="G201" s="28" t="s">
        <v>1421</v>
      </c>
      <c r="H201" s="28" t="s">
        <v>1421</v>
      </c>
      <c r="I201" s="28" t="s">
        <v>1421</v>
      </c>
      <c r="J201" s="28" t="s">
        <v>1421</v>
      </c>
      <c r="K201" s="28" t="s">
        <v>1421</v>
      </c>
      <c r="L201" s="28" t="s">
        <v>1422</v>
      </c>
      <c r="M201" s="28" t="s">
        <v>1422</v>
      </c>
      <c r="N201" s="28" t="s">
        <v>1421</v>
      </c>
      <c r="O201" s="28" t="s">
        <v>1422</v>
      </c>
      <c r="P201" s="28" t="s">
        <v>1421</v>
      </c>
      <c r="Q201" s="28" t="s">
        <v>1421</v>
      </c>
      <c r="R201" s="28" t="s">
        <v>1421</v>
      </c>
      <c r="S201" s="28" t="s">
        <v>1422</v>
      </c>
      <c r="T201" s="28" t="s">
        <v>1422</v>
      </c>
      <c r="U201" s="28" t="s">
        <v>1422</v>
      </c>
      <c r="V201" s="28" t="s">
        <v>1422</v>
      </c>
      <c r="W201" s="28" t="s">
        <v>1422</v>
      </c>
      <c r="X201" s="28" t="s">
        <v>1422</v>
      </c>
      <c r="Y201" s="28" t="s">
        <v>1422</v>
      </c>
      <c r="Z201" s="28" t="s">
        <v>1422</v>
      </c>
      <c r="AA201" s="28" t="s">
        <v>1422</v>
      </c>
      <c r="AB201" s="28" t="s">
        <v>1422</v>
      </c>
      <c r="AC201" s="28" t="s">
        <v>1422</v>
      </c>
      <c r="AD201" s="28" t="s">
        <v>1422</v>
      </c>
      <c r="AE201" s="28" t="s">
        <v>1422</v>
      </c>
      <c r="AF201" s="28" t="s">
        <v>1422</v>
      </c>
      <c r="AG201" s="28" t="s">
        <v>1422</v>
      </c>
      <c r="AH201" s="28" t="s">
        <v>1422</v>
      </c>
      <c r="AI201" s="28" t="s">
        <v>1422</v>
      </c>
      <c r="AJ201" s="28" t="s">
        <v>1422</v>
      </c>
      <c r="AK201" s="29" t="s">
        <v>1422</v>
      </c>
      <c r="AL201" s="29" t="s">
        <v>1422</v>
      </c>
    </row>
    <row r="202" spans="1:38">
      <c r="A202" s="29" t="s">
        <v>1339</v>
      </c>
      <c r="B202" s="28" t="s">
        <v>1420</v>
      </c>
      <c r="C202" s="28" t="s">
        <v>1420</v>
      </c>
      <c r="D202" s="28" t="s">
        <v>1420</v>
      </c>
      <c r="E202" s="28" t="s">
        <v>1420</v>
      </c>
      <c r="F202" s="28" t="s">
        <v>1421</v>
      </c>
      <c r="G202" s="28" t="s">
        <v>1421</v>
      </c>
      <c r="H202" s="28" t="s">
        <v>1421</v>
      </c>
      <c r="I202" s="28" t="s">
        <v>1421</v>
      </c>
      <c r="J202" s="28" t="s">
        <v>1421</v>
      </c>
      <c r="K202" s="28" t="s">
        <v>1421</v>
      </c>
      <c r="L202" s="28" t="s">
        <v>1419</v>
      </c>
      <c r="M202" s="28" t="s">
        <v>1419</v>
      </c>
      <c r="N202" s="28" t="s">
        <v>1419</v>
      </c>
      <c r="O202" s="28" t="s">
        <v>1421</v>
      </c>
      <c r="P202" s="28" t="s">
        <v>1421</v>
      </c>
      <c r="Q202" s="28" t="s">
        <v>1421</v>
      </c>
      <c r="R202" s="28" t="s">
        <v>1421</v>
      </c>
      <c r="S202" s="28" t="s">
        <v>1421</v>
      </c>
      <c r="T202" s="28" t="s">
        <v>1421</v>
      </c>
      <c r="U202" s="28" t="s">
        <v>1421</v>
      </c>
      <c r="V202" s="28" t="s">
        <v>1421</v>
      </c>
      <c r="W202" s="28" t="s">
        <v>1421</v>
      </c>
      <c r="X202" s="28" t="s">
        <v>1421</v>
      </c>
      <c r="Y202" s="28" t="s">
        <v>1421</v>
      </c>
      <c r="Z202" s="28" t="s">
        <v>1422</v>
      </c>
      <c r="AA202" s="28" t="s">
        <v>1422</v>
      </c>
      <c r="AB202" s="28" t="s">
        <v>1422</v>
      </c>
      <c r="AC202" s="28" t="s">
        <v>1422</v>
      </c>
      <c r="AD202" s="28" t="s">
        <v>1422</v>
      </c>
      <c r="AE202" s="28" t="s">
        <v>1422</v>
      </c>
      <c r="AF202" s="28" t="s">
        <v>1422</v>
      </c>
      <c r="AG202" s="28" t="s">
        <v>1422</v>
      </c>
      <c r="AH202" s="28" t="s">
        <v>1422</v>
      </c>
      <c r="AI202" s="28" t="s">
        <v>1422</v>
      </c>
      <c r="AJ202" s="28" t="s">
        <v>1422</v>
      </c>
      <c r="AK202" s="29" t="s">
        <v>1422</v>
      </c>
      <c r="AL202" s="29" t="s">
        <v>1422</v>
      </c>
    </row>
    <row r="203" spans="1:38">
      <c r="A203" s="29" t="s">
        <v>1333</v>
      </c>
      <c r="B203" s="28" t="s">
        <v>1420</v>
      </c>
      <c r="C203" s="28" t="s">
        <v>1420</v>
      </c>
      <c r="D203" s="28" t="s">
        <v>1420</v>
      </c>
      <c r="E203" s="28" t="s">
        <v>1420</v>
      </c>
      <c r="F203" s="28" t="s">
        <v>1420</v>
      </c>
      <c r="G203" s="28" t="s">
        <v>1420</v>
      </c>
      <c r="H203" s="28" t="s">
        <v>1420</v>
      </c>
      <c r="I203" s="28" t="s">
        <v>1420</v>
      </c>
      <c r="J203" s="28" t="s">
        <v>1420</v>
      </c>
      <c r="K203" s="28" t="s">
        <v>1420</v>
      </c>
      <c r="L203" s="28" t="s">
        <v>1420</v>
      </c>
      <c r="M203" s="28" t="s">
        <v>1420</v>
      </c>
      <c r="N203" s="28" t="s">
        <v>1420</v>
      </c>
      <c r="O203" s="28" t="s">
        <v>1420</v>
      </c>
      <c r="P203" s="28" t="s">
        <v>1420</v>
      </c>
      <c r="Q203" s="28" t="s">
        <v>1420</v>
      </c>
      <c r="R203" s="28" t="s">
        <v>1420</v>
      </c>
      <c r="S203" s="28" t="s">
        <v>1420</v>
      </c>
      <c r="T203" s="28" t="s">
        <v>1420</v>
      </c>
      <c r="U203" s="28" t="s">
        <v>1420</v>
      </c>
      <c r="V203" s="28" t="s">
        <v>1420</v>
      </c>
      <c r="W203" s="28" t="s">
        <v>1420</v>
      </c>
      <c r="X203" s="28" t="s">
        <v>1423</v>
      </c>
      <c r="Y203" s="28" t="s">
        <v>1423</v>
      </c>
      <c r="Z203" s="28" t="s">
        <v>1423</v>
      </c>
      <c r="AA203" s="28" t="s">
        <v>1423</v>
      </c>
      <c r="AB203" s="28" t="s">
        <v>1423</v>
      </c>
      <c r="AC203" s="28" t="s">
        <v>1423</v>
      </c>
      <c r="AD203" s="28" t="s">
        <v>1423</v>
      </c>
      <c r="AE203" s="28" t="s">
        <v>1423</v>
      </c>
      <c r="AF203" s="28" t="s">
        <v>1423</v>
      </c>
      <c r="AG203" s="28" t="s">
        <v>1423</v>
      </c>
      <c r="AH203" s="28" t="s">
        <v>1423</v>
      </c>
      <c r="AI203" s="28" t="s">
        <v>1423</v>
      </c>
      <c r="AJ203" s="28" t="s">
        <v>1423</v>
      </c>
      <c r="AK203" s="29" t="s">
        <v>1423</v>
      </c>
      <c r="AL203" s="29" t="s">
        <v>1423</v>
      </c>
    </row>
    <row r="204" spans="1:38">
      <c r="A204" s="29" t="s">
        <v>1347</v>
      </c>
      <c r="B204" s="28" t="s">
        <v>1420</v>
      </c>
      <c r="C204" s="28" t="s">
        <v>1420</v>
      </c>
      <c r="D204" s="28" t="s">
        <v>1420</v>
      </c>
      <c r="E204" s="28" t="s">
        <v>1420</v>
      </c>
      <c r="F204" s="28" t="s">
        <v>1420</v>
      </c>
      <c r="G204" s="28" t="s">
        <v>1420</v>
      </c>
      <c r="H204" s="28" t="s">
        <v>1420</v>
      </c>
      <c r="I204" s="28" t="s">
        <v>1420</v>
      </c>
      <c r="J204" s="28" t="s">
        <v>1420</v>
      </c>
      <c r="K204" s="28" t="s">
        <v>1420</v>
      </c>
      <c r="L204" s="28" t="s">
        <v>1420</v>
      </c>
      <c r="M204" s="28" t="s">
        <v>1420</v>
      </c>
      <c r="N204" s="28" t="s">
        <v>1420</v>
      </c>
      <c r="O204" s="28" t="s">
        <v>1420</v>
      </c>
      <c r="P204" s="28" t="s">
        <v>1420</v>
      </c>
      <c r="Q204" s="28" t="s">
        <v>1420</v>
      </c>
      <c r="R204" s="28" t="s">
        <v>1420</v>
      </c>
      <c r="S204" s="28" t="s">
        <v>1420</v>
      </c>
      <c r="T204" s="28" t="s">
        <v>1420</v>
      </c>
      <c r="U204" s="28" t="s">
        <v>1420</v>
      </c>
      <c r="V204" s="28" t="s">
        <v>1420</v>
      </c>
      <c r="W204" s="28" t="s">
        <v>1420</v>
      </c>
      <c r="X204" s="28" t="s">
        <v>1421</v>
      </c>
      <c r="Y204" s="28" t="s">
        <v>1421</v>
      </c>
      <c r="Z204" s="28" t="s">
        <v>1422</v>
      </c>
      <c r="AA204" s="28" t="s">
        <v>1422</v>
      </c>
      <c r="AB204" s="28" t="s">
        <v>1422</v>
      </c>
      <c r="AC204" s="28" t="s">
        <v>1422</v>
      </c>
      <c r="AD204" s="28" t="s">
        <v>1422</v>
      </c>
      <c r="AE204" s="28" t="s">
        <v>1422</v>
      </c>
      <c r="AF204" s="28" t="s">
        <v>1422</v>
      </c>
      <c r="AG204" s="28" t="s">
        <v>1422</v>
      </c>
      <c r="AH204" s="28" t="s">
        <v>1422</v>
      </c>
      <c r="AI204" s="28" t="s">
        <v>1422</v>
      </c>
      <c r="AJ204" s="28" t="s">
        <v>1422</v>
      </c>
      <c r="AK204" s="29" t="s">
        <v>1422</v>
      </c>
      <c r="AL204" s="29" t="s">
        <v>1422</v>
      </c>
    </row>
    <row r="205" spans="1:38">
      <c r="A205" s="29" t="s">
        <v>1349</v>
      </c>
      <c r="B205" s="28" t="s">
        <v>1419</v>
      </c>
      <c r="C205" s="28" t="s">
        <v>1419</v>
      </c>
      <c r="D205" s="28" t="s">
        <v>1419</v>
      </c>
      <c r="E205" s="28" t="s">
        <v>1419</v>
      </c>
      <c r="F205" s="28" t="s">
        <v>1419</v>
      </c>
      <c r="G205" s="28" t="s">
        <v>1419</v>
      </c>
      <c r="H205" s="28" t="s">
        <v>1419</v>
      </c>
      <c r="I205" s="28" t="s">
        <v>1419</v>
      </c>
      <c r="J205" s="28" t="s">
        <v>1419</v>
      </c>
      <c r="K205" s="28" t="s">
        <v>1419</v>
      </c>
      <c r="L205" s="28" t="s">
        <v>1419</v>
      </c>
      <c r="M205" s="28" t="s">
        <v>1419</v>
      </c>
      <c r="N205" s="28" t="s">
        <v>1419</v>
      </c>
      <c r="O205" s="28" t="s">
        <v>1419</v>
      </c>
      <c r="P205" s="28" t="s">
        <v>1419</v>
      </c>
      <c r="Q205" s="28" t="s">
        <v>1419</v>
      </c>
      <c r="R205" s="28" t="s">
        <v>1419</v>
      </c>
      <c r="S205" s="28" t="s">
        <v>1419</v>
      </c>
      <c r="T205" s="28" t="s">
        <v>1419</v>
      </c>
      <c r="U205" s="28" t="s">
        <v>1419</v>
      </c>
      <c r="V205" s="28" t="s">
        <v>1419</v>
      </c>
      <c r="W205" s="28" t="s">
        <v>1419</v>
      </c>
      <c r="X205" s="28" t="s">
        <v>1419</v>
      </c>
      <c r="Y205" s="28" t="s">
        <v>1419</v>
      </c>
      <c r="Z205" s="28" t="s">
        <v>1419</v>
      </c>
      <c r="AA205" s="28" t="s">
        <v>1419</v>
      </c>
      <c r="AB205" s="28" t="s">
        <v>1419</v>
      </c>
      <c r="AC205" s="28" t="s">
        <v>1419</v>
      </c>
      <c r="AD205" s="28" t="s">
        <v>1419</v>
      </c>
      <c r="AE205" s="28" t="s">
        <v>1419</v>
      </c>
      <c r="AF205" s="28" t="s">
        <v>1419</v>
      </c>
      <c r="AG205" s="28" t="s">
        <v>1419</v>
      </c>
      <c r="AH205" s="28" t="s">
        <v>1419</v>
      </c>
      <c r="AI205" s="28" t="s">
        <v>1419</v>
      </c>
      <c r="AJ205" s="28" t="s">
        <v>1419</v>
      </c>
      <c r="AK205" s="29" t="s">
        <v>1419</v>
      </c>
      <c r="AL205" s="29" t="s">
        <v>1419</v>
      </c>
    </row>
    <row r="206" spans="1:38">
      <c r="A206" s="29" t="s">
        <v>1350</v>
      </c>
      <c r="B206" s="28" t="s">
        <v>1420</v>
      </c>
      <c r="C206" s="28" t="s">
        <v>1420</v>
      </c>
      <c r="D206" s="28" t="s">
        <v>1420</v>
      </c>
      <c r="E206" s="28" t="s">
        <v>1420</v>
      </c>
      <c r="F206" s="28" t="s">
        <v>1421</v>
      </c>
      <c r="G206" s="28" t="s">
        <v>1421</v>
      </c>
      <c r="H206" s="28" t="s">
        <v>1421</v>
      </c>
      <c r="I206" s="28" t="s">
        <v>1421</v>
      </c>
      <c r="J206" s="28" t="s">
        <v>1421</v>
      </c>
      <c r="K206" s="28" t="s">
        <v>1421</v>
      </c>
      <c r="L206" s="28" t="s">
        <v>1421</v>
      </c>
      <c r="M206" s="28" t="s">
        <v>1421</v>
      </c>
      <c r="N206" s="28" t="s">
        <v>1419</v>
      </c>
      <c r="O206" s="28" t="s">
        <v>1419</v>
      </c>
      <c r="P206" s="28" t="s">
        <v>1419</v>
      </c>
      <c r="Q206" s="28" t="s">
        <v>1421</v>
      </c>
      <c r="R206" s="28" t="s">
        <v>1421</v>
      </c>
      <c r="S206" s="28" t="s">
        <v>1421</v>
      </c>
      <c r="T206" s="28" t="s">
        <v>1421</v>
      </c>
      <c r="U206" s="28" t="s">
        <v>1421</v>
      </c>
      <c r="V206" s="28" t="s">
        <v>1421</v>
      </c>
      <c r="W206" s="28" t="s">
        <v>1421</v>
      </c>
      <c r="X206" s="28" t="s">
        <v>1421</v>
      </c>
      <c r="Y206" s="28" t="s">
        <v>1421</v>
      </c>
      <c r="Z206" s="28" t="s">
        <v>1421</v>
      </c>
      <c r="AA206" s="28" t="s">
        <v>1421</v>
      </c>
      <c r="AB206" s="28" t="s">
        <v>1421</v>
      </c>
      <c r="AC206" s="28" t="s">
        <v>1421</v>
      </c>
      <c r="AD206" s="28" t="s">
        <v>1421</v>
      </c>
      <c r="AE206" s="28" t="s">
        <v>1421</v>
      </c>
      <c r="AF206" s="28" t="s">
        <v>1421</v>
      </c>
      <c r="AG206" s="28" t="s">
        <v>1421</v>
      </c>
      <c r="AH206" s="28" t="s">
        <v>1421</v>
      </c>
      <c r="AI206" s="28" t="s">
        <v>1421</v>
      </c>
      <c r="AJ206" s="28" t="s">
        <v>1421</v>
      </c>
      <c r="AK206" s="29" t="s">
        <v>1421</v>
      </c>
      <c r="AL206" s="29" t="s">
        <v>1422</v>
      </c>
    </row>
    <row r="207" spans="1:38">
      <c r="A207" s="29" t="s">
        <v>1139</v>
      </c>
      <c r="B207" s="28" t="s">
        <v>1423</v>
      </c>
      <c r="C207" s="28" t="s">
        <v>1423</v>
      </c>
      <c r="D207" s="28" t="s">
        <v>1423</v>
      </c>
      <c r="E207" s="28" t="s">
        <v>1423</v>
      </c>
      <c r="F207" s="28" t="s">
        <v>1423</v>
      </c>
      <c r="G207" s="28" t="s">
        <v>1423</v>
      </c>
      <c r="H207" s="28" t="s">
        <v>1423</v>
      </c>
      <c r="I207" s="28" t="s">
        <v>1423</v>
      </c>
      <c r="J207" s="28" t="s">
        <v>1423</v>
      </c>
      <c r="K207" s="28" t="s">
        <v>1423</v>
      </c>
      <c r="L207" s="28" t="s">
        <v>1423</v>
      </c>
      <c r="M207" s="28" t="s">
        <v>1423</v>
      </c>
      <c r="N207" s="28" t="s">
        <v>1423</v>
      </c>
      <c r="O207" s="28" t="s">
        <v>1423</v>
      </c>
      <c r="P207" s="28" t="s">
        <v>1423</v>
      </c>
      <c r="Q207" s="28" t="s">
        <v>1423</v>
      </c>
      <c r="R207" s="28" t="s">
        <v>1423</v>
      </c>
      <c r="S207" s="28" t="s">
        <v>1423</v>
      </c>
      <c r="T207" s="28" t="s">
        <v>1423</v>
      </c>
      <c r="U207" s="28" t="s">
        <v>1423</v>
      </c>
      <c r="V207" s="28" t="s">
        <v>1423</v>
      </c>
      <c r="W207" s="28" t="s">
        <v>1423</v>
      </c>
      <c r="X207" s="28" t="s">
        <v>1423</v>
      </c>
      <c r="Y207" s="28" t="s">
        <v>1423</v>
      </c>
      <c r="Z207" s="28" t="s">
        <v>1423</v>
      </c>
      <c r="AA207" s="28" t="s">
        <v>1423</v>
      </c>
      <c r="AB207" s="28" t="s">
        <v>1423</v>
      </c>
      <c r="AC207" s="28" t="s">
        <v>1423</v>
      </c>
      <c r="AD207" s="28" t="s">
        <v>1423</v>
      </c>
      <c r="AE207" s="28" t="s">
        <v>1423</v>
      </c>
      <c r="AF207" s="28" t="s">
        <v>1423</v>
      </c>
      <c r="AG207" s="28" t="s">
        <v>1423</v>
      </c>
      <c r="AH207" s="28" t="s">
        <v>1423</v>
      </c>
      <c r="AI207" s="28" t="s">
        <v>1423</v>
      </c>
      <c r="AJ207" s="28" t="s">
        <v>1423</v>
      </c>
      <c r="AK207" s="29" t="s">
        <v>1423</v>
      </c>
      <c r="AL207" s="29" t="s">
        <v>1423</v>
      </c>
    </row>
    <row r="208" spans="1:38">
      <c r="A208" s="29" t="s">
        <v>1201</v>
      </c>
      <c r="B208" s="28" t="s">
        <v>1423</v>
      </c>
      <c r="C208" s="28" t="s">
        <v>1423</v>
      </c>
      <c r="D208" s="28" t="s">
        <v>1423</v>
      </c>
      <c r="E208" s="28" t="s">
        <v>1423</v>
      </c>
      <c r="F208" s="28" t="s">
        <v>1423</v>
      </c>
      <c r="G208" s="28" t="s">
        <v>1423</v>
      </c>
      <c r="H208" s="28" t="s">
        <v>1423</v>
      </c>
      <c r="I208" s="28" t="s">
        <v>1423</v>
      </c>
      <c r="J208" s="28" t="s">
        <v>1423</v>
      </c>
      <c r="K208" s="28" t="s">
        <v>1423</v>
      </c>
      <c r="L208" s="28" t="s">
        <v>1423</v>
      </c>
      <c r="M208" s="28" t="s">
        <v>1423</v>
      </c>
      <c r="N208" s="28" t="s">
        <v>1423</v>
      </c>
      <c r="O208" s="28" t="s">
        <v>1423</v>
      </c>
      <c r="P208" s="28" t="s">
        <v>1423</v>
      </c>
      <c r="Q208" s="28" t="s">
        <v>1423</v>
      </c>
      <c r="R208" s="28" t="s">
        <v>1423</v>
      </c>
      <c r="S208" s="28" t="s">
        <v>1423</v>
      </c>
      <c r="T208" s="28" t="s">
        <v>1423</v>
      </c>
      <c r="U208" s="28" t="s">
        <v>1423</v>
      </c>
      <c r="V208" s="28" t="s">
        <v>1423</v>
      </c>
      <c r="W208" s="28" t="s">
        <v>1423</v>
      </c>
      <c r="X208" s="28" t="s">
        <v>1423</v>
      </c>
      <c r="Y208" s="28" t="s">
        <v>1423</v>
      </c>
      <c r="Z208" s="28" t="s">
        <v>1423</v>
      </c>
      <c r="AA208" s="28" t="s">
        <v>1423</v>
      </c>
      <c r="AB208" s="28" t="s">
        <v>1423</v>
      </c>
      <c r="AC208" s="28" t="s">
        <v>1423</v>
      </c>
      <c r="AD208" s="28" t="s">
        <v>1423</v>
      </c>
      <c r="AE208" s="28" t="s">
        <v>1423</v>
      </c>
      <c r="AF208" s="28" t="s">
        <v>1423</v>
      </c>
      <c r="AG208" s="28" t="s">
        <v>1423</v>
      </c>
      <c r="AH208" s="28" t="s">
        <v>1423</v>
      </c>
      <c r="AI208" s="28" t="s">
        <v>1423</v>
      </c>
      <c r="AJ208" s="28" t="s">
        <v>1423</v>
      </c>
      <c r="AK208" s="29" t="s">
        <v>1423</v>
      </c>
      <c r="AL208" s="29" t="s">
        <v>1423</v>
      </c>
    </row>
    <row r="209" spans="1:38">
      <c r="A209" s="29" t="s">
        <v>151</v>
      </c>
      <c r="B209" s="28" t="s">
        <v>1423</v>
      </c>
      <c r="C209" s="28" t="s">
        <v>1423</v>
      </c>
      <c r="D209" s="28" t="s">
        <v>1423</v>
      </c>
      <c r="E209" s="28" t="s">
        <v>1423</v>
      </c>
      <c r="F209" s="28" t="s">
        <v>1423</v>
      </c>
      <c r="G209" s="28" t="s">
        <v>1423</v>
      </c>
      <c r="H209" s="28" t="s">
        <v>1423</v>
      </c>
      <c r="I209" s="28" t="s">
        <v>1423</v>
      </c>
      <c r="J209" s="28" t="s">
        <v>1423</v>
      </c>
      <c r="K209" s="28" t="s">
        <v>1423</v>
      </c>
      <c r="L209" s="28" t="s">
        <v>1423</v>
      </c>
      <c r="M209" s="28" t="s">
        <v>1423</v>
      </c>
      <c r="N209" s="28" t="s">
        <v>1423</v>
      </c>
      <c r="O209" s="28" t="s">
        <v>1423</v>
      </c>
      <c r="P209" s="28" t="s">
        <v>1423</v>
      </c>
      <c r="Q209" s="28" t="s">
        <v>1423</v>
      </c>
      <c r="R209" s="28" t="s">
        <v>1423</v>
      </c>
      <c r="S209" s="28" t="s">
        <v>1423</v>
      </c>
      <c r="T209" s="28" t="s">
        <v>1423</v>
      </c>
      <c r="U209" s="28" t="s">
        <v>1423</v>
      </c>
      <c r="V209" s="28" t="s">
        <v>1423</v>
      </c>
      <c r="W209" s="28" t="s">
        <v>1423</v>
      </c>
      <c r="X209" s="28" t="s">
        <v>1423</v>
      </c>
      <c r="Y209" s="28" t="s">
        <v>1423</v>
      </c>
      <c r="Z209" s="28" t="s">
        <v>1423</v>
      </c>
      <c r="AA209" s="28" t="s">
        <v>1423</v>
      </c>
      <c r="AB209" s="28" t="s">
        <v>1423</v>
      </c>
      <c r="AC209" s="28" t="s">
        <v>1423</v>
      </c>
      <c r="AD209" s="28" t="s">
        <v>1423</v>
      </c>
      <c r="AE209" s="28" t="s">
        <v>1423</v>
      </c>
      <c r="AF209" s="28" t="s">
        <v>1423</v>
      </c>
      <c r="AG209" s="28" t="s">
        <v>1423</v>
      </c>
      <c r="AH209" s="28" t="s">
        <v>1423</v>
      </c>
      <c r="AI209" s="28" t="s">
        <v>1423</v>
      </c>
      <c r="AJ209" s="28" t="s">
        <v>1423</v>
      </c>
      <c r="AK209" s="29" t="s">
        <v>1423</v>
      </c>
      <c r="AL209" s="29" t="s">
        <v>1423</v>
      </c>
    </row>
    <row r="210" spans="1:38">
      <c r="A210" s="29" t="s">
        <v>212</v>
      </c>
      <c r="B210" s="28" t="s">
        <v>1422</v>
      </c>
      <c r="C210" s="28" t="s">
        <v>1422</v>
      </c>
      <c r="D210" s="28" t="s">
        <v>1422</v>
      </c>
      <c r="E210" s="28" t="s">
        <v>1422</v>
      </c>
      <c r="F210" s="28" t="s">
        <v>1422</v>
      </c>
      <c r="G210" s="28" t="s">
        <v>1422</v>
      </c>
      <c r="H210" s="28" t="s">
        <v>1422</v>
      </c>
      <c r="I210" s="28" t="s">
        <v>1422</v>
      </c>
      <c r="J210" s="28" t="s">
        <v>1422</v>
      </c>
      <c r="K210" s="28" t="s">
        <v>1422</v>
      </c>
      <c r="L210" s="28" t="s">
        <v>1422</v>
      </c>
      <c r="M210" s="28" t="s">
        <v>1422</v>
      </c>
      <c r="N210" s="28" t="s">
        <v>1422</v>
      </c>
      <c r="O210" s="28" t="s">
        <v>1422</v>
      </c>
      <c r="P210" s="28" t="s">
        <v>1422</v>
      </c>
      <c r="Q210" s="28" t="s">
        <v>1422</v>
      </c>
      <c r="R210" s="28" t="s">
        <v>1422</v>
      </c>
      <c r="S210" s="28" t="s">
        <v>1422</v>
      </c>
      <c r="T210" s="28" t="s">
        <v>1422</v>
      </c>
      <c r="U210" s="28" t="s">
        <v>1422</v>
      </c>
      <c r="V210" s="28" t="s">
        <v>1422</v>
      </c>
      <c r="W210" s="28" t="s">
        <v>1422</v>
      </c>
      <c r="X210" s="28" t="s">
        <v>1422</v>
      </c>
      <c r="Y210" s="28" t="s">
        <v>1422</v>
      </c>
      <c r="Z210" s="28" t="s">
        <v>1422</v>
      </c>
      <c r="AA210" s="28" t="s">
        <v>1423</v>
      </c>
      <c r="AB210" s="28" t="s">
        <v>1423</v>
      </c>
      <c r="AC210" s="28" t="s">
        <v>1423</v>
      </c>
      <c r="AD210" s="28" t="s">
        <v>1423</v>
      </c>
      <c r="AE210" s="28" t="s">
        <v>1423</v>
      </c>
      <c r="AF210" s="28" t="s">
        <v>1423</v>
      </c>
      <c r="AG210" s="28" t="s">
        <v>1423</v>
      </c>
      <c r="AH210" s="28" t="s">
        <v>1423</v>
      </c>
      <c r="AI210" s="28" t="s">
        <v>1423</v>
      </c>
      <c r="AJ210" s="28" t="s">
        <v>1423</v>
      </c>
      <c r="AK210" s="29" t="s">
        <v>1423</v>
      </c>
      <c r="AL210" s="29" t="s">
        <v>1423</v>
      </c>
    </row>
    <row r="211" spans="1:38">
      <c r="A211" s="29" t="s">
        <v>1352</v>
      </c>
      <c r="B211" s="28" t="s">
        <v>1420</v>
      </c>
      <c r="C211" s="28" t="s">
        <v>1420</v>
      </c>
      <c r="D211" s="28" t="s">
        <v>1420</v>
      </c>
      <c r="E211" s="28" t="s">
        <v>1420</v>
      </c>
      <c r="F211" s="28" t="s">
        <v>1421</v>
      </c>
      <c r="G211" s="28" t="s">
        <v>1421</v>
      </c>
      <c r="H211" s="28" t="s">
        <v>1421</v>
      </c>
      <c r="I211" s="28" t="s">
        <v>1421</v>
      </c>
      <c r="J211" s="28" t="s">
        <v>1421</v>
      </c>
      <c r="K211" s="28" t="s">
        <v>1421</v>
      </c>
      <c r="L211" s="28" t="s">
        <v>1421</v>
      </c>
      <c r="M211" s="28" t="s">
        <v>1421</v>
      </c>
      <c r="N211" s="28" t="s">
        <v>1419</v>
      </c>
      <c r="O211" s="28" t="s">
        <v>1419</v>
      </c>
      <c r="P211" s="28" t="s">
        <v>1419</v>
      </c>
      <c r="Q211" s="28" t="s">
        <v>1419</v>
      </c>
      <c r="R211" s="28" t="s">
        <v>1419</v>
      </c>
      <c r="S211" s="28" t="s">
        <v>1419</v>
      </c>
      <c r="T211" s="28" t="s">
        <v>1419</v>
      </c>
      <c r="U211" s="28" t="s">
        <v>1419</v>
      </c>
      <c r="V211" s="28" t="s">
        <v>1419</v>
      </c>
      <c r="W211" s="28" t="s">
        <v>1419</v>
      </c>
      <c r="X211" s="28" t="s">
        <v>1421</v>
      </c>
      <c r="Y211" s="28" t="s">
        <v>1421</v>
      </c>
      <c r="Z211" s="28" t="s">
        <v>1421</v>
      </c>
      <c r="AA211" s="28" t="s">
        <v>1421</v>
      </c>
      <c r="AB211" s="28" t="s">
        <v>1421</v>
      </c>
      <c r="AC211" s="28" t="s">
        <v>1421</v>
      </c>
      <c r="AD211" s="28" t="s">
        <v>1421</v>
      </c>
      <c r="AE211" s="28" t="s">
        <v>1421</v>
      </c>
      <c r="AF211" s="28" t="s">
        <v>1421</v>
      </c>
      <c r="AG211" s="28" t="s">
        <v>1421</v>
      </c>
      <c r="AH211" s="28" t="s">
        <v>1421</v>
      </c>
      <c r="AI211" s="28" t="s">
        <v>1421</v>
      </c>
      <c r="AJ211" s="28" t="s">
        <v>1421</v>
      </c>
      <c r="AK211" s="29" t="s">
        <v>1421</v>
      </c>
      <c r="AL211" s="29" t="s">
        <v>1421</v>
      </c>
    </row>
    <row r="212" spans="1:38">
      <c r="A212" s="29" t="s">
        <v>1358</v>
      </c>
      <c r="B212" s="28" t="s">
        <v>1421</v>
      </c>
      <c r="C212" s="28" t="s">
        <v>1421</v>
      </c>
      <c r="D212" s="28" t="s">
        <v>1421</v>
      </c>
      <c r="E212" s="28" t="s">
        <v>1421</v>
      </c>
      <c r="F212" s="28" t="s">
        <v>1421</v>
      </c>
      <c r="G212" s="28" t="s">
        <v>1421</v>
      </c>
      <c r="H212" s="28" t="s">
        <v>1421</v>
      </c>
      <c r="I212" s="28" t="s">
        <v>1421</v>
      </c>
      <c r="J212" s="28" t="s">
        <v>1421</v>
      </c>
      <c r="K212" s="28" t="s">
        <v>1421</v>
      </c>
      <c r="L212" s="28" t="s">
        <v>1421</v>
      </c>
      <c r="M212" s="28" t="s">
        <v>1421</v>
      </c>
      <c r="N212" s="28" t="s">
        <v>1421</v>
      </c>
      <c r="O212" s="28" t="s">
        <v>1421</v>
      </c>
      <c r="P212" s="28" t="s">
        <v>1421</v>
      </c>
      <c r="Q212" s="28" t="s">
        <v>1421</v>
      </c>
      <c r="R212" s="28" t="s">
        <v>1421</v>
      </c>
      <c r="S212" s="28" t="s">
        <v>1421</v>
      </c>
      <c r="T212" s="28" t="s">
        <v>1421</v>
      </c>
      <c r="U212" s="28" t="s">
        <v>1421</v>
      </c>
      <c r="V212" s="28" t="s">
        <v>1421</v>
      </c>
      <c r="W212" s="28" t="s">
        <v>1421</v>
      </c>
      <c r="X212" s="28" t="s">
        <v>1421</v>
      </c>
      <c r="Y212" s="28" t="s">
        <v>1421</v>
      </c>
      <c r="Z212" s="28" t="s">
        <v>1421</v>
      </c>
      <c r="AA212" s="28" t="s">
        <v>1421</v>
      </c>
      <c r="AB212" s="28" t="s">
        <v>1421</v>
      </c>
      <c r="AC212" s="28" t="s">
        <v>1421</v>
      </c>
      <c r="AD212" s="28" t="s">
        <v>1421</v>
      </c>
      <c r="AE212" s="28" t="s">
        <v>1421</v>
      </c>
      <c r="AF212" s="28" t="s">
        <v>1421</v>
      </c>
      <c r="AG212" s="28" t="s">
        <v>1421</v>
      </c>
      <c r="AH212" s="28" t="s">
        <v>1421</v>
      </c>
      <c r="AI212" s="28" t="s">
        <v>1421</v>
      </c>
      <c r="AJ212" s="28" t="s">
        <v>1421</v>
      </c>
      <c r="AK212" s="29" t="s">
        <v>1421</v>
      </c>
      <c r="AL212" s="29" t="s">
        <v>1421</v>
      </c>
    </row>
    <row r="213" spans="1:38">
      <c r="A213" s="29" t="s">
        <v>1354</v>
      </c>
      <c r="B213" s="28" t="s">
        <v>1422</v>
      </c>
      <c r="C213" s="28" t="s">
        <v>1422</v>
      </c>
      <c r="D213" s="28" t="s">
        <v>1422</v>
      </c>
      <c r="E213" s="28" t="s">
        <v>1422</v>
      </c>
      <c r="F213" s="28" t="s">
        <v>1422</v>
      </c>
      <c r="G213" s="28" t="s">
        <v>1422</v>
      </c>
      <c r="H213" s="28" t="s">
        <v>1422</v>
      </c>
      <c r="I213" s="28" t="s">
        <v>1421</v>
      </c>
      <c r="J213" s="28" t="s">
        <v>1421</v>
      </c>
      <c r="K213" s="28" t="s">
        <v>1421</v>
      </c>
      <c r="L213" s="28" t="s">
        <v>1422</v>
      </c>
      <c r="M213" s="28" t="s">
        <v>1422</v>
      </c>
      <c r="N213" s="28" t="s">
        <v>1422</v>
      </c>
      <c r="O213" s="28" t="s">
        <v>1422</v>
      </c>
      <c r="P213" s="28" t="s">
        <v>1422</v>
      </c>
      <c r="Q213" s="28" t="s">
        <v>1422</v>
      </c>
      <c r="R213" s="28" t="s">
        <v>1422</v>
      </c>
      <c r="S213" s="28" t="s">
        <v>1422</v>
      </c>
      <c r="T213" s="28" t="s">
        <v>1422</v>
      </c>
      <c r="U213" s="28" t="s">
        <v>1422</v>
      </c>
      <c r="V213" s="28" t="s">
        <v>1422</v>
      </c>
      <c r="W213" s="28" t="s">
        <v>1422</v>
      </c>
      <c r="X213" s="28" t="s">
        <v>1422</v>
      </c>
      <c r="Y213" s="28" t="s">
        <v>1422</v>
      </c>
      <c r="Z213" s="28" t="s">
        <v>1422</v>
      </c>
      <c r="AA213" s="28" t="s">
        <v>1422</v>
      </c>
      <c r="AB213" s="28" t="s">
        <v>1422</v>
      </c>
      <c r="AC213" s="28" t="s">
        <v>1423</v>
      </c>
      <c r="AD213" s="28" t="s">
        <v>1422</v>
      </c>
      <c r="AE213" s="28" t="s">
        <v>1422</v>
      </c>
      <c r="AF213" s="28" t="s">
        <v>1422</v>
      </c>
      <c r="AG213" s="28" t="s">
        <v>1422</v>
      </c>
      <c r="AH213" s="28" t="s">
        <v>1422</v>
      </c>
    </row>
    <row r="214" spans="1:38">
      <c r="A214" s="29" t="s">
        <v>1357</v>
      </c>
      <c r="B214" s="28" t="s">
        <v>1419</v>
      </c>
      <c r="C214" s="28" t="s">
        <v>1419</v>
      </c>
      <c r="D214" s="28" t="s">
        <v>1419</v>
      </c>
      <c r="E214" s="28" t="s">
        <v>1419</v>
      </c>
      <c r="F214" s="28" t="s">
        <v>1419</v>
      </c>
      <c r="G214" s="28" t="s">
        <v>1419</v>
      </c>
      <c r="H214" s="28" t="s">
        <v>1419</v>
      </c>
      <c r="I214" s="28" t="s">
        <v>1419</v>
      </c>
      <c r="J214" s="28" t="s">
        <v>1419</v>
      </c>
      <c r="K214" s="28" t="s">
        <v>1419</v>
      </c>
      <c r="L214" s="28" t="s">
        <v>1419</v>
      </c>
      <c r="M214" s="28" t="s">
        <v>1419</v>
      </c>
      <c r="N214" s="28" t="s">
        <v>1419</v>
      </c>
      <c r="O214" s="28" t="s">
        <v>1419</v>
      </c>
      <c r="P214" s="28" t="s">
        <v>1419</v>
      </c>
      <c r="Q214" s="28" t="s">
        <v>1419</v>
      </c>
      <c r="R214" s="28" t="s">
        <v>1419</v>
      </c>
      <c r="S214" s="28" t="s">
        <v>1419</v>
      </c>
      <c r="T214" s="28" t="s">
        <v>1419</v>
      </c>
      <c r="U214" s="28" t="s">
        <v>1419</v>
      </c>
      <c r="V214" s="28" t="s">
        <v>1419</v>
      </c>
      <c r="W214" s="28" t="s">
        <v>1419</v>
      </c>
      <c r="X214" s="28" t="s">
        <v>1421</v>
      </c>
      <c r="Y214" s="28" t="s">
        <v>1421</v>
      </c>
      <c r="Z214" s="28" t="s">
        <v>1421</v>
      </c>
      <c r="AA214" s="28" t="s">
        <v>1421</v>
      </c>
      <c r="AB214" s="28" t="s">
        <v>1421</v>
      </c>
      <c r="AC214" s="28" t="s">
        <v>1421</v>
      </c>
      <c r="AD214" s="28" t="s">
        <v>1421</v>
      </c>
      <c r="AE214" s="28" t="s">
        <v>1421</v>
      </c>
      <c r="AF214" s="28" t="s">
        <v>1421</v>
      </c>
      <c r="AG214" s="28" t="s">
        <v>1421</v>
      </c>
      <c r="AH214" s="28" t="s">
        <v>1421</v>
      </c>
      <c r="AI214" s="28" t="s">
        <v>1421</v>
      </c>
      <c r="AJ214" s="28" t="s">
        <v>1421</v>
      </c>
      <c r="AK214" s="29" t="s">
        <v>1421</v>
      </c>
      <c r="AL214" s="29" t="s">
        <v>1421</v>
      </c>
    </row>
    <row r="215" spans="1:38">
      <c r="A215" s="29" t="s">
        <v>1356</v>
      </c>
      <c r="B215" s="28" t="s">
        <v>1423</v>
      </c>
      <c r="C215" s="28" t="s">
        <v>1423</v>
      </c>
      <c r="D215" s="28" t="s">
        <v>1423</v>
      </c>
      <c r="E215" s="28" t="s">
        <v>1423</v>
      </c>
      <c r="F215" s="28" t="s">
        <v>1423</v>
      </c>
      <c r="G215" s="28" t="s">
        <v>1423</v>
      </c>
      <c r="H215" s="28" t="s">
        <v>1423</v>
      </c>
      <c r="I215" s="28" t="s">
        <v>1423</v>
      </c>
      <c r="J215" s="28" t="s">
        <v>1423</v>
      </c>
      <c r="K215" s="28" t="s">
        <v>1423</v>
      </c>
      <c r="L215" s="28" t="s">
        <v>1423</v>
      </c>
      <c r="M215" s="28" t="s">
        <v>1423</v>
      </c>
      <c r="N215" s="28" t="s">
        <v>1423</v>
      </c>
      <c r="O215" s="28" t="s">
        <v>1423</v>
      </c>
      <c r="P215" s="28" t="s">
        <v>1423</v>
      </c>
      <c r="Q215" s="28" t="s">
        <v>1423</v>
      </c>
      <c r="R215" s="28" t="s">
        <v>1423</v>
      </c>
      <c r="S215" s="28" t="s">
        <v>1423</v>
      </c>
      <c r="T215" s="28" t="s">
        <v>1423</v>
      </c>
      <c r="U215" s="28" t="s">
        <v>1423</v>
      </c>
      <c r="V215" s="28" t="s">
        <v>1423</v>
      </c>
      <c r="W215" s="28" t="s">
        <v>1423</v>
      </c>
      <c r="X215" s="28" t="s">
        <v>1423</v>
      </c>
      <c r="Y215" s="28" t="s">
        <v>1423</v>
      </c>
      <c r="Z215" s="28" t="s">
        <v>1423</v>
      </c>
      <c r="AA215" s="28" t="s">
        <v>1423</v>
      </c>
      <c r="AB215" s="28" t="s">
        <v>1423</v>
      </c>
      <c r="AC215" s="28" t="s">
        <v>1423</v>
      </c>
      <c r="AD215" s="28" t="s">
        <v>1423</v>
      </c>
      <c r="AE215" s="28" t="s">
        <v>1423</v>
      </c>
      <c r="AF215" s="28" t="s">
        <v>1423</v>
      </c>
      <c r="AG215" s="28" t="s">
        <v>1423</v>
      </c>
      <c r="AH215" s="28" t="s">
        <v>1423</v>
      </c>
      <c r="AI215" s="28" t="s">
        <v>1423</v>
      </c>
      <c r="AJ215" s="28" t="s">
        <v>1423</v>
      </c>
      <c r="AK215" s="29" t="s">
        <v>1423</v>
      </c>
      <c r="AL215" s="29" t="s">
        <v>1423</v>
      </c>
    </row>
    <row r="216" spans="1:38">
      <c r="A216" s="29" t="s">
        <v>1303</v>
      </c>
      <c r="B216" s="28" t="s">
        <v>1420</v>
      </c>
      <c r="C216" s="28" t="s">
        <v>1420</v>
      </c>
      <c r="D216" s="28" t="s">
        <v>1420</v>
      </c>
      <c r="E216" s="28" t="s">
        <v>1420</v>
      </c>
      <c r="F216" s="28" t="s">
        <v>1420</v>
      </c>
      <c r="G216" s="28" t="s">
        <v>1420</v>
      </c>
      <c r="H216" s="28" t="s">
        <v>1420</v>
      </c>
      <c r="I216" s="28" t="s">
        <v>1421</v>
      </c>
      <c r="J216" s="28" t="s">
        <v>1421</v>
      </c>
      <c r="K216" s="28" t="s">
        <v>1421</v>
      </c>
      <c r="L216" s="28" t="s">
        <v>1421</v>
      </c>
      <c r="M216" s="28" t="s">
        <v>1421</v>
      </c>
      <c r="N216" s="28" t="s">
        <v>1421</v>
      </c>
      <c r="O216" s="28" t="s">
        <v>1421</v>
      </c>
      <c r="P216" s="28" t="s">
        <v>1421</v>
      </c>
      <c r="Q216" s="28" t="s">
        <v>1421</v>
      </c>
      <c r="R216" s="28" t="s">
        <v>1421</v>
      </c>
      <c r="S216" s="28" t="s">
        <v>1421</v>
      </c>
      <c r="T216" s="28" t="s">
        <v>1421</v>
      </c>
      <c r="U216" s="28" t="s">
        <v>1421</v>
      </c>
      <c r="V216" s="28" t="s">
        <v>1421</v>
      </c>
      <c r="W216" s="28" t="s">
        <v>1421</v>
      </c>
      <c r="X216" s="28" t="s">
        <v>1421</v>
      </c>
      <c r="Y216" s="28" t="s">
        <v>1421</v>
      </c>
      <c r="Z216" s="28" t="s">
        <v>1421</v>
      </c>
      <c r="AA216" s="28" t="s">
        <v>1421</v>
      </c>
      <c r="AB216" s="28" t="s">
        <v>1421</v>
      </c>
      <c r="AC216" s="28" t="s">
        <v>1421</v>
      </c>
      <c r="AD216" s="28" t="s">
        <v>1421</v>
      </c>
      <c r="AE216" s="28" t="s">
        <v>1421</v>
      </c>
      <c r="AF216" s="28" t="s">
        <v>1421</v>
      </c>
      <c r="AG216" s="28" t="s">
        <v>1421</v>
      </c>
      <c r="AH216" s="28" t="s">
        <v>1421</v>
      </c>
      <c r="AI216" s="28" t="s">
        <v>1421</v>
      </c>
      <c r="AJ216" s="28" t="s">
        <v>1421</v>
      </c>
      <c r="AK216" s="29" t="s">
        <v>1422</v>
      </c>
      <c r="AL216" s="29" t="s">
        <v>1421</v>
      </c>
    </row>
    <row r="217" spans="1:38">
      <c r="A217" s="29" t="s">
        <v>1362</v>
      </c>
      <c r="B217" s="28" t="s">
        <v>1430</v>
      </c>
      <c r="C217" s="28" t="s">
        <v>1430</v>
      </c>
      <c r="D217" s="28" t="s">
        <v>1421</v>
      </c>
      <c r="E217" s="28" t="s">
        <v>1421</v>
      </c>
      <c r="F217" s="28" t="s">
        <v>1419</v>
      </c>
      <c r="G217" s="28" t="s">
        <v>1419</v>
      </c>
      <c r="H217" s="28" t="s">
        <v>1419</v>
      </c>
      <c r="I217" s="28" t="s">
        <v>1419</v>
      </c>
      <c r="J217" s="28" t="s">
        <v>1419</v>
      </c>
      <c r="K217" s="28" t="s">
        <v>1419</v>
      </c>
      <c r="L217" s="28" t="s">
        <v>1419</v>
      </c>
      <c r="M217" s="28" t="s">
        <v>1419</v>
      </c>
      <c r="N217" s="28" t="s">
        <v>1419</v>
      </c>
      <c r="O217" s="28" t="s">
        <v>1419</v>
      </c>
      <c r="P217" s="28" t="s">
        <v>1419</v>
      </c>
      <c r="Q217" s="28" t="s">
        <v>1419</v>
      </c>
      <c r="R217" s="28" t="s">
        <v>1419</v>
      </c>
      <c r="S217" s="28" t="s">
        <v>1419</v>
      </c>
      <c r="T217" s="28" t="s">
        <v>1419</v>
      </c>
      <c r="U217" s="28" t="s">
        <v>1419</v>
      </c>
      <c r="V217" s="28" t="s">
        <v>1419</v>
      </c>
      <c r="W217" s="28" t="s">
        <v>1419</v>
      </c>
      <c r="X217" s="28" t="s">
        <v>1421</v>
      </c>
      <c r="Y217" s="28" t="s">
        <v>1421</v>
      </c>
      <c r="Z217" s="28" t="s">
        <v>1421</v>
      </c>
      <c r="AA217" s="28" t="s">
        <v>1421</v>
      </c>
      <c r="AB217" s="28" t="s">
        <v>1421</v>
      </c>
      <c r="AC217" s="28" t="s">
        <v>1421</v>
      </c>
      <c r="AD217" s="28" t="s">
        <v>1421</v>
      </c>
      <c r="AE217" s="28" t="s">
        <v>1421</v>
      </c>
      <c r="AF217" s="28" t="s">
        <v>1419</v>
      </c>
      <c r="AG217" s="28" t="s">
        <v>1419</v>
      </c>
      <c r="AH217" s="28" t="s">
        <v>1419</v>
      </c>
      <c r="AI217" s="28" t="s">
        <v>1419</v>
      </c>
      <c r="AJ217" s="28" t="s">
        <v>1419</v>
      </c>
      <c r="AK217" s="29" t="s">
        <v>1419</v>
      </c>
      <c r="AL217" s="29" t="s">
        <v>1419</v>
      </c>
    </row>
    <row r="218" spans="1:38">
      <c r="A218" s="29" t="s">
        <v>1363</v>
      </c>
      <c r="B218" s="28" t="s">
        <v>1419</v>
      </c>
      <c r="C218" s="28" t="s">
        <v>1419</v>
      </c>
      <c r="D218" s="28" t="s">
        <v>1419</v>
      </c>
      <c r="E218" s="28" t="s">
        <v>1419</v>
      </c>
      <c r="F218" s="28" t="s">
        <v>1419</v>
      </c>
      <c r="G218" s="28" t="s">
        <v>1419</v>
      </c>
      <c r="H218" s="28" t="s">
        <v>1419</v>
      </c>
      <c r="I218" s="28" t="s">
        <v>1419</v>
      </c>
      <c r="J218" s="28" t="s">
        <v>1419</v>
      </c>
      <c r="K218" s="28" t="s">
        <v>1419</v>
      </c>
      <c r="L218" s="28" t="s">
        <v>1419</v>
      </c>
      <c r="M218" s="28" t="s">
        <v>1419</v>
      </c>
      <c r="N218" s="28" t="s">
        <v>1419</v>
      </c>
      <c r="O218" s="28" t="s">
        <v>1419</v>
      </c>
      <c r="P218" s="28" t="s">
        <v>1419</v>
      </c>
      <c r="Q218" s="28" t="s">
        <v>1419</v>
      </c>
      <c r="R218" s="28" t="s">
        <v>1419</v>
      </c>
      <c r="S218" s="28" t="s">
        <v>1419</v>
      </c>
      <c r="T218" s="28" t="s">
        <v>1419</v>
      </c>
      <c r="U218" s="28" t="s">
        <v>1419</v>
      </c>
      <c r="V218" s="28" t="s">
        <v>1419</v>
      </c>
      <c r="W218" s="28" t="s">
        <v>1419</v>
      </c>
      <c r="X218" s="28" t="s">
        <v>1419</v>
      </c>
      <c r="Y218" s="28" t="s">
        <v>1421</v>
      </c>
      <c r="Z218" s="28" t="s">
        <v>1421</v>
      </c>
      <c r="AA218" s="28" t="s">
        <v>1421</v>
      </c>
      <c r="AB218" s="28" t="s">
        <v>1421</v>
      </c>
      <c r="AC218" s="28" t="s">
        <v>1421</v>
      </c>
      <c r="AD218" s="28" t="s">
        <v>1421</v>
      </c>
      <c r="AE218" s="28" t="s">
        <v>1421</v>
      </c>
      <c r="AF218" s="28" t="s">
        <v>1421</v>
      </c>
      <c r="AG218" s="28" t="s">
        <v>1421</v>
      </c>
      <c r="AH218" s="28" t="s">
        <v>1421</v>
      </c>
      <c r="AI218" s="28" t="s">
        <v>1421</v>
      </c>
      <c r="AJ218" s="28" t="s">
        <v>1419</v>
      </c>
      <c r="AK218" s="29" t="s">
        <v>1421</v>
      </c>
      <c r="AL218" s="29" t="s">
        <v>1421</v>
      </c>
    </row>
    <row r="219" spans="1:38">
      <c r="A219" s="29" t="s">
        <v>1364</v>
      </c>
      <c r="B219" s="28" t="s">
        <v>1421</v>
      </c>
      <c r="C219" s="28" t="s">
        <v>1421</v>
      </c>
      <c r="D219" s="28" t="s">
        <v>1421</v>
      </c>
      <c r="E219" s="28" t="s">
        <v>1421</v>
      </c>
      <c r="F219" s="28" t="s">
        <v>1419</v>
      </c>
      <c r="G219" s="28" t="s">
        <v>1419</v>
      </c>
      <c r="H219" s="28" t="s">
        <v>1419</v>
      </c>
      <c r="I219" s="28" t="s">
        <v>1419</v>
      </c>
      <c r="J219" s="28" t="s">
        <v>1419</v>
      </c>
      <c r="K219" s="28" t="s">
        <v>1419</v>
      </c>
      <c r="L219" s="28" t="s">
        <v>1419</v>
      </c>
      <c r="M219" s="28" t="s">
        <v>1419</v>
      </c>
      <c r="N219" s="28" t="s">
        <v>1419</v>
      </c>
      <c r="O219" s="28" t="s">
        <v>1419</v>
      </c>
      <c r="P219" s="28" t="s">
        <v>1419</v>
      </c>
      <c r="Q219" s="28" t="s">
        <v>1419</v>
      </c>
      <c r="R219" s="28" t="s">
        <v>1419</v>
      </c>
      <c r="S219" s="28" t="s">
        <v>1419</v>
      </c>
      <c r="T219" s="28" t="s">
        <v>1419</v>
      </c>
      <c r="U219" s="28" t="s">
        <v>1419</v>
      </c>
      <c r="V219" s="28" t="s">
        <v>1419</v>
      </c>
      <c r="W219" s="28" t="s">
        <v>1419</v>
      </c>
      <c r="X219" s="28" t="s">
        <v>1419</v>
      </c>
      <c r="Y219" s="28" t="s">
        <v>1419</v>
      </c>
      <c r="Z219" s="28" t="s">
        <v>1419</v>
      </c>
      <c r="AA219" s="28" t="s">
        <v>1419</v>
      </c>
      <c r="AB219" s="28" t="s">
        <v>1419</v>
      </c>
      <c r="AC219" s="28" t="s">
        <v>1419</v>
      </c>
      <c r="AD219" s="28" t="s">
        <v>1419</v>
      </c>
      <c r="AE219" s="28" t="s">
        <v>1419</v>
      </c>
      <c r="AF219" s="28" t="s">
        <v>1419</v>
      </c>
      <c r="AG219" s="28" t="s">
        <v>1421</v>
      </c>
      <c r="AH219" s="28" t="s">
        <v>1421</v>
      </c>
      <c r="AI219" s="28" t="s">
        <v>1421</v>
      </c>
      <c r="AJ219" s="28" t="s">
        <v>1421</v>
      </c>
      <c r="AK219" s="29" t="s">
        <v>1421</v>
      </c>
      <c r="AL219" s="29" t="s">
        <v>1421</v>
      </c>
    </row>
  </sheetData>
  <sheetProtection sheet="1" objects="1" scenarios="1"/>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050E2-B864-9840-81C6-0A73DB8EC3BF}">
  <dimension ref="A1:F18"/>
  <sheetViews>
    <sheetView topLeftCell="A8" workbookViewId="0">
      <selection activeCell="F19" sqref="F19"/>
    </sheetView>
  </sheetViews>
  <sheetFormatPr baseColWidth="10" defaultColWidth="11.5" defaultRowHeight="15"/>
  <cols>
    <col min="1" max="1" width="32.5" bestFit="1" customWidth="1"/>
  </cols>
  <sheetData>
    <row r="1" spans="1:6">
      <c r="A1" s="70" t="s">
        <v>12</v>
      </c>
    </row>
    <row r="14" spans="1:6">
      <c r="F14" t="s">
        <v>209</v>
      </c>
    </row>
    <row r="15" spans="1:6">
      <c r="F15" t="s">
        <v>229</v>
      </c>
    </row>
    <row r="16" spans="1:6">
      <c r="F16" t="s">
        <v>236</v>
      </c>
    </row>
    <row r="17" spans="6:6">
      <c r="F17" t="s">
        <v>1431</v>
      </c>
    </row>
    <row r="18" spans="6:6">
      <c r="F18" t="s">
        <v>255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3119-4F52-4FE8-8EC0-CDCB15F8103F}">
  <sheetPr codeName="Sheet14"/>
  <dimension ref="A1:AJ62"/>
  <sheetViews>
    <sheetView topLeftCell="A19" zoomScale="90" zoomScaleNormal="90" workbookViewId="0">
      <selection activeCell="E52" sqref="E52"/>
    </sheetView>
  </sheetViews>
  <sheetFormatPr baseColWidth="10" defaultColWidth="8.83203125" defaultRowHeight="15"/>
  <sheetData>
    <row r="1" spans="1:27" s="2" customFormat="1" ht="13">
      <c r="A1" s="2" t="s">
        <v>799</v>
      </c>
      <c r="B1" s="2" t="s">
        <v>814</v>
      </c>
      <c r="C1" s="2" t="s">
        <v>1432</v>
      </c>
      <c r="D1" s="2" t="s">
        <v>3</v>
      </c>
      <c r="E1" s="2" t="s">
        <v>794</v>
      </c>
      <c r="F1" s="2" t="s">
        <v>816</v>
      </c>
      <c r="G1" s="2" t="s">
        <v>817</v>
      </c>
      <c r="H1" s="2" t="s">
        <v>818</v>
      </c>
      <c r="I1" s="2" t="s">
        <v>821</v>
      </c>
      <c r="J1" s="2" t="s">
        <v>1433</v>
      </c>
      <c r="K1" s="2" t="s">
        <v>822</v>
      </c>
      <c r="L1" s="21" t="s">
        <v>2</v>
      </c>
      <c r="M1" s="2" t="s">
        <v>823</v>
      </c>
      <c r="N1" s="21" t="s">
        <v>1434</v>
      </c>
      <c r="O1" s="2" t="s">
        <v>1435</v>
      </c>
      <c r="P1" s="2" t="s">
        <v>1436</v>
      </c>
      <c r="Q1" s="16" t="s">
        <v>1437</v>
      </c>
      <c r="R1" s="2" t="s">
        <v>1438</v>
      </c>
      <c r="S1" s="2" t="s">
        <v>1439</v>
      </c>
      <c r="T1" s="2" t="s">
        <v>1440</v>
      </c>
      <c r="U1" s="18" t="s">
        <v>1441</v>
      </c>
      <c r="V1" s="2" t="s">
        <v>1442</v>
      </c>
      <c r="W1" s="18" t="s">
        <v>1443</v>
      </c>
      <c r="X1" s="2" t="s">
        <v>1444</v>
      </c>
      <c r="Y1" s="2" t="s">
        <v>1445</v>
      </c>
      <c r="Z1" s="2" t="s">
        <v>1446</v>
      </c>
      <c r="AA1" s="2" t="s">
        <v>1447</v>
      </c>
    </row>
    <row r="2" spans="1:27" s="12" customFormat="1" ht="13">
      <c r="A2" s="1"/>
      <c r="B2" s="1"/>
      <c r="C2" s="1" t="s">
        <v>1448</v>
      </c>
      <c r="D2" s="1" t="s">
        <v>430</v>
      </c>
      <c r="E2" s="9" t="s">
        <v>1449</v>
      </c>
      <c r="F2" s="1" t="s">
        <v>851</v>
      </c>
      <c r="G2" s="1" t="s">
        <v>166</v>
      </c>
      <c r="H2" s="1" t="s">
        <v>1450</v>
      </c>
      <c r="I2" s="1"/>
      <c r="J2" s="1" t="s">
        <v>1075</v>
      </c>
      <c r="K2" s="3" t="s">
        <v>377</v>
      </c>
      <c r="L2" s="22">
        <v>2016</v>
      </c>
      <c r="M2" s="1" t="s">
        <v>845</v>
      </c>
      <c r="N2" s="22">
        <v>2014</v>
      </c>
      <c r="O2" s="9" t="s">
        <v>1451</v>
      </c>
      <c r="P2" s="10"/>
      <c r="Q2" s="10"/>
      <c r="R2" s="1"/>
      <c r="S2" s="1"/>
      <c r="T2" s="1"/>
      <c r="U2" s="7"/>
      <c r="V2" s="1"/>
      <c r="W2" s="7"/>
      <c r="X2" s="1"/>
      <c r="Y2" s="1"/>
      <c r="Z2" s="1" t="s">
        <v>371</v>
      </c>
      <c r="AA2" s="4" t="s">
        <v>1452</v>
      </c>
    </row>
    <row r="3" spans="1:27" s="12" customFormat="1" ht="13">
      <c r="A3" s="1"/>
      <c r="B3" s="1"/>
      <c r="C3" s="1" t="s">
        <v>1448</v>
      </c>
      <c r="D3" s="1" t="s">
        <v>430</v>
      </c>
      <c r="E3" s="9" t="s">
        <v>1449</v>
      </c>
      <c r="F3" s="1" t="s">
        <v>851</v>
      </c>
      <c r="G3" s="1" t="s">
        <v>166</v>
      </c>
      <c r="H3" s="1" t="s">
        <v>1450</v>
      </c>
      <c r="I3" s="1"/>
      <c r="J3" s="1" t="s">
        <v>1075</v>
      </c>
      <c r="K3" s="3" t="s">
        <v>149</v>
      </c>
      <c r="L3" s="22">
        <v>2016</v>
      </c>
      <c r="M3" s="1" t="s">
        <v>845</v>
      </c>
      <c r="N3" s="22">
        <v>2014</v>
      </c>
      <c r="O3" s="9" t="s">
        <v>1453</v>
      </c>
      <c r="P3" s="10"/>
      <c r="Q3" s="10"/>
      <c r="R3" s="1"/>
      <c r="S3" s="1"/>
      <c r="T3" s="1"/>
      <c r="U3" s="7"/>
      <c r="V3" s="1"/>
      <c r="W3" s="7"/>
      <c r="X3" s="1"/>
      <c r="Y3" s="1"/>
      <c r="Z3" s="1" t="s">
        <v>382</v>
      </c>
      <c r="AA3" s="4" t="s">
        <v>1452</v>
      </c>
    </row>
    <row r="4" spans="1:27" s="12" customFormat="1" ht="13">
      <c r="A4" s="1"/>
      <c r="B4" s="1"/>
      <c r="C4" s="1" t="s">
        <v>1448</v>
      </c>
      <c r="D4" s="1" t="s">
        <v>430</v>
      </c>
      <c r="E4" s="9" t="s">
        <v>1449</v>
      </c>
      <c r="F4" s="1" t="s">
        <v>853</v>
      </c>
      <c r="G4" s="1" t="s">
        <v>167</v>
      </c>
      <c r="H4" s="1" t="s">
        <v>1450</v>
      </c>
      <c r="I4" s="1"/>
      <c r="J4" s="1" t="s">
        <v>1075</v>
      </c>
      <c r="K4" s="3" t="s">
        <v>377</v>
      </c>
      <c r="L4" s="22">
        <v>2016</v>
      </c>
      <c r="M4" s="1" t="s">
        <v>845</v>
      </c>
      <c r="N4" s="22">
        <v>2014</v>
      </c>
      <c r="O4" s="9" t="s">
        <v>1454</v>
      </c>
      <c r="P4" s="10"/>
      <c r="Q4" s="10"/>
      <c r="R4" s="1"/>
      <c r="S4" s="1"/>
      <c r="T4" s="1"/>
      <c r="U4" s="7"/>
      <c r="V4" s="1"/>
      <c r="W4" s="7"/>
      <c r="X4" s="1"/>
      <c r="Y4" s="1"/>
      <c r="Z4" s="1" t="s">
        <v>382</v>
      </c>
      <c r="AA4" s="4" t="s">
        <v>1452</v>
      </c>
    </row>
    <row r="5" spans="1:27" s="12" customFormat="1" ht="13">
      <c r="A5" s="1"/>
      <c r="B5" s="1"/>
      <c r="C5" s="1" t="s">
        <v>1448</v>
      </c>
      <c r="D5" s="1" t="s">
        <v>430</v>
      </c>
      <c r="E5" s="9" t="s">
        <v>1449</v>
      </c>
      <c r="F5" s="1" t="s">
        <v>853</v>
      </c>
      <c r="G5" s="1" t="s">
        <v>167</v>
      </c>
      <c r="H5" s="1" t="s">
        <v>1450</v>
      </c>
      <c r="I5" s="1"/>
      <c r="J5" s="1" t="s">
        <v>1075</v>
      </c>
      <c r="K5" s="3" t="s">
        <v>149</v>
      </c>
      <c r="L5" s="22">
        <v>2016</v>
      </c>
      <c r="M5" s="1" t="s">
        <v>845</v>
      </c>
      <c r="N5" s="22">
        <v>2014</v>
      </c>
      <c r="O5" s="9" t="s">
        <v>1454</v>
      </c>
      <c r="P5" s="10"/>
      <c r="Q5" s="10"/>
      <c r="R5" s="1"/>
      <c r="S5" s="1"/>
      <c r="T5" s="1"/>
      <c r="U5" s="7"/>
      <c r="V5" s="1"/>
      <c r="W5" s="7"/>
      <c r="X5" s="1"/>
      <c r="Y5" s="1"/>
      <c r="Z5" s="1" t="s">
        <v>382</v>
      </c>
      <c r="AA5" s="4" t="s">
        <v>1452</v>
      </c>
    </row>
    <row r="6" spans="1:27" s="12" customFormat="1" ht="13">
      <c r="A6" s="1"/>
      <c r="B6" s="1"/>
      <c r="C6" s="1" t="s">
        <v>1448</v>
      </c>
      <c r="D6" s="1" t="s">
        <v>430</v>
      </c>
      <c r="E6" s="9" t="s">
        <v>1449</v>
      </c>
      <c r="F6" s="1" t="s">
        <v>853</v>
      </c>
      <c r="G6" s="1" t="s">
        <v>167</v>
      </c>
      <c r="H6" s="1" t="s">
        <v>1450</v>
      </c>
      <c r="I6" s="1"/>
      <c r="J6" s="1" t="s">
        <v>1075</v>
      </c>
      <c r="K6" s="3" t="s">
        <v>377</v>
      </c>
      <c r="L6" s="22">
        <v>2016</v>
      </c>
      <c r="M6" s="1" t="s">
        <v>845</v>
      </c>
      <c r="N6" s="22">
        <v>2014</v>
      </c>
      <c r="O6" s="9" t="s">
        <v>1454</v>
      </c>
      <c r="P6" s="10"/>
      <c r="Q6" s="10"/>
      <c r="R6" s="1"/>
      <c r="S6" s="1"/>
      <c r="T6" s="1"/>
      <c r="U6" s="7"/>
      <c r="V6" s="1"/>
      <c r="W6" s="7"/>
      <c r="X6" s="1"/>
      <c r="Y6" s="1"/>
      <c r="Z6" s="1" t="s">
        <v>382</v>
      </c>
      <c r="AA6" s="4" t="s">
        <v>1452</v>
      </c>
    </row>
    <row r="7" spans="1:27" s="12" customFormat="1" ht="13">
      <c r="A7" s="1"/>
      <c r="B7" s="1"/>
      <c r="C7" s="1" t="s">
        <v>1448</v>
      </c>
      <c r="D7" s="1" t="s">
        <v>430</v>
      </c>
      <c r="E7" s="9" t="s">
        <v>1449</v>
      </c>
      <c r="F7" s="1" t="s">
        <v>853</v>
      </c>
      <c r="G7" s="1" t="s">
        <v>167</v>
      </c>
      <c r="H7" s="1" t="s">
        <v>1450</v>
      </c>
      <c r="I7" s="1"/>
      <c r="J7" s="1" t="s">
        <v>1075</v>
      </c>
      <c r="K7" s="3" t="s">
        <v>149</v>
      </c>
      <c r="L7" s="22">
        <v>2016</v>
      </c>
      <c r="M7" s="1" t="s">
        <v>845</v>
      </c>
      <c r="N7" s="22">
        <v>2014</v>
      </c>
      <c r="O7" s="9" t="s">
        <v>1454</v>
      </c>
      <c r="P7" s="10"/>
      <c r="Q7" s="10"/>
      <c r="R7" s="1"/>
      <c r="S7" s="1"/>
      <c r="T7" s="1"/>
      <c r="U7" s="7"/>
      <c r="V7" s="1"/>
      <c r="W7" s="7"/>
      <c r="X7" s="1"/>
      <c r="Y7" s="1"/>
      <c r="Z7" s="1" t="s">
        <v>371</v>
      </c>
      <c r="AA7" s="4" t="s">
        <v>1452</v>
      </c>
    </row>
    <row r="8" spans="1:27" s="12" customFormat="1" ht="13">
      <c r="A8" s="1"/>
      <c r="B8" s="1"/>
      <c r="C8" s="1" t="s">
        <v>1455</v>
      </c>
      <c r="D8" s="1" t="s">
        <v>1456</v>
      </c>
      <c r="E8" s="9" t="s">
        <v>1449</v>
      </c>
      <c r="F8" s="8" t="s">
        <v>865</v>
      </c>
      <c r="G8" s="8" t="s">
        <v>166</v>
      </c>
      <c r="H8" s="1" t="s">
        <v>167</v>
      </c>
      <c r="I8" s="1"/>
      <c r="J8" s="1" t="s">
        <v>1075</v>
      </c>
      <c r="K8" s="3"/>
      <c r="L8" s="22">
        <v>2013</v>
      </c>
      <c r="M8" s="1" t="s">
        <v>1457</v>
      </c>
      <c r="N8" s="22">
        <v>2011</v>
      </c>
      <c r="O8" s="9" t="s">
        <v>1454</v>
      </c>
      <c r="P8" s="10"/>
      <c r="Q8" s="10"/>
      <c r="R8" s="1"/>
      <c r="S8" s="1"/>
      <c r="T8" s="1"/>
      <c r="U8" s="7"/>
      <c r="V8" s="1"/>
      <c r="W8" s="7"/>
      <c r="X8" s="1"/>
      <c r="Y8" s="1"/>
      <c r="Z8" s="1" t="s">
        <v>382</v>
      </c>
      <c r="AA8" s="4" t="s">
        <v>1452</v>
      </c>
    </row>
    <row r="9" spans="1:27" s="12" customFormat="1" ht="13">
      <c r="A9" s="1"/>
      <c r="B9" s="1"/>
      <c r="C9" s="1" t="s">
        <v>1458</v>
      </c>
      <c r="D9" s="1" t="s">
        <v>1459</v>
      </c>
      <c r="E9" s="9" t="s">
        <v>1449</v>
      </c>
      <c r="F9" s="1" t="s">
        <v>844</v>
      </c>
      <c r="G9" s="1" t="s">
        <v>146</v>
      </c>
      <c r="H9" s="1" t="s">
        <v>1450</v>
      </c>
      <c r="I9" s="1"/>
      <c r="J9" s="1" t="s">
        <v>1075</v>
      </c>
      <c r="K9" s="3" t="s">
        <v>377</v>
      </c>
      <c r="L9" s="22">
        <v>2009</v>
      </c>
      <c r="M9" s="1" t="s">
        <v>845</v>
      </c>
      <c r="N9" s="22">
        <v>2007</v>
      </c>
      <c r="O9" s="9" t="s">
        <v>1460</v>
      </c>
      <c r="P9" s="10"/>
      <c r="Q9" s="10"/>
      <c r="R9" s="1"/>
      <c r="S9" s="1"/>
      <c r="T9" s="1"/>
      <c r="U9" s="7"/>
      <c r="V9" s="1"/>
      <c r="W9" s="7"/>
      <c r="X9" s="1"/>
      <c r="Y9" s="1"/>
      <c r="Z9" s="1" t="s">
        <v>382</v>
      </c>
      <c r="AA9" s="4" t="s">
        <v>1452</v>
      </c>
    </row>
    <row r="10" spans="1:27" s="12" customFormat="1" ht="13">
      <c r="A10" s="1"/>
      <c r="B10" s="1"/>
      <c r="C10" s="1" t="s">
        <v>1458</v>
      </c>
      <c r="D10" s="1" t="s">
        <v>1459</v>
      </c>
      <c r="E10" s="9" t="s">
        <v>1449</v>
      </c>
      <c r="F10" s="1" t="s">
        <v>844</v>
      </c>
      <c r="G10" s="1" t="s">
        <v>146</v>
      </c>
      <c r="H10" s="1" t="s">
        <v>1450</v>
      </c>
      <c r="I10" s="1"/>
      <c r="J10" s="1" t="s">
        <v>1075</v>
      </c>
      <c r="K10" s="3" t="s">
        <v>149</v>
      </c>
      <c r="L10" s="22">
        <v>2009</v>
      </c>
      <c r="M10" s="1" t="s">
        <v>845</v>
      </c>
      <c r="N10" s="22">
        <v>2007</v>
      </c>
      <c r="O10" s="9" t="s">
        <v>1461</v>
      </c>
      <c r="P10" s="10"/>
      <c r="Q10" s="10"/>
      <c r="R10" s="1"/>
      <c r="S10" s="1"/>
      <c r="T10" s="1"/>
      <c r="U10" s="7"/>
      <c r="V10" s="1"/>
      <c r="W10" s="7"/>
      <c r="X10" s="1"/>
      <c r="Y10" s="1"/>
      <c r="Z10" s="1" t="s">
        <v>382</v>
      </c>
      <c r="AA10" s="4" t="s">
        <v>1452</v>
      </c>
    </row>
    <row r="11" spans="1:27" s="12" customFormat="1" ht="13">
      <c r="A11" s="1"/>
      <c r="B11" s="1"/>
      <c r="C11" s="1" t="s">
        <v>1462</v>
      </c>
      <c r="D11" s="1" t="s">
        <v>1463</v>
      </c>
      <c r="E11" s="9" t="s">
        <v>1233</v>
      </c>
      <c r="F11" s="1" t="s">
        <v>844</v>
      </c>
      <c r="G11" s="1" t="s">
        <v>146</v>
      </c>
      <c r="H11" s="1" t="s">
        <v>1450</v>
      </c>
      <c r="I11" s="1"/>
      <c r="J11" s="1" t="s">
        <v>1075</v>
      </c>
      <c r="K11" s="3"/>
      <c r="L11" s="22">
        <v>2012</v>
      </c>
      <c r="M11" s="1" t="s">
        <v>845</v>
      </c>
      <c r="N11" s="22">
        <v>2011</v>
      </c>
      <c r="O11" s="9" t="s">
        <v>1464</v>
      </c>
      <c r="P11" s="10"/>
      <c r="Q11" s="10"/>
      <c r="R11" s="1"/>
      <c r="S11" s="1"/>
      <c r="T11" s="1"/>
      <c r="U11" s="7"/>
      <c r="V11" s="1"/>
      <c r="W11" s="7"/>
      <c r="X11" s="1"/>
      <c r="Y11" s="1"/>
      <c r="Z11" s="1" t="s">
        <v>382</v>
      </c>
      <c r="AA11" s="4" t="s">
        <v>1452</v>
      </c>
    </row>
    <row r="12" spans="1:27" s="12" customFormat="1" ht="13">
      <c r="A12" s="1"/>
      <c r="B12" s="1"/>
      <c r="C12" s="1" t="s">
        <v>1462</v>
      </c>
      <c r="D12" s="1" t="s">
        <v>1463</v>
      </c>
      <c r="E12" s="9" t="s">
        <v>1233</v>
      </c>
      <c r="F12" s="1" t="s">
        <v>844</v>
      </c>
      <c r="G12" s="1" t="s">
        <v>146</v>
      </c>
      <c r="H12" s="1" t="s">
        <v>1450</v>
      </c>
      <c r="I12" s="1"/>
      <c r="J12" s="1" t="s">
        <v>1075</v>
      </c>
      <c r="K12" s="3"/>
      <c r="L12" s="22">
        <v>2012</v>
      </c>
      <c r="M12" s="1" t="s">
        <v>845</v>
      </c>
      <c r="N12" s="22">
        <v>2011</v>
      </c>
      <c r="O12" s="9" t="s">
        <v>1465</v>
      </c>
      <c r="P12" s="10"/>
      <c r="Q12" s="10"/>
      <c r="R12" s="1"/>
      <c r="S12" s="1"/>
      <c r="T12" s="1"/>
      <c r="U12" s="7"/>
      <c r="V12" s="1"/>
      <c r="W12" s="7"/>
      <c r="X12" s="1"/>
      <c r="Y12" s="1"/>
      <c r="Z12" s="1" t="s">
        <v>382</v>
      </c>
      <c r="AA12" s="4" t="s">
        <v>1452</v>
      </c>
    </row>
    <row r="13" spans="1:27" s="12" customFormat="1" ht="13">
      <c r="A13" s="1"/>
      <c r="B13" s="1"/>
      <c r="C13" s="1" t="s">
        <v>1466</v>
      </c>
      <c r="D13" s="1" t="s">
        <v>1467</v>
      </c>
      <c r="E13" s="9" t="s">
        <v>1233</v>
      </c>
      <c r="F13" s="1" t="s">
        <v>844</v>
      </c>
      <c r="G13" s="1" t="s">
        <v>146</v>
      </c>
      <c r="H13" s="1" t="s">
        <v>1450</v>
      </c>
      <c r="I13" s="1"/>
      <c r="J13" s="1" t="s">
        <v>1075</v>
      </c>
      <c r="K13" s="3" t="s">
        <v>377</v>
      </c>
      <c r="L13" s="22">
        <v>2013</v>
      </c>
      <c r="M13" s="1" t="s">
        <v>1468</v>
      </c>
      <c r="N13" s="22">
        <v>2012</v>
      </c>
      <c r="O13" s="9" t="s">
        <v>1469</v>
      </c>
      <c r="P13" s="10"/>
      <c r="Q13" s="10"/>
      <c r="R13" s="1"/>
      <c r="S13" s="1"/>
      <c r="T13" s="1"/>
      <c r="U13" s="7"/>
      <c r="V13" s="1"/>
      <c r="W13" s="7"/>
      <c r="X13" s="1"/>
      <c r="Y13" s="1"/>
      <c r="Z13" s="1" t="s">
        <v>382</v>
      </c>
      <c r="AA13" s="4" t="s">
        <v>1452</v>
      </c>
    </row>
    <row r="14" spans="1:27" s="12" customFormat="1" ht="13">
      <c r="A14" s="1"/>
      <c r="B14" s="1"/>
      <c r="C14" s="1" t="s">
        <v>1466</v>
      </c>
      <c r="D14" s="1" t="s">
        <v>1467</v>
      </c>
      <c r="E14" s="9" t="s">
        <v>1233</v>
      </c>
      <c r="F14" s="1" t="s">
        <v>844</v>
      </c>
      <c r="G14" s="1" t="s">
        <v>146</v>
      </c>
      <c r="H14" s="1" t="s">
        <v>1450</v>
      </c>
      <c r="I14" s="1"/>
      <c r="J14" s="1" t="s">
        <v>1075</v>
      </c>
      <c r="K14" s="3" t="s">
        <v>377</v>
      </c>
      <c r="L14" s="22">
        <v>2013</v>
      </c>
      <c r="M14" s="1" t="s">
        <v>1468</v>
      </c>
      <c r="N14" s="22">
        <v>2012</v>
      </c>
      <c r="O14" s="9" t="s">
        <v>1469</v>
      </c>
      <c r="P14" s="10"/>
      <c r="Q14" s="10"/>
      <c r="R14" s="1"/>
      <c r="S14" s="1"/>
      <c r="T14" s="1"/>
      <c r="U14" s="7"/>
      <c r="V14" s="1"/>
      <c r="W14" s="7"/>
      <c r="X14" s="1"/>
      <c r="Y14" s="1"/>
      <c r="Z14" s="1" t="s">
        <v>382</v>
      </c>
      <c r="AA14" s="4" t="s">
        <v>1452</v>
      </c>
    </row>
    <row r="15" spans="1:27" s="12" customFormat="1" ht="13">
      <c r="A15" s="1"/>
      <c r="B15" s="1"/>
      <c r="C15" s="1" t="s">
        <v>1466</v>
      </c>
      <c r="D15" s="1" t="s">
        <v>1467</v>
      </c>
      <c r="E15" s="9" t="s">
        <v>1233</v>
      </c>
      <c r="F15" s="1" t="s">
        <v>844</v>
      </c>
      <c r="G15" s="1" t="s">
        <v>146</v>
      </c>
      <c r="H15" s="1" t="s">
        <v>1450</v>
      </c>
      <c r="I15" s="1"/>
      <c r="J15" s="1" t="s">
        <v>1075</v>
      </c>
      <c r="K15" s="3" t="s">
        <v>149</v>
      </c>
      <c r="L15" s="22">
        <v>2013</v>
      </c>
      <c r="M15" s="1" t="s">
        <v>1468</v>
      </c>
      <c r="N15" s="22">
        <v>2012</v>
      </c>
      <c r="O15" s="9" t="s">
        <v>1470</v>
      </c>
      <c r="P15" s="10"/>
      <c r="Q15" s="10"/>
      <c r="R15" s="1"/>
      <c r="S15" s="1"/>
      <c r="T15" s="1"/>
      <c r="U15" s="7"/>
      <c r="V15" s="1"/>
      <c r="W15" s="7"/>
      <c r="X15" s="1"/>
      <c r="Y15" s="1"/>
      <c r="Z15" s="1" t="s">
        <v>382</v>
      </c>
      <c r="AA15" s="4" t="s">
        <v>1452</v>
      </c>
    </row>
    <row r="16" spans="1:27" s="12" customFormat="1" ht="13">
      <c r="A16" s="1"/>
      <c r="B16" s="1"/>
      <c r="C16" s="1" t="s">
        <v>1466</v>
      </c>
      <c r="D16" s="1" t="s">
        <v>1467</v>
      </c>
      <c r="E16" s="9" t="s">
        <v>1233</v>
      </c>
      <c r="F16" s="1" t="s">
        <v>844</v>
      </c>
      <c r="G16" s="1" t="s">
        <v>146</v>
      </c>
      <c r="H16" s="1" t="s">
        <v>1450</v>
      </c>
      <c r="I16" s="1"/>
      <c r="J16" s="1" t="s">
        <v>1075</v>
      </c>
      <c r="K16" s="3" t="s">
        <v>149</v>
      </c>
      <c r="L16" s="22">
        <v>2013</v>
      </c>
      <c r="M16" s="1" t="s">
        <v>1468</v>
      </c>
      <c r="N16" s="22">
        <v>2012</v>
      </c>
      <c r="O16" s="9" t="s">
        <v>1470</v>
      </c>
      <c r="P16" s="10"/>
      <c r="Q16" s="10"/>
      <c r="R16" s="1"/>
      <c r="S16" s="1"/>
      <c r="T16" s="1"/>
      <c r="U16" s="7"/>
      <c r="V16" s="1"/>
      <c r="W16" s="7"/>
      <c r="X16" s="1"/>
      <c r="Y16" s="1"/>
      <c r="Z16" s="1" t="s">
        <v>382</v>
      </c>
      <c r="AA16" s="4" t="s">
        <v>1452</v>
      </c>
    </row>
    <row r="17" spans="1:27" s="12" customFormat="1" ht="13">
      <c r="A17" s="1"/>
      <c r="B17" s="1"/>
      <c r="C17" s="1" t="s">
        <v>1466</v>
      </c>
      <c r="D17" s="1" t="s">
        <v>1467</v>
      </c>
      <c r="E17" s="9" t="s">
        <v>1233</v>
      </c>
      <c r="F17" s="1" t="s">
        <v>853</v>
      </c>
      <c r="G17" s="1" t="s">
        <v>167</v>
      </c>
      <c r="H17" s="1" t="s">
        <v>1450</v>
      </c>
      <c r="I17" s="1"/>
      <c r="J17" s="1" t="s">
        <v>1075</v>
      </c>
      <c r="K17" s="3" t="s">
        <v>377</v>
      </c>
      <c r="L17" s="22">
        <v>2013</v>
      </c>
      <c r="M17" s="1" t="s">
        <v>1468</v>
      </c>
      <c r="N17" s="22">
        <v>2012</v>
      </c>
      <c r="O17" s="9" t="s">
        <v>1471</v>
      </c>
      <c r="P17" s="10"/>
      <c r="Q17" s="10"/>
      <c r="R17" s="1"/>
      <c r="S17" s="1"/>
      <c r="T17" s="1"/>
      <c r="U17" s="7"/>
      <c r="V17" s="1"/>
      <c r="W17" s="7"/>
      <c r="X17" s="1"/>
      <c r="Y17" s="1"/>
      <c r="Z17" s="1" t="s">
        <v>382</v>
      </c>
      <c r="AA17" s="4" t="s">
        <v>1452</v>
      </c>
    </row>
    <row r="18" spans="1:27" s="12" customFormat="1" ht="13">
      <c r="A18" s="1"/>
      <c r="B18" s="1"/>
      <c r="C18" s="1" t="s">
        <v>1466</v>
      </c>
      <c r="D18" s="1" t="s">
        <v>1467</v>
      </c>
      <c r="E18" s="9" t="s">
        <v>1233</v>
      </c>
      <c r="F18" s="1" t="s">
        <v>853</v>
      </c>
      <c r="G18" s="1" t="s">
        <v>167</v>
      </c>
      <c r="H18" s="1" t="s">
        <v>1450</v>
      </c>
      <c r="I18" s="1"/>
      <c r="J18" s="1" t="s">
        <v>1075</v>
      </c>
      <c r="K18" s="3" t="s">
        <v>377</v>
      </c>
      <c r="L18" s="22">
        <v>2013</v>
      </c>
      <c r="M18" s="1" t="s">
        <v>1468</v>
      </c>
      <c r="N18" s="22">
        <v>2012</v>
      </c>
      <c r="O18" s="9" t="s">
        <v>1472</v>
      </c>
      <c r="P18" s="10"/>
      <c r="Q18" s="10"/>
      <c r="R18" s="1"/>
      <c r="S18" s="1"/>
      <c r="T18" s="1"/>
      <c r="U18" s="7"/>
      <c r="V18" s="1"/>
      <c r="W18" s="7"/>
      <c r="X18" s="1"/>
      <c r="Y18" s="1"/>
      <c r="Z18" s="1" t="s">
        <v>382</v>
      </c>
      <c r="AA18" s="4" t="s">
        <v>1452</v>
      </c>
    </row>
    <row r="19" spans="1:27" s="12" customFormat="1" ht="13">
      <c r="A19" s="1"/>
      <c r="B19" s="1"/>
      <c r="C19" s="1" t="s">
        <v>1466</v>
      </c>
      <c r="D19" s="1" t="s">
        <v>1467</v>
      </c>
      <c r="E19" s="9" t="s">
        <v>1233</v>
      </c>
      <c r="F19" s="1" t="s">
        <v>853</v>
      </c>
      <c r="G19" s="1" t="s">
        <v>167</v>
      </c>
      <c r="H19" s="1" t="s">
        <v>1450</v>
      </c>
      <c r="I19" s="1"/>
      <c r="J19" s="1" t="s">
        <v>1075</v>
      </c>
      <c r="K19" s="3" t="s">
        <v>149</v>
      </c>
      <c r="L19" s="22">
        <v>2013</v>
      </c>
      <c r="M19" s="1" t="s">
        <v>1468</v>
      </c>
      <c r="N19" s="22">
        <v>2012</v>
      </c>
      <c r="O19" s="9" t="s">
        <v>1473</v>
      </c>
      <c r="P19" s="10"/>
      <c r="Q19" s="10"/>
      <c r="R19" s="1"/>
      <c r="S19" s="1"/>
      <c r="T19" s="1"/>
      <c r="U19" s="7"/>
      <c r="V19" s="1"/>
      <c r="W19" s="7"/>
      <c r="X19" s="1"/>
      <c r="Y19" s="1"/>
      <c r="Z19" s="1" t="s">
        <v>382</v>
      </c>
      <c r="AA19" s="4" t="s">
        <v>1452</v>
      </c>
    </row>
    <row r="20" spans="1:27" s="12" customFormat="1" ht="13">
      <c r="A20" s="1"/>
      <c r="B20" s="1"/>
      <c r="C20" s="1" t="s">
        <v>1466</v>
      </c>
      <c r="D20" s="1" t="s">
        <v>1467</v>
      </c>
      <c r="E20" s="9" t="s">
        <v>1233</v>
      </c>
      <c r="F20" s="1" t="s">
        <v>853</v>
      </c>
      <c r="G20" s="1" t="s">
        <v>167</v>
      </c>
      <c r="H20" s="1" t="s">
        <v>1450</v>
      </c>
      <c r="I20" s="1"/>
      <c r="J20" s="1" t="s">
        <v>1075</v>
      </c>
      <c r="K20" s="3" t="s">
        <v>149</v>
      </c>
      <c r="L20" s="22">
        <v>2013</v>
      </c>
      <c r="M20" s="1" t="s">
        <v>1468</v>
      </c>
      <c r="N20" s="22">
        <v>2012</v>
      </c>
      <c r="O20" s="9" t="s">
        <v>1454</v>
      </c>
      <c r="P20" s="10"/>
      <c r="Q20" s="10"/>
      <c r="R20" s="1"/>
      <c r="S20" s="1"/>
      <c r="T20" s="1"/>
      <c r="U20" s="7"/>
      <c r="V20" s="1"/>
      <c r="W20" s="7"/>
      <c r="X20" s="1"/>
      <c r="Y20" s="1"/>
      <c r="Z20" s="1" t="s">
        <v>382</v>
      </c>
      <c r="AA20" s="4" t="s">
        <v>1452</v>
      </c>
    </row>
    <row r="21" spans="1:27" s="12" customFormat="1" ht="13">
      <c r="A21" s="1"/>
      <c r="B21" s="1"/>
      <c r="C21" s="1" t="s">
        <v>1466</v>
      </c>
      <c r="D21" s="1" t="s">
        <v>1467</v>
      </c>
      <c r="E21" s="9" t="s">
        <v>1233</v>
      </c>
      <c r="F21" s="8" t="s">
        <v>1474</v>
      </c>
      <c r="G21" s="8" t="s">
        <v>167</v>
      </c>
      <c r="H21" s="1" t="s">
        <v>146</v>
      </c>
      <c r="I21" s="1"/>
      <c r="J21" s="1" t="s">
        <v>1075</v>
      </c>
      <c r="K21" s="3" t="s">
        <v>377</v>
      </c>
      <c r="L21" s="22">
        <v>2013</v>
      </c>
      <c r="M21" s="1" t="s">
        <v>1468</v>
      </c>
      <c r="N21" s="22">
        <v>2012</v>
      </c>
      <c r="O21" s="9" t="s">
        <v>1475</v>
      </c>
      <c r="P21" s="10"/>
      <c r="Q21" s="10"/>
      <c r="R21" s="1"/>
      <c r="S21" s="1"/>
      <c r="T21" s="1"/>
      <c r="U21" s="7"/>
      <c r="V21" s="1"/>
      <c r="W21" s="7"/>
      <c r="X21" s="1"/>
      <c r="Y21" s="1"/>
      <c r="Z21" s="1" t="s">
        <v>382</v>
      </c>
      <c r="AA21" s="4" t="s">
        <v>1452</v>
      </c>
    </row>
    <row r="22" spans="1:27" s="1" customFormat="1" ht="13">
      <c r="C22" s="1" t="s">
        <v>1466</v>
      </c>
      <c r="D22" s="1" t="s">
        <v>1467</v>
      </c>
      <c r="E22" s="9" t="s">
        <v>1233</v>
      </c>
      <c r="F22" s="8" t="s">
        <v>1474</v>
      </c>
      <c r="G22" s="8" t="s">
        <v>167</v>
      </c>
      <c r="H22" s="1" t="s">
        <v>146</v>
      </c>
      <c r="J22" s="1" t="s">
        <v>1075</v>
      </c>
      <c r="K22" s="3" t="s">
        <v>377</v>
      </c>
      <c r="L22" s="22">
        <v>2013</v>
      </c>
      <c r="M22" s="1" t="s">
        <v>1468</v>
      </c>
      <c r="N22" s="22">
        <v>2012</v>
      </c>
      <c r="O22" s="9" t="s">
        <v>1476</v>
      </c>
      <c r="P22" s="10"/>
      <c r="Q22" s="10"/>
      <c r="U22" s="7"/>
      <c r="W22" s="7"/>
      <c r="Z22" s="1" t="s">
        <v>371</v>
      </c>
      <c r="AA22" s="4" t="s">
        <v>1452</v>
      </c>
    </row>
    <row r="23" spans="1:27" s="1" customFormat="1" ht="13">
      <c r="C23" s="1" t="s">
        <v>1466</v>
      </c>
      <c r="D23" s="1" t="s">
        <v>1467</v>
      </c>
      <c r="E23" s="9" t="s">
        <v>1233</v>
      </c>
      <c r="F23" s="8" t="s">
        <v>1474</v>
      </c>
      <c r="G23" s="8" t="s">
        <v>167</v>
      </c>
      <c r="H23" s="1" t="s">
        <v>146</v>
      </c>
      <c r="K23" s="3" t="s">
        <v>149</v>
      </c>
      <c r="L23" s="22">
        <v>2013</v>
      </c>
      <c r="M23" s="1" t="s">
        <v>1468</v>
      </c>
      <c r="N23" s="22">
        <v>2012</v>
      </c>
      <c r="O23" s="9" t="s">
        <v>1477</v>
      </c>
      <c r="P23" s="10"/>
      <c r="Q23" s="10"/>
      <c r="U23" s="7"/>
      <c r="W23" s="7"/>
      <c r="Z23" s="1" t="s">
        <v>371</v>
      </c>
      <c r="AA23" s="4" t="s">
        <v>1452</v>
      </c>
    </row>
    <row r="24" spans="1:27" s="1" customFormat="1" ht="13">
      <c r="C24" s="1" t="s">
        <v>1466</v>
      </c>
      <c r="D24" s="1" t="s">
        <v>1467</v>
      </c>
      <c r="E24" s="9" t="s">
        <v>1233</v>
      </c>
      <c r="F24" s="8" t="s">
        <v>1474</v>
      </c>
      <c r="G24" s="8" t="s">
        <v>167</v>
      </c>
      <c r="H24" s="1" t="s">
        <v>146</v>
      </c>
      <c r="K24" s="3" t="s">
        <v>149</v>
      </c>
      <c r="L24" s="22">
        <v>2013</v>
      </c>
      <c r="M24" s="1" t="s">
        <v>1468</v>
      </c>
      <c r="N24" s="22">
        <v>2012</v>
      </c>
      <c r="O24" s="9" t="s">
        <v>1454</v>
      </c>
      <c r="P24" s="10"/>
      <c r="Q24" s="10"/>
      <c r="U24" s="7"/>
      <c r="W24" s="7"/>
      <c r="Z24" s="1" t="s">
        <v>371</v>
      </c>
      <c r="AA24" s="4" t="s">
        <v>1452</v>
      </c>
    </row>
    <row r="25" spans="1:27" s="1" customFormat="1" ht="13">
      <c r="C25" s="1" t="s">
        <v>1478</v>
      </c>
      <c r="D25" s="1" t="s">
        <v>1479</v>
      </c>
      <c r="E25" s="9" t="s">
        <v>1233</v>
      </c>
      <c r="F25" s="8" t="s">
        <v>865</v>
      </c>
      <c r="G25" s="8" t="s">
        <v>166</v>
      </c>
      <c r="H25" s="1" t="s">
        <v>167</v>
      </c>
      <c r="K25" s="3"/>
      <c r="L25" s="22">
        <v>2015</v>
      </c>
      <c r="M25" s="1" t="s">
        <v>1468</v>
      </c>
      <c r="N25" s="22">
        <v>2013</v>
      </c>
      <c r="O25" s="9" t="s">
        <v>1454</v>
      </c>
      <c r="P25" s="10"/>
      <c r="Q25" s="10"/>
      <c r="U25" s="7"/>
      <c r="W25" s="7"/>
      <c r="Z25" s="1" t="s">
        <v>371</v>
      </c>
      <c r="AA25" s="4" t="s">
        <v>1452</v>
      </c>
    </row>
    <row r="26" spans="1:27" s="1" customFormat="1" ht="13">
      <c r="C26" s="1" t="s">
        <v>1480</v>
      </c>
      <c r="D26" s="1" t="s">
        <v>1481</v>
      </c>
      <c r="E26" s="1" t="s">
        <v>1482</v>
      </c>
      <c r="F26" s="1" t="s">
        <v>844</v>
      </c>
      <c r="G26" s="1" t="s">
        <v>146</v>
      </c>
      <c r="H26" s="1" t="s">
        <v>1450</v>
      </c>
      <c r="K26" s="3"/>
      <c r="L26" s="22">
        <v>2010</v>
      </c>
      <c r="M26" s="1" t="s">
        <v>845</v>
      </c>
      <c r="N26" s="22">
        <v>2009</v>
      </c>
      <c r="O26" s="9" t="s">
        <v>1483</v>
      </c>
      <c r="P26" s="10"/>
      <c r="Q26" s="10"/>
      <c r="U26" s="20"/>
      <c r="W26" s="20"/>
      <c r="Z26" s="1" t="s">
        <v>382</v>
      </c>
      <c r="AA26" s="4" t="s">
        <v>1452</v>
      </c>
    </row>
    <row r="27" spans="1:27" s="1" customFormat="1" ht="13">
      <c r="C27" s="1" t="s">
        <v>1480</v>
      </c>
      <c r="D27" s="1" t="s">
        <v>1481</v>
      </c>
      <c r="E27" s="1" t="s">
        <v>1482</v>
      </c>
      <c r="F27" s="1" t="s">
        <v>844</v>
      </c>
      <c r="G27" s="1" t="s">
        <v>146</v>
      </c>
      <c r="H27" s="1" t="s">
        <v>1450</v>
      </c>
      <c r="K27" s="3"/>
      <c r="L27" s="22">
        <v>2010</v>
      </c>
      <c r="M27" s="1" t="s">
        <v>845</v>
      </c>
      <c r="N27" s="22">
        <v>2009</v>
      </c>
      <c r="O27" s="1" t="s">
        <v>1484</v>
      </c>
      <c r="P27" s="10"/>
      <c r="Q27" s="10"/>
      <c r="U27" s="20"/>
      <c r="W27" s="20"/>
      <c r="Z27" s="1" t="s">
        <v>382</v>
      </c>
      <c r="AA27" s="4" t="s">
        <v>1452</v>
      </c>
    </row>
    <row r="28" spans="1:27" s="1" customFormat="1" ht="13">
      <c r="C28" s="1" t="s">
        <v>1485</v>
      </c>
      <c r="D28" s="1" t="s">
        <v>1486</v>
      </c>
      <c r="E28" s="1" t="s">
        <v>1482</v>
      </c>
      <c r="F28" s="8" t="s">
        <v>865</v>
      </c>
      <c r="G28" s="8" t="s">
        <v>166</v>
      </c>
      <c r="H28" s="1" t="s">
        <v>167</v>
      </c>
      <c r="K28" s="3"/>
      <c r="L28" s="22">
        <v>2018</v>
      </c>
      <c r="M28" s="1" t="s">
        <v>845</v>
      </c>
      <c r="N28" s="22">
        <v>2015</v>
      </c>
      <c r="O28" s="1" t="s">
        <v>1454</v>
      </c>
      <c r="P28" s="10"/>
      <c r="Q28" s="10"/>
      <c r="U28" s="20"/>
      <c r="W28" s="20"/>
      <c r="Z28" s="1" t="s">
        <v>382</v>
      </c>
      <c r="AA28" s="4" t="s">
        <v>1452</v>
      </c>
    </row>
    <row r="29" spans="1:27" s="1" customFormat="1" ht="13">
      <c r="C29" s="1" t="s">
        <v>1487</v>
      </c>
      <c r="D29" s="1" t="s">
        <v>1488</v>
      </c>
      <c r="E29" s="9" t="s">
        <v>1315</v>
      </c>
      <c r="F29" s="1" t="s">
        <v>844</v>
      </c>
      <c r="G29" s="1" t="s">
        <v>146</v>
      </c>
      <c r="H29" s="1" t="s">
        <v>1450</v>
      </c>
      <c r="L29" s="22">
        <v>2011</v>
      </c>
      <c r="M29" s="1" t="s">
        <v>845</v>
      </c>
      <c r="N29" s="23">
        <v>2010</v>
      </c>
      <c r="O29" s="1" t="s">
        <v>1489</v>
      </c>
      <c r="P29" s="10">
        <f>(5562+43275)/2</f>
        <v>24418.5</v>
      </c>
      <c r="Q29" s="11"/>
      <c r="U29" s="20"/>
      <c r="W29" s="20"/>
      <c r="Z29" s="1" t="s">
        <v>382</v>
      </c>
      <c r="AA29" s="4" t="s">
        <v>1452</v>
      </c>
    </row>
    <row r="30" spans="1:27" s="1" customFormat="1" ht="13">
      <c r="C30" s="1" t="s">
        <v>1487</v>
      </c>
      <c r="D30" s="1" t="s">
        <v>1488</v>
      </c>
      <c r="E30" s="9" t="s">
        <v>1315</v>
      </c>
      <c r="F30" s="1" t="s">
        <v>851</v>
      </c>
      <c r="G30" s="1" t="s">
        <v>166</v>
      </c>
      <c r="H30" s="1" t="s">
        <v>1450</v>
      </c>
      <c r="L30" s="22">
        <v>2011</v>
      </c>
      <c r="M30" s="1" t="s">
        <v>845</v>
      </c>
      <c r="N30" s="23">
        <v>2010</v>
      </c>
      <c r="O30" s="1" t="s">
        <v>1490</v>
      </c>
      <c r="P30" s="10">
        <v>45100</v>
      </c>
      <c r="Q30" s="11"/>
      <c r="U30" s="20"/>
      <c r="W30" s="20"/>
      <c r="Z30" s="1" t="s">
        <v>382</v>
      </c>
      <c r="AA30" s="4" t="s">
        <v>1452</v>
      </c>
    </row>
    <row r="31" spans="1:27" s="1" customFormat="1" ht="13">
      <c r="C31" s="1" t="s">
        <v>1487</v>
      </c>
      <c r="D31" s="1" t="s">
        <v>1488</v>
      </c>
      <c r="E31" s="9" t="s">
        <v>1315</v>
      </c>
      <c r="F31" s="1" t="s">
        <v>853</v>
      </c>
      <c r="G31" s="1" t="s">
        <v>167</v>
      </c>
      <c r="H31" s="1" t="s">
        <v>1450</v>
      </c>
      <c r="L31" s="22">
        <v>2011</v>
      </c>
      <c r="M31" s="1" t="s">
        <v>845</v>
      </c>
      <c r="N31" s="23">
        <v>2010</v>
      </c>
      <c r="O31" s="1" t="s">
        <v>1491</v>
      </c>
      <c r="P31" s="10">
        <v>37644</v>
      </c>
      <c r="Q31" s="11"/>
      <c r="U31" s="20"/>
      <c r="W31" s="20"/>
      <c r="Z31" s="1" t="s">
        <v>382</v>
      </c>
      <c r="AA31" s="4" t="s">
        <v>1452</v>
      </c>
    </row>
    <row r="32" spans="1:27" s="1" customFormat="1" ht="13">
      <c r="C32" s="1" t="s">
        <v>1492</v>
      </c>
      <c r="D32" s="1" t="s">
        <v>1493</v>
      </c>
      <c r="E32" s="1" t="s">
        <v>189</v>
      </c>
      <c r="F32" s="1" t="s">
        <v>853</v>
      </c>
      <c r="G32" s="1" t="s">
        <v>167</v>
      </c>
      <c r="H32" s="1" t="s">
        <v>1450</v>
      </c>
      <c r="K32" s="3"/>
      <c r="L32" s="22">
        <v>2018</v>
      </c>
      <c r="M32" s="1" t="s">
        <v>845</v>
      </c>
      <c r="N32" s="22">
        <v>2014</v>
      </c>
      <c r="O32" s="9" t="s">
        <v>1494</v>
      </c>
      <c r="P32" s="10"/>
      <c r="Q32" s="10"/>
      <c r="U32" s="7"/>
      <c r="W32" s="7"/>
      <c r="Z32" s="1" t="s">
        <v>382</v>
      </c>
      <c r="AA32" s="6" t="s">
        <v>1495</v>
      </c>
    </row>
    <row r="33" spans="1:36" s="1" customFormat="1" ht="13">
      <c r="C33" s="1" t="s">
        <v>1492</v>
      </c>
      <c r="D33" s="1" t="s">
        <v>1493</v>
      </c>
      <c r="E33" s="1" t="s">
        <v>189</v>
      </c>
      <c r="F33" s="1" t="s">
        <v>853</v>
      </c>
      <c r="G33" s="1" t="s">
        <v>167</v>
      </c>
      <c r="H33" s="1" t="s">
        <v>1450</v>
      </c>
      <c r="K33" s="3"/>
      <c r="L33" s="22">
        <v>2018</v>
      </c>
      <c r="M33" s="1" t="s">
        <v>845</v>
      </c>
      <c r="N33" s="22">
        <v>2014</v>
      </c>
      <c r="O33" s="9" t="s">
        <v>1496</v>
      </c>
      <c r="P33" s="10"/>
      <c r="Q33" s="10"/>
      <c r="U33" s="7"/>
      <c r="W33" s="7"/>
      <c r="Z33" s="1" t="s">
        <v>371</v>
      </c>
      <c r="AA33" s="6" t="s">
        <v>1495</v>
      </c>
    </row>
    <row r="34" spans="1:36" s="1" customFormat="1" ht="13">
      <c r="C34" s="1" t="s">
        <v>1497</v>
      </c>
      <c r="D34" s="1" t="s">
        <v>1498</v>
      </c>
      <c r="E34" s="1" t="s">
        <v>1499</v>
      </c>
      <c r="F34" s="1" t="s">
        <v>853</v>
      </c>
      <c r="G34" s="1" t="s">
        <v>167</v>
      </c>
      <c r="H34" s="1" t="s">
        <v>1450</v>
      </c>
      <c r="K34" s="3" t="s">
        <v>377</v>
      </c>
      <c r="L34" s="22">
        <v>2012</v>
      </c>
      <c r="M34" s="1" t="s">
        <v>845</v>
      </c>
      <c r="N34" s="22">
        <v>2009</v>
      </c>
      <c r="O34" s="9" t="s">
        <v>1500</v>
      </c>
      <c r="P34" s="10"/>
      <c r="Q34" s="10"/>
      <c r="U34" s="7"/>
      <c r="W34" s="7"/>
      <c r="Z34" s="1" t="s">
        <v>382</v>
      </c>
      <c r="AA34" s="6" t="s">
        <v>1495</v>
      </c>
    </row>
    <row r="35" spans="1:36" s="1" customFormat="1" ht="13">
      <c r="C35" s="1" t="s">
        <v>1497</v>
      </c>
      <c r="D35" s="1" t="s">
        <v>1498</v>
      </c>
      <c r="E35" s="1" t="s">
        <v>1499</v>
      </c>
      <c r="F35" s="1" t="s">
        <v>853</v>
      </c>
      <c r="G35" s="1" t="s">
        <v>167</v>
      </c>
      <c r="H35" s="1" t="s">
        <v>1450</v>
      </c>
      <c r="K35" s="3" t="s">
        <v>149</v>
      </c>
      <c r="L35" s="22">
        <v>2012</v>
      </c>
      <c r="M35" s="1" t="s">
        <v>845</v>
      </c>
      <c r="N35" s="22">
        <v>2009</v>
      </c>
      <c r="O35" s="9" t="s">
        <v>1501</v>
      </c>
      <c r="P35" s="10"/>
      <c r="Q35" s="10"/>
      <c r="U35" s="7"/>
      <c r="W35" s="7"/>
      <c r="Z35" s="1" t="s">
        <v>382</v>
      </c>
      <c r="AA35" s="6" t="s">
        <v>1495</v>
      </c>
    </row>
    <row r="36" spans="1:36" s="1" customFormat="1" ht="13">
      <c r="C36" s="1" t="s">
        <v>1497</v>
      </c>
      <c r="D36" s="1" t="s">
        <v>1498</v>
      </c>
      <c r="E36" s="1" t="s">
        <v>1499</v>
      </c>
      <c r="F36" s="1" t="s">
        <v>853</v>
      </c>
      <c r="G36" s="1" t="s">
        <v>167</v>
      </c>
      <c r="H36" s="1" t="s">
        <v>1450</v>
      </c>
      <c r="K36" s="3" t="s">
        <v>377</v>
      </c>
      <c r="L36" s="22">
        <v>2012</v>
      </c>
      <c r="M36" s="1" t="s">
        <v>845</v>
      </c>
      <c r="N36" s="22">
        <v>2009</v>
      </c>
      <c r="O36" s="9" t="s">
        <v>1502</v>
      </c>
      <c r="P36" s="10"/>
      <c r="Q36" s="10"/>
      <c r="U36" s="7"/>
      <c r="W36" s="7"/>
      <c r="Z36" s="1" t="s">
        <v>382</v>
      </c>
      <c r="AA36" s="6" t="s">
        <v>1495</v>
      </c>
    </row>
    <row r="37" spans="1:36" s="1" customFormat="1" ht="13">
      <c r="C37" s="1" t="s">
        <v>1497</v>
      </c>
      <c r="D37" s="1" t="s">
        <v>1498</v>
      </c>
      <c r="E37" s="1" t="s">
        <v>1499</v>
      </c>
      <c r="F37" s="1" t="s">
        <v>853</v>
      </c>
      <c r="G37" s="1" t="s">
        <v>167</v>
      </c>
      <c r="H37" s="1" t="s">
        <v>1450</v>
      </c>
      <c r="K37" s="3" t="s">
        <v>149</v>
      </c>
      <c r="L37" s="22">
        <v>2012</v>
      </c>
      <c r="M37" s="1" t="s">
        <v>845</v>
      </c>
      <c r="N37" s="22">
        <v>2009</v>
      </c>
      <c r="O37" s="9" t="s">
        <v>1503</v>
      </c>
      <c r="P37" s="10"/>
      <c r="Q37" s="10"/>
      <c r="U37" s="7"/>
      <c r="W37" s="7"/>
      <c r="Z37" s="1" t="s">
        <v>382</v>
      </c>
      <c r="AA37" s="6" t="s">
        <v>1495</v>
      </c>
    </row>
    <row r="38" spans="1:36" s="1" customFormat="1" ht="13">
      <c r="C38" s="1" t="s">
        <v>1504</v>
      </c>
      <c r="D38" s="1" t="s">
        <v>1505</v>
      </c>
      <c r="E38" s="1" t="s">
        <v>1499</v>
      </c>
      <c r="F38" s="1" t="s">
        <v>844</v>
      </c>
      <c r="G38" s="1" t="s">
        <v>146</v>
      </c>
      <c r="H38" s="1" t="s">
        <v>1450</v>
      </c>
      <c r="K38" s="3" t="s">
        <v>377</v>
      </c>
      <c r="L38" s="22">
        <v>2013</v>
      </c>
      <c r="M38" s="1" t="s">
        <v>1506</v>
      </c>
      <c r="N38" s="22">
        <v>2009</v>
      </c>
      <c r="O38" s="9" t="s">
        <v>1507</v>
      </c>
      <c r="P38" s="10"/>
      <c r="Q38" s="10"/>
      <c r="U38" s="7"/>
      <c r="W38" s="7"/>
      <c r="Z38" s="1" t="s">
        <v>382</v>
      </c>
      <c r="AA38" s="6" t="s">
        <v>1495</v>
      </c>
    </row>
    <row r="39" spans="1:36" s="1" customFormat="1" ht="13">
      <c r="C39" s="1" t="s">
        <v>1504</v>
      </c>
      <c r="D39" s="1" t="s">
        <v>1505</v>
      </c>
      <c r="E39" s="1" t="s">
        <v>1499</v>
      </c>
      <c r="F39" s="1" t="s">
        <v>844</v>
      </c>
      <c r="G39" s="1" t="s">
        <v>146</v>
      </c>
      <c r="H39" s="1" t="s">
        <v>1450</v>
      </c>
      <c r="K39" s="3" t="s">
        <v>149</v>
      </c>
      <c r="L39" s="22">
        <v>2013</v>
      </c>
      <c r="M39" s="1" t="s">
        <v>1506</v>
      </c>
      <c r="N39" s="22">
        <v>2009</v>
      </c>
      <c r="O39" s="9" t="s">
        <v>1508</v>
      </c>
      <c r="P39" s="10"/>
      <c r="Q39" s="10"/>
      <c r="U39" s="7"/>
      <c r="W39" s="7"/>
      <c r="Z39" s="1" t="s">
        <v>382</v>
      </c>
      <c r="AA39" s="6" t="s">
        <v>1495</v>
      </c>
    </row>
    <row r="40" spans="1:36" s="1" customFormat="1" ht="13">
      <c r="A40" s="12">
        <v>2</v>
      </c>
      <c r="B40" s="12">
        <v>1</v>
      </c>
      <c r="C40" s="12" t="s">
        <v>1509</v>
      </c>
      <c r="D40" s="12" t="s">
        <v>1510</v>
      </c>
      <c r="E40" s="25" t="s">
        <v>145</v>
      </c>
      <c r="F40" s="12" t="s">
        <v>844</v>
      </c>
      <c r="G40" s="12" t="s">
        <v>146</v>
      </c>
      <c r="H40" s="12" t="s">
        <v>1450</v>
      </c>
      <c r="I40" s="12" t="s">
        <v>148</v>
      </c>
      <c r="J40" s="12" t="s">
        <v>1075</v>
      </c>
      <c r="K40" s="13" t="s">
        <v>377</v>
      </c>
      <c r="L40" s="24">
        <v>2014</v>
      </c>
      <c r="M40" s="12" t="s">
        <v>845</v>
      </c>
      <c r="N40" s="24">
        <v>2011</v>
      </c>
      <c r="O40" s="12" t="s">
        <v>1511</v>
      </c>
      <c r="P40" s="15">
        <v>6435</v>
      </c>
      <c r="Q40" s="15" t="e">
        <f>#REF!</f>
        <v>#REF!</v>
      </c>
      <c r="R40" s="12" t="e">
        <f>IF(P40&lt;Q40,"Cost-Effective","Not Cost-Effective")</f>
        <v>#REF!</v>
      </c>
      <c r="S40" s="12" t="e">
        <f>IF(P40&lt;Q40*3,"Cost-Effective","Not Cost-Effective")</f>
        <v>#REF!</v>
      </c>
      <c r="T40" s="17" t="e">
        <f>P40/Q40</f>
        <v>#REF!</v>
      </c>
      <c r="U40" s="19">
        <f>VLOOKUP(E40,thresholds!$A$2:$G$99,3,FALSE)</f>
        <v>0</v>
      </c>
      <c r="V40" s="12" t="e">
        <f>IF(T40&lt;U40,"Cost-Effective","Not Cost-Effective")</f>
        <v>#REF!</v>
      </c>
      <c r="W40" s="19">
        <f>VLOOKUP(E40,thresholds!$A$2:$G$99,5,FALSE)</f>
        <v>0.64811121873397526</v>
      </c>
      <c r="X40" s="12" t="e">
        <f>IF(T40&lt;W40,"Cost-Effective","Not Cost-Effective")</f>
        <v>#REF!</v>
      </c>
      <c r="Y40" s="25" t="s">
        <v>176</v>
      </c>
      <c r="Z40" s="12" t="s">
        <v>382</v>
      </c>
      <c r="AA40" s="14" t="s">
        <v>1512</v>
      </c>
      <c r="AB40" s="4" t="s">
        <v>1513</v>
      </c>
      <c r="AC40" s="1" t="s">
        <v>1514</v>
      </c>
    </row>
    <row r="41" spans="1:36" s="1" customFormat="1" ht="13">
      <c r="A41" s="12">
        <v>2</v>
      </c>
      <c r="B41" s="12">
        <v>2</v>
      </c>
      <c r="C41" s="12" t="s">
        <v>1509</v>
      </c>
      <c r="D41" s="12" t="s">
        <v>1510</v>
      </c>
      <c r="E41" s="25" t="s">
        <v>145</v>
      </c>
      <c r="F41" s="12" t="s">
        <v>844</v>
      </c>
      <c r="G41" s="12" t="s">
        <v>146</v>
      </c>
      <c r="H41" s="12" t="s">
        <v>1450</v>
      </c>
      <c r="I41" s="12" t="s">
        <v>155</v>
      </c>
      <c r="J41" s="12" t="s">
        <v>1075</v>
      </c>
      <c r="K41" s="13" t="s">
        <v>377</v>
      </c>
      <c r="L41" s="24">
        <v>2014</v>
      </c>
      <c r="M41" s="12" t="s">
        <v>845</v>
      </c>
      <c r="N41" s="24">
        <v>2011</v>
      </c>
      <c r="O41" s="12" t="s">
        <v>1515</v>
      </c>
      <c r="P41" s="15">
        <v>376497</v>
      </c>
      <c r="Q41" s="15" t="e">
        <f>#REF!</f>
        <v>#REF!</v>
      </c>
      <c r="R41" s="12" t="e">
        <f>IF(P41&lt;Q41,"Cost-Effective","Not Cost-Effective")</f>
        <v>#REF!</v>
      </c>
      <c r="S41" s="12" t="e">
        <f>IF(P41&lt;Q41*3,"Cost-Effective","Not Cost-Effective")</f>
        <v>#REF!</v>
      </c>
      <c r="T41" s="17" t="e">
        <f>P41/Q41</f>
        <v>#REF!</v>
      </c>
      <c r="U41" s="19">
        <f>VLOOKUP(E41,thresholds!$A$2:$G$99,3,FALSE)</f>
        <v>0</v>
      </c>
      <c r="V41" s="12" t="e">
        <f>IF(T41&lt;U41,"Cost-Effective","Not Cost-Effective")</f>
        <v>#REF!</v>
      </c>
      <c r="W41" s="19">
        <f>VLOOKUP(E41,thresholds!$A$2:$G$99,5,FALSE)</f>
        <v>0.64811121873397526</v>
      </c>
      <c r="X41" s="12" t="e">
        <f>IF(T41&lt;W41,"Cost-Effective","Not Cost-Effective")</f>
        <v>#REF!</v>
      </c>
      <c r="Y41" s="25" t="s">
        <v>176</v>
      </c>
      <c r="Z41" s="12" t="s">
        <v>382</v>
      </c>
      <c r="AA41" s="14" t="s">
        <v>1512</v>
      </c>
      <c r="AB41" s="4" t="s">
        <v>1513</v>
      </c>
    </row>
    <row r="44" spans="1:36" s="1" customFormat="1" ht="13">
      <c r="A44" s="1" t="s">
        <v>1516</v>
      </c>
      <c r="B44" s="1" t="s">
        <v>1517</v>
      </c>
      <c r="C44" s="6" t="s">
        <v>1143</v>
      </c>
      <c r="D44" s="3" t="s">
        <v>955</v>
      </c>
      <c r="E44" s="1" t="s">
        <v>1075</v>
      </c>
      <c r="F44" s="3">
        <v>2004</v>
      </c>
      <c r="G44" s="1" t="s">
        <v>1143</v>
      </c>
      <c r="H44" s="3">
        <v>1998</v>
      </c>
      <c r="I44" s="1" t="s">
        <v>1075</v>
      </c>
      <c r="J44" s="3">
        <v>121100</v>
      </c>
      <c r="K44" s="3">
        <v>120968.21773556752</v>
      </c>
      <c r="L44" s="3">
        <v>52824.822999999997</v>
      </c>
      <c r="M44" s="3">
        <v>0</v>
      </c>
      <c r="N44" s="3">
        <v>0</v>
      </c>
      <c r="O44" s="3">
        <v>1</v>
      </c>
      <c r="P44" s="3">
        <v>0</v>
      </c>
      <c r="Q44" s="3">
        <v>0</v>
      </c>
      <c r="R44" s="3">
        <v>2</v>
      </c>
      <c r="S44" s="3"/>
      <c r="T44" s="3"/>
      <c r="U44" s="3"/>
      <c r="V44" s="3"/>
      <c r="W44" s="3"/>
      <c r="X44" s="3"/>
      <c r="Y44" s="3"/>
      <c r="Z44" s="3"/>
      <c r="AA44" s="3"/>
      <c r="AB44" s="3"/>
      <c r="AE44" s="3"/>
      <c r="AF44" s="3"/>
      <c r="AG44" s="3"/>
      <c r="AH44" s="3"/>
      <c r="AI44" s="3"/>
      <c r="AJ44" s="3"/>
    </row>
    <row r="45" spans="1:36" s="1" customFormat="1" ht="13">
      <c r="A45" s="1" t="s">
        <v>1518</v>
      </c>
      <c r="B45" s="1" t="s">
        <v>1519</v>
      </c>
      <c r="C45" s="5" t="s">
        <v>1230</v>
      </c>
      <c r="D45" s="3" t="s">
        <v>1520</v>
      </c>
      <c r="E45" s="1" t="s">
        <v>1075</v>
      </c>
      <c r="F45" s="3">
        <v>2009</v>
      </c>
      <c r="G45" s="1" t="s">
        <v>290</v>
      </c>
      <c r="H45" s="3">
        <v>2005</v>
      </c>
      <c r="I45" s="1" t="s">
        <v>1075</v>
      </c>
      <c r="J45" s="3">
        <v>51727</v>
      </c>
      <c r="K45" s="3">
        <v>85333.998130426669</v>
      </c>
      <c r="L45" s="3">
        <v>31288.019</v>
      </c>
      <c r="M45" s="3">
        <v>0</v>
      </c>
      <c r="N45" s="3">
        <v>0</v>
      </c>
      <c r="O45" s="3">
        <v>1</v>
      </c>
      <c r="P45" s="3">
        <v>0</v>
      </c>
      <c r="Q45" s="3">
        <v>0</v>
      </c>
      <c r="R45" s="3">
        <v>2</v>
      </c>
      <c r="S45" s="3"/>
      <c r="T45" s="3"/>
      <c r="U45" s="3"/>
      <c r="V45" s="3"/>
      <c r="W45" s="3"/>
      <c r="X45" s="3"/>
      <c r="Y45" s="3"/>
      <c r="Z45" s="3"/>
      <c r="AA45" s="3"/>
      <c r="AB45" s="3"/>
      <c r="AE45" s="3"/>
      <c r="AF45" s="3"/>
      <c r="AG45" s="3"/>
      <c r="AH45" s="3"/>
      <c r="AI45" s="3"/>
      <c r="AJ45" s="3"/>
    </row>
    <row r="46" spans="1:36" s="1" customFormat="1" ht="13">
      <c r="C46" s="5"/>
      <c r="D46" s="3"/>
      <c r="F46" s="3"/>
      <c r="H46" s="3"/>
      <c r="J46" s="3"/>
      <c r="K46" s="3"/>
      <c r="L46" s="3"/>
      <c r="M46" s="3"/>
      <c r="N46" s="3"/>
      <c r="O46" s="3"/>
      <c r="P46" s="3"/>
      <c r="Q46" s="3"/>
      <c r="R46" s="3"/>
      <c r="S46" s="3"/>
      <c r="T46" s="3"/>
      <c r="U46" s="3"/>
      <c r="V46" s="3"/>
      <c r="W46" s="3"/>
      <c r="X46" s="3"/>
      <c r="Y46" s="3"/>
      <c r="Z46" s="3"/>
      <c r="AA46" s="3"/>
      <c r="AB46" s="3"/>
      <c r="AE46" s="3"/>
      <c r="AF46" s="3"/>
      <c r="AG46" s="3"/>
      <c r="AH46" s="3"/>
      <c r="AI46" s="3"/>
      <c r="AJ46" s="3"/>
    </row>
    <row r="47" spans="1:36" s="1" customFormat="1" ht="13">
      <c r="C47" s="5"/>
      <c r="D47" s="3"/>
      <c r="F47" s="3"/>
      <c r="H47" s="3"/>
      <c r="J47" s="3"/>
      <c r="K47" s="3"/>
      <c r="L47" s="3"/>
      <c r="M47" s="3"/>
      <c r="N47" s="3"/>
      <c r="O47" s="3"/>
      <c r="P47" s="3"/>
      <c r="Q47" s="3"/>
      <c r="R47" s="3"/>
      <c r="S47" s="3"/>
      <c r="T47" s="3"/>
      <c r="U47" s="3"/>
      <c r="V47" s="3"/>
      <c r="W47" s="3"/>
      <c r="X47" s="3"/>
      <c r="Y47" s="3"/>
      <c r="Z47" s="3"/>
      <c r="AA47" s="3"/>
      <c r="AB47" s="3"/>
      <c r="AE47" s="3"/>
      <c r="AF47" s="3"/>
      <c r="AG47" s="3"/>
      <c r="AH47" s="3"/>
      <c r="AI47" s="3"/>
      <c r="AJ47" s="3"/>
    </row>
    <row r="49" spans="1:31" s="37" customFormat="1" ht="12.75" customHeight="1">
      <c r="A49" s="36" t="s">
        <v>799</v>
      </c>
      <c r="B49" s="36" t="s">
        <v>814</v>
      </c>
      <c r="C49" s="37" t="s">
        <v>1</v>
      </c>
      <c r="D49" s="36" t="s">
        <v>2</v>
      </c>
      <c r="E49" s="37" t="s">
        <v>3</v>
      </c>
      <c r="F49" s="37" t="s">
        <v>794</v>
      </c>
      <c r="G49" s="37" t="s">
        <v>816</v>
      </c>
      <c r="H49" s="36" t="s">
        <v>817</v>
      </c>
      <c r="I49" s="36" t="s">
        <v>818</v>
      </c>
      <c r="J49" s="36" t="s">
        <v>1521</v>
      </c>
      <c r="K49" s="36" t="s">
        <v>820</v>
      </c>
      <c r="L49" s="36" t="s">
        <v>821</v>
      </c>
      <c r="M49" s="36" t="s">
        <v>1433</v>
      </c>
      <c r="N49" s="37" t="s">
        <v>822</v>
      </c>
      <c r="O49" s="37" t="s">
        <v>823</v>
      </c>
      <c r="P49" s="36" t="s">
        <v>824</v>
      </c>
      <c r="Q49" s="37" t="s">
        <v>825</v>
      </c>
      <c r="R49" s="37" t="s">
        <v>826</v>
      </c>
      <c r="S49" s="37" t="s">
        <v>827</v>
      </c>
      <c r="T49" s="38" t="s">
        <v>828</v>
      </c>
      <c r="U49" s="37" t="s">
        <v>829</v>
      </c>
      <c r="V49" s="37" t="s">
        <v>830</v>
      </c>
      <c r="W49" s="37" t="s">
        <v>831</v>
      </c>
      <c r="X49" s="39" t="s">
        <v>1522</v>
      </c>
      <c r="Y49" s="37" t="s">
        <v>1523</v>
      </c>
      <c r="Z49" s="39" t="s">
        <v>1524</v>
      </c>
      <c r="AA49" s="37" t="s">
        <v>1525</v>
      </c>
      <c r="AB49" s="37" t="s">
        <v>840</v>
      </c>
      <c r="AC49" s="37" t="s">
        <v>841</v>
      </c>
      <c r="AD49" s="37" t="s">
        <v>1447</v>
      </c>
      <c r="AE49" s="37" t="s">
        <v>842</v>
      </c>
    </row>
    <row r="50" spans="1:31" s="30" customFormat="1" ht="12.75" customHeight="1">
      <c r="A50" s="40">
        <f>IF(E50=data!F59,data!A59,data!A59+1)</f>
        <v>18</v>
      </c>
      <c r="B50" s="40">
        <f>IF(E50=data!F59,data!B59+1,1)</f>
        <v>1</v>
      </c>
      <c r="C50" s="30" t="s">
        <v>1526</v>
      </c>
      <c r="D50" s="33">
        <v>2005</v>
      </c>
      <c r="E50" s="30" t="s">
        <v>1527</v>
      </c>
      <c r="F50" s="30" t="s">
        <v>1191</v>
      </c>
      <c r="G50" s="44" t="s">
        <v>1528</v>
      </c>
      <c r="H50" s="40" t="s">
        <v>146</v>
      </c>
      <c r="I50" s="40" t="s">
        <v>147</v>
      </c>
      <c r="J50" s="40" t="s">
        <v>376</v>
      </c>
      <c r="K50" s="40">
        <v>4</v>
      </c>
      <c r="L50" s="40" t="s">
        <v>155</v>
      </c>
      <c r="M50" s="40"/>
      <c r="N50" s="30" t="s">
        <v>149</v>
      </c>
      <c r="O50" s="30" t="s">
        <v>1038</v>
      </c>
      <c r="P50" s="40">
        <v>2000</v>
      </c>
      <c r="Q50" s="30" t="s">
        <v>1529</v>
      </c>
      <c r="R50" s="35">
        <v>44307</v>
      </c>
      <c r="S50" s="43">
        <f>R50/xRates!$F$228</f>
        <v>9308.1932773109256</v>
      </c>
      <c r="T50" s="32">
        <f t="shared" ref="T50:T58" si="0">VLOOKUP(F50,gdppc,P50-1958,FALSE)</f>
        <v>14749.7</v>
      </c>
      <c r="U50" s="30" t="str">
        <f t="shared" ref="U50:U58" si="1">IF(S50&lt;T50,"Cost-Effective","Not Cost-Effective")</f>
        <v>Cost-Effective</v>
      </c>
      <c r="V50" s="30" t="str">
        <f t="shared" ref="V50:V58" si="2">IF(S50&lt;T50*3,"Cost-Effective","Not Cost-Effective")</f>
        <v>Cost-Effective</v>
      </c>
      <c r="W50" s="41">
        <f t="shared" ref="W50:W58" si="3">S50/T50</f>
        <v>0.63107678646419418</v>
      </c>
      <c r="X50" s="42">
        <f t="shared" ref="X50:X58" si="4">IFERROR(VLOOKUP(F50,ochalek,11,FALSE),0)</f>
        <v>0</v>
      </c>
      <c r="Y50" s="30" t="str">
        <f t="shared" ref="Y50:Y58" si="5">IF( W50&lt;X50, "Cost-Effective", IF( W50-X50=W50, "No Threshold", "Not Cost-Effective"))</f>
        <v>No Threshold</v>
      </c>
      <c r="Z50" s="42">
        <f t="shared" ref="Z50:Z58" si="6">IFERROR(VLOOKUP(F50,woods,6,FALSE),0)</f>
        <v>0.53412983368412359</v>
      </c>
      <c r="AA50" s="30" t="str">
        <f t="shared" ref="AA50:AA58" si="7">IF( W50&lt;Z50, "Cost-Effective", IF( W50-Z50=W50, "No Threshold", "Not Cost-Effective"))</f>
        <v>Not Cost-Effective</v>
      </c>
    </row>
    <row r="51" spans="1:31" s="30" customFormat="1" ht="12.75" customHeight="1">
      <c r="A51" s="40">
        <f>IF(E51=E50,A50,A50+1)</f>
        <v>18</v>
      </c>
      <c r="B51" s="40">
        <f>IF(E51=E50,B50+1,1)</f>
        <v>2</v>
      </c>
      <c r="C51" s="30" t="s">
        <v>1526</v>
      </c>
      <c r="D51" s="33">
        <v>2005</v>
      </c>
      <c r="E51" s="30" t="s">
        <v>1527</v>
      </c>
      <c r="F51" s="30" t="s">
        <v>1191</v>
      </c>
      <c r="G51" s="44" t="s">
        <v>1528</v>
      </c>
      <c r="H51" s="40" t="s">
        <v>146</v>
      </c>
      <c r="I51" s="40" t="s">
        <v>147</v>
      </c>
      <c r="J51" s="40" t="s">
        <v>376</v>
      </c>
      <c r="K51" s="40">
        <v>4</v>
      </c>
      <c r="L51" s="40" t="s">
        <v>155</v>
      </c>
      <c r="M51" s="40"/>
      <c r="N51" s="30" t="s">
        <v>377</v>
      </c>
      <c r="O51" s="30" t="s">
        <v>1038</v>
      </c>
      <c r="P51" s="40">
        <v>2000</v>
      </c>
      <c r="Q51" s="30" t="s">
        <v>1530</v>
      </c>
      <c r="R51" s="35">
        <v>80291</v>
      </c>
      <c r="S51" s="43">
        <f>R51/xRates!$F$228</f>
        <v>16867.857142857145</v>
      </c>
      <c r="T51" s="32">
        <f t="shared" si="0"/>
        <v>14749.7</v>
      </c>
      <c r="U51" s="30" t="str">
        <f t="shared" si="1"/>
        <v>Not Cost-Effective</v>
      </c>
      <c r="V51" s="30" t="str">
        <f t="shared" si="2"/>
        <v>Cost-Effective</v>
      </c>
      <c r="W51" s="41">
        <f t="shared" si="3"/>
        <v>1.1436067949081774</v>
      </c>
      <c r="X51" s="42">
        <f t="shared" si="4"/>
        <v>0</v>
      </c>
      <c r="Y51" s="30" t="str">
        <f t="shared" si="5"/>
        <v>No Threshold</v>
      </c>
      <c r="Z51" s="42">
        <f t="shared" si="6"/>
        <v>0.53412983368412359</v>
      </c>
      <c r="AA51" s="30" t="str">
        <f t="shared" si="7"/>
        <v>Not Cost-Effective</v>
      </c>
      <c r="AD51" s="30" t="s">
        <v>1531</v>
      </c>
    </row>
    <row r="52" spans="1:31" s="30" customFormat="1" ht="12.75" customHeight="1">
      <c r="A52" s="40">
        <f>IF(E52=data!F60,data!A60,data!A60+1)</f>
        <v>18</v>
      </c>
      <c r="B52" s="40">
        <f>IF(E52=data!F60,data!B60+1,1)</f>
        <v>2</v>
      </c>
      <c r="C52" s="30" t="s">
        <v>66</v>
      </c>
      <c r="D52" s="33">
        <v>2008</v>
      </c>
      <c r="E52" s="30" t="s">
        <v>513</v>
      </c>
      <c r="F52" s="30" t="s">
        <v>1167</v>
      </c>
      <c r="G52" s="44" t="s">
        <v>901</v>
      </c>
      <c r="H52" s="40" t="s">
        <v>146</v>
      </c>
      <c r="I52" s="40" t="s">
        <v>1532</v>
      </c>
      <c r="J52" s="40" t="s">
        <v>514</v>
      </c>
      <c r="K52" s="40">
        <v>3</v>
      </c>
      <c r="L52" s="40" t="s">
        <v>155</v>
      </c>
      <c r="M52" s="40"/>
      <c r="N52" s="30" t="s">
        <v>149</v>
      </c>
      <c r="O52" s="30" t="s">
        <v>845</v>
      </c>
      <c r="P52" s="40">
        <v>2004</v>
      </c>
      <c r="Q52" s="30" t="s">
        <v>1533</v>
      </c>
      <c r="R52" s="35">
        <f t="shared" ref="R52:R58" si="8">S52</f>
        <v>2019</v>
      </c>
      <c r="S52" s="43">
        <v>2019</v>
      </c>
      <c r="T52" s="32">
        <f t="shared" si="0"/>
        <v>6185.3</v>
      </c>
      <c r="U52" s="30" t="str">
        <f t="shared" si="1"/>
        <v>Cost-Effective</v>
      </c>
      <c r="V52" s="30" t="str">
        <f t="shared" si="2"/>
        <v>Cost-Effective</v>
      </c>
      <c r="W52" s="41">
        <f t="shared" si="3"/>
        <v>0.32641909042406997</v>
      </c>
      <c r="X52" s="42">
        <f t="shared" si="4"/>
        <v>0</v>
      </c>
      <c r="Y52" s="30" t="str">
        <f t="shared" si="5"/>
        <v>No Threshold</v>
      </c>
      <c r="Z52" s="42">
        <f t="shared" si="6"/>
        <v>0.59562434510358409</v>
      </c>
      <c r="AA52" s="30" t="str">
        <f t="shared" si="7"/>
        <v>Cost-Effective</v>
      </c>
    </row>
    <row r="53" spans="1:31" s="30" customFormat="1" ht="12.75" customHeight="1">
      <c r="A53" s="40" t="e">
        <f>IF(E53=data!#REF!,data!#REF!,data!#REF!+1)</f>
        <v>#REF!</v>
      </c>
      <c r="B53" s="40" t="e">
        <f>IF(E53=data!#REF!,data!#REF!+1,1)</f>
        <v>#REF!</v>
      </c>
      <c r="C53" s="30" t="s">
        <v>1534</v>
      </c>
      <c r="D53" s="45">
        <v>2015</v>
      </c>
      <c r="E53" s="30" t="s">
        <v>1535</v>
      </c>
      <c r="F53" s="30" t="s">
        <v>1216</v>
      </c>
      <c r="G53" s="46" t="s">
        <v>1536</v>
      </c>
      <c r="H53" s="47" t="s">
        <v>166</v>
      </c>
      <c r="I53" s="47" t="s">
        <v>147</v>
      </c>
      <c r="J53" s="47" t="s">
        <v>1537</v>
      </c>
      <c r="K53" s="40">
        <v>3</v>
      </c>
      <c r="L53" s="47" t="s">
        <v>155</v>
      </c>
      <c r="M53" s="47"/>
      <c r="N53" s="48" t="s">
        <v>377</v>
      </c>
      <c r="O53" s="48" t="s">
        <v>845</v>
      </c>
      <c r="P53" s="47">
        <v>2014</v>
      </c>
      <c r="Q53" s="48" t="s">
        <v>1538</v>
      </c>
      <c r="R53" s="35">
        <f t="shared" si="8"/>
        <v>75467</v>
      </c>
      <c r="S53" s="43">
        <v>75467</v>
      </c>
      <c r="T53" s="32">
        <f t="shared" si="0"/>
        <v>14035.9</v>
      </c>
      <c r="U53" s="30" t="str">
        <f t="shared" si="1"/>
        <v>Not Cost-Effective</v>
      </c>
      <c r="V53" s="30" t="str">
        <f t="shared" si="2"/>
        <v>Not Cost-Effective</v>
      </c>
      <c r="W53" s="41">
        <f t="shared" si="3"/>
        <v>5.3767125727598515</v>
      </c>
      <c r="X53" s="42">
        <f t="shared" si="4"/>
        <v>0</v>
      </c>
      <c r="Y53" s="30" t="str">
        <f t="shared" si="5"/>
        <v>No Threshold</v>
      </c>
      <c r="Z53" s="42">
        <f t="shared" si="6"/>
        <v>0.57855194183771119</v>
      </c>
      <c r="AA53" s="30" t="str">
        <f t="shared" si="7"/>
        <v>Not Cost-Effective</v>
      </c>
      <c r="AD53" s="30" t="s">
        <v>1512</v>
      </c>
    </row>
    <row r="54" spans="1:31" s="30" customFormat="1" ht="12.75" customHeight="1">
      <c r="A54" s="40" t="e">
        <f>IF(E54=E53,A53,A53+1)</f>
        <v>#REF!</v>
      </c>
      <c r="B54" s="40" t="e">
        <f>IF(E54=E53,B53+1,1)</f>
        <v>#REF!</v>
      </c>
      <c r="C54" s="30" t="s">
        <v>1534</v>
      </c>
      <c r="D54" s="45">
        <v>2015</v>
      </c>
      <c r="E54" s="30" t="s">
        <v>1535</v>
      </c>
      <c r="F54" s="30" t="s">
        <v>1216</v>
      </c>
      <c r="G54" s="46" t="s">
        <v>1536</v>
      </c>
      <c r="H54" s="47" t="s">
        <v>166</v>
      </c>
      <c r="I54" s="47" t="s">
        <v>147</v>
      </c>
      <c r="J54" s="47" t="s">
        <v>1537</v>
      </c>
      <c r="K54" s="40">
        <v>3</v>
      </c>
      <c r="L54" s="47" t="s">
        <v>155</v>
      </c>
      <c r="M54" s="47"/>
      <c r="N54" s="48" t="s">
        <v>149</v>
      </c>
      <c r="O54" s="48" t="s">
        <v>845</v>
      </c>
      <c r="P54" s="47">
        <v>2014</v>
      </c>
      <c r="Q54" s="48" t="s">
        <v>1539</v>
      </c>
      <c r="R54" s="35">
        <f t="shared" si="8"/>
        <v>77000</v>
      </c>
      <c r="S54" s="43">
        <v>77000</v>
      </c>
      <c r="T54" s="32">
        <f t="shared" si="0"/>
        <v>14035.9</v>
      </c>
      <c r="U54" s="30" t="str">
        <f t="shared" si="1"/>
        <v>Not Cost-Effective</v>
      </c>
      <c r="V54" s="30" t="str">
        <f t="shared" si="2"/>
        <v>Not Cost-Effective</v>
      </c>
      <c r="W54" s="41">
        <f t="shared" si="3"/>
        <v>5.4859325016564666</v>
      </c>
      <c r="X54" s="42">
        <f t="shared" si="4"/>
        <v>0</v>
      </c>
      <c r="Y54" s="30" t="str">
        <f t="shared" si="5"/>
        <v>No Threshold</v>
      </c>
      <c r="Z54" s="42">
        <f t="shared" si="6"/>
        <v>0.57855194183771119</v>
      </c>
      <c r="AA54" s="30" t="str">
        <f t="shared" si="7"/>
        <v>Not Cost-Effective</v>
      </c>
      <c r="AD54" s="30" t="s">
        <v>1512</v>
      </c>
    </row>
    <row r="55" spans="1:31" s="30" customFormat="1" ht="12.75" customHeight="1">
      <c r="A55" s="40" t="e">
        <f>IF(E55=E54,A54,A54+1)</f>
        <v>#REF!</v>
      </c>
      <c r="B55" s="40" t="e">
        <f>IF(E55=E54,B54+1,1)</f>
        <v>#REF!</v>
      </c>
      <c r="C55" s="30" t="s">
        <v>1534</v>
      </c>
      <c r="D55" s="45">
        <v>2015</v>
      </c>
      <c r="E55" s="30" t="s">
        <v>1535</v>
      </c>
      <c r="F55" s="30" t="s">
        <v>1216</v>
      </c>
      <c r="G55" s="46" t="s">
        <v>1540</v>
      </c>
      <c r="H55" s="47" t="s">
        <v>167</v>
      </c>
      <c r="I55" s="47" t="s">
        <v>147</v>
      </c>
      <c r="J55" s="47" t="s">
        <v>1537</v>
      </c>
      <c r="K55" s="40">
        <v>3</v>
      </c>
      <c r="L55" s="47" t="s">
        <v>155</v>
      </c>
      <c r="M55" s="47"/>
      <c r="N55" s="48" t="s">
        <v>377</v>
      </c>
      <c r="O55" s="48" t="s">
        <v>845</v>
      </c>
      <c r="P55" s="47">
        <v>2014</v>
      </c>
      <c r="Q55" s="48" t="s">
        <v>1541</v>
      </c>
      <c r="R55" s="35">
        <f t="shared" si="8"/>
        <v>76557</v>
      </c>
      <c r="S55" s="43">
        <v>76557</v>
      </c>
      <c r="T55" s="32">
        <f t="shared" si="0"/>
        <v>14035.9</v>
      </c>
      <c r="U55" s="30" t="str">
        <f t="shared" si="1"/>
        <v>Not Cost-Effective</v>
      </c>
      <c r="V55" s="30" t="str">
        <f t="shared" si="2"/>
        <v>Not Cost-Effective</v>
      </c>
      <c r="W55" s="41">
        <f t="shared" si="3"/>
        <v>5.4543705783027807</v>
      </c>
      <c r="X55" s="42">
        <f t="shared" si="4"/>
        <v>0</v>
      </c>
      <c r="Y55" s="30" t="str">
        <f t="shared" si="5"/>
        <v>No Threshold</v>
      </c>
      <c r="Z55" s="42">
        <f t="shared" si="6"/>
        <v>0.57855194183771119</v>
      </c>
      <c r="AA55" s="30" t="str">
        <f t="shared" si="7"/>
        <v>Not Cost-Effective</v>
      </c>
    </row>
    <row r="56" spans="1:31" s="30" customFormat="1" ht="12.75" customHeight="1">
      <c r="A56" s="40" t="e">
        <f>IF(E56=E55,A55,A55+1)</f>
        <v>#REF!</v>
      </c>
      <c r="B56" s="40" t="e">
        <f>IF(E56=E55,B55+1,1)</f>
        <v>#REF!</v>
      </c>
      <c r="C56" s="30" t="s">
        <v>1534</v>
      </c>
      <c r="D56" s="45">
        <v>2015</v>
      </c>
      <c r="E56" s="30" t="s">
        <v>1535</v>
      </c>
      <c r="F56" s="30" t="s">
        <v>1216</v>
      </c>
      <c r="G56" s="46" t="s">
        <v>1540</v>
      </c>
      <c r="H56" s="47" t="s">
        <v>167</v>
      </c>
      <c r="I56" s="47" t="s">
        <v>147</v>
      </c>
      <c r="J56" s="47" t="s">
        <v>1537</v>
      </c>
      <c r="K56" s="40">
        <v>3</v>
      </c>
      <c r="L56" s="47" t="s">
        <v>155</v>
      </c>
      <c r="M56" s="47"/>
      <c r="N56" s="48" t="s">
        <v>149</v>
      </c>
      <c r="O56" s="48" t="s">
        <v>845</v>
      </c>
      <c r="P56" s="47">
        <v>2014</v>
      </c>
      <c r="Q56" s="48" t="s">
        <v>1542</v>
      </c>
      <c r="R56" s="35">
        <f t="shared" si="8"/>
        <v>69977</v>
      </c>
      <c r="S56" s="43">
        <v>69977</v>
      </c>
      <c r="T56" s="32">
        <f t="shared" si="0"/>
        <v>14035.9</v>
      </c>
      <c r="U56" s="30" t="str">
        <f t="shared" si="1"/>
        <v>Not Cost-Effective</v>
      </c>
      <c r="V56" s="30" t="str">
        <f t="shared" si="2"/>
        <v>Not Cost-Effective</v>
      </c>
      <c r="W56" s="41">
        <f t="shared" si="3"/>
        <v>4.9855727099794098</v>
      </c>
      <c r="X56" s="42">
        <f t="shared" si="4"/>
        <v>0</v>
      </c>
      <c r="Y56" s="30" t="str">
        <f t="shared" si="5"/>
        <v>No Threshold</v>
      </c>
      <c r="Z56" s="42">
        <f t="shared" si="6"/>
        <v>0.57855194183771119</v>
      </c>
      <c r="AA56" s="30" t="str">
        <f t="shared" si="7"/>
        <v>Not Cost-Effective</v>
      </c>
    </row>
    <row r="57" spans="1:31" s="30" customFormat="1" ht="12.75" customHeight="1">
      <c r="A57" s="40" t="e">
        <f>IF(E57=E56,A56,A56+1)</f>
        <v>#REF!</v>
      </c>
      <c r="B57" s="40" t="e">
        <f>IF(E57=E56,B56+1,1)</f>
        <v>#REF!</v>
      </c>
      <c r="C57" s="30" t="s">
        <v>1534</v>
      </c>
      <c r="D57" s="45">
        <v>2015</v>
      </c>
      <c r="E57" s="30" t="s">
        <v>1535</v>
      </c>
      <c r="F57" s="30" t="s">
        <v>1216</v>
      </c>
      <c r="G57" s="46" t="s">
        <v>1540</v>
      </c>
      <c r="H57" s="47" t="s">
        <v>167</v>
      </c>
      <c r="I57" s="47" t="s">
        <v>166</v>
      </c>
      <c r="J57" s="47" t="s">
        <v>1537</v>
      </c>
      <c r="K57" s="40">
        <v>3</v>
      </c>
      <c r="L57" s="47" t="s">
        <v>155</v>
      </c>
      <c r="M57" s="47"/>
      <c r="N57" s="48" t="s">
        <v>377</v>
      </c>
      <c r="O57" s="48" t="s">
        <v>845</v>
      </c>
      <c r="P57" s="47">
        <v>2014</v>
      </c>
      <c r="Q57" s="48" t="s">
        <v>1543</v>
      </c>
      <c r="R57" s="35">
        <f t="shared" si="8"/>
        <v>83830</v>
      </c>
      <c r="S57" s="43">
        <v>83830</v>
      </c>
      <c r="T57" s="32">
        <f t="shared" si="0"/>
        <v>14035.9</v>
      </c>
      <c r="U57" s="30" t="str">
        <f t="shared" si="1"/>
        <v>Not Cost-Effective</v>
      </c>
      <c r="V57" s="30" t="str">
        <f t="shared" si="2"/>
        <v>Not Cost-Effective</v>
      </c>
      <c r="W57" s="41">
        <f t="shared" si="3"/>
        <v>5.9725418391410603</v>
      </c>
      <c r="X57" s="42">
        <f t="shared" si="4"/>
        <v>0</v>
      </c>
      <c r="Y57" s="30" t="str">
        <f t="shared" si="5"/>
        <v>No Threshold</v>
      </c>
      <c r="Z57" s="42">
        <f t="shared" si="6"/>
        <v>0.57855194183771119</v>
      </c>
      <c r="AA57" s="30" t="str">
        <f t="shared" si="7"/>
        <v>Not Cost-Effective</v>
      </c>
    </row>
    <row r="58" spans="1:31" s="30" customFormat="1" ht="12.75" customHeight="1">
      <c r="A58" s="40" t="e">
        <f>IF(E58=E57,A57,A57+1)</f>
        <v>#REF!</v>
      </c>
      <c r="B58" s="40" t="e">
        <f>IF(E58=E57,B57+1,1)</f>
        <v>#REF!</v>
      </c>
      <c r="C58" s="30" t="s">
        <v>1534</v>
      </c>
      <c r="D58" s="45">
        <v>2015</v>
      </c>
      <c r="E58" s="30" t="s">
        <v>1535</v>
      </c>
      <c r="F58" s="30" t="s">
        <v>1216</v>
      </c>
      <c r="G58" s="46" t="s">
        <v>1540</v>
      </c>
      <c r="H58" s="47" t="s">
        <v>167</v>
      </c>
      <c r="I58" s="47" t="s">
        <v>166</v>
      </c>
      <c r="J58" s="47" t="s">
        <v>1537</v>
      </c>
      <c r="K58" s="40">
        <v>3</v>
      </c>
      <c r="L58" s="47" t="s">
        <v>155</v>
      </c>
      <c r="M58" s="47"/>
      <c r="N58" s="48" t="s">
        <v>149</v>
      </c>
      <c r="O58" s="48" t="s">
        <v>845</v>
      </c>
      <c r="P58" s="47">
        <v>2014</v>
      </c>
      <c r="Q58" s="48" t="s">
        <v>1544</v>
      </c>
      <c r="R58" s="35">
        <f t="shared" si="8"/>
        <v>78507</v>
      </c>
      <c r="S58" s="43">
        <v>78507</v>
      </c>
      <c r="T58" s="32">
        <f t="shared" si="0"/>
        <v>14035.9</v>
      </c>
      <c r="U58" s="30" t="str">
        <f t="shared" si="1"/>
        <v>Not Cost-Effective</v>
      </c>
      <c r="V58" s="30" t="str">
        <f t="shared" si="2"/>
        <v>Not Cost-Effective</v>
      </c>
      <c r="W58" s="41">
        <f t="shared" si="3"/>
        <v>5.593300037760315</v>
      </c>
      <c r="X58" s="42">
        <f t="shared" si="4"/>
        <v>0</v>
      </c>
      <c r="Y58" s="30" t="str">
        <f t="shared" si="5"/>
        <v>No Threshold</v>
      </c>
      <c r="Z58" s="42">
        <f t="shared" si="6"/>
        <v>0.57855194183771119</v>
      </c>
      <c r="AA58" s="30" t="str">
        <f t="shared" si="7"/>
        <v>Not Cost-Effective</v>
      </c>
    </row>
    <row r="59" spans="1:31" s="30" customFormat="1" ht="12.75" customHeight="1">
      <c r="A59" s="40">
        <f>IF(E59=data!F138,data!A138,data!A138+1)</f>
        <v>43</v>
      </c>
      <c r="B59" s="40">
        <f>IF(E59=data!F138,data!B138+1,1)</f>
        <v>9</v>
      </c>
      <c r="C59" s="30" t="s">
        <v>279</v>
      </c>
      <c r="D59" s="40">
        <v>2013</v>
      </c>
      <c r="E59" s="30" t="s">
        <v>676</v>
      </c>
      <c r="F59" s="9" t="s">
        <v>1167</v>
      </c>
      <c r="G59" s="44" t="s">
        <v>1545</v>
      </c>
      <c r="H59" s="40" t="s">
        <v>1546</v>
      </c>
      <c r="I59" s="40" t="s">
        <v>147</v>
      </c>
      <c r="J59" s="40" t="s">
        <v>403</v>
      </c>
      <c r="K59" s="40">
        <v>4</v>
      </c>
      <c r="L59" s="40" t="s">
        <v>155</v>
      </c>
      <c r="M59" s="30" t="s">
        <v>377</v>
      </c>
      <c r="N59" s="30" t="s">
        <v>845</v>
      </c>
      <c r="O59" s="40">
        <v>2008</v>
      </c>
      <c r="P59" s="30" t="s">
        <v>1547</v>
      </c>
      <c r="Q59" s="35">
        <v>-230.13</v>
      </c>
      <c r="R59" s="43">
        <v>-230.13</v>
      </c>
      <c r="S59" s="32">
        <f>VLOOKUP(F59,gdppc,O59-1958,FALSE)</f>
        <v>10797</v>
      </c>
      <c r="T59" s="30" t="str">
        <f>IF(R59&lt;S59,"Cost-Effective","Not Cost-Effective")</f>
        <v>Cost-Effective</v>
      </c>
      <c r="U59" s="30" t="str">
        <f>IF(R59&lt;S59*3,"Cost-Effective","Not Cost-Effective")</f>
        <v>Cost-Effective</v>
      </c>
      <c r="V59" s="41">
        <f>R59/S59</f>
        <v>-2.1314253959433177E-2</v>
      </c>
      <c r="W59" s="42">
        <f>IFERROR(VLOOKUP(F59,ochalek,11,FALSE),0)</f>
        <v>0</v>
      </c>
      <c r="X59" s="30" t="str">
        <f>IF( V59&lt;W59, "Cost-Effective", IF( V59-W59=V59, "No Threshold", "Not Cost-Effective"))</f>
        <v>Cost-Effective</v>
      </c>
      <c r="Y59" s="42">
        <f>IFERROR(VLOOKUP(F59,woods,6,FALSE),0)</f>
        <v>0.59562434510358409</v>
      </c>
      <c r="Z59" s="30" t="str">
        <f>IF( V59&lt;Y59, "Cost-Effective", IF( V59-Y59=V59, "No Threshold", "Not Cost-Effective"))</f>
        <v>Cost-Effective</v>
      </c>
    </row>
    <row r="60" spans="1:31" s="30" customFormat="1" ht="12.75" customHeight="1">
      <c r="A60" s="40">
        <f>IF(E60=E59,A59,A59+1)</f>
        <v>43</v>
      </c>
      <c r="B60" s="40">
        <f>IF(E60=E59,B59+1,1)</f>
        <v>10</v>
      </c>
      <c r="C60" s="30" t="s">
        <v>279</v>
      </c>
      <c r="D60" s="40">
        <v>2013</v>
      </c>
      <c r="E60" s="30" t="s">
        <v>676</v>
      </c>
      <c r="F60" s="9" t="s">
        <v>1167</v>
      </c>
      <c r="G60" s="44" t="s">
        <v>1545</v>
      </c>
      <c r="H60" s="40" t="s">
        <v>1546</v>
      </c>
      <c r="I60" s="40" t="s">
        <v>147</v>
      </c>
      <c r="J60" s="40" t="s">
        <v>403</v>
      </c>
      <c r="K60" s="40">
        <v>4</v>
      </c>
      <c r="L60" s="40" t="s">
        <v>155</v>
      </c>
      <c r="M60" s="30" t="s">
        <v>149</v>
      </c>
      <c r="N60" s="30" t="s">
        <v>845</v>
      </c>
      <c r="O60" s="40">
        <v>2008</v>
      </c>
      <c r="P60" s="30" t="s">
        <v>1548</v>
      </c>
      <c r="Q60" s="35">
        <v>-2133.38</v>
      </c>
      <c r="R60" s="43">
        <v>-2133.38</v>
      </c>
      <c r="S60" s="32">
        <f>VLOOKUP(F60,gdppc,O60-1958,FALSE)</f>
        <v>10797</v>
      </c>
      <c r="T60" s="30" t="str">
        <f>IF(R60&lt;S60,"Cost-Effective","Not Cost-Effective")</f>
        <v>Cost-Effective</v>
      </c>
      <c r="U60" s="30" t="str">
        <f>IF(R60&lt;S60*3,"Cost-Effective","Not Cost-Effective")</f>
        <v>Cost-Effective</v>
      </c>
      <c r="V60" s="41">
        <f>R60/S60</f>
        <v>-0.19759007131610634</v>
      </c>
      <c r="W60" s="42">
        <f>IFERROR(VLOOKUP(F60,ochalek,11,FALSE),0)</f>
        <v>0</v>
      </c>
      <c r="X60" s="30" t="str">
        <f>IF( V60&lt;W60, "Cost-Effective", IF( V60-W60=V60, "No Threshold", "Not Cost-Effective"))</f>
        <v>Cost-Effective</v>
      </c>
      <c r="Y60" s="42">
        <f>IFERROR(VLOOKUP(F60,woods,6,FALSE),0)</f>
        <v>0.59562434510358409</v>
      </c>
      <c r="Z60" s="30" t="str">
        <f>IF( V60&lt;Y60, "Cost-Effective", IF( V60-Y60=V60, "No Threshold", "Not Cost-Effective"))</f>
        <v>Cost-Effective</v>
      </c>
    </row>
    <row r="61" spans="1:31" s="30" customFormat="1" ht="12.75" customHeight="1">
      <c r="A61" s="40">
        <f>IF(E61=E60,A60,A60+1)</f>
        <v>43</v>
      </c>
      <c r="B61" s="40">
        <f>IF(E61=E60,B60+1,1)</f>
        <v>11</v>
      </c>
      <c r="C61" s="30" t="s">
        <v>279</v>
      </c>
      <c r="D61" s="40">
        <v>2013</v>
      </c>
      <c r="E61" s="30" t="s">
        <v>676</v>
      </c>
      <c r="F61" s="9" t="s">
        <v>1167</v>
      </c>
      <c r="G61" s="44" t="s">
        <v>1545</v>
      </c>
      <c r="H61" s="40" t="s">
        <v>1546</v>
      </c>
      <c r="I61" s="40" t="s">
        <v>147</v>
      </c>
      <c r="J61" s="40" t="s">
        <v>403</v>
      </c>
      <c r="K61" s="40">
        <v>4</v>
      </c>
      <c r="L61" s="40" t="s">
        <v>148</v>
      </c>
      <c r="M61" s="30" t="s">
        <v>377</v>
      </c>
      <c r="N61" s="30" t="s">
        <v>845</v>
      </c>
      <c r="O61" s="40">
        <v>2008</v>
      </c>
      <c r="P61" s="30" t="s">
        <v>1549</v>
      </c>
      <c r="Q61" s="35">
        <v>-235.11</v>
      </c>
      <c r="R61" s="43">
        <v>-235.11</v>
      </c>
      <c r="S61" s="32">
        <f>VLOOKUP(F61,gdppc,O61-1958,FALSE)</f>
        <v>10797</v>
      </c>
      <c r="T61" s="30" t="str">
        <f>IF(R61&lt;S61,"Cost-Effective","Not Cost-Effective")</f>
        <v>Cost-Effective</v>
      </c>
      <c r="U61" s="30" t="str">
        <f>IF(R61&lt;S61*3,"Cost-Effective","Not Cost-Effective")</f>
        <v>Cost-Effective</v>
      </c>
      <c r="V61" s="41">
        <f>R61/S61</f>
        <v>-2.1775493192553487E-2</v>
      </c>
      <c r="W61" s="42">
        <f>IFERROR(VLOOKUP(F61,ochalek,11,FALSE),0)</f>
        <v>0</v>
      </c>
      <c r="X61" s="30" t="str">
        <f>IF( V61&lt;W61, "Cost-Effective", IF( V61-W61=V61, "No Threshold", "Not Cost-Effective"))</f>
        <v>Cost-Effective</v>
      </c>
      <c r="Y61" s="42">
        <f>IFERROR(VLOOKUP(F61,woods,6,FALSE),0)</f>
        <v>0.59562434510358409</v>
      </c>
      <c r="Z61" s="30" t="str">
        <f>IF( V61&lt;Y61, "Cost-Effective", IF( V61-Y61=V61, "No Threshold", "Not Cost-Effective"))</f>
        <v>Cost-Effective</v>
      </c>
    </row>
    <row r="62" spans="1:31" s="30" customFormat="1" ht="12.75" customHeight="1">
      <c r="A62" s="40">
        <f>IF(E62=E61,A61,A61+1)</f>
        <v>43</v>
      </c>
      <c r="B62" s="40">
        <f>IF(E62=E61,B61+1,1)</f>
        <v>12</v>
      </c>
      <c r="C62" s="30" t="s">
        <v>279</v>
      </c>
      <c r="D62" s="40">
        <v>2013</v>
      </c>
      <c r="E62" s="30" t="s">
        <v>676</v>
      </c>
      <c r="F62" s="9" t="s">
        <v>1167</v>
      </c>
      <c r="G62" s="44" t="s">
        <v>1545</v>
      </c>
      <c r="H62" s="40" t="s">
        <v>1546</v>
      </c>
      <c r="I62" s="40" t="s">
        <v>147</v>
      </c>
      <c r="J62" s="40" t="s">
        <v>403</v>
      </c>
      <c r="K62" s="40">
        <v>4</v>
      </c>
      <c r="L62" s="40" t="s">
        <v>148</v>
      </c>
      <c r="M62" s="30" t="s">
        <v>149</v>
      </c>
      <c r="N62" s="30" t="s">
        <v>845</v>
      </c>
      <c r="O62" s="40">
        <v>2008</v>
      </c>
      <c r="P62" s="30" t="s">
        <v>1550</v>
      </c>
      <c r="Q62" s="35">
        <v>-2141.37</v>
      </c>
      <c r="R62" s="43">
        <v>-2141.37</v>
      </c>
      <c r="S62" s="32">
        <f>VLOOKUP(F62,gdppc,O62-1958,FALSE)</f>
        <v>10797</v>
      </c>
      <c r="T62" s="30" t="str">
        <f>IF(R62&lt;S62,"Cost-Effective","Not Cost-Effective")</f>
        <v>Cost-Effective</v>
      </c>
      <c r="U62" s="30" t="str">
        <f>IF(R62&lt;S62*3,"Cost-Effective","Not Cost-Effective")</f>
        <v>Cost-Effective</v>
      </c>
      <c r="V62" s="41">
        <f>R62/S62</f>
        <v>-0.1983300916921367</v>
      </c>
      <c r="W62" s="42">
        <f>IFERROR(VLOOKUP(F62,ochalek,11,FALSE),0)</f>
        <v>0</v>
      </c>
      <c r="X62" s="30" t="str">
        <f>IF( V62&lt;W62, "Cost-Effective", IF( V62-W62=V62, "No Threshold", "Not Cost-Effective"))</f>
        <v>Cost-Effective</v>
      </c>
      <c r="Y62" s="42">
        <f>IFERROR(VLOOKUP(F62,woods,6,FALSE),0)</f>
        <v>0.59562434510358409</v>
      </c>
      <c r="Z62" s="30" t="str">
        <f>IF( V62&lt;Y62, "Cost-Effective", IF( V62-Y62=V62, "No Threshold", "Not Cost-Effective"))</f>
        <v>Cost-Effective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fulltext_review</vt:lpstr>
      <vt:lpstr>studies</vt:lpstr>
      <vt:lpstr>data</vt:lpstr>
      <vt:lpstr>countries</vt:lpstr>
      <vt:lpstr>sam random</vt:lpstr>
      <vt:lpstr>studies_NC</vt:lpstr>
      <vt:lpstr>analysis</vt:lpstr>
      <vt:lpstr>studies (AP)</vt:lpstr>
      <vt:lpstr>analysis (AP)</vt:lpstr>
      <vt:lpstr>gdppc</vt:lpstr>
      <vt:lpstr>xRates</vt:lpstr>
      <vt:lpstr>ppp</vt:lpstr>
      <vt:lpstr>thresholds</vt:lpstr>
      <vt:lpstr>incomeGroup</vt:lpstr>
      <vt:lpstr>Sheet1</vt:lpstr>
      <vt:lpstr>high_income_archived</vt:lpstr>
      <vt:lpstr>gdppc</vt:lpstr>
      <vt:lpstr>income</vt:lpstr>
      <vt:lpstr>ochalek</vt:lpstr>
      <vt:lpstr>riviere</vt:lpstr>
      <vt:lpstr>woods</vt:lpstr>
      <vt:lpstr>xRates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Edifofon Akpan</dc:creator>
  <cp:keywords/>
  <dc:description/>
  <cp:lastModifiedBy>Edifofon Akpan</cp:lastModifiedBy>
  <cp:revision/>
  <dcterms:created xsi:type="dcterms:W3CDTF">2022-01-16T21:51:44Z</dcterms:created>
  <dcterms:modified xsi:type="dcterms:W3CDTF">2024-07-22T18:18:13Z</dcterms:modified>
  <cp:category/>
  <cp:contentStatus/>
</cp:coreProperties>
</file>