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natalie_carvalho_unimelb_edu_au/Documents/Grants/Scabies treatment in Fiji/Big-SHIFT/Cost of illness/data/"/>
    </mc:Choice>
  </mc:AlternateContent>
  <xr:revisionPtr revIDLastSave="108" documentId="13_ncr:1_{DA618CF2-9020-C64A-9CE3-AD16C172E22F}" xr6:coauthVersionLast="47" xr6:coauthVersionMax="47" xr10:uidLastSave="{090D3242-D210-674C-ACCE-3DD41453CFEA}"/>
  <bookViews>
    <workbookView xWindow="0" yWindow="780" windowWidth="32600" windowHeight="21360" activeTab="2" xr2:uid="{00000000-000D-0000-FFFF-FFFF00000000}"/>
  </bookViews>
  <sheets>
    <sheet name="Doses (2)" sheetId="5" state="hidden" r:id="rId1"/>
    <sheet name="Doses" sheetId="2" r:id="rId2"/>
    <sheet name="Costs" sheetId="4" r:id="rId3"/>
    <sheet name="Guide" sheetId="6" r:id="rId4"/>
    <sheet name="Guidelines" sheetId="3" state="hidden" r:id="rId5"/>
  </sheets>
  <definedNames>
    <definedName name="_xlnm._FilterDatabase" localSheetId="1" hidden="1">Doses!$E$1:$M$65</definedName>
    <definedName name="_xlnm._FilterDatabase" localSheetId="0" hidden="1">'Doses (2)'!$A$1:$N$65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9" i="4"/>
  <c r="P11" i="4"/>
  <c r="P12" i="4"/>
  <c r="P13" i="4"/>
  <c r="P14" i="4"/>
  <c r="P15" i="4"/>
  <c r="P16" i="4"/>
  <c r="P17" i="4"/>
  <c r="P19" i="4"/>
  <c r="P20" i="4"/>
  <c r="P22" i="4"/>
  <c r="P24" i="4"/>
  <c r="P26" i="4"/>
  <c r="P27" i="4"/>
  <c r="P2" i="4"/>
  <c r="E3" i="4" l="1"/>
  <c r="E4" i="4"/>
  <c r="E5" i="4"/>
  <c r="E6" i="4"/>
  <c r="E7" i="4"/>
  <c r="E8" i="4"/>
  <c r="E9" i="4"/>
  <c r="E11" i="4"/>
  <c r="E12" i="4"/>
  <c r="E13" i="4"/>
  <c r="E14" i="4"/>
  <c r="E15" i="4"/>
  <c r="E16" i="4"/>
  <c r="E19" i="4"/>
  <c r="E20" i="4"/>
  <c r="E21" i="4"/>
  <c r="E22" i="4"/>
  <c r="E24" i="4"/>
  <c r="E27" i="4"/>
  <c r="E2" i="4"/>
  <c r="I66" i="2"/>
  <c r="K66" i="2" s="1"/>
  <c r="I67" i="2"/>
  <c r="K67" i="2" s="1"/>
  <c r="I68" i="2"/>
  <c r="K68" i="2" s="1"/>
  <c r="I69" i="2"/>
  <c r="K69" i="2" s="1"/>
  <c r="F2" i="2"/>
  <c r="G2" i="2" s="1"/>
  <c r="I2" i="2" s="1"/>
  <c r="K2" i="2" s="1"/>
  <c r="I2" i="5"/>
  <c r="J2" i="5"/>
  <c r="L2" i="5"/>
  <c r="B2" i="5"/>
  <c r="I6" i="5"/>
  <c r="J6" i="5"/>
  <c r="L6" i="5"/>
  <c r="B6" i="5"/>
  <c r="I10" i="5"/>
  <c r="J10" i="5"/>
  <c r="L10" i="5"/>
  <c r="B10" i="5"/>
  <c r="I14" i="5"/>
  <c r="J14" i="5"/>
  <c r="L14" i="5"/>
  <c r="B14" i="5"/>
  <c r="I18" i="5"/>
  <c r="J18" i="5"/>
  <c r="L18" i="5"/>
  <c r="B18" i="5"/>
  <c r="I22" i="5"/>
  <c r="J22" i="5"/>
  <c r="L22" i="5"/>
  <c r="B22" i="5"/>
  <c r="I26" i="5"/>
  <c r="J26" i="5"/>
  <c r="L26" i="5"/>
  <c r="B26" i="5"/>
  <c r="I30" i="5"/>
  <c r="J30" i="5"/>
  <c r="L30" i="5"/>
  <c r="B30" i="5"/>
  <c r="I34" i="5"/>
  <c r="J34" i="5"/>
  <c r="L34" i="5"/>
  <c r="G34" i="5"/>
  <c r="B34" i="5" s="1"/>
  <c r="I38" i="5"/>
  <c r="J38" i="5"/>
  <c r="L38" i="5"/>
  <c r="G38" i="5"/>
  <c r="B38" i="5" s="1"/>
  <c r="I42" i="5"/>
  <c r="J42" i="5"/>
  <c r="L42" i="5"/>
  <c r="G42" i="5"/>
  <c r="B42" i="5" s="1"/>
  <c r="I46" i="5"/>
  <c r="J46" i="5"/>
  <c r="L46" i="5"/>
  <c r="G46" i="5"/>
  <c r="B46" i="5" s="1"/>
  <c r="I50" i="5"/>
  <c r="J50" i="5"/>
  <c r="L50" i="5"/>
  <c r="G50" i="5"/>
  <c r="B50" i="5" s="1"/>
  <c r="L54" i="5"/>
  <c r="B54" i="5"/>
  <c r="I58" i="5"/>
  <c r="J58" i="5"/>
  <c r="L58" i="5"/>
  <c r="G58" i="5"/>
  <c r="B58" i="5" s="1"/>
  <c r="I62" i="5"/>
  <c r="J62" i="5"/>
  <c r="L62" i="5"/>
  <c r="G62" i="5"/>
  <c r="B62" i="5" s="1"/>
  <c r="I3" i="5"/>
  <c r="J3" i="5"/>
  <c r="L3" i="5"/>
  <c r="B3" i="5"/>
  <c r="I7" i="5"/>
  <c r="J7" i="5"/>
  <c r="L7" i="5"/>
  <c r="B7" i="5"/>
  <c r="I11" i="5"/>
  <c r="J11" i="5"/>
  <c r="L11" i="5"/>
  <c r="B11" i="5"/>
  <c r="I15" i="5"/>
  <c r="J15" i="5"/>
  <c r="L15" i="5"/>
  <c r="B15" i="5"/>
  <c r="I19" i="5"/>
  <c r="J19" i="5"/>
  <c r="L19" i="5"/>
  <c r="B19" i="5"/>
  <c r="I23" i="5"/>
  <c r="J23" i="5"/>
  <c r="L23" i="5"/>
  <c r="B23" i="5"/>
  <c r="I27" i="5"/>
  <c r="J27" i="5"/>
  <c r="L27" i="5"/>
  <c r="B27" i="5"/>
  <c r="I31" i="5"/>
  <c r="J31" i="5"/>
  <c r="L31" i="5"/>
  <c r="B31" i="5"/>
  <c r="I35" i="5"/>
  <c r="J35" i="5"/>
  <c r="L35" i="5"/>
  <c r="G35" i="5"/>
  <c r="B35" i="5" s="1"/>
  <c r="I39" i="5"/>
  <c r="J39" i="5"/>
  <c r="L39" i="5"/>
  <c r="G39" i="5"/>
  <c r="B39" i="5" s="1"/>
  <c r="I43" i="5"/>
  <c r="J43" i="5"/>
  <c r="L43" i="5"/>
  <c r="B43" i="5"/>
  <c r="I47" i="5"/>
  <c r="J47" i="5"/>
  <c r="L47" i="5"/>
  <c r="G47" i="5"/>
  <c r="B47" i="5" s="1"/>
  <c r="I51" i="5"/>
  <c r="J51" i="5"/>
  <c r="L51" i="5"/>
  <c r="G51" i="5"/>
  <c r="B51" i="5" s="1"/>
  <c r="L55" i="5"/>
  <c r="B55" i="5"/>
  <c r="I59" i="5"/>
  <c r="J59" i="5"/>
  <c r="L59" i="5"/>
  <c r="G59" i="5"/>
  <c r="B59" i="5" s="1"/>
  <c r="I63" i="5"/>
  <c r="J63" i="5"/>
  <c r="L63" i="5"/>
  <c r="G63" i="5"/>
  <c r="B63" i="5" s="1"/>
  <c r="J4" i="5"/>
  <c r="L4" i="5"/>
  <c r="B4" i="5"/>
  <c r="J8" i="5"/>
  <c r="L8" i="5"/>
  <c r="B8" i="5"/>
  <c r="J12" i="5"/>
  <c r="L12" i="5"/>
  <c r="B12" i="5"/>
  <c r="J16" i="5"/>
  <c r="L16" i="5"/>
  <c r="B16" i="5"/>
  <c r="J20" i="5"/>
  <c r="L20" i="5"/>
  <c r="B20" i="5"/>
  <c r="J24" i="5"/>
  <c r="L24" i="5"/>
  <c r="B24" i="5"/>
  <c r="J28" i="5"/>
  <c r="L28" i="5"/>
  <c r="B28" i="5"/>
  <c r="J32" i="5"/>
  <c r="L32" i="5"/>
  <c r="B32" i="5"/>
  <c r="J36" i="5"/>
  <c r="L36" i="5"/>
  <c r="B36" i="5"/>
  <c r="J40" i="5"/>
  <c r="L40" i="5"/>
  <c r="B40" i="5"/>
  <c r="J44" i="5"/>
  <c r="L44" i="5"/>
  <c r="B44" i="5"/>
  <c r="J48" i="5"/>
  <c r="L48" i="5"/>
  <c r="B48" i="5"/>
  <c r="J52" i="5"/>
  <c r="L52" i="5"/>
  <c r="B52" i="5"/>
  <c r="L56" i="5"/>
  <c r="B56" i="5"/>
  <c r="J60" i="5"/>
  <c r="L60" i="5"/>
  <c r="B60" i="5"/>
  <c r="J64" i="5"/>
  <c r="L64" i="5"/>
  <c r="B64" i="5"/>
  <c r="L25" i="5"/>
  <c r="B25" i="5"/>
  <c r="L29" i="5"/>
  <c r="B29" i="5"/>
  <c r="L5" i="5"/>
  <c r="B5" i="5"/>
  <c r="L21" i="5"/>
  <c r="B21" i="5"/>
  <c r="L9" i="5"/>
  <c r="B9" i="5"/>
  <c r="L33" i="5"/>
  <c r="B33" i="5"/>
  <c r="L17" i="5"/>
  <c r="B17" i="5"/>
  <c r="L13" i="5"/>
  <c r="B13" i="5"/>
  <c r="L45" i="5"/>
  <c r="B45" i="5"/>
  <c r="L61" i="5"/>
  <c r="B61" i="5"/>
  <c r="L57" i="5"/>
  <c r="B57" i="5"/>
  <c r="L53" i="5"/>
  <c r="B53" i="5"/>
  <c r="L37" i="5"/>
  <c r="B37" i="5"/>
  <c r="L49" i="5"/>
  <c r="B49" i="5"/>
  <c r="L41" i="5"/>
  <c r="B41" i="5"/>
  <c r="L65" i="5"/>
  <c r="B65" i="5"/>
  <c r="I55" i="5"/>
  <c r="I54" i="5"/>
  <c r="F62" i="2"/>
  <c r="G62" i="2" s="1"/>
  <c r="I62" i="2" s="1"/>
  <c r="F58" i="2"/>
  <c r="G58" i="2" s="1"/>
  <c r="I58" i="2" s="1"/>
  <c r="F54" i="2"/>
  <c r="F50" i="2"/>
  <c r="G50" i="2" s="1"/>
  <c r="I50" i="2" s="1"/>
  <c r="F46" i="2"/>
  <c r="G46" i="2" s="1"/>
  <c r="I46" i="2" s="1"/>
  <c r="F42" i="2"/>
  <c r="G42" i="2" s="1"/>
  <c r="I42" i="2" s="1"/>
  <c r="F38" i="2"/>
  <c r="G38" i="2" s="1"/>
  <c r="I38" i="2" s="1"/>
  <c r="F34" i="2"/>
  <c r="G34" i="2" s="1"/>
  <c r="I34" i="2" s="1"/>
  <c r="F30" i="2"/>
  <c r="G30" i="2" s="1"/>
  <c r="I30" i="2" s="1"/>
  <c r="K30" i="2" s="1"/>
  <c r="F26" i="2"/>
  <c r="G26" i="2" s="1"/>
  <c r="I26" i="2" s="1"/>
  <c r="K26" i="2" s="1"/>
  <c r="F22" i="2"/>
  <c r="G22" i="2" s="1"/>
  <c r="I22" i="2" s="1"/>
  <c r="K22" i="2" s="1"/>
  <c r="F18" i="2"/>
  <c r="G18" i="2" s="1"/>
  <c r="I18" i="2" s="1"/>
  <c r="K18" i="2" s="1"/>
  <c r="F14" i="2"/>
  <c r="G14" i="2" s="1"/>
  <c r="I14" i="2" s="1"/>
  <c r="K14" i="2" s="1"/>
  <c r="F10" i="2"/>
  <c r="G10" i="2" s="1"/>
  <c r="I10" i="2" s="1"/>
  <c r="K10" i="2" s="1"/>
  <c r="F6" i="2"/>
  <c r="G6" i="2" s="1"/>
  <c r="I6" i="2" s="1"/>
  <c r="K6" i="2" s="1"/>
  <c r="F3" i="2"/>
  <c r="G3" i="2" s="1"/>
  <c r="I3" i="2" s="1"/>
  <c r="K3" i="2" s="1"/>
  <c r="G4" i="2"/>
  <c r="I4" i="2" s="1"/>
  <c r="K4" i="2" s="1"/>
  <c r="I5" i="2"/>
  <c r="K5" i="2" s="1"/>
  <c r="F7" i="2"/>
  <c r="G7" i="2" s="1"/>
  <c r="I7" i="2" s="1"/>
  <c r="K7" i="2" s="1"/>
  <c r="G8" i="2"/>
  <c r="I8" i="2" s="1"/>
  <c r="K8" i="2" s="1"/>
  <c r="I9" i="2"/>
  <c r="K9" i="2" s="1"/>
  <c r="F11" i="2"/>
  <c r="G11" i="2" s="1"/>
  <c r="I11" i="2" s="1"/>
  <c r="K11" i="2" s="1"/>
  <c r="G12" i="2"/>
  <c r="I12" i="2" s="1"/>
  <c r="K12" i="2" s="1"/>
  <c r="I13" i="2"/>
  <c r="K13" i="2" s="1"/>
  <c r="F15" i="2"/>
  <c r="G15" i="2" s="1"/>
  <c r="I15" i="2" s="1"/>
  <c r="K15" i="2" s="1"/>
  <c r="G16" i="2"/>
  <c r="I16" i="2" s="1"/>
  <c r="K16" i="2" s="1"/>
  <c r="I17" i="2"/>
  <c r="K17" i="2" s="1"/>
  <c r="F19" i="2"/>
  <c r="G19" i="2" s="1"/>
  <c r="I19" i="2" s="1"/>
  <c r="K19" i="2" s="1"/>
  <c r="G20" i="2"/>
  <c r="I20" i="2" s="1"/>
  <c r="K20" i="2" s="1"/>
  <c r="I21" i="2"/>
  <c r="K21" i="2" s="1"/>
  <c r="F23" i="2"/>
  <c r="G23" i="2" s="1"/>
  <c r="I23" i="2" s="1"/>
  <c r="K23" i="2" s="1"/>
  <c r="G24" i="2"/>
  <c r="I24" i="2" s="1"/>
  <c r="K24" i="2" s="1"/>
  <c r="I25" i="2"/>
  <c r="K25" i="2" s="1"/>
  <c r="F27" i="2"/>
  <c r="G27" i="2" s="1"/>
  <c r="I27" i="2" s="1"/>
  <c r="K27" i="2" s="1"/>
  <c r="G28" i="2"/>
  <c r="I28" i="2" s="1"/>
  <c r="K28" i="2" s="1"/>
  <c r="I29" i="2"/>
  <c r="K29" i="2" s="1"/>
  <c r="F31" i="2"/>
  <c r="G31" i="2" s="1"/>
  <c r="I31" i="2" s="1"/>
  <c r="K31" i="2" s="1"/>
  <c r="G32" i="2"/>
  <c r="I32" i="2" s="1"/>
  <c r="K32" i="2" s="1"/>
  <c r="I33" i="2"/>
  <c r="K33" i="2" s="1"/>
  <c r="G36" i="2"/>
  <c r="I36" i="2" s="1"/>
  <c r="K36" i="2" s="1"/>
  <c r="G40" i="2"/>
  <c r="I40" i="2" s="1"/>
  <c r="K40" i="2" s="1"/>
  <c r="G44" i="2"/>
  <c r="I44" i="2" s="1"/>
  <c r="K44" i="2" s="1"/>
  <c r="G48" i="2"/>
  <c r="I48" i="2" s="1"/>
  <c r="K48" i="2" s="1"/>
  <c r="G52" i="2"/>
  <c r="I52" i="2" s="1"/>
  <c r="K52" i="2" s="1"/>
  <c r="I56" i="2"/>
  <c r="K56" i="2" s="1"/>
  <c r="G60" i="2"/>
  <c r="I60" i="2" s="1"/>
  <c r="K60" i="2" s="1"/>
  <c r="G64" i="2"/>
  <c r="I64" i="2" s="1"/>
  <c r="K64" i="2" s="1"/>
  <c r="F35" i="2"/>
  <c r="G35" i="2" s="1"/>
  <c r="I35" i="2" s="1"/>
  <c r="J35" i="2"/>
  <c r="F39" i="2"/>
  <c r="G39" i="2" s="1"/>
  <c r="I39" i="2" s="1"/>
  <c r="J39" i="2"/>
  <c r="F43" i="2"/>
  <c r="G43" i="2" s="1"/>
  <c r="I43" i="2" s="1"/>
  <c r="K43" i="2" s="1"/>
  <c r="F47" i="2"/>
  <c r="G47" i="2" s="1"/>
  <c r="I47" i="2" s="1"/>
  <c r="J47" i="2"/>
  <c r="F51" i="2"/>
  <c r="G51" i="2" s="1"/>
  <c r="I51" i="2" s="1"/>
  <c r="J51" i="2"/>
  <c r="I55" i="2"/>
  <c r="K55" i="2" s="1"/>
  <c r="F59" i="2"/>
  <c r="G59" i="2" s="1"/>
  <c r="I59" i="2" s="1"/>
  <c r="J59" i="2"/>
  <c r="F63" i="2"/>
  <c r="G63" i="2" s="1"/>
  <c r="I63" i="2" s="1"/>
  <c r="J63" i="2"/>
  <c r="J34" i="2"/>
  <c r="J38" i="2"/>
  <c r="J42" i="2"/>
  <c r="J46" i="2"/>
  <c r="J50" i="2"/>
  <c r="I54" i="2"/>
  <c r="K54" i="2" s="1"/>
  <c r="J58" i="2"/>
  <c r="J62" i="2"/>
  <c r="F55" i="2"/>
  <c r="A19" i="4"/>
  <c r="A2" i="4"/>
  <c r="A3" i="4"/>
  <c r="A4" i="4"/>
  <c r="A5" i="4"/>
  <c r="A6" i="4"/>
  <c r="A7" i="4"/>
  <c r="A8" i="4"/>
  <c r="A9" i="4"/>
  <c r="A10" i="4"/>
  <c r="D10" i="4"/>
  <c r="E10" i="4" s="1"/>
  <c r="A12" i="4"/>
  <c r="A13" i="4"/>
  <c r="A14" i="4"/>
  <c r="A15" i="4"/>
  <c r="A16" i="4"/>
  <c r="A17" i="4"/>
  <c r="C17" i="4"/>
  <c r="D17" i="4"/>
  <c r="A18" i="4"/>
  <c r="C18" i="4"/>
  <c r="D18" i="4"/>
  <c r="A20" i="4"/>
  <c r="A21" i="4"/>
  <c r="A22" i="4"/>
  <c r="A23" i="4"/>
  <c r="D23" i="4"/>
  <c r="E23" i="4" s="1"/>
  <c r="A24" i="4"/>
  <c r="A25" i="4"/>
  <c r="A26" i="4"/>
  <c r="D26" i="4"/>
  <c r="E26" i="4" s="1"/>
  <c r="A27" i="4"/>
  <c r="I45" i="2"/>
  <c r="K45" i="2" s="1"/>
  <c r="I37" i="2"/>
  <c r="K37" i="2" s="1"/>
  <c r="I41" i="2"/>
  <c r="K41" i="2" s="1"/>
  <c r="I49" i="2"/>
  <c r="K49" i="2" s="1"/>
  <c r="I53" i="2"/>
  <c r="K53" i="2" s="1"/>
  <c r="I57" i="2"/>
  <c r="K57" i="2" s="1"/>
  <c r="I61" i="2"/>
  <c r="K61" i="2" s="1"/>
  <c r="I65" i="2"/>
  <c r="K65" i="2" s="1"/>
  <c r="E17" i="4" l="1"/>
  <c r="E18" i="4"/>
  <c r="E35" i="2"/>
  <c r="E43" i="2"/>
  <c r="E51" i="2"/>
  <c r="E28" i="2"/>
  <c r="E21" i="2"/>
  <c r="E29" i="2"/>
  <c r="E30" i="2"/>
  <c r="E7" i="2"/>
  <c r="E15" i="2"/>
  <c r="E23" i="2"/>
  <c r="E24" i="2"/>
  <c r="E9" i="2"/>
  <c r="E17" i="2"/>
  <c r="E25" i="2"/>
  <c r="E10" i="2"/>
  <c r="E26" i="2"/>
  <c r="E12" i="5"/>
  <c r="A12" i="5" s="1"/>
  <c r="E4" i="2"/>
  <c r="K58" i="2"/>
  <c r="K47" i="2"/>
  <c r="H7" i="5"/>
  <c r="E4" i="5"/>
  <c r="A4" i="5" s="1"/>
  <c r="E12" i="2"/>
  <c r="E13" i="5"/>
  <c r="A13" i="5" s="1"/>
  <c r="E8" i="2"/>
  <c r="E66" i="2"/>
  <c r="E8" i="5"/>
  <c r="A8" i="5" s="1"/>
  <c r="E2" i="5"/>
  <c r="A2" i="5" s="1"/>
  <c r="B85" i="5"/>
  <c r="H57" i="5"/>
  <c r="E10" i="5"/>
  <c r="A10" i="5" s="1"/>
  <c r="E5" i="5"/>
  <c r="A5" i="5" s="1"/>
  <c r="K38" i="2"/>
  <c r="E9" i="5"/>
  <c r="A9" i="5" s="1"/>
  <c r="E69" i="2"/>
  <c r="E68" i="2"/>
  <c r="H11" i="5"/>
  <c r="E67" i="2"/>
  <c r="E63" i="2"/>
  <c r="E16" i="2"/>
  <c r="E34" i="5"/>
  <c r="A34" i="5" s="1"/>
  <c r="H15" i="5"/>
  <c r="E31" i="5"/>
  <c r="A31" i="5" s="1"/>
  <c r="H59" i="5"/>
  <c r="E44" i="5"/>
  <c r="A44" i="5" s="1"/>
  <c r="E29" i="5"/>
  <c r="A29" i="5" s="1"/>
  <c r="E62" i="2"/>
  <c r="E46" i="2"/>
  <c r="E50" i="2"/>
  <c r="E3" i="2"/>
  <c r="K63" i="2"/>
  <c r="K51" i="2"/>
  <c r="H2" i="5"/>
  <c r="H18" i="5"/>
  <c r="H34" i="5"/>
  <c r="H50" i="5"/>
  <c r="E3" i="5"/>
  <c r="A3" i="5" s="1"/>
  <c r="H31" i="5"/>
  <c r="H47" i="5"/>
  <c r="E63" i="5"/>
  <c r="A63" i="5" s="1"/>
  <c r="H12" i="5"/>
  <c r="H28" i="5"/>
  <c r="H44" i="5"/>
  <c r="H60" i="5"/>
  <c r="H13" i="5"/>
  <c r="H29" i="5"/>
  <c r="H45" i="5"/>
  <c r="H61" i="5"/>
  <c r="E18" i="5"/>
  <c r="A18" i="5" s="1"/>
  <c r="H62" i="5"/>
  <c r="E47" i="5"/>
  <c r="A47" i="5" s="1"/>
  <c r="E61" i="5"/>
  <c r="A61" i="5" s="1"/>
  <c r="E41" i="2"/>
  <c r="E37" i="2"/>
  <c r="E57" i="2"/>
  <c r="E42" i="2"/>
  <c r="E14" i="2"/>
  <c r="E6" i="2"/>
  <c r="E2" i="2"/>
  <c r="E54" i="2"/>
  <c r="K62" i="2"/>
  <c r="K42" i="2"/>
  <c r="K35" i="2"/>
  <c r="E6" i="5"/>
  <c r="A6" i="5" s="1"/>
  <c r="E22" i="5"/>
  <c r="A22" i="5" s="1"/>
  <c r="E38" i="5"/>
  <c r="A38" i="5" s="1"/>
  <c r="E54" i="5"/>
  <c r="A54" i="5" s="1"/>
  <c r="H3" i="5"/>
  <c r="E19" i="5"/>
  <c r="A19" i="5" s="1"/>
  <c r="E35" i="5"/>
  <c r="A35" i="5" s="1"/>
  <c r="E51" i="5"/>
  <c r="A51" i="5" s="1"/>
  <c r="H63" i="5"/>
  <c r="E16" i="5"/>
  <c r="A16" i="5" s="1"/>
  <c r="E32" i="5"/>
  <c r="A32" i="5" s="1"/>
  <c r="E48" i="5"/>
  <c r="A48" i="5" s="1"/>
  <c r="E64" i="5"/>
  <c r="A64" i="5" s="1"/>
  <c r="E17" i="5"/>
  <c r="A17" i="5" s="1"/>
  <c r="E33" i="5"/>
  <c r="A33" i="5" s="1"/>
  <c r="E49" i="5"/>
  <c r="A49" i="5" s="1"/>
  <c r="E47" i="2"/>
  <c r="E44" i="2"/>
  <c r="E50" i="5"/>
  <c r="A50" i="5" s="1"/>
  <c r="E28" i="5"/>
  <c r="A28" i="5" s="1"/>
  <c r="E60" i="5"/>
  <c r="A60" i="5" s="1"/>
  <c r="E45" i="5"/>
  <c r="A45" i="5" s="1"/>
  <c r="E40" i="2"/>
  <c r="E36" i="2"/>
  <c r="E61" i="2"/>
  <c r="E13" i="2"/>
  <c r="E33" i="2"/>
  <c r="K46" i="2"/>
  <c r="H6" i="5"/>
  <c r="H22" i="5"/>
  <c r="H38" i="5"/>
  <c r="H54" i="5"/>
  <c r="E7" i="5"/>
  <c r="A7" i="5" s="1"/>
  <c r="H19" i="5"/>
  <c r="H35" i="5"/>
  <c r="H51" i="5"/>
  <c r="H16" i="5"/>
  <c r="H32" i="5"/>
  <c r="H48" i="5"/>
  <c r="H64" i="5"/>
  <c r="H17" i="5"/>
  <c r="H33" i="5"/>
  <c r="H49" i="5"/>
  <c r="E65" i="5"/>
  <c r="A65" i="5" s="1"/>
  <c r="E39" i="2"/>
  <c r="E32" i="2"/>
  <c r="E20" i="2"/>
  <c r="E55" i="2"/>
  <c r="E26" i="5"/>
  <c r="A26" i="5" s="1"/>
  <c r="E42" i="5"/>
  <c r="A42" i="5" s="1"/>
  <c r="E23" i="5"/>
  <c r="A23" i="5" s="1"/>
  <c r="E39" i="5"/>
  <c r="A39" i="5" s="1"/>
  <c r="E55" i="5"/>
  <c r="A55" i="5" s="1"/>
  <c r="E20" i="5"/>
  <c r="A20" i="5" s="1"/>
  <c r="E36" i="5"/>
  <c r="A36" i="5" s="1"/>
  <c r="E52" i="5"/>
  <c r="A52" i="5" s="1"/>
  <c r="E21" i="5"/>
  <c r="A21" i="5" s="1"/>
  <c r="E37" i="5"/>
  <c r="A37" i="5" s="1"/>
  <c r="E53" i="5"/>
  <c r="A53" i="5" s="1"/>
  <c r="H65" i="5"/>
  <c r="E60" i="2"/>
  <c r="E22" i="2"/>
  <c r="E38" i="2"/>
  <c r="E34" i="2"/>
  <c r="E59" i="2"/>
  <c r="E11" i="2"/>
  <c r="E31" i="2"/>
  <c r="E19" i="2"/>
  <c r="E27" i="2"/>
  <c r="K59" i="2"/>
  <c r="H10" i="5"/>
  <c r="H26" i="5"/>
  <c r="H42" i="5"/>
  <c r="E58" i="5"/>
  <c r="A58" i="5" s="1"/>
  <c r="E11" i="5"/>
  <c r="A11" i="5" s="1"/>
  <c r="H23" i="5"/>
  <c r="H39" i="5"/>
  <c r="H55" i="5"/>
  <c r="H4" i="5"/>
  <c r="H20" i="5"/>
  <c r="H36" i="5"/>
  <c r="H52" i="5"/>
  <c r="H5" i="5"/>
  <c r="H21" i="5"/>
  <c r="H37" i="5"/>
  <c r="H53" i="5"/>
  <c r="E14" i="5"/>
  <c r="A14" i="5" s="1"/>
  <c r="H58" i="5"/>
  <c r="E40" i="5"/>
  <c r="A40" i="5" s="1"/>
  <c r="E56" i="5"/>
  <c r="A56" i="5" s="1"/>
  <c r="E25" i="5"/>
  <c r="A25" i="5" s="1"/>
  <c r="E41" i="5"/>
  <c r="A41" i="5" s="1"/>
  <c r="E65" i="2"/>
  <c r="E49" i="2"/>
  <c r="E53" i="2"/>
  <c r="E58" i="2"/>
  <c r="E18" i="2"/>
  <c r="E56" i="2"/>
  <c r="E30" i="5"/>
  <c r="A30" i="5" s="1"/>
  <c r="E46" i="5"/>
  <c r="A46" i="5" s="1"/>
  <c r="E27" i="5"/>
  <c r="A27" i="5" s="1"/>
  <c r="E43" i="5"/>
  <c r="A43" i="5" s="1"/>
  <c r="E24" i="5"/>
  <c r="A24" i="5" s="1"/>
  <c r="E57" i="5"/>
  <c r="A57" i="5" s="1"/>
  <c r="E64" i="2"/>
  <c r="E48" i="2"/>
  <c r="E52" i="2"/>
  <c r="E45" i="2"/>
  <c r="E5" i="2"/>
  <c r="K50" i="2"/>
  <c r="K34" i="2"/>
  <c r="K39" i="2"/>
  <c r="H14" i="5"/>
  <c r="H30" i="5"/>
  <c r="H46" i="5"/>
  <c r="E62" i="5"/>
  <c r="A62" i="5" s="1"/>
  <c r="E15" i="5"/>
  <c r="A15" i="5" s="1"/>
  <c r="H27" i="5"/>
  <c r="H43" i="5"/>
  <c r="E59" i="5"/>
  <c r="A59" i="5" s="1"/>
  <c r="H8" i="5"/>
  <c r="H24" i="5"/>
  <c r="H40" i="5"/>
  <c r="H56" i="5"/>
  <c r="H9" i="5"/>
  <c r="H25" i="5"/>
  <c r="H4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tc={EAA9B9F8-60DA-49CC-A517-23EFE4EA0352}</author>
  </authors>
  <commentList>
    <comment ref="I1" authorId="0" shapeId="0" xr:uid="{EAA9B9F8-60DA-49CC-A517-23EFE4EA035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https://www.who.int/tools/child-growth-standards/standards/weight-for-age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tc={6C059482-8D79-4347-96E0-EB184E8CE68B}</author>
  </authors>
  <commentList>
    <comment ref="F1" authorId="0" shapeId="0" xr:uid="{6C059482-8D79-4347-96E0-EB184E8CE68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https://www.who.int/tools/child-growth-standards/standards/weight-for-age</t>
      </text>
    </comment>
  </commentList>
</comments>
</file>

<file path=xl/sharedStrings.xml><?xml version="1.0" encoding="utf-8"?>
<sst xmlns="http://schemas.openxmlformats.org/spreadsheetml/2006/main" count="905" uniqueCount="280">
  <si>
    <t>age_grp</t>
  </si>
  <si>
    <t>0-4</t>
  </si>
  <si>
    <t>dose_qty</t>
  </si>
  <si>
    <t>pack_qty</t>
  </si>
  <si>
    <t>weight</t>
  </si>
  <si>
    <t>dosage_amt</t>
  </si>
  <si>
    <t>frequency</t>
  </si>
  <si>
    <t>amount_day</t>
  </si>
  <si>
    <t>dosing_guidelines</t>
  </si>
  <si>
    <t>qty_condition</t>
  </si>
  <si>
    <t>2000mg (child: 50 mg/kg up to 2g) daily</t>
  </si>
  <si>
    <t>10-14</t>
  </si>
  <si>
    <t>15+</t>
  </si>
  <si>
    <t/>
  </si>
  <si>
    <t xml:space="preserve">400mg (child:10mg/kg up to 400mg) 12-hourly </t>
  </si>
  <si>
    <t>Most conditions</t>
  </si>
  <si>
    <t>2000mg (child:50mg/kg up to 2g ) 6 hourly</t>
  </si>
  <si>
    <t>All conditions</t>
  </si>
  <si>
    <t>500mg (child: 25 mg/kg up to 500mg) 6-hourly</t>
  </si>
  <si>
    <t>3.2mg/kg up to 320mg daily</t>
  </si>
  <si>
    <t xml:space="preserve">1000mg (child: 20mg/kg up to 1g) 8-hourly </t>
  </si>
  <si>
    <t xml:space="preserve"> </t>
  </si>
  <si>
    <t>500mg (child: 12.5mg/kg up to 500mg) 12-hourly</t>
  </si>
  <si>
    <t>1.5 million units (child: 50,000 units/kg up to 1.5 million units) daily</t>
  </si>
  <si>
    <t>1000mg (child: 25mg/kg up to 1 g) 8-hourly</t>
  </si>
  <si>
    <t>Necrotising fasciitis</t>
  </si>
  <si>
    <t>Oral amoxycillin 500mg</t>
  </si>
  <si>
    <t>500mg (child: 12.5mg/kg up to 500mg) 6-hourly</t>
  </si>
  <si>
    <t>Oral cephalexin 500mg</t>
  </si>
  <si>
    <t>100mg (child 8 years+: 2mg/kg up to 100mg) 12-hourly</t>
  </si>
  <si>
    <t>Oral doxycycline 100mg</t>
  </si>
  <si>
    <t>500mg (child:10mg/kg up to 500mg) 6-hourly</t>
  </si>
  <si>
    <t>Oral erythromycin 250mg</t>
  </si>
  <si>
    <t>500mg (child 12.5mg/kg up to 500mg) 6-hourly</t>
  </si>
  <si>
    <t>Oral flucloxacillin 500mg</t>
  </si>
  <si>
    <t>400mg (10mg/kg up to 400mg ) 12-hourly</t>
  </si>
  <si>
    <t>Acute wound infection</t>
  </si>
  <si>
    <t>Oral metronidazole 200mg</t>
  </si>
  <si>
    <t>500mg (child: 12.5 mg/kg up to 500 mg) orally, 6-hourly</t>
  </si>
  <si>
    <t>Cellulitis</t>
  </si>
  <si>
    <t>Oral penicillin 250mg</t>
  </si>
  <si>
    <t>960mg (child: 24mg/kg up to 960mg) 12-hourly</t>
  </si>
  <si>
    <t>Oral septrim 480mg</t>
  </si>
  <si>
    <t>drug_name</t>
  </si>
  <si>
    <t>Source</t>
  </si>
  <si>
    <t>500mg</t>
  </si>
  <si>
    <t>80mg/2mL</t>
  </si>
  <si>
    <t>4 million IU</t>
  </si>
  <si>
    <t>500mg/100mL</t>
  </si>
  <si>
    <t>1000mg</t>
  </si>
  <si>
    <t>100mg/50mL</t>
  </si>
  <si>
    <t>Browsing guess</t>
  </si>
  <si>
    <t>480mg/5mL</t>
  </si>
  <si>
    <t>Oral flucloxacillin</t>
  </si>
  <si>
    <t>Oral penicillin</t>
  </si>
  <si>
    <t>250mg</t>
  </si>
  <si>
    <t>Oral metronidazole</t>
  </si>
  <si>
    <t>200mg</t>
  </si>
  <si>
    <t>100mg</t>
  </si>
  <si>
    <t>480mg</t>
  </si>
  <si>
    <t>125mg/5mL (100mL)</t>
  </si>
  <si>
    <t>200mg/5mL (100mL)</t>
  </si>
  <si>
    <t>240mg/5mL (100mL)</t>
  </si>
  <si>
    <t>Drugs</t>
  </si>
  <si>
    <t>Condition</t>
  </si>
  <si>
    <t>Dosing</t>
  </si>
  <si>
    <t>Edifofon Comment</t>
  </si>
  <si>
    <t>Oral septrin</t>
  </si>
  <si>
    <t>trimethoprim+sulfamethoxazole 160+800mg (child 1 month or older: 4+20mg/kg up to 160+800mg) orally, 12-hourly</t>
  </si>
  <si>
    <t>Done</t>
  </si>
  <si>
    <t xml:space="preserve">Oral  Cephalexin </t>
  </si>
  <si>
    <t xml:space="preserve">Cefalexin 500mg (child: 12.5mg/kg up to 500mg) 6-hourly  for 5days </t>
  </si>
  <si>
    <t>Oral  Doxycycline</t>
  </si>
  <si>
    <t>doxycycline 100mg (child 8 years or older: 2mg/kg up to 100mg) orally 12hourly.</t>
  </si>
  <si>
    <t>Oral Erythromycin</t>
  </si>
  <si>
    <t>Erythromycin 500mg (child:10mg/kg up to 500mg) orally, 6-hourly for 5days</t>
  </si>
  <si>
    <t>metronidazole 400mg (10mg/kg up to 400mg ) orally 12-hourly</t>
  </si>
  <si>
    <t xml:space="preserve">Oral </t>
  </si>
  <si>
    <t>Oral amoxicillin</t>
  </si>
  <si>
    <t>Streptococcus pyogenes necrotising fasciitis</t>
  </si>
  <si>
    <t>amoxicillin 1 g (child: 25mg/kg up to 1 g) orally 8-hourly.</t>
  </si>
  <si>
    <t>flucloxacillin 500mg (child 12.5mg/kg up to 500mg) orally 6 hourly</t>
  </si>
  <si>
    <t>iv</t>
  </si>
  <si>
    <t>IV cloxacillin</t>
  </si>
  <si>
    <t>All conditions;severe surgical site infection</t>
  </si>
  <si>
    <t>cloxacillin 2g (child:50mg/kg up to 2g ) IV, 6 hourly</t>
  </si>
  <si>
    <t>cloxacillin 2g IV, 6hourly</t>
  </si>
  <si>
    <t>IV Gentamicin</t>
  </si>
  <si>
    <t>all conditions :Severe surgical site infection</t>
  </si>
  <si>
    <t>gentamicin IV: adult 4 to 5mg/kg( 7mg/kg for criticaly ill adults); (24hourly with creatine clearance of more than 60mL/hr, 36hourlu with creatine claarance of 40 to 60mL/hr).</t>
  </si>
  <si>
    <t>IV penicillin</t>
  </si>
  <si>
    <t>first line treatment for impetigo</t>
  </si>
  <si>
    <t xml:space="preserve">benzathine penicillin IM as single dose based on age </t>
  </si>
  <si>
    <t>bites and clenched fist injuries</t>
  </si>
  <si>
    <t>procaine penicillin 1.5million units (child:50,000units/kg up to 1.5million units) IM as single dose</t>
  </si>
  <si>
    <t>clostridium perfringenes myonecrosis</t>
  </si>
  <si>
    <t>benzylpenicillin 3million units (1.8g) (child: 75000 units perkg up 3million units) IV, 4hourly</t>
  </si>
  <si>
    <t>IV Metronidazole</t>
  </si>
  <si>
    <t xml:space="preserve">metronidazole 500mg IV (child: 12.5mg/kg up to 500mg) 12hourly. </t>
  </si>
  <si>
    <t>IV erythromycin</t>
  </si>
  <si>
    <t xml:space="preserve">IV ceftriaxone </t>
  </si>
  <si>
    <t>Diabetic footinfections;moderate infection requiring hospitilization, vertebral osteomyelitis</t>
  </si>
  <si>
    <t>ceftriaxone 2g IV daily</t>
  </si>
  <si>
    <t>IV ciprofloxacin</t>
  </si>
  <si>
    <t>bites and clenched fist injuries;moderate to severe infections</t>
  </si>
  <si>
    <t xml:space="preserve">ciprofloxacin iv 400mg (child:10mg/kg up to 400mg) 12hourly </t>
  </si>
  <si>
    <t>water immersed wound infections;</t>
  </si>
  <si>
    <t>ciprofloxacin 400mg(child 10mg/kg up to 400mg)IV 8hourly.</t>
  </si>
  <si>
    <t>Diabetic footinfections;moderate infection requiring hospitilization</t>
  </si>
  <si>
    <t xml:space="preserve">ciprofloxacin 400,mg IV, 12hourly </t>
  </si>
  <si>
    <t>Diabetic footinfections; severe infections</t>
  </si>
  <si>
    <t xml:space="preserve">Ciprofloxacin 400mg IV 12hourly </t>
  </si>
  <si>
    <t>prophylaxis for open fractures</t>
  </si>
  <si>
    <t xml:space="preserve">IV meropenam </t>
  </si>
  <si>
    <t xml:space="preserve">meropenem 1g(child: 20mg/kg up to 1g) IV 8hourly </t>
  </si>
  <si>
    <t>IV Septrin</t>
  </si>
  <si>
    <t>5-9</t>
  </si>
  <si>
    <t>Susp septrim 240mg/5mL (100mL)</t>
  </si>
  <si>
    <t>Susp penicillin 125mg/5mL (100mL)</t>
  </si>
  <si>
    <t>Susp metronidazole 200mg/5mL (100mL)</t>
  </si>
  <si>
    <t>Susp flucloxacillin 125mg/5mL (100mL)</t>
  </si>
  <si>
    <t>Susp erythromycin 125mg/5mL (100mL)</t>
  </si>
  <si>
    <t>Susp cephalexin 125mg/5mL (100mL)</t>
  </si>
  <si>
    <t>Susp amoxycillin 125mg/5mL (100mL)</t>
  </si>
  <si>
    <t>Injn ceftriaxone 1000mg</t>
  </si>
  <si>
    <t>Injn ciprofloxacin 100mg/50mL</t>
  </si>
  <si>
    <t>Injn cloxacillin 500mg</t>
  </si>
  <si>
    <t>Injn erythromycin 1000mg</t>
  </si>
  <si>
    <t>Injn gentamicin 80mg/2mL</t>
  </si>
  <si>
    <t>Injn meropenem 1000mg</t>
  </si>
  <si>
    <t>Injn metronidazole 500mg/100mL</t>
  </si>
  <si>
    <t>Injn penicillin procaine 4 million IU</t>
  </si>
  <si>
    <t>qty</t>
  </si>
  <si>
    <t>name</t>
  </si>
  <si>
    <t>id</t>
  </si>
  <si>
    <t>drug_name_long</t>
  </si>
  <si>
    <t>10.14</t>
  </si>
  <si>
    <t>15plus</t>
  </si>
  <si>
    <t>00.04</t>
  </si>
  <si>
    <t>05.09</t>
  </si>
  <si>
    <t>qInjnCloxac</t>
  </si>
  <si>
    <t>qInjnGentam</t>
  </si>
  <si>
    <t>qInjnPenici</t>
  </si>
  <si>
    <t>qInjnMetron</t>
  </si>
  <si>
    <t>qInjnErythr</t>
  </si>
  <si>
    <t>qInjnCeftri</t>
  </si>
  <si>
    <t>qInjnCiprof</t>
  </si>
  <si>
    <t>qInjnMerope</t>
  </si>
  <si>
    <t>qOralFlucl</t>
  </si>
  <si>
    <t>qOralPenic</t>
  </si>
  <si>
    <t>qOralAmoxy</t>
  </si>
  <si>
    <t>qOralMetro</t>
  </si>
  <si>
    <t>qOralEryth</t>
  </si>
  <si>
    <t>qOralDoxyc</t>
  </si>
  <si>
    <t>qOralCepha</t>
  </si>
  <si>
    <t>qOralSeptr</t>
  </si>
  <si>
    <t>qSuspFlucl</t>
  </si>
  <si>
    <t>qSuspPenic</t>
  </si>
  <si>
    <t>qSuspAmoxy</t>
  </si>
  <si>
    <t>qSuspMetro</t>
  </si>
  <si>
    <t>qSuspEryth</t>
  </si>
  <si>
    <t>qSuspCepha</t>
  </si>
  <si>
    <t>qSuspSeptr</t>
  </si>
  <si>
    <t>Injn penicillin G 4 million IU</t>
  </si>
  <si>
    <t>qInjnPenicG</t>
  </si>
  <si>
    <t>2.4 million IU</t>
  </si>
  <si>
    <t>No such formulation</t>
  </si>
  <si>
    <t>Strength</t>
  </si>
  <si>
    <t>Essential medicines list 2013</t>
  </si>
  <si>
    <t>Assumed price of metronidazole</t>
  </si>
  <si>
    <t>Assumed price of erythromycin</t>
  </si>
  <si>
    <t>Assumed price of flucloxacillin</t>
  </si>
  <si>
    <t>FCCC Fiji authorisation 2020</t>
  </si>
  <si>
    <t>Fiji essential medicines list 2013</t>
  </si>
  <si>
    <t>Assumed price of septrim</t>
  </si>
  <si>
    <t>NameAge</t>
  </si>
  <si>
    <t>Name</t>
  </si>
  <si>
    <t>Age</t>
  </si>
  <si>
    <t>NameLong</t>
  </si>
  <si>
    <t>PackSize</t>
  </si>
  <si>
    <t>CostPack</t>
  </si>
  <si>
    <t>CostUnit</t>
  </si>
  <si>
    <t>CostYear</t>
  </si>
  <si>
    <t>NameShort</t>
  </si>
  <si>
    <t>Weight</t>
  </si>
  <si>
    <t>DoseQty</t>
  </si>
  <si>
    <t>DoseFreq</t>
  </si>
  <si>
    <t>DoseGuide</t>
  </si>
  <si>
    <t>DoseQtyDaily</t>
  </si>
  <si>
    <t>DoseDaily</t>
  </si>
  <si>
    <t>Injection cloxacillin 500mg</t>
  </si>
  <si>
    <t>Injection gentamicin 80mg/2mL</t>
  </si>
  <si>
    <t>Injection penicillin procaine 4 million IU</t>
  </si>
  <si>
    <t>Injection metronidazole 500mg/100mL</t>
  </si>
  <si>
    <t>Injection erythromycin 1000mg</t>
  </si>
  <si>
    <t>Injection ceftriaxone 1000mg</t>
  </si>
  <si>
    <t>Injection ciprofloxacin 100mg/50mL</t>
  </si>
  <si>
    <t>Injection meropenem 1000mg</t>
  </si>
  <si>
    <t>Injection penicillin G 2.4 million IU</t>
  </si>
  <si>
    <t>Suspension flucloxacillin 125mg/5mL (100mL)</t>
  </si>
  <si>
    <t>Suspension penicillin 125mg/5mL (100mL)</t>
  </si>
  <si>
    <t>Suspension amoxycillin 125mg/5mL (100mL)</t>
  </si>
  <si>
    <t>Suspension metronidazole 200mg/5mL (100mL)</t>
  </si>
  <si>
    <t>Suspension erythromycin 125mg/5mL (100mL)</t>
  </si>
  <si>
    <t>Suspension cephalexin 125mg/5mL (100mL)</t>
  </si>
  <si>
    <t>Suspension septrim 240mg/5mL (100mL)</t>
  </si>
  <si>
    <t>Oral tablets penicillin 250mg</t>
  </si>
  <si>
    <t>Oral tablets metronidazole 200mg</t>
  </si>
  <si>
    <t>Oral tablets erythromycin 250mg</t>
  </si>
  <si>
    <t>Oral tablets septrim 480mg</t>
  </si>
  <si>
    <t>Oral capsules flucloxacillin 500mg</t>
  </si>
  <si>
    <t>Oral capsules amoxycillin 500mg</t>
  </si>
  <si>
    <t>Oral capsules doxycycline 100mg</t>
  </si>
  <si>
    <t>Oral capsules cephalexin 500mg</t>
  </si>
  <si>
    <t>Injection cloxacillin</t>
  </si>
  <si>
    <t>Injection gentamicin</t>
  </si>
  <si>
    <t>Injection penicillin procaine</t>
  </si>
  <si>
    <t>Injection metronidazole</t>
  </si>
  <si>
    <t>Injection erythromycin</t>
  </si>
  <si>
    <t>Injection ceftriaxone</t>
  </si>
  <si>
    <t>Injection ciprofloxacin</t>
  </si>
  <si>
    <t>Injection meropenem</t>
  </si>
  <si>
    <t>Injection septrim</t>
  </si>
  <si>
    <t>Injection penicillin G</t>
  </si>
  <si>
    <t>Oral suspension flucloxacillin</t>
  </si>
  <si>
    <t>Oral suspension penicillin</t>
  </si>
  <si>
    <t>Oral suspension amoxycillin</t>
  </si>
  <si>
    <t>Oral suspension metronidazole</t>
  </si>
  <si>
    <t>Oral suspension erythromycin</t>
  </si>
  <si>
    <t>Oral suspension doxycycline</t>
  </si>
  <si>
    <t>Oral suspension cephalexin</t>
  </si>
  <si>
    <t>Oral suspension septrim</t>
  </si>
  <si>
    <t>Oral capsules flucloxacillin</t>
  </si>
  <si>
    <t>Oral tablets septrim</t>
  </si>
  <si>
    <t>Oral tablets metronidazole</t>
  </si>
  <si>
    <t>Oral tablets penicillin</t>
  </si>
  <si>
    <t>Oral capsules amoxycillin</t>
  </si>
  <si>
    <t>Oral capsules erythromycin</t>
  </si>
  <si>
    <t>Oral capsules doxycycline</t>
  </si>
  <si>
    <t>Oral capsules cephalexin</t>
  </si>
  <si>
    <t>Injection penicillin</t>
  </si>
  <si>
    <t>Suspension flucloxacillin</t>
  </si>
  <si>
    <t>Suspension penicillin</t>
  </si>
  <si>
    <t>Suspension amoxycillin</t>
  </si>
  <si>
    <t>Suspension metronidazole</t>
  </si>
  <si>
    <t>Suspension erythromycin</t>
  </si>
  <si>
    <t>Suspension cephalexin</t>
  </si>
  <si>
    <t>Suspension septrim</t>
  </si>
  <si>
    <t>Oral tablets erythromycin</t>
  </si>
  <si>
    <t>CostUnit_Fj</t>
  </si>
  <si>
    <t>Inj cloxacillin 500mg</t>
  </si>
  <si>
    <t>Inj gentamicin 80mg/2mL</t>
  </si>
  <si>
    <t>Inj penicillin procaine 4 million IU</t>
  </si>
  <si>
    <t>Inj metronidazole 500mg/100mL</t>
  </si>
  <si>
    <t>Inj erythromycin 1000mg</t>
  </si>
  <si>
    <t>Inj ceftriaxone 1000mg</t>
  </si>
  <si>
    <t>Inj ciprofloxacin 100mg/50mL</t>
  </si>
  <si>
    <t>Inj meropenem 1000mg</t>
  </si>
  <si>
    <t>Inj septrim 480mg/5mL</t>
  </si>
  <si>
    <t>Tab penicillin 250mg</t>
  </si>
  <si>
    <t>Tab metronidazole 200mg</t>
  </si>
  <si>
    <t>Tab septrim 480mg</t>
  </si>
  <si>
    <t>Cap flucloxacillin 500mg</t>
  </si>
  <si>
    <t>Cap amoxycillin 500mg</t>
  </si>
  <si>
    <t>Cap erythromycin 250mg</t>
  </si>
  <si>
    <t>Cap doxycycline 100mg</t>
  </si>
  <si>
    <t>Cap cephalexin 500mg</t>
  </si>
  <si>
    <t xml:space="preserve">Susp doxycycline </t>
  </si>
  <si>
    <t>UnitCost_New</t>
  </si>
  <si>
    <t>UnitCost_Old</t>
  </si>
  <si>
    <t>-</t>
  </si>
  <si>
    <t>Name of medication</t>
  </si>
  <si>
    <t>Which is higher</t>
  </si>
  <si>
    <t>Fiji EML 2013</t>
  </si>
  <si>
    <t>EML 2013</t>
  </si>
  <si>
    <t>FCCC Fiji 2020</t>
  </si>
  <si>
    <t>Used metronidazole</t>
  </si>
  <si>
    <t>Used erythromycin</t>
  </si>
  <si>
    <t>Used flucloxacillin</t>
  </si>
  <si>
    <t>Used septrim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</si>
</sst>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9"/>
      <color theme="6" tint="0.39997558519241921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theme="0" tint="-0.14999847407452621"/>
      <name val="Arial"/>
      <family val="2"/>
    </font>
    <font>
      <sz val="9"/>
      <color rgb="FFC00000"/>
      <name val="Arial"/>
      <family val="2"/>
    </font>
    <font>
      <sz val="9"/>
      <color rgb="FFC00000"/>
      <name val="Arial"/>
      <family val="2"/>
    </font>
    <font>
      <b/>
      <sz val="9"/>
      <name val="Arial"/>
      <family val="2"/>
    </font>
    <font>
      <b/>
      <sz val="11"/>
      <color indexed="8"/>
      <name val="Calibri"/>
      <family val="2"/>
      <scheme val="minor"/>
    </font>
    <font>
      <b/>
      <sz val="9"/>
      <color theme="4" tint="-0.499984740745262"/>
      <name val="Arial"/>
      <family val="2"/>
    </font>
    <font>
      <sz val="9"/>
      <color theme="4" tint="-0.499984740745262"/>
      <name val="Arial"/>
      <family val="2"/>
    </font>
    <font>
      <b/>
      <sz val="9"/>
      <color rgb="FFC00000"/>
      <name val="Arial"/>
      <family val="2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1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quotePrefix="1" applyFont="1" applyBorder="1"/>
    <xf numFmtId="2" fontId="2" fillId="0" borderId="1" xfId="0" quotePrefix="1" applyNumberFormat="1" applyFont="1" applyBorder="1" applyAlignment="1">
      <alignment horizontal="center"/>
    </xf>
    <xf numFmtId="0" fontId="4" fillId="0" borderId="1" xfId="0" applyFont="1" applyBorder="1"/>
    <xf numFmtId="1" fontId="4" fillId="0" borderId="1" xfId="0" quotePrefix="1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quotePrefix="1" applyFont="1" applyBorder="1"/>
    <xf numFmtId="0" fontId="5" fillId="0" borderId="0" xfId="0" applyFont="1" applyAlignment="1">
      <alignment vertical="center" wrapText="1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0" fontId="7" fillId="0" borderId="1" xfId="0" quotePrefix="1" applyFont="1" applyBorder="1"/>
    <xf numFmtId="0" fontId="8" fillId="0" borderId="0" xfId="0" applyFont="1"/>
    <xf numFmtId="0" fontId="9" fillId="0" borderId="0" xfId="0" applyFont="1"/>
    <xf numFmtId="0" fontId="10" fillId="0" borderId="1" xfId="0" quotePrefix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3" fillId="0" borderId="0" xfId="0" applyFont="1"/>
    <xf numFmtId="2" fontId="4" fillId="0" borderId="1" xfId="0" applyNumberFormat="1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4" fillId="0" borderId="0" xfId="0" applyFont="1"/>
    <xf numFmtId="2" fontId="4" fillId="0" borderId="1" xfId="0" quotePrefix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14" fillId="0" borderId="1" xfId="0" applyFont="1" applyBorder="1"/>
    <xf numFmtId="0" fontId="15" fillId="0" borderId="1" xfId="0" quotePrefix="1" applyFont="1" applyBorder="1"/>
    <xf numFmtId="0" fontId="15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2" fontId="15" fillId="0" borderId="1" xfId="0" quotePrefix="1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6" fillId="0" borderId="1" xfId="0" applyFont="1" applyBorder="1"/>
    <xf numFmtId="2" fontId="10" fillId="0" borderId="1" xfId="0" applyNumberFormat="1" applyFont="1" applyBorder="1" applyAlignment="1">
      <alignment horizontal="center"/>
    </xf>
    <xf numFmtId="0" fontId="17" fillId="0" borderId="0" xfId="0" applyFont="1"/>
    <xf numFmtId="0" fontId="16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difofon Akpan" id="{E69ACD1F-6DF4-4A27-897C-907490041A7B}" userId="S::e.akpan@unimelb.edu.au::cea16780-a6e4-441a-89d7-7e9ce4c7f2b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3-06-25T06:26:13.96" personId="{E69ACD1F-6DF4-4A27-897C-907490041A7B}" id="{EAA9B9F8-60DA-49CC-A517-23EFE4EA0352}">
    <text>https://www.who.int/tools/child-growth-standards/standards/weight-for-age</text>
    <extLst>
      <x:ext xmlns:xltc2="http://schemas.microsoft.com/office/spreadsheetml/2020/threadedcomments2" uri="{F7C98A9C-CBB3-438F-8F68-D28B6AF4A901}">
        <xltc2:checksum>3806217591</xltc2:checksum>
        <xltc2:hyperlink startIndex="0" length="73" url="https://www.who.int/tools/child-growth-standards/standards/weight-for-age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3-06-25T06:26:13.96" personId="{E69ACD1F-6DF4-4A27-897C-907490041A7B}" id="{6C059482-8D79-4347-96E0-EB184E8CE68B}">
    <text>https://www.who.int/tools/child-growth-standards/standards/weight-for-age</text>
    <extLst>
      <x:ext xmlns:xltc2="http://schemas.microsoft.com/office/spreadsheetml/2020/threadedcomments2" uri="{F7C98A9C-CBB3-438F-8F68-D28B6AF4A901}">
        <xltc2:checksum>3806217591</xltc2:checksum>
        <xltc2:hyperlink startIndex="0" length="73" url="https://www.who.int/tools/child-growth-standards/standards/weight-for-age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21CD-E73B-42A5-9D57-55A5AC9D159E}">
  <dimension ref="A1:O85"/>
  <sheetViews>
    <sheetView topLeftCell="A25" zoomScale="109" zoomScaleNormal="100" workbookViewId="0">
      <selection activeCell="A34" sqref="A34:XFD41"/>
    </sheetView>
  </sheetViews>
  <sheetFormatPr baseColWidth="10" defaultColWidth="9.1640625" defaultRowHeight="12" customHeight="1" x14ac:dyDescent="0.15"/>
  <cols>
    <col min="1" max="1" width="14.1640625" style="2" bestFit="1" customWidth="1"/>
    <col min="2" max="2" width="13.1640625" style="2" bestFit="1" customWidth="1"/>
    <col min="3" max="3" width="4.33203125" style="1" customWidth="1"/>
    <col min="4" max="4" width="34.1640625" style="1" bestFit="1" customWidth="1"/>
    <col min="5" max="5" width="10.6640625" style="1" bestFit="1" customWidth="1"/>
    <col min="6" max="6" width="11.83203125" style="2" bestFit="1" customWidth="1"/>
    <col min="7" max="7" width="10.83203125" style="2" customWidth="1"/>
    <col min="8" max="8" width="12.5" style="2" customWidth="1"/>
    <col min="9" max="9" width="10.83203125" style="2" bestFit="1" customWidth="1"/>
    <col min="10" max="10" width="15.1640625" style="2" bestFit="1" customWidth="1"/>
    <col min="11" max="11" width="13.5" style="2" bestFit="1" customWidth="1"/>
    <col min="12" max="12" width="15.1640625" style="2" bestFit="1" customWidth="1"/>
    <col min="13" max="13" width="52.83203125" style="1" bestFit="1" customWidth="1"/>
    <col min="14" max="14" width="19.83203125" style="1" bestFit="1" customWidth="1"/>
    <col min="15" max="15" width="14.1640625" style="1" customWidth="1"/>
    <col min="16" max="16" width="28.83203125" style="1" bestFit="1" customWidth="1"/>
    <col min="17" max="17" width="20.5" style="1" bestFit="1" customWidth="1"/>
    <col min="18" max="18" width="17.5" style="1" bestFit="1" customWidth="1"/>
    <col min="19" max="21" width="9.1640625" style="1"/>
    <col min="22" max="22" width="22.1640625" style="1" bestFit="1" customWidth="1"/>
    <col min="23" max="16384" width="9.1640625" style="1"/>
  </cols>
  <sheetData>
    <row r="1" spans="1:15" ht="12" customHeight="1" x14ac:dyDescent="0.15">
      <c r="A1" s="4" t="s">
        <v>133</v>
      </c>
      <c r="B1" s="4" t="s">
        <v>132</v>
      </c>
      <c r="C1" s="5" t="s">
        <v>134</v>
      </c>
      <c r="D1" s="5" t="s">
        <v>135</v>
      </c>
      <c r="E1" s="3" t="s">
        <v>43</v>
      </c>
      <c r="F1" s="4" t="s">
        <v>0</v>
      </c>
      <c r="G1" s="4" t="s">
        <v>2</v>
      </c>
      <c r="H1" s="3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3" t="s">
        <v>8</v>
      </c>
      <c r="N1" s="3" t="s">
        <v>9</v>
      </c>
    </row>
    <row r="2" spans="1:15" ht="12" customHeight="1" x14ac:dyDescent="0.15">
      <c r="A2" s="8" t="e">
        <f t="shared" ref="A2:A33" si="0">_xlfn.CONCAT(E2, ".", F2)</f>
        <v>#N/A</v>
      </c>
      <c r="B2" s="7">
        <f t="shared" ref="B2:B33" si="1">CEILING(L2/G2, 1)</f>
        <v>2</v>
      </c>
      <c r="C2" s="5">
        <v>1</v>
      </c>
      <c r="D2" s="5" t="s">
        <v>126</v>
      </c>
      <c r="E2" s="5" t="e">
        <f>VLOOKUP(D2,Costs!$A$1:$H$27,3,FALSE)</f>
        <v>#N/A</v>
      </c>
      <c r="F2" s="7" t="s">
        <v>1</v>
      </c>
      <c r="G2" s="26">
        <v>500</v>
      </c>
      <c r="H2" s="6" t="e">
        <f>VLOOKUP(D2,Costs!$A$1:$H$27,4,FALSE)</f>
        <v>#N/A</v>
      </c>
      <c r="I2" s="7">
        <f>ROUND(AVERAGE(11.4,10.8), 0)</f>
        <v>11</v>
      </c>
      <c r="J2" s="24">
        <f>50*I2</f>
        <v>550</v>
      </c>
      <c r="K2" s="22">
        <v>1</v>
      </c>
      <c r="L2" s="7">
        <f t="shared" ref="L2:L33" si="2">J2*K2</f>
        <v>550</v>
      </c>
      <c r="M2" s="8" t="s">
        <v>16</v>
      </c>
      <c r="N2" s="8" t="s">
        <v>17</v>
      </c>
    </row>
    <row r="3" spans="1:15" ht="12" customHeight="1" x14ac:dyDescent="0.15">
      <c r="A3" s="8" t="e">
        <f t="shared" si="0"/>
        <v>#N/A</v>
      </c>
      <c r="B3" s="7">
        <f t="shared" si="1"/>
        <v>3</v>
      </c>
      <c r="C3" s="5">
        <v>2</v>
      </c>
      <c r="D3" s="5" t="s">
        <v>126</v>
      </c>
      <c r="E3" s="5" t="e">
        <f>VLOOKUP(D3,Costs!$A$1:$H$27,3,FALSE)</f>
        <v>#N/A</v>
      </c>
      <c r="F3" s="7" t="s">
        <v>116</v>
      </c>
      <c r="G3" s="26">
        <v>500</v>
      </c>
      <c r="H3" s="6" t="e">
        <f>VLOOKUP(D3,Costs!$A$1:$H$27,4,FALSE)</f>
        <v>#N/A</v>
      </c>
      <c r="I3" s="7">
        <f>AVERAGE(28,24)</f>
        <v>26</v>
      </c>
      <c r="J3" s="24">
        <f>50*I3</f>
        <v>1300</v>
      </c>
      <c r="K3" s="22">
        <v>1</v>
      </c>
      <c r="L3" s="7">
        <f t="shared" si="2"/>
        <v>1300</v>
      </c>
      <c r="M3" s="8" t="s">
        <v>16</v>
      </c>
      <c r="N3" s="8" t="s">
        <v>17</v>
      </c>
    </row>
    <row r="4" spans="1:15" ht="12" customHeight="1" x14ac:dyDescent="0.15">
      <c r="A4" s="8" t="e">
        <f t="shared" si="0"/>
        <v>#N/A</v>
      </c>
      <c r="B4" s="7">
        <f t="shared" si="1"/>
        <v>4</v>
      </c>
      <c r="C4" s="5">
        <v>3</v>
      </c>
      <c r="D4" s="5" t="s">
        <v>126</v>
      </c>
      <c r="E4" s="5" t="e">
        <f>VLOOKUP(D4,Costs!$A$1:$H$27,3,FALSE)</f>
        <v>#N/A</v>
      </c>
      <c r="F4" s="7" t="s">
        <v>11</v>
      </c>
      <c r="G4" s="26">
        <v>500</v>
      </c>
      <c r="H4" s="6" t="e">
        <f>VLOOKUP(D4,Costs!$A$1:$H$27,4,FALSE)</f>
        <v>#N/A</v>
      </c>
      <c r="I4" s="7">
        <v>35</v>
      </c>
      <c r="J4" s="22">
        <f>50*I4</f>
        <v>1750</v>
      </c>
      <c r="K4" s="22">
        <v>1</v>
      </c>
      <c r="L4" s="7">
        <f t="shared" si="2"/>
        <v>1750</v>
      </c>
      <c r="M4" s="8" t="s">
        <v>16</v>
      </c>
      <c r="N4" s="8" t="s">
        <v>17</v>
      </c>
    </row>
    <row r="5" spans="1:15" ht="12" customHeight="1" x14ac:dyDescent="0.15">
      <c r="A5" s="8" t="e">
        <f t="shared" si="0"/>
        <v>#N/A</v>
      </c>
      <c r="B5" s="7">
        <f t="shared" si="1"/>
        <v>4</v>
      </c>
      <c r="C5" s="5">
        <v>4</v>
      </c>
      <c r="D5" s="5" t="s">
        <v>126</v>
      </c>
      <c r="E5" s="5" t="e">
        <f>VLOOKUP(D5,Costs!$A$1:$H$27,3,FALSE)</f>
        <v>#N/A</v>
      </c>
      <c r="F5" s="7" t="s">
        <v>12</v>
      </c>
      <c r="G5" s="26">
        <v>500</v>
      </c>
      <c r="H5" s="6" t="e">
        <f>VLOOKUP(D5,Costs!$A$1:$H$27,4,FALSE)</f>
        <v>#N/A</v>
      </c>
      <c r="I5" s="9" t="s">
        <v>13</v>
      </c>
      <c r="J5" s="22">
        <v>2000</v>
      </c>
      <c r="K5" s="22">
        <v>1</v>
      </c>
      <c r="L5" s="7">
        <f t="shared" si="2"/>
        <v>2000</v>
      </c>
      <c r="M5" s="8" t="s">
        <v>16</v>
      </c>
      <c r="N5" s="8" t="s">
        <v>17</v>
      </c>
    </row>
    <row r="6" spans="1:15" ht="12" customHeight="1" x14ac:dyDescent="0.15">
      <c r="A6" s="8" t="e">
        <f t="shared" si="0"/>
        <v>#N/A</v>
      </c>
      <c r="B6" s="7">
        <f t="shared" si="1"/>
        <v>1</v>
      </c>
      <c r="C6" s="5">
        <v>5</v>
      </c>
      <c r="D6" s="5" t="s">
        <v>128</v>
      </c>
      <c r="E6" s="5" t="e">
        <f>VLOOKUP(D6,Costs!$A$1:$H$27,3,FALSE)</f>
        <v>#N/A</v>
      </c>
      <c r="F6" s="7" t="s">
        <v>1</v>
      </c>
      <c r="G6" s="26">
        <v>80</v>
      </c>
      <c r="H6" s="6" t="e">
        <f>VLOOKUP(D6,Costs!$A$1:$H$27,4,FALSE)</f>
        <v>#N/A</v>
      </c>
      <c r="I6" s="7">
        <f>ROUND(AVERAGE(11.4,10.8), 0)</f>
        <v>11</v>
      </c>
      <c r="J6" s="23">
        <f>3.2*I6</f>
        <v>35.200000000000003</v>
      </c>
      <c r="K6" s="22">
        <v>1</v>
      </c>
      <c r="L6" s="7">
        <f t="shared" si="2"/>
        <v>35.200000000000003</v>
      </c>
      <c r="M6" s="8" t="s">
        <v>19</v>
      </c>
      <c r="N6" s="8"/>
    </row>
    <row r="7" spans="1:15" ht="12" customHeight="1" x14ac:dyDescent="0.15">
      <c r="A7" s="8" t="e">
        <f t="shared" si="0"/>
        <v>#N/A</v>
      </c>
      <c r="B7" s="7">
        <f t="shared" si="1"/>
        <v>2</v>
      </c>
      <c r="C7" s="5">
        <v>6</v>
      </c>
      <c r="D7" s="5" t="s">
        <v>128</v>
      </c>
      <c r="E7" s="5" t="e">
        <f>VLOOKUP(D7,Costs!$A$1:$H$27,3,FALSE)</f>
        <v>#N/A</v>
      </c>
      <c r="F7" s="7" t="s">
        <v>116</v>
      </c>
      <c r="G7" s="26">
        <v>80</v>
      </c>
      <c r="H7" s="6" t="e">
        <f>VLOOKUP(D7,Costs!$A$1:$H$27,4,FALSE)</f>
        <v>#N/A</v>
      </c>
      <c r="I7" s="7">
        <f>AVERAGE(28,24)</f>
        <v>26</v>
      </c>
      <c r="J7" s="23">
        <f>3.2*I7</f>
        <v>83.2</v>
      </c>
      <c r="K7" s="22">
        <v>1</v>
      </c>
      <c r="L7" s="7">
        <f t="shared" si="2"/>
        <v>83.2</v>
      </c>
      <c r="M7" s="8" t="s">
        <v>19</v>
      </c>
      <c r="N7" s="8"/>
    </row>
    <row r="8" spans="1:15" ht="12" customHeight="1" x14ac:dyDescent="0.15">
      <c r="A8" s="8" t="e">
        <f t="shared" si="0"/>
        <v>#N/A</v>
      </c>
      <c r="B8" s="7">
        <f t="shared" si="1"/>
        <v>2</v>
      </c>
      <c r="C8" s="5">
        <v>7</v>
      </c>
      <c r="D8" s="5" t="s">
        <v>128</v>
      </c>
      <c r="E8" s="5" t="e">
        <f>VLOOKUP(D8,Costs!$A$1:$H$27,3,FALSE)</f>
        <v>#N/A</v>
      </c>
      <c r="F8" s="7" t="s">
        <v>11</v>
      </c>
      <c r="G8" s="26">
        <v>80</v>
      </c>
      <c r="H8" s="6" t="e">
        <f>VLOOKUP(D8,Costs!$A$1:$H$27,4,FALSE)</f>
        <v>#N/A</v>
      </c>
      <c r="I8" s="7">
        <v>35</v>
      </c>
      <c r="J8" s="23">
        <f>3.2*I8</f>
        <v>112</v>
      </c>
      <c r="K8" s="22">
        <v>1</v>
      </c>
      <c r="L8" s="7">
        <f t="shared" si="2"/>
        <v>112</v>
      </c>
      <c r="M8" s="8" t="s">
        <v>19</v>
      </c>
      <c r="N8" s="8"/>
    </row>
    <row r="9" spans="1:15" ht="12" customHeight="1" x14ac:dyDescent="0.15">
      <c r="A9" s="8" t="e">
        <f t="shared" si="0"/>
        <v>#N/A</v>
      </c>
      <c r="B9" s="7">
        <f t="shared" si="1"/>
        <v>4</v>
      </c>
      <c r="C9" s="5">
        <v>8</v>
      </c>
      <c r="D9" s="5" t="s">
        <v>128</v>
      </c>
      <c r="E9" s="5" t="e">
        <f>VLOOKUP(D9,Costs!$A$1:$H$27,3,FALSE)</f>
        <v>#N/A</v>
      </c>
      <c r="F9" s="7" t="s">
        <v>12</v>
      </c>
      <c r="G9" s="26">
        <v>80</v>
      </c>
      <c r="H9" s="6" t="e">
        <f>VLOOKUP(D9,Costs!$A$1:$H$27,4,FALSE)</f>
        <v>#N/A</v>
      </c>
      <c r="I9" s="9" t="s">
        <v>13</v>
      </c>
      <c r="J9" s="23">
        <v>320</v>
      </c>
      <c r="K9" s="22">
        <v>1</v>
      </c>
      <c r="L9" s="7">
        <f t="shared" si="2"/>
        <v>320</v>
      </c>
      <c r="M9" s="8" t="s">
        <v>19</v>
      </c>
      <c r="N9" s="8"/>
    </row>
    <row r="10" spans="1:15" ht="12" customHeight="1" x14ac:dyDescent="0.15">
      <c r="A10" s="8" t="e">
        <f t="shared" si="0"/>
        <v>#N/A</v>
      </c>
      <c r="B10" s="7">
        <f t="shared" si="1"/>
        <v>1</v>
      </c>
      <c r="C10" s="5">
        <v>9</v>
      </c>
      <c r="D10" s="5" t="s">
        <v>131</v>
      </c>
      <c r="E10" s="5" t="e">
        <f>VLOOKUP(D10,Costs!$A$1:$H$27,3,FALSE)</f>
        <v>#N/A</v>
      </c>
      <c r="F10" s="7" t="s">
        <v>1</v>
      </c>
      <c r="G10" s="26">
        <v>4</v>
      </c>
      <c r="H10" s="6" t="e">
        <f>VLOOKUP(D10,Costs!$A$1:$H$27,4,FALSE)</f>
        <v>#N/A</v>
      </c>
      <c r="I10" s="7">
        <f>ROUND(AVERAGE(11.4,10.8), 0)</f>
        <v>11</v>
      </c>
      <c r="J10" s="25">
        <f>0.05*I10</f>
        <v>0.55000000000000004</v>
      </c>
      <c r="K10" s="12">
        <v>1</v>
      </c>
      <c r="L10" s="7">
        <f t="shared" si="2"/>
        <v>0.55000000000000004</v>
      </c>
      <c r="M10" s="8" t="s">
        <v>23</v>
      </c>
      <c r="N10" s="8"/>
    </row>
    <row r="11" spans="1:15" ht="12" customHeight="1" x14ac:dyDescent="0.15">
      <c r="A11" s="8" t="e">
        <f t="shared" si="0"/>
        <v>#N/A</v>
      </c>
      <c r="B11" s="7">
        <f t="shared" si="1"/>
        <v>1</v>
      </c>
      <c r="C11" s="5">
        <v>10</v>
      </c>
      <c r="D11" s="5" t="s">
        <v>131</v>
      </c>
      <c r="E11" s="5" t="e">
        <f>VLOOKUP(D11,Costs!$A$1:$H$27,3,FALSE)</f>
        <v>#N/A</v>
      </c>
      <c r="F11" s="7" t="s">
        <v>116</v>
      </c>
      <c r="G11" s="26">
        <v>4</v>
      </c>
      <c r="H11" s="6" t="e">
        <f>VLOOKUP(D11,Costs!$A$1:$H$27,4,FALSE)</f>
        <v>#N/A</v>
      </c>
      <c r="I11" s="7">
        <f>AVERAGE(28,24)</f>
        <v>26</v>
      </c>
      <c r="J11" s="25">
        <f>0.05*I11</f>
        <v>1.3</v>
      </c>
      <c r="K11" s="12">
        <v>1</v>
      </c>
      <c r="L11" s="7">
        <f t="shared" si="2"/>
        <v>1.3</v>
      </c>
      <c r="M11" s="8" t="s">
        <v>23</v>
      </c>
      <c r="N11" s="8"/>
      <c r="O11" s="20"/>
    </row>
    <row r="12" spans="1:15" ht="12" customHeight="1" x14ac:dyDescent="0.15">
      <c r="A12" s="8" t="e">
        <f t="shared" si="0"/>
        <v>#N/A</v>
      </c>
      <c r="B12" s="7">
        <f t="shared" si="1"/>
        <v>1</v>
      </c>
      <c r="C12" s="5">
        <v>11</v>
      </c>
      <c r="D12" s="5" t="s">
        <v>131</v>
      </c>
      <c r="E12" s="5" t="e">
        <f>VLOOKUP(D12,Costs!$A$1:$H$27,3,FALSE)</f>
        <v>#N/A</v>
      </c>
      <c r="F12" s="7" t="s">
        <v>11</v>
      </c>
      <c r="G12" s="26">
        <v>4</v>
      </c>
      <c r="H12" s="6" t="e">
        <f>VLOOKUP(D12,Costs!$A$1:$H$27,4,FALSE)</f>
        <v>#N/A</v>
      </c>
      <c r="I12" s="7">
        <v>35</v>
      </c>
      <c r="J12" s="25">
        <f>FLOOR(0.05*I12,1.5)</f>
        <v>1.5</v>
      </c>
      <c r="K12" s="12">
        <v>1</v>
      </c>
      <c r="L12" s="7">
        <f t="shared" si="2"/>
        <v>1.5</v>
      </c>
      <c r="M12" s="8" t="s">
        <v>23</v>
      </c>
      <c r="N12" s="8"/>
    </row>
    <row r="13" spans="1:15" ht="12" customHeight="1" x14ac:dyDescent="0.15">
      <c r="A13" s="8" t="e">
        <f t="shared" si="0"/>
        <v>#N/A</v>
      </c>
      <c r="B13" s="7">
        <f t="shared" si="1"/>
        <v>1</v>
      </c>
      <c r="C13" s="5">
        <v>12</v>
      </c>
      <c r="D13" s="5" t="s">
        <v>131</v>
      </c>
      <c r="E13" s="5" t="e">
        <f>VLOOKUP(D13,Costs!$A$1:$H$27,3,FALSE)</f>
        <v>#N/A</v>
      </c>
      <c r="F13" s="7" t="s">
        <v>12</v>
      </c>
      <c r="G13" s="26">
        <v>4</v>
      </c>
      <c r="H13" s="6" t="e">
        <f>VLOOKUP(D13,Costs!$A$1:$H$27,4,FALSE)</f>
        <v>#N/A</v>
      </c>
      <c r="I13" s="9" t="s">
        <v>13</v>
      </c>
      <c r="J13" s="25">
        <v>1.5</v>
      </c>
      <c r="K13" s="12">
        <v>1</v>
      </c>
      <c r="L13" s="7">
        <f t="shared" si="2"/>
        <v>1.5</v>
      </c>
      <c r="M13" s="8" t="s">
        <v>23</v>
      </c>
      <c r="N13" s="8"/>
    </row>
    <row r="14" spans="1:15" ht="12" customHeight="1" x14ac:dyDescent="0.15">
      <c r="A14" s="8" t="e">
        <f t="shared" si="0"/>
        <v>#N/A</v>
      </c>
      <c r="B14" s="7">
        <f t="shared" si="1"/>
        <v>1</v>
      </c>
      <c r="C14" s="5">
        <v>13</v>
      </c>
      <c r="D14" s="5" t="s">
        <v>130</v>
      </c>
      <c r="E14" s="5" t="e">
        <f>VLOOKUP(D14,Costs!$A$1:$H$27,3,FALSE)</f>
        <v>#N/A</v>
      </c>
      <c r="F14" s="7" t="s">
        <v>1</v>
      </c>
      <c r="G14" s="26">
        <v>500</v>
      </c>
      <c r="H14" s="6" t="e">
        <f>VLOOKUP(D14,Costs!$A$1:$H$27,4,FALSE)</f>
        <v>#N/A</v>
      </c>
      <c r="I14" s="7">
        <f>ROUND(AVERAGE(11.4,10.8), 0)</f>
        <v>11</v>
      </c>
      <c r="J14" s="22">
        <f>12.5*I14</f>
        <v>137.5</v>
      </c>
      <c r="K14" s="22">
        <v>2</v>
      </c>
      <c r="L14" s="7">
        <f t="shared" si="2"/>
        <v>275</v>
      </c>
      <c r="M14" s="8" t="s">
        <v>22</v>
      </c>
      <c r="N14" s="8"/>
    </row>
    <row r="15" spans="1:15" ht="12" customHeight="1" x14ac:dyDescent="0.15">
      <c r="A15" s="8" t="e">
        <f t="shared" si="0"/>
        <v>#N/A</v>
      </c>
      <c r="B15" s="7">
        <f t="shared" si="1"/>
        <v>2</v>
      </c>
      <c r="C15" s="5">
        <v>14</v>
      </c>
      <c r="D15" s="5" t="s">
        <v>130</v>
      </c>
      <c r="E15" s="5" t="e">
        <f>VLOOKUP(D15,Costs!$A$1:$H$27,3,FALSE)</f>
        <v>#N/A</v>
      </c>
      <c r="F15" s="7" t="s">
        <v>116</v>
      </c>
      <c r="G15" s="26">
        <v>500</v>
      </c>
      <c r="H15" s="6" t="e">
        <f>VLOOKUP(D15,Costs!$A$1:$H$27,4,FALSE)</f>
        <v>#N/A</v>
      </c>
      <c r="I15" s="7">
        <f>AVERAGE(28,24)</f>
        <v>26</v>
      </c>
      <c r="J15" s="22">
        <f>12.5*I15</f>
        <v>325</v>
      </c>
      <c r="K15" s="22">
        <v>2</v>
      </c>
      <c r="L15" s="7">
        <f t="shared" si="2"/>
        <v>650</v>
      </c>
      <c r="M15" s="8" t="s">
        <v>22</v>
      </c>
      <c r="N15" s="8"/>
    </row>
    <row r="16" spans="1:15" ht="12" customHeight="1" x14ac:dyDescent="0.15">
      <c r="A16" s="8" t="e">
        <f t="shared" si="0"/>
        <v>#N/A</v>
      </c>
      <c r="B16" s="7">
        <f t="shared" si="1"/>
        <v>2</v>
      </c>
      <c r="C16" s="5">
        <v>15</v>
      </c>
      <c r="D16" s="5" t="s">
        <v>130</v>
      </c>
      <c r="E16" s="5" t="e">
        <f>VLOOKUP(D16,Costs!$A$1:$H$27,3,FALSE)</f>
        <v>#N/A</v>
      </c>
      <c r="F16" s="7" t="s">
        <v>11</v>
      </c>
      <c r="G16" s="26">
        <v>500</v>
      </c>
      <c r="H16" s="6" t="e">
        <f>VLOOKUP(D16,Costs!$A$1:$H$27,4,FALSE)</f>
        <v>#N/A</v>
      </c>
      <c r="I16" s="7">
        <v>35</v>
      </c>
      <c r="J16" s="22">
        <f>12.5*I16</f>
        <v>437.5</v>
      </c>
      <c r="K16" s="22">
        <v>2</v>
      </c>
      <c r="L16" s="7">
        <f t="shared" si="2"/>
        <v>875</v>
      </c>
      <c r="M16" s="8" t="s">
        <v>22</v>
      </c>
      <c r="N16" s="8"/>
    </row>
    <row r="17" spans="1:14" ht="12" customHeight="1" x14ac:dyDescent="0.15">
      <c r="A17" s="8" t="e">
        <f t="shared" si="0"/>
        <v>#N/A</v>
      </c>
      <c r="B17" s="7">
        <f t="shared" si="1"/>
        <v>2</v>
      </c>
      <c r="C17" s="5">
        <v>16</v>
      </c>
      <c r="D17" s="5" t="s">
        <v>130</v>
      </c>
      <c r="E17" s="5" t="e">
        <f>VLOOKUP(D17,Costs!$A$1:$H$27,3,FALSE)</f>
        <v>#N/A</v>
      </c>
      <c r="F17" s="7" t="s">
        <v>12</v>
      </c>
      <c r="G17" s="26">
        <v>500</v>
      </c>
      <c r="H17" s="6" t="e">
        <f>VLOOKUP(D17,Costs!$A$1:$H$27,4,FALSE)</f>
        <v>#N/A</v>
      </c>
      <c r="I17" s="9" t="s">
        <v>13</v>
      </c>
      <c r="J17" s="22">
        <v>500</v>
      </c>
      <c r="K17" s="22">
        <v>2</v>
      </c>
      <c r="L17" s="7">
        <f t="shared" si="2"/>
        <v>1000</v>
      </c>
      <c r="M17" s="8" t="s">
        <v>22</v>
      </c>
      <c r="N17" s="8"/>
    </row>
    <row r="18" spans="1:14" x14ac:dyDescent="0.15">
      <c r="A18" s="8" t="e">
        <f t="shared" si="0"/>
        <v>#N/A</v>
      </c>
      <c r="B18" s="7">
        <f t="shared" si="1"/>
        <v>2</v>
      </c>
      <c r="C18" s="5">
        <v>17</v>
      </c>
      <c r="D18" s="5" t="s">
        <v>127</v>
      </c>
      <c r="E18" s="5" t="e">
        <f>VLOOKUP(D18,Costs!$A$1:$H$27,3,FALSE)</f>
        <v>#N/A</v>
      </c>
      <c r="F18" s="7" t="s">
        <v>1</v>
      </c>
      <c r="G18" s="26">
        <v>1000</v>
      </c>
      <c r="H18" s="6" t="e">
        <f>VLOOKUP(D18,Costs!$A$1:$H$27,4,FALSE)</f>
        <v>#N/A</v>
      </c>
      <c r="I18" s="7">
        <f>ROUND(AVERAGE(11.4,10.8), 0)</f>
        <v>11</v>
      </c>
      <c r="J18" s="22">
        <f>25*I18</f>
        <v>275</v>
      </c>
      <c r="K18" s="22">
        <v>4</v>
      </c>
      <c r="L18" s="7">
        <f t="shared" si="2"/>
        <v>1100</v>
      </c>
      <c r="M18" s="8" t="s">
        <v>18</v>
      </c>
      <c r="N18" s="8"/>
    </row>
    <row r="19" spans="1:14" x14ac:dyDescent="0.15">
      <c r="A19" s="8" t="e">
        <f t="shared" si="0"/>
        <v>#N/A</v>
      </c>
      <c r="B19" s="7">
        <f t="shared" si="1"/>
        <v>2</v>
      </c>
      <c r="C19" s="5">
        <v>18</v>
      </c>
      <c r="D19" s="5" t="s">
        <v>127</v>
      </c>
      <c r="E19" s="5" t="e">
        <f>VLOOKUP(D19,Costs!$A$1:$H$27,3,FALSE)</f>
        <v>#N/A</v>
      </c>
      <c r="F19" s="7" t="s">
        <v>116</v>
      </c>
      <c r="G19" s="26">
        <v>1000</v>
      </c>
      <c r="H19" s="6" t="e">
        <f>VLOOKUP(D19,Costs!$A$1:$H$27,4,FALSE)</f>
        <v>#N/A</v>
      </c>
      <c r="I19" s="7">
        <f>AVERAGE(28,24)</f>
        <v>26</v>
      </c>
      <c r="J19" s="23">
        <f>FLOOR(25*I19,500)</f>
        <v>500</v>
      </c>
      <c r="K19" s="22">
        <v>4</v>
      </c>
      <c r="L19" s="7">
        <f t="shared" si="2"/>
        <v>2000</v>
      </c>
      <c r="M19" s="8" t="s">
        <v>18</v>
      </c>
      <c r="N19" s="8"/>
    </row>
    <row r="20" spans="1:14" x14ac:dyDescent="0.15">
      <c r="A20" s="8" t="e">
        <f t="shared" si="0"/>
        <v>#N/A</v>
      </c>
      <c r="B20" s="7">
        <f t="shared" si="1"/>
        <v>2</v>
      </c>
      <c r="C20" s="5">
        <v>19</v>
      </c>
      <c r="D20" s="5" t="s">
        <v>127</v>
      </c>
      <c r="E20" s="5" t="e">
        <f>VLOOKUP(D20,Costs!$A$1:$H$27,3,FALSE)</f>
        <v>#N/A</v>
      </c>
      <c r="F20" s="7" t="s">
        <v>11</v>
      </c>
      <c r="G20" s="26">
        <v>1000</v>
      </c>
      <c r="H20" s="6" t="e">
        <f>VLOOKUP(D20,Costs!$A$1:$H$27,4,FALSE)</f>
        <v>#N/A</v>
      </c>
      <c r="I20" s="7">
        <v>35</v>
      </c>
      <c r="J20" s="23">
        <f>FLOOR(25*I20,500)</f>
        <v>500</v>
      </c>
      <c r="K20" s="22">
        <v>4</v>
      </c>
      <c r="L20" s="7">
        <f t="shared" si="2"/>
        <v>2000</v>
      </c>
      <c r="M20" s="8" t="s">
        <v>18</v>
      </c>
      <c r="N20" s="8"/>
    </row>
    <row r="21" spans="1:14" x14ac:dyDescent="0.15">
      <c r="A21" s="8" t="e">
        <f t="shared" si="0"/>
        <v>#N/A</v>
      </c>
      <c r="B21" s="7">
        <f t="shared" si="1"/>
        <v>2</v>
      </c>
      <c r="C21" s="5">
        <v>20</v>
      </c>
      <c r="D21" s="5" t="s">
        <v>127</v>
      </c>
      <c r="E21" s="5" t="e">
        <f>VLOOKUP(D21,Costs!$A$1:$H$27,3,FALSE)</f>
        <v>#N/A</v>
      </c>
      <c r="F21" s="7" t="s">
        <v>12</v>
      </c>
      <c r="G21" s="26">
        <v>1000</v>
      </c>
      <c r="H21" s="6" t="e">
        <f>VLOOKUP(D21,Costs!$A$1:$H$27,4,FALSE)</f>
        <v>#N/A</v>
      </c>
      <c r="I21" s="9" t="s">
        <v>13</v>
      </c>
      <c r="J21" s="22">
        <v>500</v>
      </c>
      <c r="K21" s="22">
        <v>4</v>
      </c>
      <c r="L21" s="7">
        <f t="shared" si="2"/>
        <v>2000</v>
      </c>
      <c r="M21" s="8" t="s">
        <v>18</v>
      </c>
      <c r="N21" s="8"/>
    </row>
    <row r="22" spans="1:14" x14ac:dyDescent="0.15">
      <c r="A22" s="8" t="e">
        <f t="shared" si="0"/>
        <v>#N/A</v>
      </c>
      <c r="B22" s="7">
        <f t="shared" si="1"/>
        <v>1</v>
      </c>
      <c r="C22" s="5">
        <v>21</v>
      </c>
      <c r="D22" s="5" t="s">
        <v>124</v>
      </c>
      <c r="E22" s="5" t="e">
        <f>VLOOKUP(D22,Costs!$A$1:$H$27,3,FALSE)</f>
        <v>#N/A</v>
      </c>
      <c r="F22" s="7" t="s">
        <v>1</v>
      </c>
      <c r="G22" s="26">
        <v>1000</v>
      </c>
      <c r="H22" s="6" t="e">
        <f>VLOOKUP(D22,Costs!$A$1:$H$27,4,FALSE)</f>
        <v>#N/A</v>
      </c>
      <c r="I22" s="7">
        <f>ROUND(AVERAGE(11.4,10.8), 0)</f>
        <v>11</v>
      </c>
      <c r="J22" s="23">
        <f>50*I22</f>
        <v>550</v>
      </c>
      <c r="K22" s="22">
        <v>1</v>
      </c>
      <c r="L22" s="7">
        <f t="shared" si="2"/>
        <v>550</v>
      </c>
      <c r="M22" s="8" t="s">
        <v>10</v>
      </c>
      <c r="N22" s="8"/>
    </row>
    <row r="23" spans="1:14" x14ac:dyDescent="0.15">
      <c r="A23" s="8" t="e">
        <f t="shared" si="0"/>
        <v>#N/A</v>
      </c>
      <c r="B23" s="7">
        <f t="shared" si="1"/>
        <v>2</v>
      </c>
      <c r="C23" s="5">
        <v>22</v>
      </c>
      <c r="D23" s="5" t="s">
        <v>124</v>
      </c>
      <c r="E23" s="5" t="e">
        <f>VLOOKUP(D23,Costs!$A$1:$H$27,3,FALSE)</f>
        <v>#N/A</v>
      </c>
      <c r="F23" s="7" t="s">
        <v>116</v>
      </c>
      <c r="G23" s="26">
        <v>1000</v>
      </c>
      <c r="H23" s="6" t="e">
        <f>VLOOKUP(D23,Costs!$A$1:$H$27,4,FALSE)</f>
        <v>#N/A</v>
      </c>
      <c r="I23" s="7">
        <f>AVERAGE(28,24)</f>
        <v>26</v>
      </c>
      <c r="J23" s="23">
        <f>50*I23</f>
        <v>1300</v>
      </c>
      <c r="K23" s="22">
        <v>1</v>
      </c>
      <c r="L23" s="7">
        <f t="shared" si="2"/>
        <v>1300</v>
      </c>
      <c r="M23" s="8" t="s">
        <v>10</v>
      </c>
      <c r="N23" s="8"/>
    </row>
    <row r="24" spans="1:14" x14ac:dyDescent="0.15">
      <c r="A24" s="8" t="e">
        <f t="shared" si="0"/>
        <v>#N/A</v>
      </c>
      <c r="B24" s="7">
        <f t="shared" si="1"/>
        <v>2</v>
      </c>
      <c r="C24" s="5">
        <v>23</v>
      </c>
      <c r="D24" s="5" t="s">
        <v>124</v>
      </c>
      <c r="E24" s="5" t="e">
        <f>VLOOKUP(D24,Costs!$A$1:$H$27,3,FALSE)</f>
        <v>#N/A</v>
      </c>
      <c r="F24" s="7" t="s">
        <v>11</v>
      </c>
      <c r="G24" s="26">
        <v>1000</v>
      </c>
      <c r="H24" s="6" t="e">
        <f>VLOOKUP(D24,Costs!$A$1:$H$27,4,FALSE)</f>
        <v>#N/A</v>
      </c>
      <c r="I24" s="7">
        <v>35</v>
      </c>
      <c r="J24" s="23">
        <f>50*I24</f>
        <v>1750</v>
      </c>
      <c r="K24" s="22">
        <v>1</v>
      </c>
      <c r="L24" s="7">
        <f t="shared" si="2"/>
        <v>1750</v>
      </c>
      <c r="M24" s="8" t="s">
        <v>10</v>
      </c>
      <c r="N24" s="8"/>
    </row>
    <row r="25" spans="1:14" x14ac:dyDescent="0.15">
      <c r="A25" s="8" t="e">
        <f t="shared" si="0"/>
        <v>#N/A</v>
      </c>
      <c r="B25" s="7">
        <f t="shared" si="1"/>
        <v>2</v>
      </c>
      <c r="C25" s="5">
        <v>24</v>
      </c>
      <c r="D25" s="5" t="s">
        <v>124</v>
      </c>
      <c r="E25" s="5" t="e">
        <f>VLOOKUP(D25,Costs!$A$1:$H$27,3,FALSE)</f>
        <v>#N/A</v>
      </c>
      <c r="F25" s="7" t="s">
        <v>12</v>
      </c>
      <c r="G25" s="26">
        <v>1000</v>
      </c>
      <c r="H25" s="6" t="e">
        <f>VLOOKUP(D25,Costs!$A$1:$H$27,4,FALSE)</f>
        <v>#N/A</v>
      </c>
      <c r="I25" s="9" t="s">
        <v>13</v>
      </c>
      <c r="J25" s="24">
        <v>2000</v>
      </c>
      <c r="K25" s="22">
        <v>1</v>
      </c>
      <c r="L25" s="7">
        <f t="shared" si="2"/>
        <v>2000</v>
      </c>
      <c r="M25" s="8" t="s">
        <v>10</v>
      </c>
      <c r="N25" s="8"/>
    </row>
    <row r="26" spans="1:14" ht="12" customHeight="1" x14ac:dyDescent="0.15">
      <c r="A26" s="8" t="e">
        <f t="shared" si="0"/>
        <v>#N/A</v>
      </c>
      <c r="B26" s="7">
        <f t="shared" si="1"/>
        <v>3</v>
      </c>
      <c r="C26" s="5">
        <v>25</v>
      </c>
      <c r="D26" s="5" t="s">
        <v>125</v>
      </c>
      <c r="E26" s="5" t="e">
        <f>VLOOKUP(D26,Costs!$A$1:$H$27,3,FALSE)</f>
        <v>#N/A</v>
      </c>
      <c r="F26" s="7" t="s">
        <v>1</v>
      </c>
      <c r="G26" s="26">
        <v>100</v>
      </c>
      <c r="H26" s="6" t="e">
        <f>VLOOKUP(D26,Costs!$A$1:$H$27,4,FALSE)</f>
        <v>#N/A</v>
      </c>
      <c r="I26" s="7">
        <f>ROUND(AVERAGE(11.4,10.8), 0)</f>
        <v>11</v>
      </c>
      <c r="J26" s="24">
        <f>10*I26</f>
        <v>110</v>
      </c>
      <c r="K26" s="22">
        <v>2</v>
      </c>
      <c r="L26" s="7">
        <f t="shared" si="2"/>
        <v>220</v>
      </c>
      <c r="M26" s="8" t="s">
        <v>14</v>
      </c>
      <c r="N26" s="8" t="s">
        <v>15</v>
      </c>
    </row>
    <row r="27" spans="1:14" ht="12" customHeight="1" x14ac:dyDescent="0.15">
      <c r="A27" s="8" t="e">
        <f t="shared" si="0"/>
        <v>#N/A</v>
      </c>
      <c r="B27" s="7">
        <f t="shared" si="1"/>
        <v>6</v>
      </c>
      <c r="C27" s="5">
        <v>26</v>
      </c>
      <c r="D27" s="5" t="s">
        <v>125</v>
      </c>
      <c r="E27" s="5" t="e">
        <f>VLOOKUP(D27,Costs!$A$1:$H$27,3,FALSE)</f>
        <v>#N/A</v>
      </c>
      <c r="F27" s="7" t="s">
        <v>116</v>
      </c>
      <c r="G27" s="26">
        <v>100</v>
      </c>
      <c r="H27" s="6" t="e">
        <f>VLOOKUP(D27,Costs!$A$1:$H$27,4,FALSE)</f>
        <v>#N/A</v>
      </c>
      <c r="I27" s="7">
        <f>AVERAGE(28,24)</f>
        <v>26</v>
      </c>
      <c r="J27" s="24">
        <f>10*I27</f>
        <v>260</v>
      </c>
      <c r="K27" s="22">
        <v>2</v>
      </c>
      <c r="L27" s="7">
        <f t="shared" si="2"/>
        <v>520</v>
      </c>
      <c r="M27" s="8" t="s">
        <v>14</v>
      </c>
      <c r="N27" s="8" t="s">
        <v>15</v>
      </c>
    </row>
    <row r="28" spans="1:14" ht="12" customHeight="1" x14ac:dyDescent="0.15">
      <c r="A28" s="8" t="e">
        <f t="shared" si="0"/>
        <v>#N/A</v>
      </c>
      <c r="B28" s="7">
        <f t="shared" si="1"/>
        <v>7</v>
      </c>
      <c r="C28" s="5">
        <v>27</v>
      </c>
      <c r="D28" s="5" t="s">
        <v>125</v>
      </c>
      <c r="E28" s="5" t="e">
        <f>VLOOKUP(D28,Costs!$A$1:$H$27,3,FALSE)</f>
        <v>#N/A</v>
      </c>
      <c r="F28" s="7" t="s">
        <v>11</v>
      </c>
      <c r="G28" s="26">
        <v>100</v>
      </c>
      <c r="H28" s="6" t="e">
        <f>VLOOKUP(D28,Costs!$A$1:$H$27,4,FALSE)</f>
        <v>#N/A</v>
      </c>
      <c r="I28" s="7">
        <v>35</v>
      </c>
      <c r="J28" s="24">
        <f>10*I28</f>
        <v>350</v>
      </c>
      <c r="K28" s="22">
        <v>2</v>
      </c>
      <c r="L28" s="7">
        <f t="shared" si="2"/>
        <v>700</v>
      </c>
      <c r="M28" s="8" t="s">
        <v>14</v>
      </c>
      <c r="N28" s="8" t="s">
        <v>15</v>
      </c>
    </row>
    <row r="29" spans="1:14" ht="12" customHeight="1" x14ac:dyDescent="0.15">
      <c r="A29" s="8" t="e">
        <f t="shared" si="0"/>
        <v>#N/A</v>
      </c>
      <c r="B29" s="7">
        <f t="shared" si="1"/>
        <v>8</v>
      </c>
      <c r="C29" s="5">
        <v>28</v>
      </c>
      <c r="D29" s="5" t="s">
        <v>125</v>
      </c>
      <c r="E29" s="5" t="e">
        <f>VLOOKUP(D29,Costs!$A$1:$H$27,3,FALSE)</f>
        <v>#N/A</v>
      </c>
      <c r="F29" s="7" t="s">
        <v>12</v>
      </c>
      <c r="G29" s="26">
        <v>100</v>
      </c>
      <c r="H29" s="6" t="e">
        <f>VLOOKUP(D29,Costs!$A$1:$H$27,4,FALSE)</f>
        <v>#N/A</v>
      </c>
      <c r="I29" s="9" t="s">
        <v>13</v>
      </c>
      <c r="J29" s="24">
        <v>400</v>
      </c>
      <c r="K29" s="22">
        <v>2</v>
      </c>
      <c r="L29" s="7">
        <f t="shared" si="2"/>
        <v>800</v>
      </c>
      <c r="M29" s="8" t="s">
        <v>14</v>
      </c>
      <c r="N29" s="8" t="s">
        <v>15</v>
      </c>
    </row>
    <row r="30" spans="1:14" x14ac:dyDescent="0.15">
      <c r="A30" s="8" t="e">
        <f t="shared" si="0"/>
        <v>#N/A</v>
      </c>
      <c r="B30" s="7">
        <f t="shared" si="1"/>
        <v>1</v>
      </c>
      <c r="C30" s="5">
        <v>29</v>
      </c>
      <c r="D30" s="5" t="s">
        <v>129</v>
      </c>
      <c r="E30" s="5" t="e">
        <f>VLOOKUP(D30,Costs!$A$1:$H$27,3,FALSE)</f>
        <v>#N/A</v>
      </c>
      <c r="F30" s="7" t="s">
        <v>1</v>
      </c>
      <c r="G30" s="26">
        <v>1000</v>
      </c>
      <c r="H30" s="6" t="e">
        <f>VLOOKUP(D30,Costs!$A$1:$H$27,4,FALSE)</f>
        <v>#N/A</v>
      </c>
      <c r="I30" s="7">
        <f>ROUND(AVERAGE(11.4,10.8), 0)</f>
        <v>11</v>
      </c>
      <c r="J30" s="22">
        <f>20*I30</f>
        <v>220</v>
      </c>
      <c r="K30" s="22">
        <v>3</v>
      </c>
      <c r="L30" s="7">
        <f t="shared" si="2"/>
        <v>660</v>
      </c>
      <c r="M30" s="8" t="s">
        <v>20</v>
      </c>
      <c r="N30" s="8"/>
    </row>
    <row r="31" spans="1:14" x14ac:dyDescent="0.15">
      <c r="A31" s="8" t="e">
        <f t="shared" si="0"/>
        <v>#N/A</v>
      </c>
      <c r="B31" s="7">
        <f t="shared" si="1"/>
        <v>2</v>
      </c>
      <c r="C31" s="5">
        <v>30</v>
      </c>
      <c r="D31" s="5" t="s">
        <v>129</v>
      </c>
      <c r="E31" s="5" t="e">
        <f>VLOOKUP(D31,Costs!$A$1:$H$27,3,FALSE)</f>
        <v>#N/A</v>
      </c>
      <c r="F31" s="7" t="s">
        <v>116</v>
      </c>
      <c r="G31" s="26">
        <v>1000</v>
      </c>
      <c r="H31" s="6" t="e">
        <f>VLOOKUP(D31,Costs!$A$1:$H$27,4,FALSE)</f>
        <v>#N/A</v>
      </c>
      <c r="I31" s="7">
        <f>AVERAGE(28,24)</f>
        <v>26</v>
      </c>
      <c r="J31" s="22">
        <f>20*I31</f>
        <v>520</v>
      </c>
      <c r="K31" s="22">
        <v>3</v>
      </c>
      <c r="L31" s="7">
        <f t="shared" si="2"/>
        <v>1560</v>
      </c>
      <c r="M31" s="8" t="s">
        <v>20</v>
      </c>
      <c r="N31" s="8"/>
    </row>
    <row r="32" spans="1:14" x14ac:dyDescent="0.15">
      <c r="A32" s="8" t="e">
        <f t="shared" si="0"/>
        <v>#N/A</v>
      </c>
      <c r="B32" s="7">
        <f t="shared" si="1"/>
        <v>3</v>
      </c>
      <c r="C32" s="5">
        <v>31</v>
      </c>
      <c r="D32" s="5" t="s">
        <v>129</v>
      </c>
      <c r="E32" s="5" t="e">
        <f>VLOOKUP(D32,Costs!$A$1:$H$27,3,FALSE)</f>
        <v>#N/A</v>
      </c>
      <c r="F32" s="7" t="s">
        <v>11</v>
      </c>
      <c r="G32" s="26">
        <v>1000</v>
      </c>
      <c r="H32" s="6" t="e">
        <f>VLOOKUP(D32,Costs!$A$1:$H$27,4,FALSE)</f>
        <v>#N/A</v>
      </c>
      <c r="I32" s="7">
        <v>35</v>
      </c>
      <c r="J32" s="22">
        <f>20*I32</f>
        <v>700</v>
      </c>
      <c r="K32" s="22">
        <v>3</v>
      </c>
      <c r="L32" s="7">
        <f t="shared" si="2"/>
        <v>2100</v>
      </c>
      <c r="M32" s="8" t="s">
        <v>20</v>
      </c>
      <c r="N32" s="8"/>
    </row>
    <row r="33" spans="1:14" x14ac:dyDescent="0.15">
      <c r="A33" s="8" t="e">
        <f t="shared" si="0"/>
        <v>#N/A</v>
      </c>
      <c r="B33" s="7">
        <f t="shared" si="1"/>
        <v>3</v>
      </c>
      <c r="C33" s="5">
        <v>32</v>
      </c>
      <c r="D33" s="5" t="s">
        <v>129</v>
      </c>
      <c r="E33" s="5" t="e">
        <f>VLOOKUP(D33,Costs!$A$1:$H$27,3,FALSE)</f>
        <v>#N/A</v>
      </c>
      <c r="F33" s="7" t="s">
        <v>12</v>
      </c>
      <c r="G33" s="26">
        <v>1000</v>
      </c>
      <c r="H33" s="6" t="e">
        <f>VLOOKUP(D33,Costs!$A$1:$H$27,4,FALSE)</f>
        <v>#N/A</v>
      </c>
      <c r="I33" s="9" t="s">
        <v>13</v>
      </c>
      <c r="J33" s="22">
        <v>1000</v>
      </c>
      <c r="K33" s="22">
        <v>3</v>
      </c>
      <c r="L33" s="7">
        <f t="shared" si="2"/>
        <v>3000</v>
      </c>
      <c r="M33" s="8" t="s">
        <v>20</v>
      </c>
      <c r="N33" s="8"/>
    </row>
    <row r="34" spans="1:14" ht="12" customHeight="1" x14ac:dyDescent="0.15">
      <c r="A34" s="8" t="e">
        <f t="shared" ref="A34:A65" si="3">_xlfn.CONCAT(E34, ".", F34)</f>
        <v>#N/A</v>
      </c>
      <c r="B34" s="26">
        <f>FLOOR(L34/G34,0.05)</f>
        <v>0.2</v>
      </c>
      <c r="C34" s="5">
        <v>33</v>
      </c>
      <c r="D34" s="5" t="s">
        <v>120</v>
      </c>
      <c r="E34" s="5" t="e">
        <f>VLOOKUP(D34,Costs!$A$1:$H$27,3,FALSE)</f>
        <v>#N/A</v>
      </c>
      <c r="F34" s="7" t="s">
        <v>1</v>
      </c>
      <c r="G34" s="25">
        <f>125*(100/5)</f>
        <v>2500</v>
      </c>
      <c r="H34" s="6" t="e">
        <f>VLOOKUP(D34,Costs!$A$1:$H$27,4,FALSE)</f>
        <v>#N/A</v>
      </c>
      <c r="I34" s="7">
        <f>ROUND(AVERAGE(11.4,10.8), 0)</f>
        <v>11</v>
      </c>
      <c r="J34" s="22">
        <f>12.5*I34</f>
        <v>137.5</v>
      </c>
      <c r="K34" s="22">
        <v>4</v>
      </c>
      <c r="L34" s="7">
        <f t="shared" ref="L34:L65" si="4">J34*K34</f>
        <v>550</v>
      </c>
      <c r="M34" s="8" t="s">
        <v>33</v>
      </c>
      <c r="N34" s="8"/>
    </row>
    <row r="35" spans="1:14" ht="12" customHeight="1" x14ac:dyDescent="0.15">
      <c r="A35" s="8" t="e">
        <f t="shared" si="3"/>
        <v>#N/A</v>
      </c>
      <c r="B35" s="26">
        <f>FLOOR(L35/G35,0.05)</f>
        <v>0.5</v>
      </c>
      <c r="C35" s="5">
        <v>34</v>
      </c>
      <c r="D35" s="5" t="s">
        <v>120</v>
      </c>
      <c r="E35" s="5" t="e">
        <f>VLOOKUP(D35,Costs!$A$1:$H$27,3,FALSE)</f>
        <v>#N/A</v>
      </c>
      <c r="F35" s="7" t="s">
        <v>116</v>
      </c>
      <c r="G35" s="25">
        <f>125*(100/5)</f>
        <v>2500</v>
      </c>
      <c r="H35" s="6" t="e">
        <f>VLOOKUP(D35,Costs!$A$1:$H$27,4,FALSE)</f>
        <v>#N/A</v>
      </c>
      <c r="I35" s="7">
        <f>AVERAGE(28,24)</f>
        <v>26</v>
      </c>
      <c r="J35" s="22">
        <f>12.5*I35</f>
        <v>325</v>
      </c>
      <c r="K35" s="22">
        <v>4</v>
      </c>
      <c r="L35" s="7">
        <f t="shared" si="4"/>
        <v>1300</v>
      </c>
      <c r="M35" s="8" t="s">
        <v>33</v>
      </c>
      <c r="N35" s="8"/>
    </row>
    <row r="36" spans="1:14" ht="12" customHeight="1" x14ac:dyDescent="0.15">
      <c r="A36" s="8" t="e">
        <f t="shared" si="3"/>
        <v>#N/A</v>
      </c>
      <c r="B36" s="26">
        <f>CEILING(L36,G36)/G36</f>
        <v>4</v>
      </c>
      <c r="C36" s="5">
        <v>35</v>
      </c>
      <c r="D36" s="5" t="s">
        <v>34</v>
      </c>
      <c r="E36" s="5" t="e">
        <f>VLOOKUP(D36,Costs!$A$1:$H$27,3,FALSE)</f>
        <v>#N/A</v>
      </c>
      <c r="F36" s="7" t="s">
        <v>11</v>
      </c>
      <c r="G36" s="26">
        <v>500</v>
      </c>
      <c r="H36" s="6" t="e">
        <f>VLOOKUP(D36,Costs!$A$1:$H$27,4,FALSE)</f>
        <v>#N/A</v>
      </c>
      <c r="I36" s="7">
        <v>35</v>
      </c>
      <c r="J36" s="23">
        <f>12.5*I36</f>
        <v>437.5</v>
      </c>
      <c r="K36" s="22">
        <v>4</v>
      </c>
      <c r="L36" s="7">
        <f t="shared" si="4"/>
        <v>1750</v>
      </c>
      <c r="M36" s="8" t="s">
        <v>33</v>
      </c>
      <c r="N36" s="8"/>
    </row>
    <row r="37" spans="1:14" ht="12" customHeight="1" x14ac:dyDescent="0.15">
      <c r="A37" s="8" t="e">
        <f t="shared" si="3"/>
        <v>#N/A</v>
      </c>
      <c r="B37" s="26">
        <f>CEILING(L37,G37)/G37</f>
        <v>4</v>
      </c>
      <c r="C37" s="5">
        <v>36</v>
      </c>
      <c r="D37" s="5" t="s">
        <v>34</v>
      </c>
      <c r="E37" s="5" t="e">
        <f>VLOOKUP(D37,Costs!$A$1:$H$27,3,FALSE)</f>
        <v>#N/A</v>
      </c>
      <c r="F37" s="7" t="s">
        <v>12</v>
      </c>
      <c r="G37" s="26">
        <v>500</v>
      </c>
      <c r="H37" s="6" t="e">
        <f>VLOOKUP(D37,Costs!$A$1:$H$27,4,FALSE)</f>
        <v>#N/A</v>
      </c>
      <c r="I37" s="9" t="s">
        <v>13</v>
      </c>
      <c r="J37" s="22">
        <v>500</v>
      </c>
      <c r="K37" s="22">
        <v>4</v>
      </c>
      <c r="L37" s="7">
        <f t="shared" si="4"/>
        <v>2000</v>
      </c>
      <c r="M37" s="8" t="s">
        <v>33</v>
      </c>
      <c r="N37" s="8"/>
    </row>
    <row r="38" spans="1:14" ht="12" customHeight="1" x14ac:dyDescent="0.15">
      <c r="A38" s="8" t="e">
        <f t="shared" si="3"/>
        <v>#N/A</v>
      </c>
      <c r="B38" s="26">
        <f>FLOOR(L38/G38,0.05)</f>
        <v>0.2</v>
      </c>
      <c r="C38" s="5">
        <v>37</v>
      </c>
      <c r="D38" s="5" t="s">
        <v>118</v>
      </c>
      <c r="E38" s="5" t="e">
        <f>VLOOKUP(D38,Costs!$A$1:$H$27,3,FALSE)</f>
        <v>#N/A</v>
      </c>
      <c r="F38" s="7" t="s">
        <v>1</v>
      </c>
      <c r="G38" s="25">
        <f>125*(100/5)</f>
        <v>2500</v>
      </c>
      <c r="H38" s="6" t="e">
        <f>VLOOKUP(D38,Costs!$A$1:$H$27,4,FALSE)</f>
        <v>#N/A</v>
      </c>
      <c r="I38" s="7">
        <f>ROUND(AVERAGE(11.4,10.8), 0)</f>
        <v>11</v>
      </c>
      <c r="J38" s="22">
        <f>12.5*I38</f>
        <v>137.5</v>
      </c>
      <c r="K38" s="22">
        <v>4</v>
      </c>
      <c r="L38" s="7">
        <f t="shared" si="4"/>
        <v>550</v>
      </c>
      <c r="M38" s="8" t="s">
        <v>38</v>
      </c>
      <c r="N38" s="8" t="s">
        <v>39</v>
      </c>
    </row>
    <row r="39" spans="1:14" ht="12" customHeight="1" x14ac:dyDescent="0.15">
      <c r="A39" s="8" t="e">
        <f t="shared" si="3"/>
        <v>#N/A</v>
      </c>
      <c r="B39" s="26">
        <f>FLOOR(L39/G39,0.05)</f>
        <v>0.5</v>
      </c>
      <c r="C39" s="5">
        <v>38</v>
      </c>
      <c r="D39" s="5" t="s">
        <v>118</v>
      </c>
      <c r="E39" s="5" t="e">
        <f>VLOOKUP(D39,Costs!$A$1:$H$27,3,FALSE)</f>
        <v>#N/A</v>
      </c>
      <c r="F39" s="7" t="s">
        <v>116</v>
      </c>
      <c r="G39" s="25">
        <f>125*(100/5)</f>
        <v>2500</v>
      </c>
      <c r="H39" s="6" t="e">
        <f>VLOOKUP(D39,Costs!$A$1:$H$27,4,FALSE)</f>
        <v>#N/A</v>
      </c>
      <c r="I39" s="7">
        <f>AVERAGE(28,24)</f>
        <v>26</v>
      </c>
      <c r="J39" s="22">
        <f>12.5*I39</f>
        <v>325</v>
      </c>
      <c r="K39" s="22">
        <v>4</v>
      </c>
      <c r="L39" s="7">
        <f t="shared" si="4"/>
        <v>1300</v>
      </c>
      <c r="M39" s="8" t="s">
        <v>38</v>
      </c>
      <c r="N39" s="8" t="s">
        <v>39</v>
      </c>
    </row>
    <row r="40" spans="1:14" ht="12" customHeight="1" x14ac:dyDescent="0.15">
      <c r="A40" s="8" t="e">
        <f t="shared" si="3"/>
        <v>#N/A</v>
      </c>
      <c r="B40" s="27">
        <f>CEILING(L40,G40)/G40</f>
        <v>7</v>
      </c>
      <c r="C40" s="5">
        <v>39</v>
      </c>
      <c r="D40" s="5" t="s">
        <v>40</v>
      </c>
      <c r="E40" s="5" t="e">
        <f>VLOOKUP(D40,Costs!$A$1:$H$27,3,FALSE)</f>
        <v>#N/A</v>
      </c>
      <c r="F40" s="7" t="s">
        <v>11</v>
      </c>
      <c r="G40" s="26">
        <v>250</v>
      </c>
      <c r="H40" s="6" t="e">
        <f>VLOOKUP(D40,Costs!$A$1:$H$27,4,FALSE)</f>
        <v>#N/A</v>
      </c>
      <c r="I40" s="7">
        <v>35</v>
      </c>
      <c r="J40" s="22">
        <f>12.5*I40</f>
        <v>437.5</v>
      </c>
      <c r="K40" s="22">
        <v>4</v>
      </c>
      <c r="L40" s="7">
        <f t="shared" si="4"/>
        <v>1750</v>
      </c>
      <c r="M40" s="8" t="s">
        <v>38</v>
      </c>
      <c r="N40" s="8" t="s">
        <v>39</v>
      </c>
    </row>
    <row r="41" spans="1:14" ht="12" customHeight="1" x14ac:dyDescent="0.15">
      <c r="A41" s="8" t="e">
        <f t="shared" si="3"/>
        <v>#N/A</v>
      </c>
      <c r="B41" s="27">
        <f>CEILING(L41,G41)/G41</f>
        <v>8</v>
      </c>
      <c r="C41" s="5">
        <v>40</v>
      </c>
      <c r="D41" s="5" t="s">
        <v>40</v>
      </c>
      <c r="E41" s="5" t="e">
        <f>VLOOKUP(D41,Costs!$A$1:$H$27,3,FALSE)</f>
        <v>#N/A</v>
      </c>
      <c r="F41" s="7" t="s">
        <v>12</v>
      </c>
      <c r="G41" s="26">
        <v>250</v>
      </c>
      <c r="H41" s="6" t="e">
        <f>VLOOKUP(D41,Costs!$A$1:$H$27,4,FALSE)</f>
        <v>#N/A</v>
      </c>
      <c r="I41" s="9" t="s">
        <v>13</v>
      </c>
      <c r="J41" s="22">
        <v>500</v>
      </c>
      <c r="K41" s="22">
        <v>4</v>
      </c>
      <c r="L41" s="7">
        <f t="shared" si="4"/>
        <v>2000</v>
      </c>
      <c r="M41" s="8" t="s">
        <v>38</v>
      </c>
      <c r="N41" s="8" t="s">
        <v>39</v>
      </c>
    </row>
    <row r="42" spans="1:14" ht="12" customHeight="1" x14ac:dyDescent="0.15">
      <c r="A42" s="8" t="e">
        <f t="shared" si="3"/>
        <v>#N/A</v>
      </c>
      <c r="B42" s="7">
        <f>FLOOR(L42/G42,0.05)</f>
        <v>0.30000000000000004</v>
      </c>
      <c r="C42" s="5">
        <v>41</v>
      </c>
      <c r="D42" s="10" t="s">
        <v>123</v>
      </c>
      <c r="E42" s="5" t="e">
        <f>VLOOKUP(D42,Costs!$A$1:$H$27,3,FALSE)</f>
        <v>#N/A</v>
      </c>
      <c r="F42" s="12" t="s">
        <v>1</v>
      </c>
      <c r="G42" s="25">
        <f>125*(100/5)</f>
        <v>2500</v>
      </c>
      <c r="H42" s="11" t="e">
        <f>VLOOKUP(D42,Costs!$A$1:$H$27,4,FALSE)</f>
        <v>#N/A</v>
      </c>
      <c r="I42" s="7">
        <f>ROUND(AVERAGE(11.4,10.8), 0)</f>
        <v>11</v>
      </c>
      <c r="J42" s="12">
        <f>25*I42</f>
        <v>275</v>
      </c>
      <c r="K42" s="12">
        <v>3</v>
      </c>
      <c r="L42" s="12">
        <f t="shared" si="4"/>
        <v>825</v>
      </c>
      <c r="M42" s="13" t="s">
        <v>24</v>
      </c>
      <c r="N42" s="13" t="s">
        <v>25</v>
      </c>
    </row>
    <row r="43" spans="1:14" ht="12" customHeight="1" x14ac:dyDescent="0.15">
      <c r="A43" s="8" t="e">
        <f t="shared" si="3"/>
        <v>#N/A</v>
      </c>
      <c r="B43" s="7">
        <f>FLOOR(L43,G43)/G43</f>
        <v>3</v>
      </c>
      <c r="C43" s="5">
        <v>42</v>
      </c>
      <c r="D43" s="10" t="s">
        <v>26</v>
      </c>
      <c r="E43" s="5" t="e">
        <f>VLOOKUP(D43,Costs!$A$1:$H$27,3,FALSE)</f>
        <v>#N/A</v>
      </c>
      <c r="F43" s="12" t="s">
        <v>116</v>
      </c>
      <c r="G43" s="25">
        <v>500</v>
      </c>
      <c r="H43" s="11" t="e">
        <f>VLOOKUP(D43,Costs!$A$1:$H$27,4,FALSE)</f>
        <v>#N/A</v>
      </c>
      <c r="I43" s="12">
        <f>AVERAGE(28,24)</f>
        <v>26</v>
      </c>
      <c r="J43" s="12">
        <f>25*I43</f>
        <v>650</v>
      </c>
      <c r="K43" s="12">
        <v>3</v>
      </c>
      <c r="L43" s="12">
        <f t="shared" si="4"/>
        <v>1950</v>
      </c>
      <c r="M43" s="13" t="s">
        <v>24</v>
      </c>
      <c r="N43" s="13" t="s">
        <v>25</v>
      </c>
    </row>
    <row r="44" spans="1:14" ht="12" customHeight="1" x14ac:dyDescent="0.15">
      <c r="A44" s="8" t="e">
        <f t="shared" si="3"/>
        <v>#N/A</v>
      </c>
      <c r="B44" s="7">
        <f>FLOOR(L44,G44)/G44</f>
        <v>5</v>
      </c>
      <c r="C44" s="5">
        <v>43</v>
      </c>
      <c r="D44" s="10" t="s">
        <v>26</v>
      </c>
      <c r="E44" s="5" t="e">
        <f>VLOOKUP(D44,Costs!$A$1:$H$27,3,FALSE)</f>
        <v>#N/A</v>
      </c>
      <c r="F44" s="12" t="s">
        <v>11</v>
      </c>
      <c r="G44" s="25">
        <v>500</v>
      </c>
      <c r="H44" s="11" t="e">
        <f>VLOOKUP(D44,Costs!$A$1:$H$27,4,FALSE)</f>
        <v>#N/A</v>
      </c>
      <c r="I44" s="12">
        <v>35</v>
      </c>
      <c r="J44" s="12">
        <f>25*I44</f>
        <v>875</v>
      </c>
      <c r="K44" s="12">
        <v>3</v>
      </c>
      <c r="L44" s="7">
        <f t="shared" si="4"/>
        <v>2625</v>
      </c>
      <c r="M44" s="13" t="s">
        <v>24</v>
      </c>
      <c r="N44" s="13" t="s">
        <v>25</v>
      </c>
    </row>
    <row r="45" spans="1:14" ht="12" customHeight="1" x14ac:dyDescent="0.15">
      <c r="A45" s="8" t="e">
        <f t="shared" si="3"/>
        <v>#N/A</v>
      </c>
      <c r="B45" s="7">
        <f>FLOOR(L45,G45)/G45</f>
        <v>6</v>
      </c>
      <c r="C45" s="5">
        <v>44</v>
      </c>
      <c r="D45" s="10" t="s">
        <v>26</v>
      </c>
      <c r="E45" s="5" t="e">
        <f>VLOOKUP(D45,Costs!$A$1:$H$27,3,FALSE)</f>
        <v>#N/A</v>
      </c>
      <c r="F45" s="12" t="s">
        <v>12</v>
      </c>
      <c r="G45" s="25">
        <v>500</v>
      </c>
      <c r="H45" s="11" t="e">
        <f>VLOOKUP(D45,Costs!$A$1:$H$27,4,FALSE)</f>
        <v>#N/A</v>
      </c>
      <c r="I45" s="9" t="s">
        <v>13</v>
      </c>
      <c r="J45" s="12">
        <v>1000</v>
      </c>
      <c r="K45" s="12">
        <v>3</v>
      </c>
      <c r="L45" s="7">
        <f t="shared" si="4"/>
        <v>3000</v>
      </c>
      <c r="M45" s="13" t="s">
        <v>24</v>
      </c>
      <c r="N45" s="13" t="s">
        <v>25</v>
      </c>
    </row>
    <row r="46" spans="1:14" ht="12" customHeight="1" x14ac:dyDescent="0.15">
      <c r="A46" s="8" t="e">
        <f t="shared" si="3"/>
        <v>#N/A</v>
      </c>
      <c r="B46" s="26">
        <f>FLOOR(L46/G46,0.05)</f>
        <v>0.05</v>
      </c>
      <c r="C46" s="5">
        <v>45</v>
      </c>
      <c r="D46" s="5" t="s">
        <v>119</v>
      </c>
      <c r="E46" s="5" t="e">
        <f>VLOOKUP(D46,Costs!$A$1:$H$27,3,FALSE)</f>
        <v>#N/A</v>
      </c>
      <c r="F46" s="7" t="s">
        <v>1</v>
      </c>
      <c r="G46" s="25">
        <f>200*(100/5)</f>
        <v>4000</v>
      </c>
      <c r="H46" s="6" t="e">
        <f>VLOOKUP(D46,Costs!$A$1:$H$27,4,FALSE)</f>
        <v>#N/A</v>
      </c>
      <c r="I46" s="7">
        <f>ROUND(AVERAGE(11.4,10.8), 0)</f>
        <v>11</v>
      </c>
      <c r="J46" s="22">
        <f>10*I46</f>
        <v>110</v>
      </c>
      <c r="K46" s="22">
        <v>2</v>
      </c>
      <c r="L46" s="7">
        <f t="shared" si="4"/>
        <v>220</v>
      </c>
      <c r="M46" s="8" t="s">
        <v>35</v>
      </c>
      <c r="N46" s="8" t="s">
        <v>36</v>
      </c>
    </row>
    <row r="47" spans="1:14" ht="12" customHeight="1" x14ac:dyDescent="0.15">
      <c r="A47" s="8" t="e">
        <f t="shared" si="3"/>
        <v>#N/A</v>
      </c>
      <c r="B47" s="26">
        <f>FLOOR(L47/G47,0.05)</f>
        <v>0.1</v>
      </c>
      <c r="C47" s="5">
        <v>46</v>
      </c>
      <c r="D47" s="5" t="s">
        <v>119</v>
      </c>
      <c r="E47" s="5" t="e">
        <f>VLOOKUP(D47,Costs!$A$1:$H$27,3,FALSE)</f>
        <v>#N/A</v>
      </c>
      <c r="F47" s="7" t="s">
        <v>116</v>
      </c>
      <c r="G47" s="25">
        <f>200*(100/5)</f>
        <v>4000</v>
      </c>
      <c r="H47" s="6" t="e">
        <f>VLOOKUP(D47,Costs!$A$1:$H$27,4,FALSE)</f>
        <v>#N/A</v>
      </c>
      <c r="I47" s="7">
        <f>AVERAGE(28,24)</f>
        <v>26</v>
      </c>
      <c r="J47" s="22">
        <f>10*I47</f>
        <v>260</v>
      </c>
      <c r="K47" s="22">
        <v>2</v>
      </c>
      <c r="L47" s="7">
        <f t="shared" si="4"/>
        <v>520</v>
      </c>
      <c r="M47" s="8" t="s">
        <v>35</v>
      </c>
      <c r="N47" s="8" t="s">
        <v>36</v>
      </c>
    </row>
    <row r="48" spans="1:14" ht="12" customHeight="1" x14ac:dyDescent="0.15">
      <c r="A48" s="8" t="e">
        <f t="shared" si="3"/>
        <v>#N/A</v>
      </c>
      <c r="B48" s="26">
        <f>CEILING(L48,G48)/G48</f>
        <v>4</v>
      </c>
      <c r="C48" s="5">
        <v>47</v>
      </c>
      <c r="D48" s="5" t="s">
        <v>37</v>
      </c>
      <c r="E48" s="5" t="e">
        <f>VLOOKUP(D48,Costs!$A$1:$H$27,3,FALSE)</f>
        <v>#N/A</v>
      </c>
      <c r="F48" s="7" t="s">
        <v>11</v>
      </c>
      <c r="G48" s="26">
        <v>200</v>
      </c>
      <c r="H48" s="6" t="e">
        <f>VLOOKUP(D48,Costs!$A$1:$H$27,4,FALSE)</f>
        <v>#N/A</v>
      </c>
      <c r="I48" s="7">
        <v>35</v>
      </c>
      <c r="J48" s="22">
        <f>10*I48</f>
        <v>350</v>
      </c>
      <c r="K48" s="22">
        <v>2</v>
      </c>
      <c r="L48" s="7">
        <f t="shared" si="4"/>
        <v>700</v>
      </c>
      <c r="M48" s="8" t="s">
        <v>35</v>
      </c>
      <c r="N48" s="8" t="s">
        <v>36</v>
      </c>
    </row>
    <row r="49" spans="1:14" ht="12" customHeight="1" x14ac:dyDescent="0.15">
      <c r="A49" s="8" t="e">
        <f t="shared" si="3"/>
        <v>#N/A</v>
      </c>
      <c r="B49" s="26">
        <f>CEILING(L49,G49)/G49</f>
        <v>4</v>
      </c>
      <c r="C49" s="5">
        <v>48</v>
      </c>
      <c r="D49" s="5" t="s">
        <v>37</v>
      </c>
      <c r="E49" s="5" t="e">
        <f>VLOOKUP(D49,Costs!$A$1:$H$27,3,FALSE)</f>
        <v>#N/A</v>
      </c>
      <c r="F49" s="7" t="s">
        <v>12</v>
      </c>
      <c r="G49" s="26">
        <v>200</v>
      </c>
      <c r="H49" s="6" t="e">
        <f>VLOOKUP(D49,Costs!$A$1:$H$27,4,FALSE)</f>
        <v>#N/A</v>
      </c>
      <c r="I49" s="9" t="s">
        <v>13</v>
      </c>
      <c r="J49" s="22">
        <v>400</v>
      </c>
      <c r="K49" s="22">
        <v>2</v>
      </c>
      <c r="L49" s="7">
        <f t="shared" si="4"/>
        <v>800</v>
      </c>
      <c r="M49" s="8" t="s">
        <v>35</v>
      </c>
      <c r="N49" s="8" t="s">
        <v>36</v>
      </c>
    </row>
    <row r="50" spans="1:14" x14ac:dyDescent="0.15">
      <c r="A50" s="8" t="e">
        <f t="shared" si="3"/>
        <v>#N/A</v>
      </c>
      <c r="B50" s="26">
        <f>FLOOR(L50/G50,0.05)</f>
        <v>0.15000000000000002</v>
      </c>
      <c r="C50" s="5">
        <v>49</v>
      </c>
      <c r="D50" s="5" t="s">
        <v>121</v>
      </c>
      <c r="E50" s="5" t="e">
        <f>VLOOKUP(D50,Costs!$A$1:$H$27,3,FALSE)</f>
        <v>#N/A</v>
      </c>
      <c r="F50" s="7" t="s">
        <v>1</v>
      </c>
      <c r="G50" s="25">
        <f>125*(100/5)</f>
        <v>2500</v>
      </c>
      <c r="H50" s="6" t="e">
        <f>VLOOKUP(D50,Costs!$A$1:$H$27,4,FALSE)</f>
        <v>#N/A</v>
      </c>
      <c r="I50" s="7">
        <f>ROUND(AVERAGE(11.4,10.8), 0)</f>
        <v>11</v>
      </c>
      <c r="J50" s="22">
        <f>10*I50</f>
        <v>110</v>
      </c>
      <c r="K50" s="22">
        <v>4</v>
      </c>
      <c r="L50" s="7">
        <f t="shared" si="4"/>
        <v>440</v>
      </c>
      <c r="M50" s="8" t="s">
        <v>31</v>
      </c>
      <c r="N50" s="8"/>
    </row>
    <row r="51" spans="1:14" x14ac:dyDescent="0.15">
      <c r="A51" s="8" t="e">
        <f t="shared" si="3"/>
        <v>#N/A</v>
      </c>
      <c r="B51" s="26">
        <f>FLOOR(L51/G51,0.05)</f>
        <v>0.4</v>
      </c>
      <c r="C51" s="5">
        <v>50</v>
      </c>
      <c r="D51" s="5" t="s">
        <v>121</v>
      </c>
      <c r="E51" s="5" t="e">
        <f>VLOOKUP(D51,Costs!$A$1:$H$27,3,FALSE)</f>
        <v>#N/A</v>
      </c>
      <c r="F51" s="7" t="s">
        <v>116</v>
      </c>
      <c r="G51" s="25">
        <f>125*(100/5)</f>
        <v>2500</v>
      </c>
      <c r="H51" s="6" t="e">
        <f>VLOOKUP(D51,Costs!$A$1:$H$27,4,FALSE)</f>
        <v>#N/A</v>
      </c>
      <c r="I51" s="7">
        <f>AVERAGE(28,24)</f>
        <v>26</v>
      </c>
      <c r="J51" s="22">
        <f>10*I51</f>
        <v>260</v>
      </c>
      <c r="K51" s="22">
        <v>4</v>
      </c>
      <c r="L51" s="7">
        <f t="shared" si="4"/>
        <v>1040</v>
      </c>
      <c r="M51" s="8" t="s">
        <v>31</v>
      </c>
      <c r="N51" s="8"/>
    </row>
    <row r="52" spans="1:14" x14ac:dyDescent="0.15">
      <c r="A52" s="8" t="e">
        <f t="shared" si="3"/>
        <v>#N/A</v>
      </c>
      <c r="B52" s="26">
        <f t="shared" ref="B52:B57" si="5">CEILING(L52,G52)/G52</f>
        <v>6</v>
      </c>
      <c r="C52" s="5">
        <v>51</v>
      </c>
      <c r="D52" s="5" t="s">
        <v>32</v>
      </c>
      <c r="E52" s="5" t="e">
        <f>VLOOKUP(D52,Costs!$A$1:$H$27,3,FALSE)</f>
        <v>#N/A</v>
      </c>
      <c r="F52" s="7" t="s">
        <v>11</v>
      </c>
      <c r="G52" s="26">
        <v>250</v>
      </c>
      <c r="H52" s="6" t="e">
        <f>VLOOKUP(D52,Costs!$A$1:$H$27,4,FALSE)</f>
        <v>#N/A</v>
      </c>
      <c r="I52" s="7">
        <v>35</v>
      </c>
      <c r="J52" s="22">
        <f>10*I52</f>
        <v>350</v>
      </c>
      <c r="K52" s="22">
        <v>4</v>
      </c>
      <c r="L52" s="7">
        <f t="shared" si="4"/>
        <v>1400</v>
      </c>
      <c r="M52" s="8" t="s">
        <v>31</v>
      </c>
      <c r="N52" s="8"/>
    </row>
    <row r="53" spans="1:14" x14ac:dyDescent="0.15">
      <c r="A53" s="8" t="e">
        <f t="shared" si="3"/>
        <v>#N/A</v>
      </c>
      <c r="B53" s="26">
        <f t="shared" si="5"/>
        <v>8</v>
      </c>
      <c r="C53" s="5">
        <v>52</v>
      </c>
      <c r="D53" s="5" t="s">
        <v>32</v>
      </c>
      <c r="E53" s="5" t="e">
        <f>VLOOKUP(D53,Costs!$A$1:$H$27,3,FALSE)</f>
        <v>#N/A</v>
      </c>
      <c r="F53" s="7" t="s">
        <v>12</v>
      </c>
      <c r="G53" s="26">
        <v>250</v>
      </c>
      <c r="H53" s="6" t="e">
        <f>VLOOKUP(D53,Costs!$A$1:$H$27,4,FALSE)</f>
        <v>#N/A</v>
      </c>
      <c r="I53" s="9" t="s">
        <v>13</v>
      </c>
      <c r="J53" s="22">
        <v>500</v>
      </c>
      <c r="K53" s="22">
        <v>4</v>
      </c>
      <c r="L53" s="7">
        <f t="shared" si="4"/>
        <v>2000</v>
      </c>
      <c r="M53" s="8" t="s">
        <v>31</v>
      </c>
      <c r="N53" s="8"/>
    </row>
    <row r="54" spans="1:14" x14ac:dyDescent="0.15">
      <c r="A54" s="8" t="e">
        <f t="shared" si="3"/>
        <v>#N/A</v>
      </c>
      <c r="B54" s="26">
        <f t="shared" si="5"/>
        <v>0</v>
      </c>
      <c r="C54" s="5">
        <v>53</v>
      </c>
      <c r="D54" s="5" t="s">
        <v>30</v>
      </c>
      <c r="E54" s="5" t="e">
        <f>VLOOKUP(D54,Costs!$A$1:$H$27,3,FALSE)</f>
        <v>#N/A</v>
      </c>
      <c r="F54" s="12" t="s">
        <v>1</v>
      </c>
      <c r="G54" s="26">
        <v>100</v>
      </c>
      <c r="H54" s="6" t="e">
        <f>VLOOKUP(D54,Costs!$A$1:$H$27,4,FALSE)</f>
        <v>#N/A</v>
      </c>
      <c r="I54" s="7">
        <f>ROUND(AVERAGE(11.4,10.8), 0)</f>
        <v>11</v>
      </c>
      <c r="J54" s="22">
        <v>0</v>
      </c>
      <c r="K54" s="22">
        <v>2</v>
      </c>
      <c r="L54" s="7">
        <f t="shared" si="4"/>
        <v>0</v>
      </c>
      <c r="M54" s="19" t="s">
        <v>29</v>
      </c>
      <c r="N54" s="8"/>
    </row>
    <row r="55" spans="1:14" x14ac:dyDescent="0.15">
      <c r="A55" s="8" t="e">
        <f t="shared" si="3"/>
        <v>#N/A</v>
      </c>
      <c r="B55" s="26">
        <f t="shared" si="5"/>
        <v>0</v>
      </c>
      <c r="C55" s="5">
        <v>54</v>
      </c>
      <c r="D55" s="5" t="s">
        <v>30</v>
      </c>
      <c r="E55" s="5" t="e">
        <f>VLOOKUP(D55,Costs!$A$1:$H$27,3,FALSE)</f>
        <v>#N/A</v>
      </c>
      <c r="F55" s="12" t="s">
        <v>116</v>
      </c>
      <c r="G55" s="26">
        <v>100</v>
      </c>
      <c r="H55" s="6" t="e">
        <f>VLOOKUP(D55,Costs!$A$1:$H$27,4,FALSE)</f>
        <v>#N/A</v>
      </c>
      <c r="I55" s="12">
        <f>AVERAGE(28,24)</f>
        <v>26</v>
      </c>
      <c r="J55" s="22">
        <v>0</v>
      </c>
      <c r="K55" s="22">
        <v>2</v>
      </c>
      <c r="L55" s="7">
        <f t="shared" si="4"/>
        <v>0</v>
      </c>
      <c r="M55" s="19" t="s">
        <v>29</v>
      </c>
      <c r="N55" s="8"/>
    </row>
    <row r="56" spans="1:14" x14ac:dyDescent="0.15">
      <c r="A56" s="8" t="e">
        <f t="shared" si="3"/>
        <v>#N/A</v>
      </c>
      <c r="B56" s="26">
        <f t="shared" si="5"/>
        <v>0</v>
      </c>
      <c r="C56" s="5">
        <v>55</v>
      </c>
      <c r="D56" s="5" t="s">
        <v>30</v>
      </c>
      <c r="E56" s="5" t="e">
        <f>VLOOKUP(D56,Costs!$A$1:$H$27,3,FALSE)</f>
        <v>#N/A</v>
      </c>
      <c r="F56" s="12" t="s">
        <v>11</v>
      </c>
      <c r="G56" s="26">
        <v>100</v>
      </c>
      <c r="H56" s="6" t="e">
        <f>VLOOKUP(D56,Costs!$A$1:$H$27,4,FALSE)</f>
        <v>#N/A</v>
      </c>
      <c r="I56" s="12">
        <v>35</v>
      </c>
      <c r="J56" s="22">
        <v>0</v>
      </c>
      <c r="K56" s="22">
        <v>2</v>
      </c>
      <c r="L56" s="7">
        <f t="shared" si="4"/>
        <v>0</v>
      </c>
      <c r="M56" s="19" t="s">
        <v>29</v>
      </c>
      <c r="N56" s="8"/>
    </row>
    <row r="57" spans="1:14" x14ac:dyDescent="0.15">
      <c r="A57" s="8" t="e">
        <f t="shared" si="3"/>
        <v>#N/A</v>
      </c>
      <c r="B57" s="26">
        <f t="shared" si="5"/>
        <v>2</v>
      </c>
      <c r="C57" s="5">
        <v>56</v>
      </c>
      <c r="D57" s="5" t="s">
        <v>30</v>
      </c>
      <c r="E57" s="5" t="e">
        <f>VLOOKUP(D57,Costs!$A$1:$H$27,3,FALSE)</f>
        <v>#N/A</v>
      </c>
      <c r="F57" s="12" t="s">
        <v>12</v>
      </c>
      <c r="G57" s="26">
        <v>100</v>
      </c>
      <c r="H57" s="6" t="e">
        <f>VLOOKUP(D57,Costs!$A$1:$H$27,4,FALSE)</f>
        <v>#N/A</v>
      </c>
      <c r="I57" s="9" t="s">
        <v>13</v>
      </c>
      <c r="J57" s="22">
        <v>100</v>
      </c>
      <c r="K57" s="22">
        <v>2</v>
      </c>
      <c r="L57" s="7">
        <f t="shared" si="4"/>
        <v>200</v>
      </c>
      <c r="M57" s="19" t="s">
        <v>29</v>
      </c>
      <c r="N57" s="8"/>
    </row>
    <row r="58" spans="1:14" ht="12" customHeight="1" x14ac:dyDescent="0.15">
      <c r="A58" s="8" t="e">
        <f t="shared" si="3"/>
        <v>#N/A</v>
      </c>
      <c r="B58" s="27">
        <f>FLOOR(L58/G58,0.05)</f>
        <v>0.2</v>
      </c>
      <c r="C58" s="5">
        <v>57</v>
      </c>
      <c r="D58" s="10" t="s">
        <v>122</v>
      </c>
      <c r="E58" s="5" t="e">
        <f>VLOOKUP(D58,Costs!$A$1:$H$27,3,FALSE)</f>
        <v>#N/A</v>
      </c>
      <c r="F58" s="12" t="s">
        <v>1</v>
      </c>
      <c r="G58" s="25">
        <f>125*(100/5)</f>
        <v>2500</v>
      </c>
      <c r="H58" s="11" t="e">
        <f>VLOOKUP(D58,Costs!$A$1:$H$27,4,FALSE)</f>
        <v>#N/A</v>
      </c>
      <c r="I58" s="7">
        <f>ROUND(AVERAGE(11.4,10.8), 0)</f>
        <v>11</v>
      </c>
      <c r="J58" s="22">
        <f>12.5*I58</f>
        <v>137.5</v>
      </c>
      <c r="K58" s="22">
        <v>4</v>
      </c>
      <c r="L58" s="12">
        <f t="shared" si="4"/>
        <v>550</v>
      </c>
      <c r="M58" s="13" t="s">
        <v>27</v>
      </c>
      <c r="N58" s="13"/>
    </row>
    <row r="59" spans="1:14" ht="12" customHeight="1" x14ac:dyDescent="0.15">
      <c r="A59" s="8" t="e">
        <f t="shared" si="3"/>
        <v>#N/A</v>
      </c>
      <c r="B59" s="27">
        <f>FLOOR(L59/G59,0.05)</f>
        <v>0.5</v>
      </c>
      <c r="C59" s="5">
        <v>58</v>
      </c>
      <c r="D59" s="10" t="s">
        <v>122</v>
      </c>
      <c r="E59" s="5" t="e">
        <f>VLOOKUP(D59,Costs!$A$1:$H$27,3,FALSE)</f>
        <v>#N/A</v>
      </c>
      <c r="F59" s="12" t="s">
        <v>116</v>
      </c>
      <c r="G59" s="25">
        <f>125*(100/5)</f>
        <v>2500</v>
      </c>
      <c r="H59" s="11" t="e">
        <f>VLOOKUP(D59,Costs!$A$1:$H$27,4,FALSE)</f>
        <v>#N/A</v>
      </c>
      <c r="I59" s="12">
        <f>AVERAGE(28,24)</f>
        <v>26</v>
      </c>
      <c r="J59" s="22">
        <f>12.5*I59</f>
        <v>325</v>
      </c>
      <c r="K59" s="22">
        <v>4</v>
      </c>
      <c r="L59" s="12">
        <f t="shared" si="4"/>
        <v>1300</v>
      </c>
      <c r="M59" s="13" t="s">
        <v>27</v>
      </c>
      <c r="N59" s="13"/>
    </row>
    <row r="60" spans="1:14" ht="12" customHeight="1" x14ac:dyDescent="0.15">
      <c r="A60" s="8" t="e">
        <f t="shared" si="3"/>
        <v>#N/A</v>
      </c>
      <c r="B60" s="27">
        <f>CEILING(L60,G60)/G60</f>
        <v>4</v>
      </c>
      <c r="C60" s="5">
        <v>59</v>
      </c>
      <c r="D60" s="10" t="s">
        <v>28</v>
      </c>
      <c r="E60" s="5" t="e">
        <f>VLOOKUP(D60,Costs!$A$1:$H$27,3,FALSE)</f>
        <v>#N/A</v>
      </c>
      <c r="F60" s="12" t="s">
        <v>11</v>
      </c>
      <c r="G60" s="25">
        <v>500</v>
      </c>
      <c r="H60" s="11" t="e">
        <f>VLOOKUP(D60,Costs!$A$1:$H$27,4,FALSE)</f>
        <v>#N/A</v>
      </c>
      <c r="I60" s="12">
        <v>35</v>
      </c>
      <c r="J60" s="22">
        <f>12.5*I60</f>
        <v>437.5</v>
      </c>
      <c r="K60" s="22">
        <v>4</v>
      </c>
      <c r="L60" s="12">
        <f t="shared" si="4"/>
        <v>1750</v>
      </c>
      <c r="M60" s="13" t="s">
        <v>27</v>
      </c>
      <c r="N60" s="13"/>
    </row>
    <row r="61" spans="1:14" ht="12" customHeight="1" x14ac:dyDescent="0.15">
      <c r="A61" s="8" t="e">
        <f t="shared" si="3"/>
        <v>#N/A</v>
      </c>
      <c r="B61" s="27">
        <f>CEILING(L61,G61)/G61</f>
        <v>4</v>
      </c>
      <c r="C61" s="5">
        <v>60</v>
      </c>
      <c r="D61" s="10" t="s">
        <v>28</v>
      </c>
      <c r="E61" s="5" t="e">
        <f>VLOOKUP(D61,Costs!$A$1:$H$27,3,FALSE)</f>
        <v>#N/A</v>
      </c>
      <c r="F61" s="12" t="s">
        <v>12</v>
      </c>
      <c r="G61" s="25">
        <v>500</v>
      </c>
      <c r="H61" s="11" t="e">
        <f>VLOOKUP(D61,Costs!$A$1:$H$27,4,FALSE)</f>
        <v>#N/A</v>
      </c>
      <c r="I61" s="9" t="s">
        <v>13</v>
      </c>
      <c r="J61" s="22">
        <v>500</v>
      </c>
      <c r="K61" s="22">
        <v>4</v>
      </c>
      <c r="L61" s="12">
        <f t="shared" si="4"/>
        <v>2000</v>
      </c>
      <c r="M61" s="13" t="s">
        <v>27</v>
      </c>
      <c r="N61" s="13"/>
    </row>
    <row r="62" spans="1:14" x14ac:dyDescent="0.15">
      <c r="A62" s="8" t="e">
        <f t="shared" si="3"/>
        <v>#N/A</v>
      </c>
      <c r="B62" s="7">
        <f>FLOOR(L62/G62,0.05)</f>
        <v>0.1</v>
      </c>
      <c r="C62" s="5">
        <v>61</v>
      </c>
      <c r="D62" s="5" t="s">
        <v>117</v>
      </c>
      <c r="E62" s="5" t="e">
        <f>VLOOKUP(D62,Costs!$A$1:$H$27,3,FALSE)</f>
        <v>#N/A</v>
      </c>
      <c r="F62" s="7" t="s">
        <v>1</v>
      </c>
      <c r="G62" s="26">
        <f>240*(100/5)</f>
        <v>4800</v>
      </c>
      <c r="H62" s="6" t="e">
        <f>VLOOKUP(D62,Costs!$A$1:$H$27,4,FALSE)</f>
        <v>#N/A</v>
      </c>
      <c r="I62" s="7">
        <f>ROUND(AVERAGE(11.4,10.8), 0)</f>
        <v>11</v>
      </c>
      <c r="J62" s="7">
        <f>24*I62</f>
        <v>264</v>
      </c>
      <c r="K62" s="7">
        <v>2</v>
      </c>
      <c r="L62" s="7">
        <f t="shared" si="4"/>
        <v>528</v>
      </c>
      <c r="M62" s="8" t="s">
        <v>41</v>
      </c>
      <c r="N62" s="8" t="s">
        <v>17</v>
      </c>
    </row>
    <row r="63" spans="1:14" x14ac:dyDescent="0.15">
      <c r="A63" s="8" t="e">
        <f t="shared" si="3"/>
        <v>#N/A</v>
      </c>
      <c r="B63" s="7">
        <f>FLOOR(L63/G63,0.05)</f>
        <v>0.25</v>
      </c>
      <c r="C63" s="5">
        <v>62</v>
      </c>
      <c r="D63" s="5" t="s">
        <v>117</v>
      </c>
      <c r="E63" s="5" t="e">
        <f>VLOOKUP(D63,Costs!$A$1:$H$27,3,FALSE)</f>
        <v>#N/A</v>
      </c>
      <c r="F63" s="7" t="s">
        <v>116</v>
      </c>
      <c r="G63" s="26">
        <f>240*(100/5)</f>
        <v>4800</v>
      </c>
      <c r="H63" s="6" t="e">
        <f>VLOOKUP(D63,Costs!$A$1:$H$27,4,FALSE)</f>
        <v>#N/A</v>
      </c>
      <c r="I63" s="7">
        <f>AVERAGE(28,24)</f>
        <v>26</v>
      </c>
      <c r="J63" s="7">
        <f>24*I63</f>
        <v>624</v>
      </c>
      <c r="K63" s="7">
        <v>2</v>
      </c>
      <c r="L63" s="7">
        <f t="shared" si="4"/>
        <v>1248</v>
      </c>
      <c r="M63" s="8" t="s">
        <v>41</v>
      </c>
      <c r="N63" s="8" t="s">
        <v>17</v>
      </c>
    </row>
    <row r="64" spans="1:14" x14ac:dyDescent="0.15">
      <c r="A64" s="8" t="e">
        <f t="shared" si="3"/>
        <v>#N/A</v>
      </c>
      <c r="B64" s="26">
        <f>CEILING(L64,G64)/G64</f>
        <v>4</v>
      </c>
      <c r="C64" s="5">
        <v>63</v>
      </c>
      <c r="D64" s="5" t="s">
        <v>42</v>
      </c>
      <c r="E64" s="5" t="e">
        <f>VLOOKUP(D64,Costs!$A$1:$H$27,3,FALSE)</f>
        <v>#N/A</v>
      </c>
      <c r="F64" s="7" t="s">
        <v>11</v>
      </c>
      <c r="G64" s="26">
        <v>480</v>
      </c>
      <c r="H64" s="6" t="e">
        <f>VLOOKUP(D64,Costs!$A$1:$H$27,4,FALSE)</f>
        <v>#N/A</v>
      </c>
      <c r="I64" s="7">
        <v>35</v>
      </c>
      <c r="J64" s="7">
        <f>24*I64</f>
        <v>840</v>
      </c>
      <c r="K64" s="7">
        <v>2</v>
      </c>
      <c r="L64" s="7">
        <f t="shared" si="4"/>
        <v>1680</v>
      </c>
      <c r="M64" s="8" t="s">
        <v>41</v>
      </c>
      <c r="N64" s="8" t="s">
        <v>17</v>
      </c>
    </row>
    <row r="65" spans="1:14" x14ac:dyDescent="0.15">
      <c r="A65" s="8" t="e">
        <f t="shared" si="3"/>
        <v>#N/A</v>
      </c>
      <c r="B65" s="26">
        <f>CEILING(L65,G65)/G65</f>
        <v>4</v>
      </c>
      <c r="C65" s="5">
        <v>64</v>
      </c>
      <c r="D65" s="5" t="s">
        <v>42</v>
      </c>
      <c r="E65" s="5" t="e">
        <f>VLOOKUP(D65,Costs!$A$1:$H$27,3,FALSE)</f>
        <v>#N/A</v>
      </c>
      <c r="F65" s="7" t="s">
        <v>12</v>
      </c>
      <c r="G65" s="26">
        <v>480</v>
      </c>
      <c r="H65" s="6" t="e">
        <f>VLOOKUP(D65,Costs!$A$1:$H$27,4,FALSE)</f>
        <v>#N/A</v>
      </c>
      <c r="I65" s="9" t="s">
        <v>13</v>
      </c>
      <c r="J65" s="7">
        <v>960</v>
      </c>
      <c r="K65" s="7">
        <v>2</v>
      </c>
      <c r="L65" s="7">
        <f t="shared" si="4"/>
        <v>1920</v>
      </c>
      <c r="M65" s="8" t="s">
        <v>41</v>
      </c>
      <c r="N65" s="8" t="s">
        <v>17</v>
      </c>
    </row>
    <row r="85" spans="2:2" ht="12" customHeight="1" x14ac:dyDescent="0.15">
      <c r="B85" s="2">
        <f>MEDIAN(B2:B49)</f>
        <v>2</v>
      </c>
    </row>
  </sheetData>
  <autoFilter ref="A1:N65" xr:uid="{FF68A154-EB1C-49E7-BEF9-D1C488500386}">
    <sortState xmlns:xlrd2="http://schemas.microsoft.com/office/spreadsheetml/2017/richdata2" ref="A2:N65">
      <sortCondition ref="C1:C65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A154-EB1C-49E7-BEF9-D1C488500386}">
  <dimension ref="A1:M69"/>
  <sheetViews>
    <sheetView zoomScale="150" zoomScaleNormal="150" workbookViewId="0">
      <pane ySplit="1" topLeftCell="A29" activePane="bottomLeft" state="frozen"/>
      <selection activeCell="I1" sqref="I1"/>
      <selection pane="bottomLeft" activeCell="A31" sqref="A31"/>
    </sheetView>
  </sheetViews>
  <sheetFormatPr baseColWidth="10" defaultColWidth="9.1640625" defaultRowHeight="12" customHeight="1" x14ac:dyDescent="0.15"/>
  <cols>
    <col min="1" max="1" width="19.6640625" style="32" bestFit="1" customWidth="1"/>
    <col min="2" max="2" width="12.1640625" style="32" bestFit="1" customWidth="1"/>
    <col min="3" max="3" width="30.5" style="32" bestFit="1" customWidth="1"/>
    <col min="4" max="4" width="11.83203125" style="34" bestFit="1" customWidth="1"/>
    <col min="5" max="5" width="15.33203125" style="37" bestFit="1" customWidth="1"/>
    <col min="6" max="6" width="10.83203125" style="34" bestFit="1" customWidth="1"/>
    <col min="7" max="7" width="15.1640625" style="34" bestFit="1" customWidth="1"/>
    <col min="8" max="8" width="13.5" style="34" bestFit="1" customWidth="1"/>
    <col min="9" max="9" width="15.1640625" style="34" bestFit="1" customWidth="1"/>
    <col min="10" max="10" width="10.83203125" style="34" customWidth="1"/>
    <col min="11" max="11" width="13.1640625" style="37" bestFit="1" customWidth="1"/>
    <col min="12" max="12" width="52.83203125" style="32" bestFit="1" customWidth="1"/>
    <col min="13" max="13" width="19.83203125" style="32" bestFit="1" customWidth="1"/>
    <col min="14" max="14" width="14.1640625" style="32" customWidth="1"/>
    <col min="15" max="15" width="28.83203125" style="32" bestFit="1" customWidth="1"/>
    <col min="16" max="16" width="20.5" style="32" bestFit="1" customWidth="1"/>
    <col min="17" max="17" width="17.5" style="32" bestFit="1" customWidth="1"/>
    <col min="18" max="20" width="9.1640625" style="32"/>
    <col min="21" max="21" width="22.1640625" style="32" bestFit="1" customWidth="1"/>
    <col min="22" max="16384" width="9.1640625" style="32"/>
  </cols>
  <sheetData>
    <row r="1" spans="1:13" ht="12" customHeight="1" x14ac:dyDescent="0.15">
      <c r="A1" s="31" t="s">
        <v>176</v>
      </c>
      <c r="B1" s="31" t="s">
        <v>183</v>
      </c>
      <c r="C1" s="31" t="s">
        <v>178</v>
      </c>
      <c r="D1" s="30" t="s">
        <v>177</v>
      </c>
      <c r="E1" s="35" t="s">
        <v>175</v>
      </c>
      <c r="F1" s="30" t="s">
        <v>184</v>
      </c>
      <c r="G1" s="30" t="s">
        <v>185</v>
      </c>
      <c r="H1" s="30" t="s">
        <v>186</v>
      </c>
      <c r="I1" s="30" t="s">
        <v>188</v>
      </c>
      <c r="J1" s="30" t="s">
        <v>167</v>
      </c>
      <c r="K1" s="38" t="s">
        <v>189</v>
      </c>
      <c r="L1" s="31" t="s">
        <v>187</v>
      </c>
      <c r="M1" s="31" t="s">
        <v>64</v>
      </c>
    </row>
    <row r="2" spans="1:13" ht="12" customHeight="1" x14ac:dyDescent="0.15">
      <c r="A2" s="10" t="s">
        <v>214</v>
      </c>
      <c r="B2" s="10" t="s">
        <v>140</v>
      </c>
      <c r="C2" s="10" t="s">
        <v>190</v>
      </c>
      <c r="D2" s="12" t="s">
        <v>138</v>
      </c>
      <c r="E2" s="36" t="str">
        <f t="shared" ref="E2:E33" si="0">_xlfn.CONCAT(B2, "_", D2)</f>
        <v>qInjnCloxac_00.04</v>
      </c>
      <c r="F2" s="12">
        <f>ROUND(AVERAGE(11.4,10.8), 0)</f>
        <v>11</v>
      </c>
      <c r="G2" s="40">
        <f>50*F2</f>
        <v>550</v>
      </c>
      <c r="H2" s="12">
        <v>4</v>
      </c>
      <c r="I2" s="12">
        <f t="shared" ref="I2:I33" si="1">G2*H2</f>
        <v>2200</v>
      </c>
      <c r="J2" s="25">
        <v>500</v>
      </c>
      <c r="K2" s="39">
        <f t="shared" ref="K2:K33" si="2">CEILING(I2/J2, 1)</f>
        <v>5</v>
      </c>
      <c r="L2" s="13" t="s">
        <v>16</v>
      </c>
      <c r="M2" s="13" t="s">
        <v>17</v>
      </c>
    </row>
    <row r="3" spans="1:13" ht="12" customHeight="1" x14ac:dyDescent="0.15">
      <c r="A3" s="10" t="s">
        <v>214</v>
      </c>
      <c r="B3" s="10" t="s">
        <v>140</v>
      </c>
      <c r="C3" s="10" t="s">
        <v>190</v>
      </c>
      <c r="D3" s="12" t="s">
        <v>139</v>
      </c>
      <c r="E3" s="36" t="str">
        <f t="shared" si="0"/>
        <v>qInjnCloxac_05.09</v>
      </c>
      <c r="F3" s="12">
        <f>AVERAGE(28,24)</f>
        <v>26</v>
      </c>
      <c r="G3" s="25">
        <f>50*F3</f>
        <v>1300</v>
      </c>
      <c r="H3" s="12">
        <v>4</v>
      </c>
      <c r="I3" s="12">
        <f t="shared" si="1"/>
        <v>5200</v>
      </c>
      <c r="J3" s="25">
        <v>500</v>
      </c>
      <c r="K3" s="39">
        <f t="shared" si="2"/>
        <v>11</v>
      </c>
      <c r="L3" s="13" t="s">
        <v>16</v>
      </c>
      <c r="M3" s="13" t="s">
        <v>17</v>
      </c>
    </row>
    <row r="4" spans="1:13" ht="12" customHeight="1" x14ac:dyDescent="0.15">
      <c r="A4" s="10" t="s">
        <v>214</v>
      </c>
      <c r="B4" s="10" t="s">
        <v>140</v>
      </c>
      <c r="C4" s="10" t="s">
        <v>190</v>
      </c>
      <c r="D4" s="12" t="s">
        <v>136</v>
      </c>
      <c r="E4" s="36" t="str">
        <f t="shared" si="0"/>
        <v>qInjnCloxac_10.14</v>
      </c>
      <c r="F4" s="12">
        <v>35</v>
      </c>
      <c r="G4" s="25">
        <f>50*F4</f>
        <v>1750</v>
      </c>
      <c r="H4" s="12">
        <v>4</v>
      </c>
      <c r="I4" s="12">
        <f t="shared" si="1"/>
        <v>7000</v>
      </c>
      <c r="J4" s="25">
        <v>500</v>
      </c>
      <c r="K4" s="39">
        <f t="shared" si="2"/>
        <v>14</v>
      </c>
      <c r="L4" s="13" t="s">
        <v>16</v>
      </c>
      <c r="M4" s="13" t="s">
        <v>17</v>
      </c>
    </row>
    <row r="5" spans="1:13" ht="12" customHeight="1" x14ac:dyDescent="0.15">
      <c r="A5" s="10" t="s">
        <v>214</v>
      </c>
      <c r="B5" s="10" t="s">
        <v>140</v>
      </c>
      <c r="C5" s="10" t="s">
        <v>190</v>
      </c>
      <c r="D5" s="12" t="s">
        <v>137</v>
      </c>
      <c r="E5" s="36" t="str">
        <f t="shared" si="0"/>
        <v>qInjnCloxac_15plus</v>
      </c>
      <c r="F5" s="12" t="s">
        <v>13</v>
      </c>
      <c r="G5" s="25">
        <v>2000</v>
      </c>
      <c r="H5" s="12">
        <v>4</v>
      </c>
      <c r="I5" s="12">
        <f t="shared" si="1"/>
        <v>8000</v>
      </c>
      <c r="J5" s="25">
        <v>500</v>
      </c>
      <c r="K5" s="39">
        <f t="shared" si="2"/>
        <v>16</v>
      </c>
      <c r="L5" s="13" t="s">
        <v>16</v>
      </c>
      <c r="M5" s="13" t="s">
        <v>17</v>
      </c>
    </row>
    <row r="6" spans="1:13" ht="12" customHeight="1" x14ac:dyDescent="0.15">
      <c r="A6" s="10" t="s">
        <v>215</v>
      </c>
      <c r="B6" s="10" t="s">
        <v>141</v>
      </c>
      <c r="C6" s="10" t="s">
        <v>191</v>
      </c>
      <c r="D6" s="12" t="s">
        <v>138</v>
      </c>
      <c r="E6" s="36" t="str">
        <f t="shared" si="0"/>
        <v>qInjnGentam_00.04</v>
      </c>
      <c r="F6" s="12">
        <f>ROUND(AVERAGE(11.4,10.8), 0)</f>
        <v>11</v>
      </c>
      <c r="G6" s="25">
        <f>3.2*F6</f>
        <v>35.200000000000003</v>
      </c>
      <c r="H6" s="12">
        <v>1</v>
      </c>
      <c r="I6" s="12">
        <f t="shared" si="1"/>
        <v>35.200000000000003</v>
      </c>
      <c r="J6" s="25">
        <v>80</v>
      </c>
      <c r="K6" s="39">
        <f t="shared" si="2"/>
        <v>1</v>
      </c>
      <c r="L6" s="13" t="s">
        <v>19</v>
      </c>
      <c r="M6" s="13"/>
    </row>
    <row r="7" spans="1:13" ht="12" customHeight="1" x14ac:dyDescent="0.15">
      <c r="A7" s="10" t="s">
        <v>215</v>
      </c>
      <c r="B7" s="10" t="s">
        <v>141</v>
      </c>
      <c r="C7" s="10" t="s">
        <v>191</v>
      </c>
      <c r="D7" s="12" t="s">
        <v>139</v>
      </c>
      <c r="E7" s="36" t="str">
        <f t="shared" si="0"/>
        <v>qInjnGentam_05.09</v>
      </c>
      <c r="F7" s="12">
        <f>AVERAGE(28,24)</f>
        <v>26</v>
      </c>
      <c r="G7" s="25">
        <f>3.2*F7</f>
        <v>83.2</v>
      </c>
      <c r="H7" s="12">
        <v>1</v>
      </c>
      <c r="I7" s="12">
        <f t="shared" si="1"/>
        <v>83.2</v>
      </c>
      <c r="J7" s="25">
        <v>80</v>
      </c>
      <c r="K7" s="39">
        <f t="shared" si="2"/>
        <v>2</v>
      </c>
      <c r="L7" s="13" t="s">
        <v>19</v>
      </c>
      <c r="M7" s="13"/>
    </row>
    <row r="8" spans="1:13" ht="12" customHeight="1" x14ac:dyDescent="0.15">
      <c r="A8" s="10" t="s">
        <v>215</v>
      </c>
      <c r="B8" s="10" t="s">
        <v>141</v>
      </c>
      <c r="C8" s="10" t="s">
        <v>191</v>
      </c>
      <c r="D8" s="12" t="s">
        <v>136</v>
      </c>
      <c r="E8" s="36" t="str">
        <f t="shared" si="0"/>
        <v>qInjnGentam_10.14</v>
      </c>
      <c r="F8" s="12">
        <v>35</v>
      </c>
      <c r="G8" s="25">
        <f>3.2*F8</f>
        <v>112</v>
      </c>
      <c r="H8" s="12">
        <v>1</v>
      </c>
      <c r="I8" s="12">
        <f t="shared" si="1"/>
        <v>112</v>
      </c>
      <c r="J8" s="25">
        <v>80</v>
      </c>
      <c r="K8" s="39">
        <f t="shared" si="2"/>
        <v>2</v>
      </c>
      <c r="L8" s="13" t="s">
        <v>19</v>
      </c>
      <c r="M8" s="13"/>
    </row>
    <row r="9" spans="1:13" ht="12" customHeight="1" x14ac:dyDescent="0.15">
      <c r="A9" s="10" t="s">
        <v>215</v>
      </c>
      <c r="B9" s="10" t="s">
        <v>141</v>
      </c>
      <c r="C9" s="10" t="s">
        <v>191</v>
      </c>
      <c r="D9" s="12" t="s">
        <v>137</v>
      </c>
      <c r="E9" s="36" t="str">
        <f t="shared" si="0"/>
        <v>qInjnGentam_15plus</v>
      </c>
      <c r="F9" s="33" t="s">
        <v>13</v>
      </c>
      <c r="G9" s="25">
        <v>320</v>
      </c>
      <c r="H9" s="12">
        <v>1</v>
      </c>
      <c r="I9" s="12">
        <f t="shared" si="1"/>
        <v>320</v>
      </c>
      <c r="J9" s="25">
        <v>80</v>
      </c>
      <c r="K9" s="39">
        <f t="shared" si="2"/>
        <v>4</v>
      </c>
      <c r="L9" s="13" t="s">
        <v>19</v>
      </c>
      <c r="M9" s="13"/>
    </row>
    <row r="10" spans="1:13" ht="12" customHeight="1" x14ac:dyDescent="0.15">
      <c r="A10" s="10" t="s">
        <v>240</v>
      </c>
      <c r="B10" s="10" t="s">
        <v>142</v>
      </c>
      <c r="C10" s="10" t="s">
        <v>192</v>
      </c>
      <c r="D10" s="12" t="s">
        <v>138</v>
      </c>
      <c r="E10" s="36" t="str">
        <f t="shared" si="0"/>
        <v>qInjnPenici_00.04</v>
      </c>
      <c r="F10" s="12">
        <f>ROUND(AVERAGE(11.4,10.8), 0)</f>
        <v>11</v>
      </c>
      <c r="G10" s="25">
        <f>0.05*F10</f>
        <v>0.55000000000000004</v>
      </c>
      <c r="H10" s="12">
        <v>1</v>
      </c>
      <c r="I10" s="12">
        <f t="shared" si="1"/>
        <v>0.55000000000000004</v>
      </c>
      <c r="J10" s="25">
        <v>4</v>
      </c>
      <c r="K10" s="39">
        <f t="shared" si="2"/>
        <v>1</v>
      </c>
      <c r="L10" s="13" t="s">
        <v>23</v>
      </c>
      <c r="M10" s="13"/>
    </row>
    <row r="11" spans="1:13" ht="12" customHeight="1" x14ac:dyDescent="0.15">
      <c r="A11" s="10" t="s">
        <v>240</v>
      </c>
      <c r="B11" s="10" t="s">
        <v>142</v>
      </c>
      <c r="C11" s="10" t="s">
        <v>192</v>
      </c>
      <c r="D11" s="12" t="s">
        <v>139</v>
      </c>
      <c r="E11" s="36" t="str">
        <f t="shared" si="0"/>
        <v>qInjnPenici_05.09</v>
      </c>
      <c r="F11" s="12">
        <f>AVERAGE(28,24)</f>
        <v>26</v>
      </c>
      <c r="G11" s="25">
        <f>0.05*F11</f>
        <v>1.3</v>
      </c>
      <c r="H11" s="12">
        <v>1</v>
      </c>
      <c r="I11" s="12">
        <f t="shared" si="1"/>
        <v>1.3</v>
      </c>
      <c r="J11" s="25">
        <v>4</v>
      </c>
      <c r="K11" s="39">
        <f t="shared" si="2"/>
        <v>1</v>
      </c>
      <c r="L11" s="13" t="s">
        <v>23</v>
      </c>
      <c r="M11" s="13"/>
    </row>
    <row r="12" spans="1:13" ht="12" customHeight="1" x14ac:dyDescent="0.15">
      <c r="A12" s="10" t="s">
        <v>240</v>
      </c>
      <c r="B12" s="10" t="s">
        <v>142</v>
      </c>
      <c r="C12" s="10" t="s">
        <v>192</v>
      </c>
      <c r="D12" s="12" t="s">
        <v>136</v>
      </c>
      <c r="E12" s="36" t="str">
        <f t="shared" si="0"/>
        <v>qInjnPenici_10.14</v>
      </c>
      <c r="F12" s="12">
        <v>35</v>
      </c>
      <c r="G12" s="25">
        <f>FLOOR(0.05*F12,1.5)</f>
        <v>1.5</v>
      </c>
      <c r="H12" s="12">
        <v>1</v>
      </c>
      <c r="I12" s="12">
        <f t="shared" si="1"/>
        <v>1.5</v>
      </c>
      <c r="J12" s="25">
        <v>4</v>
      </c>
      <c r="K12" s="39">
        <f t="shared" si="2"/>
        <v>1</v>
      </c>
      <c r="L12" s="13" t="s">
        <v>23</v>
      </c>
      <c r="M12" s="13"/>
    </row>
    <row r="13" spans="1:13" ht="12" customHeight="1" x14ac:dyDescent="0.15">
      <c r="A13" s="10" t="s">
        <v>240</v>
      </c>
      <c r="B13" s="10" t="s">
        <v>142</v>
      </c>
      <c r="C13" s="10" t="s">
        <v>192</v>
      </c>
      <c r="D13" s="12" t="s">
        <v>137</v>
      </c>
      <c r="E13" s="36" t="str">
        <f t="shared" si="0"/>
        <v>qInjnPenici_15plus</v>
      </c>
      <c r="F13" s="33" t="s">
        <v>13</v>
      </c>
      <c r="G13" s="25">
        <v>1.5</v>
      </c>
      <c r="H13" s="12">
        <v>1</v>
      </c>
      <c r="I13" s="12">
        <f t="shared" si="1"/>
        <v>1.5</v>
      </c>
      <c r="J13" s="25">
        <v>4</v>
      </c>
      <c r="K13" s="39">
        <f t="shared" si="2"/>
        <v>1</v>
      </c>
      <c r="L13" s="13" t="s">
        <v>23</v>
      </c>
      <c r="M13" s="13"/>
    </row>
    <row r="14" spans="1:13" ht="12" customHeight="1" x14ac:dyDescent="0.15">
      <c r="A14" s="10" t="s">
        <v>217</v>
      </c>
      <c r="B14" s="10" t="s">
        <v>143</v>
      </c>
      <c r="C14" s="10" t="s">
        <v>193</v>
      </c>
      <c r="D14" s="12" t="s">
        <v>138</v>
      </c>
      <c r="E14" s="36" t="str">
        <f t="shared" si="0"/>
        <v>qInjnMetron_00.04</v>
      </c>
      <c r="F14" s="12">
        <f>ROUND(AVERAGE(11.4,10.8), 0)</f>
        <v>11</v>
      </c>
      <c r="G14" s="12">
        <f>12.5*F14</f>
        <v>137.5</v>
      </c>
      <c r="H14" s="12">
        <v>2</v>
      </c>
      <c r="I14" s="12">
        <f t="shared" si="1"/>
        <v>275</v>
      </c>
      <c r="J14" s="25">
        <v>500</v>
      </c>
      <c r="K14" s="39">
        <f t="shared" si="2"/>
        <v>1</v>
      </c>
      <c r="L14" s="13" t="s">
        <v>22</v>
      </c>
      <c r="M14" s="13"/>
    </row>
    <row r="15" spans="1:13" ht="12" customHeight="1" x14ac:dyDescent="0.15">
      <c r="A15" s="10" t="s">
        <v>217</v>
      </c>
      <c r="B15" s="10" t="s">
        <v>143</v>
      </c>
      <c r="C15" s="10" t="s">
        <v>193</v>
      </c>
      <c r="D15" s="12" t="s">
        <v>139</v>
      </c>
      <c r="E15" s="36" t="str">
        <f t="shared" si="0"/>
        <v>qInjnMetron_05.09</v>
      </c>
      <c r="F15" s="12">
        <f>AVERAGE(28,24)</f>
        <v>26</v>
      </c>
      <c r="G15" s="12">
        <f>12.5*F15</f>
        <v>325</v>
      </c>
      <c r="H15" s="12">
        <v>2</v>
      </c>
      <c r="I15" s="12">
        <f t="shared" si="1"/>
        <v>650</v>
      </c>
      <c r="J15" s="25">
        <v>500</v>
      </c>
      <c r="K15" s="39">
        <f t="shared" si="2"/>
        <v>2</v>
      </c>
      <c r="L15" s="13" t="s">
        <v>22</v>
      </c>
      <c r="M15" s="13"/>
    </row>
    <row r="16" spans="1:13" ht="12" customHeight="1" x14ac:dyDescent="0.15">
      <c r="A16" s="10" t="s">
        <v>217</v>
      </c>
      <c r="B16" s="10" t="s">
        <v>143</v>
      </c>
      <c r="C16" s="10" t="s">
        <v>193</v>
      </c>
      <c r="D16" s="12" t="s">
        <v>136</v>
      </c>
      <c r="E16" s="36" t="str">
        <f t="shared" si="0"/>
        <v>qInjnMetron_10.14</v>
      </c>
      <c r="F16" s="12">
        <v>35</v>
      </c>
      <c r="G16" s="12">
        <f>12.5*F16</f>
        <v>437.5</v>
      </c>
      <c r="H16" s="12">
        <v>2</v>
      </c>
      <c r="I16" s="12">
        <f t="shared" si="1"/>
        <v>875</v>
      </c>
      <c r="J16" s="25">
        <v>500</v>
      </c>
      <c r="K16" s="39">
        <f t="shared" si="2"/>
        <v>2</v>
      </c>
      <c r="L16" s="13" t="s">
        <v>22</v>
      </c>
      <c r="M16" s="13"/>
    </row>
    <row r="17" spans="1:13" ht="12" customHeight="1" x14ac:dyDescent="0.15">
      <c r="A17" s="10" t="s">
        <v>217</v>
      </c>
      <c r="B17" s="10" t="s">
        <v>143</v>
      </c>
      <c r="C17" s="10" t="s">
        <v>193</v>
      </c>
      <c r="D17" s="12" t="s">
        <v>137</v>
      </c>
      <c r="E17" s="36" t="str">
        <f t="shared" si="0"/>
        <v>qInjnMetron_15plus</v>
      </c>
      <c r="F17" s="33" t="s">
        <v>13</v>
      </c>
      <c r="G17" s="12">
        <v>500</v>
      </c>
      <c r="H17" s="12">
        <v>2</v>
      </c>
      <c r="I17" s="12">
        <f t="shared" si="1"/>
        <v>1000</v>
      </c>
      <c r="J17" s="25">
        <v>500</v>
      </c>
      <c r="K17" s="39">
        <f t="shared" si="2"/>
        <v>2</v>
      </c>
      <c r="L17" s="13" t="s">
        <v>22</v>
      </c>
      <c r="M17" s="13"/>
    </row>
    <row r="18" spans="1:13" ht="12" customHeight="1" x14ac:dyDescent="0.15">
      <c r="A18" s="10" t="s">
        <v>218</v>
      </c>
      <c r="B18" s="10" t="s">
        <v>144</v>
      </c>
      <c r="C18" s="10" t="s">
        <v>194</v>
      </c>
      <c r="D18" s="12" t="s">
        <v>138</v>
      </c>
      <c r="E18" s="36" t="str">
        <f t="shared" si="0"/>
        <v>qInjnErythr_00.04</v>
      </c>
      <c r="F18" s="12">
        <f>ROUND(AVERAGE(11.4,10.8), 0)</f>
        <v>11</v>
      </c>
      <c r="G18" s="12">
        <f>25*F18</f>
        <v>275</v>
      </c>
      <c r="H18" s="12">
        <v>4</v>
      </c>
      <c r="I18" s="12">
        <f t="shared" si="1"/>
        <v>1100</v>
      </c>
      <c r="J18" s="25">
        <v>1000</v>
      </c>
      <c r="K18" s="39">
        <f t="shared" si="2"/>
        <v>2</v>
      </c>
      <c r="L18" s="13" t="s">
        <v>18</v>
      </c>
      <c r="M18" s="13"/>
    </row>
    <row r="19" spans="1:13" x14ac:dyDescent="0.15">
      <c r="A19" s="10" t="s">
        <v>218</v>
      </c>
      <c r="B19" s="10" t="s">
        <v>144</v>
      </c>
      <c r="C19" s="10" t="s">
        <v>194</v>
      </c>
      <c r="D19" s="12" t="s">
        <v>139</v>
      </c>
      <c r="E19" s="36" t="str">
        <f t="shared" si="0"/>
        <v>qInjnErythr_05.09</v>
      </c>
      <c r="F19" s="12">
        <f>AVERAGE(28,24)</f>
        <v>26</v>
      </c>
      <c r="G19" s="25">
        <f>FLOOR(25*F19,500)</f>
        <v>500</v>
      </c>
      <c r="H19" s="12">
        <v>4</v>
      </c>
      <c r="I19" s="12">
        <f t="shared" si="1"/>
        <v>2000</v>
      </c>
      <c r="J19" s="25">
        <v>1000</v>
      </c>
      <c r="K19" s="39">
        <f t="shared" si="2"/>
        <v>2</v>
      </c>
      <c r="L19" s="13" t="s">
        <v>18</v>
      </c>
      <c r="M19" s="13"/>
    </row>
    <row r="20" spans="1:13" x14ac:dyDescent="0.15">
      <c r="A20" s="10" t="s">
        <v>218</v>
      </c>
      <c r="B20" s="10" t="s">
        <v>144</v>
      </c>
      <c r="C20" s="10" t="s">
        <v>194</v>
      </c>
      <c r="D20" s="12" t="s">
        <v>136</v>
      </c>
      <c r="E20" s="36" t="str">
        <f t="shared" si="0"/>
        <v>qInjnErythr_10.14</v>
      </c>
      <c r="F20" s="12">
        <v>35</v>
      </c>
      <c r="G20" s="25">
        <f>FLOOR(25*F20,500)</f>
        <v>500</v>
      </c>
      <c r="H20" s="12">
        <v>4</v>
      </c>
      <c r="I20" s="12">
        <f t="shared" si="1"/>
        <v>2000</v>
      </c>
      <c r="J20" s="25">
        <v>1000</v>
      </c>
      <c r="K20" s="39">
        <f t="shared" si="2"/>
        <v>2</v>
      </c>
      <c r="L20" s="13" t="s">
        <v>18</v>
      </c>
      <c r="M20" s="13"/>
    </row>
    <row r="21" spans="1:13" x14ac:dyDescent="0.15">
      <c r="A21" s="10" t="s">
        <v>218</v>
      </c>
      <c r="B21" s="10" t="s">
        <v>144</v>
      </c>
      <c r="C21" s="10" t="s">
        <v>194</v>
      </c>
      <c r="D21" s="12" t="s">
        <v>137</v>
      </c>
      <c r="E21" s="36" t="str">
        <f t="shared" si="0"/>
        <v>qInjnErythr_15plus</v>
      </c>
      <c r="F21" s="33" t="s">
        <v>13</v>
      </c>
      <c r="G21" s="12">
        <v>500</v>
      </c>
      <c r="H21" s="12">
        <v>4</v>
      </c>
      <c r="I21" s="12">
        <f t="shared" si="1"/>
        <v>2000</v>
      </c>
      <c r="J21" s="25">
        <v>1000</v>
      </c>
      <c r="K21" s="39">
        <f t="shared" si="2"/>
        <v>2</v>
      </c>
      <c r="L21" s="13" t="s">
        <v>18</v>
      </c>
      <c r="M21" s="13"/>
    </row>
    <row r="22" spans="1:13" x14ac:dyDescent="0.15">
      <c r="A22" s="10" t="s">
        <v>219</v>
      </c>
      <c r="B22" s="10" t="s">
        <v>145</v>
      </c>
      <c r="C22" s="10" t="s">
        <v>195</v>
      </c>
      <c r="D22" s="12" t="s">
        <v>138</v>
      </c>
      <c r="E22" s="36" t="str">
        <f t="shared" si="0"/>
        <v>qInjnCeftri_00.04</v>
      </c>
      <c r="F22" s="12">
        <f>ROUND(AVERAGE(11.4,10.8), 0)</f>
        <v>11</v>
      </c>
      <c r="G22" s="25">
        <f>50*F22</f>
        <v>550</v>
      </c>
      <c r="H22" s="12">
        <v>1</v>
      </c>
      <c r="I22" s="12">
        <f t="shared" si="1"/>
        <v>550</v>
      </c>
      <c r="J22" s="25">
        <v>1000</v>
      </c>
      <c r="K22" s="39">
        <f t="shared" si="2"/>
        <v>1</v>
      </c>
      <c r="L22" s="13" t="s">
        <v>10</v>
      </c>
      <c r="M22" s="13"/>
    </row>
    <row r="23" spans="1:13" x14ac:dyDescent="0.15">
      <c r="A23" s="10" t="s">
        <v>219</v>
      </c>
      <c r="B23" s="10" t="s">
        <v>145</v>
      </c>
      <c r="C23" s="10" t="s">
        <v>195</v>
      </c>
      <c r="D23" s="12" t="s">
        <v>139</v>
      </c>
      <c r="E23" s="36" t="str">
        <f t="shared" si="0"/>
        <v>qInjnCeftri_05.09</v>
      </c>
      <c r="F23" s="12">
        <f>AVERAGE(28,24)</f>
        <v>26</v>
      </c>
      <c r="G23" s="25">
        <f>50*F23</f>
        <v>1300</v>
      </c>
      <c r="H23" s="12">
        <v>1</v>
      </c>
      <c r="I23" s="12">
        <f t="shared" si="1"/>
        <v>1300</v>
      </c>
      <c r="J23" s="25">
        <v>1000</v>
      </c>
      <c r="K23" s="39">
        <f t="shared" si="2"/>
        <v>2</v>
      </c>
      <c r="L23" s="13" t="s">
        <v>10</v>
      </c>
      <c r="M23" s="13"/>
    </row>
    <row r="24" spans="1:13" x14ac:dyDescent="0.15">
      <c r="A24" s="10" t="s">
        <v>219</v>
      </c>
      <c r="B24" s="10" t="s">
        <v>145</v>
      </c>
      <c r="C24" s="10" t="s">
        <v>195</v>
      </c>
      <c r="D24" s="12" t="s">
        <v>136</v>
      </c>
      <c r="E24" s="36" t="str">
        <f t="shared" si="0"/>
        <v>qInjnCeftri_10.14</v>
      </c>
      <c r="F24" s="12">
        <v>35</v>
      </c>
      <c r="G24" s="25">
        <f>50*F24</f>
        <v>1750</v>
      </c>
      <c r="H24" s="12">
        <v>1</v>
      </c>
      <c r="I24" s="12">
        <f t="shared" si="1"/>
        <v>1750</v>
      </c>
      <c r="J24" s="25">
        <v>1000</v>
      </c>
      <c r="K24" s="39">
        <f t="shared" si="2"/>
        <v>2</v>
      </c>
      <c r="L24" s="13" t="s">
        <v>10</v>
      </c>
      <c r="M24" s="13"/>
    </row>
    <row r="25" spans="1:13" x14ac:dyDescent="0.15">
      <c r="A25" s="10" t="s">
        <v>219</v>
      </c>
      <c r="B25" s="10" t="s">
        <v>145</v>
      </c>
      <c r="C25" s="10" t="s">
        <v>195</v>
      </c>
      <c r="D25" s="12" t="s">
        <v>137</v>
      </c>
      <c r="E25" s="36" t="str">
        <f t="shared" si="0"/>
        <v>qInjnCeftri_15plus</v>
      </c>
      <c r="F25" s="33" t="s">
        <v>13</v>
      </c>
      <c r="G25" s="25">
        <v>2000</v>
      </c>
      <c r="H25" s="12">
        <v>1</v>
      </c>
      <c r="I25" s="12">
        <f t="shared" si="1"/>
        <v>2000</v>
      </c>
      <c r="J25" s="25">
        <v>1000</v>
      </c>
      <c r="K25" s="39">
        <f t="shared" si="2"/>
        <v>2</v>
      </c>
      <c r="L25" s="13" t="s">
        <v>10</v>
      </c>
      <c r="M25" s="13"/>
    </row>
    <row r="26" spans="1:13" ht="12" customHeight="1" x14ac:dyDescent="0.15">
      <c r="A26" s="10" t="s">
        <v>220</v>
      </c>
      <c r="B26" s="10" t="s">
        <v>146</v>
      </c>
      <c r="C26" s="10" t="s">
        <v>196</v>
      </c>
      <c r="D26" s="12" t="s">
        <v>138</v>
      </c>
      <c r="E26" s="36" t="str">
        <f t="shared" si="0"/>
        <v>qInjnCiprof_00.04</v>
      </c>
      <c r="F26" s="12">
        <f>ROUND(AVERAGE(11.4,10.8), 0)</f>
        <v>11</v>
      </c>
      <c r="G26" s="25">
        <f>10*F26</f>
        <v>110</v>
      </c>
      <c r="H26" s="12">
        <v>2</v>
      </c>
      <c r="I26" s="12">
        <f t="shared" si="1"/>
        <v>220</v>
      </c>
      <c r="J26" s="25">
        <v>100</v>
      </c>
      <c r="K26" s="39">
        <f t="shared" si="2"/>
        <v>3</v>
      </c>
      <c r="L26" s="13" t="s">
        <v>14</v>
      </c>
      <c r="M26" s="13" t="s">
        <v>15</v>
      </c>
    </row>
    <row r="27" spans="1:13" ht="12" customHeight="1" x14ac:dyDescent="0.15">
      <c r="A27" s="10" t="s">
        <v>220</v>
      </c>
      <c r="B27" s="10" t="s">
        <v>146</v>
      </c>
      <c r="C27" s="10" t="s">
        <v>196</v>
      </c>
      <c r="D27" s="12" t="s">
        <v>139</v>
      </c>
      <c r="E27" s="36" t="str">
        <f t="shared" si="0"/>
        <v>qInjnCiprof_05.09</v>
      </c>
      <c r="F27" s="12">
        <f>AVERAGE(28,24)</f>
        <v>26</v>
      </c>
      <c r="G27" s="25">
        <f>10*F27</f>
        <v>260</v>
      </c>
      <c r="H27" s="12">
        <v>2</v>
      </c>
      <c r="I27" s="12">
        <f t="shared" si="1"/>
        <v>520</v>
      </c>
      <c r="J27" s="25">
        <v>100</v>
      </c>
      <c r="K27" s="39">
        <f t="shared" si="2"/>
        <v>6</v>
      </c>
      <c r="L27" s="13" t="s">
        <v>14</v>
      </c>
      <c r="M27" s="13" t="s">
        <v>15</v>
      </c>
    </row>
    <row r="28" spans="1:13" ht="12" customHeight="1" x14ac:dyDescent="0.15">
      <c r="A28" s="10" t="s">
        <v>220</v>
      </c>
      <c r="B28" s="10" t="s">
        <v>146</v>
      </c>
      <c r="C28" s="10" t="s">
        <v>196</v>
      </c>
      <c r="D28" s="12" t="s">
        <v>136</v>
      </c>
      <c r="E28" s="36" t="str">
        <f t="shared" si="0"/>
        <v>qInjnCiprof_10.14</v>
      </c>
      <c r="F28" s="12">
        <v>35</v>
      </c>
      <c r="G28" s="25">
        <f>10*F28</f>
        <v>350</v>
      </c>
      <c r="H28" s="12">
        <v>2</v>
      </c>
      <c r="I28" s="12">
        <f t="shared" si="1"/>
        <v>700</v>
      </c>
      <c r="J28" s="25">
        <v>100</v>
      </c>
      <c r="K28" s="39">
        <f t="shared" si="2"/>
        <v>7</v>
      </c>
      <c r="L28" s="13" t="s">
        <v>14</v>
      </c>
      <c r="M28" s="13" t="s">
        <v>15</v>
      </c>
    </row>
    <row r="29" spans="1:13" ht="12" customHeight="1" x14ac:dyDescent="0.15">
      <c r="A29" s="10" t="s">
        <v>220</v>
      </c>
      <c r="B29" s="10" t="s">
        <v>146</v>
      </c>
      <c r="C29" s="10" t="s">
        <v>196</v>
      </c>
      <c r="D29" s="12" t="s">
        <v>137</v>
      </c>
      <c r="E29" s="36" t="str">
        <f t="shared" si="0"/>
        <v>qInjnCiprof_15plus</v>
      </c>
      <c r="F29" s="33" t="s">
        <v>13</v>
      </c>
      <c r="G29" s="25">
        <v>400</v>
      </c>
      <c r="H29" s="12">
        <v>2</v>
      </c>
      <c r="I29" s="12">
        <f t="shared" si="1"/>
        <v>800</v>
      </c>
      <c r="J29" s="25">
        <v>100</v>
      </c>
      <c r="K29" s="39">
        <f t="shared" si="2"/>
        <v>8</v>
      </c>
      <c r="L29" s="13" t="s">
        <v>14</v>
      </c>
      <c r="M29" s="13" t="s">
        <v>15</v>
      </c>
    </row>
    <row r="30" spans="1:13" x14ac:dyDescent="0.15">
      <c r="A30" s="10" t="s">
        <v>221</v>
      </c>
      <c r="B30" s="10" t="s">
        <v>147</v>
      </c>
      <c r="C30" s="10" t="s">
        <v>197</v>
      </c>
      <c r="D30" s="12" t="s">
        <v>138</v>
      </c>
      <c r="E30" s="36" t="str">
        <f t="shared" si="0"/>
        <v>qInjnMerope_00.04</v>
      </c>
      <c r="F30" s="12">
        <f>ROUND(AVERAGE(11.4,10.8), 0)</f>
        <v>11</v>
      </c>
      <c r="G30" s="12">
        <f>20*F30</f>
        <v>220</v>
      </c>
      <c r="H30" s="12">
        <v>3</v>
      </c>
      <c r="I30" s="12">
        <f t="shared" si="1"/>
        <v>660</v>
      </c>
      <c r="J30" s="25">
        <v>1000</v>
      </c>
      <c r="K30" s="39">
        <f t="shared" si="2"/>
        <v>1</v>
      </c>
      <c r="L30" s="13" t="s">
        <v>20</v>
      </c>
      <c r="M30" s="13"/>
    </row>
    <row r="31" spans="1:13" x14ac:dyDescent="0.15">
      <c r="A31" s="10" t="s">
        <v>221</v>
      </c>
      <c r="B31" s="10" t="s">
        <v>147</v>
      </c>
      <c r="C31" s="10" t="s">
        <v>197</v>
      </c>
      <c r="D31" s="12" t="s">
        <v>139</v>
      </c>
      <c r="E31" s="36" t="str">
        <f t="shared" si="0"/>
        <v>qInjnMerope_05.09</v>
      </c>
      <c r="F31" s="12">
        <f>AVERAGE(28,24)</f>
        <v>26</v>
      </c>
      <c r="G31" s="12">
        <f>20*F31</f>
        <v>520</v>
      </c>
      <c r="H31" s="12">
        <v>3</v>
      </c>
      <c r="I31" s="12">
        <f t="shared" si="1"/>
        <v>1560</v>
      </c>
      <c r="J31" s="25">
        <v>1000</v>
      </c>
      <c r="K31" s="39">
        <f t="shared" si="2"/>
        <v>2</v>
      </c>
      <c r="L31" s="13" t="s">
        <v>20</v>
      </c>
      <c r="M31" s="13"/>
    </row>
    <row r="32" spans="1:13" x14ac:dyDescent="0.15">
      <c r="A32" s="10" t="s">
        <v>221</v>
      </c>
      <c r="B32" s="10" t="s">
        <v>147</v>
      </c>
      <c r="C32" s="10" t="s">
        <v>197</v>
      </c>
      <c r="D32" s="12" t="s">
        <v>136</v>
      </c>
      <c r="E32" s="36" t="str">
        <f t="shared" si="0"/>
        <v>qInjnMerope_10.14</v>
      </c>
      <c r="F32" s="12">
        <v>35</v>
      </c>
      <c r="G32" s="12">
        <f>20*F32</f>
        <v>700</v>
      </c>
      <c r="H32" s="12">
        <v>3</v>
      </c>
      <c r="I32" s="12">
        <f t="shared" si="1"/>
        <v>2100</v>
      </c>
      <c r="J32" s="25">
        <v>1000</v>
      </c>
      <c r="K32" s="39">
        <f t="shared" si="2"/>
        <v>3</v>
      </c>
      <c r="L32" s="13" t="s">
        <v>20</v>
      </c>
      <c r="M32" s="13"/>
    </row>
    <row r="33" spans="1:13" x14ac:dyDescent="0.15">
      <c r="A33" s="10" t="s">
        <v>221</v>
      </c>
      <c r="B33" s="10" t="s">
        <v>147</v>
      </c>
      <c r="C33" s="10" t="s">
        <v>197</v>
      </c>
      <c r="D33" s="12" t="s">
        <v>137</v>
      </c>
      <c r="E33" s="36" t="str">
        <f t="shared" si="0"/>
        <v>qInjnMerope_15plus</v>
      </c>
      <c r="F33" s="33" t="s">
        <v>13</v>
      </c>
      <c r="G33" s="12">
        <v>1000</v>
      </c>
      <c r="H33" s="12">
        <v>3</v>
      </c>
      <c r="I33" s="12">
        <f t="shared" si="1"/>
        <v>3000</v>
      </c>
      <c r="J33" s="25">
        <v>1000</v>
      </c>
      <c r="K33" s="39">
        <f t="shared" si="2"/>
        <v>3</v>
      </c>
      <c r="L33" s="13" t="s">
        <v>20</v>
      </c>
      <c r="M33" s="13"/>
    </row>
    <row r="34" spans="1:13" ht="12" customHeight="1" x14ac:dyDescent="0.15">
      <c r="A34" s="10" t="s">
        <v>241</v>
      </c>
      <c r="B34" s="10" t="s">
        <v>156</v>
      </c>
      <c r="C34" s="10" t="s">
        <v>199</v>
      </c>
      <c r="D34" s="12" t="s">
        <v>138</v>
      </c>
      <c r="E34" s="36" t="str">
        <f t="shared" ref="E34:E65" si="3">_xlfn.CONCAT(B34, "_", D34)</f>
        <v>qSuspFlucl_00.04</v>
      </c>
      <c r="F34" s="12">
        <f>ROUND(AVERAGE(11.4,10.8), 0)</f>
        <v>11</v>
      </c>
      <c r="G34" s="12">
        <f>12.5*F34</f>
        <v>137.5</v>
      </c>
      <c r="H34" s="12">
        <v>4</v>
      </c>
      <c r="I34" s="12">
        <f t="shared" ref="I34:I65" si="4">G34*H34</f>
        <v>550</v>
      </c>
      <c r="J34" s="25">
        <f>125*(100/5)</f>
        <v>2500</v>
      </c>
      <c r="K34" s="39">
        <f>FLOOR(I34/J34,0.05)</f>
        <v>0.2</v>
      </c>
      <c r="L34" s="13" t="s">
        <v>33</v>
      </c>
      <c r="M34" s="13"/>
    </row>
    <row r="35" spans="1:13" ht="12" customHeight="1" x14ac:dyDescent="0.15">
      <c r="A35" s="10" t="s">
        <v>241</v>
      </c>
      <c r="B35" s="10" t="s">
        <v>156</v>
      </c>
      <c r="C35" s="10" t="s">
        <v>199</v>
      </c>
      <c r="D35" s="12" t="s">
        <v>139</v>
      </c>
      <c r="E35" s="36" t="str">
        <f t="shared" si="3"/>
        <v>qSuspFlucl_05.09</v>
      </c>
      <c r="F35" s="12">
        <f>AVERAGE(28,24)</f>
        <v>26</v>
      </c>
      <c r="G35" s="12">
        <f>12.5*F35</f>
        <v>325</v>
      </c>
      <c r="H35" s="12">
        <v>4</v>
      </c>
      <c r="I35" s="12">
        <f t="shared" si="4"/>
        <v>1300</v>
      </c>
      <c r="J35" s="25">
        <f>125*(100/5)</f>
        <v>2500</v>
      </c>
      <c r="K35" s="39">
        <f>FLOOR(I35/J35,0.05)</f>
        <v>0.5</v>
      </c>
      <c r="L35" s="13" t="s">
        <v>33</v>
      </c>
      <c r="M35" s="13"/>
    </row>
    <row r="36" spans="1:13" ht="12" customHeight="1" x14ac:dyDescent="0.15">
      <c r="A36" s="10" t="s">
        <v>232</v>
      </c>
      <c r="B36" s="10" t="s">
        <v>148</v>
      </c>
      <c r="C36" s="10" t="s">
        <v>210</v>
      </c>
      <c r="D36" s="12" t="s">
        <v>136</v>
      </c>
      <c r="E36" s="36" t="str">
        <f t="shared" si="3"/>
        <v>qOralFlucl_10.14</v>
      </c>
      <c r="F36" s="12">
        <v>35</v>
      </c>
      <c r="G36" s="25">
        <f>12.5*F36</f>
        <v>437.5</v>
      </c>
      <c r="H36" s="12">
        <v>4</v>
      </c>
      <c r="I36" s="12">
        <f t="shared" si="4"/>
        <v>1750</v>
      </c>
      <c r="J36" s="25">
        <v>500</v>
      </c>
      <c r="K36" s="39">
        <f>CEILING(I36,J36)/J36</f>
        <v>4</v>
      </c>
      <c r="L36" s="13" t="s">
        <v>33</v>
      </c>
      <c r="M36" s="13"/>
    </row>
    <row r="37" spans="1:13" ht="12" customHeight="1" x14ac:dyDescent="0.15">
      <c r="A37" s="10" t="s">
        <v>232</v>
      </c>
      <c r="B37" s="10" t="s">
        <v>148</v>
      </c>
      <c r="C37" s="10" t="s">
        <v>210</v>
      </c>
      <c r="D37" s="12" t="s">
        <v>137</v>
      </c>
      <c r="E37" s="36" t="str">
        <f t="shared" si="3"/>
        <v>qOralFlucl_15plus</v>
      </c>
      <c r="F37" s="33" t="s">
        <v>13</v>
      </c>
      <c r="G37" s="12">
        <v>500</v>
      </c>
      <c r="H37" s="12">
        <v>4</v>
      </c>
      <c r="I37" s="12">
        <f t="shared" si="4"/>
        <v>2000</v>
      </c>
      <c r="J37" s="25">
        <v>500</v>
      </c>
      <c r="K37" s="39">
        <f>CEILING(I37,J37)/J37</f>
        <v>4</v>
      </c>
      <c r="L37" s="13" t="s">
        <v>33</v>
      </c>
      <c r="M37" s="13"/>
    </row>
    <row r="38" spans="1:13" ht="12" customHeight="1" x14ac:dyDescent="0.15">
      <c r="A38" s="10" t="s">
        <v>242</v>
      </c>
      <c r="B38" s="10" t="s">
        <v>157</v>
      </c>
      <c r="C38" s="10" t="s">
        <v>200</v>
      </c>
      <c r="D38" s="12" t="s">
        <v>138</v>
      </c>
      <c r="E38" s="36" t="str">
        <f t="shared" si="3"/>
        <v>qSuspPenic_00.04</v>
      </c>
      <c r="F38" s="12">
        <f>ROUND(AVERAGE(11.4,10.8), 0)</f>
        <v>11</v>
      </c>
      <c r="G38" s="12">
        <f>12.5*F38</f>
        <v>137.5</v>
      </c>
      <c r="H38" s="12">
        <v>4</v>
      </c>
      <c r="I38" s="12">
        <f t="shared" si="4"/>
        <v>550</v>
      </c>
      <c r="J38" s="25">
        <f>125*(100/5)</f>
        <v>2500</v>
      </c>
      <c r="K38" s="39">
        <f>FLOOR(I38/J38,0.05)</f>
        <v>0.2</v>
      </c>
      <c r="L38" s="13" t="s">
        <v>38</v>
      </c>
      <c r="M38" s="13" t="s">
        <v>39</v>
      </c>
    </row>
    <row r="39" spans="1:13" ht="12" customHeight="1" x14ac:dyDescent="0.15">
      <c r="A39" s="10" t="s">
        <v>242</v>
      </c>
      <c r="B39" s="10" t="s">
        <v>157</v>
      </c>
      <c r="C39" s="10" t="s">
        <v>200</v>
      </c>
      <c r="D39" s="12" t="s">
        <v>139</v>
      </c>
      <c r="E39" s="36" t="str">
        <f t="shared" si="3"/>
        <v>qSuspPenic_05.09</v>
      </c>
      <c r="F39" s="12">
        <f>AVERAGE(28,24)</f>
        <v>26</v>
      </c>
      <c r="G39" s="12">
        <f>12.5*F39</f>
        <v>325</v>
      </c>
      <c r="H39" s="12">
        <v>4</v>
      </c>
      <c r="I39" s="12">
        <f t="shared" si="4"/>
        <v>1300</v>
      </c>
      <c r="J39" s="25">
        <f>125*(100/5)</f>
        <v>2500</v>
      </c>
      <c r="K39" s="39">
        <f>FLOOR(I39/J39,0.05)</f>
        <v>0.5</v>
      </c>
      <c r="L39" s="13" t="s">
        <v>38</v>
      </c>
      <c r="M39" s="13" t="s">
        <v>39</v>
      </c>
    </row>
    <row r="40" spans="1:13" ht="12" customHeight="1" x14ac:dyDescent="0.15">
      <c r="A40" s="10" t="s">
        <v>235</v>
      </c>
      <c r="B40" s="10" t="s">
        <v>149</v>
      </c>
      <c r="C40" s="10" t="s">
        <v>206</v>
      </c>
      <c r="D40" s="12" t="s">
        <v>136</v>
      </c>
      <c r="E40" s="36" t="str">
        <f t="shared" si="3"/>
        <v>qOralPenic_10.14</v>
      </c>
      <c r="F40" s="12">
        <v>35</v>
      </c>
      <c r="G40" s="12">
        <f>12.5*F40</f>
        <v>437.5</v>
      </c>
      <c r="H40" s="12">
        <v>4</v>
      </c>
      <c r="I40" s="12">
        <f t="shared" si="4"/>
        <v>1750</v>
      </c>
      <c r="J40" s="25">
        <v>250</v>
      </c>
      <c r="K40" s="39">
        <f>CEILING(I40,J40)/J40</f>
        <v>7</v>
      </c>
      <c r="L40" s="13" t="s">
        <v>38</v>
      </c>
      <c r="M40" s="13" t="s">
        <v>39</v>
      </c>
    </row>
    <row r="41" spans="1:13" ht="12" customHeight="1" x14ac:dyDescent="0.15">
      <c r="A41" s="10" t="s">
        <v>235</v>
      </c>
      <c r="B41" s="10" t="s">
        <v>149</v>
      </c>
      <c r="C41" s="10" t="s">
        <v>206</v>
      </c>
      <c r="D41" s="12" t="s">
        <v>137</v>
      </c>
      <c r="E41" s="36" t="str">
        <f t="shared" si="3"/>
        <v>qOralPenic_15plus</v>
      </c>
      <c r="F41" s="33" t="s">
        <v>13</v>
      </c>
      <c r="G41" s="12">
        <v>500</v>
      </c>
      <c r="H41" s="12">
        <v>4</v>
      </c>
      <c r="I41" s="12">
        <f t="shared" si="4"/>
        <v>2000</v>
      </c>
      <c r="J41" s="25">
        <v>250</v>
      </c>
      <c r="K41" s="39">
        <f>CEILING(I41,J41)/J41</f>
        <v>8</v>
      </c>
      <c r="L41" s="13" t="s">
        <v>38</v>
      </c>
      <c r="M41" s="13" t="s">
        <v>39</v>
      </c>
    </row>
    <row r="42" spans="1:13" ht="12" customHeight="1" x14ac:dyDescent="0.15">
      <c r="A42" s="10" t="s">
        <v>243</v>
      </c>
      <c r="B42" s="10" t="s">
        <v>158</v>
      </c>
      <c r="C42" s="10" t="s">
        <v>201</v>
      </c>
      <c r="D42" s="12" t="s">
        <v>138</v>
      </c>
      <c r="E42" s="36" t="str">
        <f t="shared" si="3"/>
        <v>qSuspAmoxy_00.04</v>
      </c>
      <c r="F42" s="12">
        <f>ROUND(AVERAGE(11.4,10.8), 0)</f>
        <v>11</v>
      </c>
      <c r="G42" s="12">
        <f>25*F42</f>
        <v>275</v>
      </c>
      <c r="H42" s="12">
        <v>3</v>
      </c>
      <c r="I42" s="12">
        <f t="shared" si="4"/>
        <v>825</v>
      </c>
      <c r="J42" s="25">
        <f>125*(100/5)</f>
        <v>2500</v>
      </c>
      <c r="K42" s="39">
        <f>FLOOR(I42/J42,0.05)</f>
        <v>0.30000000000000004</v>
      </c>
      <c r="L42" s="13" t="s">
        <v>24</v>
      </c>
      <c r="M42" s="13" t="s">
        <v>25</v>
      </c>
    </row>
    <row r="43" spans="1:13" ht="12" customHeight="1" x14ac:dyDescent="0.15">
      <c r="A43" s="10" t="s">
        <v>236</v>
      </c>
      <c r="B43" s="10" t="s">
        <v>150</v>
      </c>
      <c r="C43" s="10" t="s">
        <v>211</v>
      </c>
      <c r="D43" s="12" t="s">
        <v>139</v>
      </c>
      <c r="E43" s="36" t="str">
        <f t="shared" si="3"/>
        <v>qOralAmoxy_05.09</v>
      </c>
      <c r="F43" s="12">
        <f>AVERAGE(28,24)</f>
        <v>26</v>
      </c>
      <c r="G43" s="12">
        <f>25*F43</f>
        <v>650</v>
      </c>
      <c r="H43" s="12">
        <v>3</v>
      </c>
      <c r="I43" s="12">
        <f t="shared" si="4"/>
        <v>1950</v>
      </c>
      <c r="J43" s="25">
        <v>500</v>
      </c>
      <c r="K43" s="39">
        <f>FLOOR(I43,J43)/J43</f>
        <v>3</v>
      </c>
      <c r="L43" s="13" t="s">
        <v>24</v>
      </c>
      <c r="M43" s="13" t="s">
        <v>25</v>
      </c>
    </row>
    <row r="44" spans="1:13" ht="12" customHeight="1" x14ac:dyDescent="0.15">
      <c r="A44" s="10" t="s">
        <v>236</v>
      </c>
      <c r="B44" s="10" t="s">
        <v>150</v>
      </c>
      <c r="C44" s="10" t="s">
        <v>211</v>
      </c>
      <c r="D44" s="12" t="s">
        <v>136</v>
      </c>
      <c r="E44" s="36" t="str">
        <f t="shared" si="3"/>
        <v>qOralAmoxy_10.14</v>
      </c>
      <c r="F44" s="12">
        <v>35</v>
      </c>
      <c r="G44" s="12">
        <f>25*F44</f>
        <v>875</v>
      </c>
      <c r="H44" s="12">
        <v>3</v>
      </c>
      <c r="I44" s="12">
        <f t="shared" si="4"/>
        <v>2625</v>
      </c>
      <c r="J44" s="25">
        <v>500</v>
      </c>
      <c r="K44" s="39">
        <f>FLOOR(I44,J44)/J44</f>
        <v>5</v>
      </c>
      <c r="L44" s="13" t="s">
        <v>24</v>
      </c>
      <c r="M44" s="13" t="s">
        <v>25</v>
      </c>
    </row>
    <row r="45" spans="1:13" ht="12" customHeight="1" x14ac:dyDescent="0.15">
      <c r="A45" s="10" t="s">
        <v>236</v>
      </c>
      <c r="B45" s="10" t="s">
        <v>150</v>
      </c>
      <c r="C45" s="10" t="s">
        <v>211</v>
      </c>
      <c r="D45" s="12" t="s">
        <v>137</v>
      </c>
      <c r="E45" s="36" t="str">
        <f t="shared" si="3"/>
        <v>qOralAmoxy_15plus</v>
      </c>
      <c r="F45" s="33" t="s">
        <v>13</v>
      </c>
      <c r="G45" s="12">
        <v>1000</v>
      </c>
      <c r="H45" s="12">
        <v>3</v>
      </c>
      <c r="I45" s="12">
        <f t="shared" si="4"/>
        <v>3000</v>
      </c>
      <c r="J45" s="25">
        <v>500</v>
      </c>
      <c r="K45" s="39">
        <f>FLOOR(I45,J45)/J45</f>
        <v>6</v>
      </c>
      <c r="L45" s="13" t="s">
        <v>24</v>
      </c>
      <c r="M45" s="13" t="s">
        <v>25</v>
      </c>
    </row>
    <row r="46" spans="1:13" ht="12" customHeight="1" x14ac:dyDescent="0.15">
      <c r="A46" s="10" t="s">
        <v>244</v>
      </c>
      <c r="B46" s="10" t="s">
        <v>159</v>
      </c>
      <c r="C46" s="10" t="s">
        <v>202</v>
      </c>
      <c r="D46" s="12" t="s">
        <v>138</v>
      </c>
      <c r="E46" s="36" t="str">
        <f t="shared" si="3"/>
        <v>qSuspMetro_00.04</v>
      </c>
      <c r="F46" s="12">
        <f>ROUND(AVERAGE(11.4,10.8), 0)</f>
        <v>11</v>
      </c>
      <c r="G46" s="12">
        <f>10*F46</f>
        <v>110</v>
      </c>
      <c r="H46" s="12">
        <v>2</v>
      </c>
      <c r="I46" s="12">
        <f t="shared" si="4"/>
        <v>220</v>
      </c>
      <c r="J46" s="25">
        <f>200*(100/5)</f>
        <v>4000</v>
      </c>
      <c r="K46" s="39">
        <f>FLOOR(I46/J46,0.05)</f>
        <v>0.05</v>
      </c>
      <c r="L46" s="13" t="s">
        <v>35</v>
      </c>
      <c r="M46" s="13" t="s">
        <v>36</v>
      </c>
    </row>
    <row r="47" spans="1:13" ht="12" customHeight="1" x14ac:dyDescent="0.15">
      <c r="A47" s="10" t="s">
        <v>244</v>
      </c>
      <c r="B47" s="10" t="s">
        <v>159</v>
      </c>
      <c r="C47" s="10" t="s">
        <v>202</v>
      </c>
      <c r="D47" s="12" t="s">
        <v>139</v>
      </c>
      <c r="E47" s="36" t="str">
        <f t="shared" si="3"/>
        <v>qSuspMetro_05.09</v>
      </c>
      <c r="F47" s="12">
        <f>AVERAGE(28,24)</f>
        <v>26</v>
      </c>
      <c r="G47" s="12">
        <f>10*F47</f>
        <v>260</v>
      </c>
      <c r="H47" s="12">
        <v>2</v>
      </c>
      <c r="I47" s="12">
        <f t="shared" si="4"/>
        <v>520</v>
      </c>
      <c r="J47" s="25">
        <f>200*(100/5)</f>
        <v>4000</v>
      </c>
      <c r="K47" s="39">
        <f>FLOOR(I47/J47,0.05)</f>
        <v>0.1</v>
      </c>
      <c r="L47" s="13" t="s">
        <v>35</v>
      </c>
      <c r="M47" s="13" t="s">
        <v>36</v>
      </c>
    </row>
    <row r="48" spans="1:13" ht="12" customHeight="1" x14ac:dyDescent="0.15">
      <c r="A48" s="10" t="s">
        <v>234</v>
      </c>
      <c r="B48" s="10" t="s">
        <v>151</v>
      </c>
      <c r="C48" s="10" t="s">
        <v>207</v>
      </c>
      <c r="D48" s="12" t="s">
        <v>136</v>
      </c>
      <c r="E48" s="36" t="str">
        <f t="shared" si="3"/>
        <v>qOralMetro_10.14</v>
      </c>
      <c r="F48" s="12">
        <v>35</v>
      </c>
      <c r="G48" s="12">
        <f>10*F48</f>
        <v>350</v>
      </c>
      <c r="H48" s="12">
        <v>2</v>
      </c>
      <c r="I48" s="12">
        <f t="shared" si="4"/>
        <v>700</v>
      </c>
      <c r="J48" s="25">
        <v>200</v>
      </c>
      <c r="K48" s="39">
        <f>CEILING(I48,J48)/J48</f>
        <v>4</v>
      </c>
      <c r="L48" s="13" t="s">
        <v>35</v>
      </c>
      <c r="M48" s="13" t="s">
        <v>36</v>
      </c>
    </row>
    <row r="49" spans="1:13" ht="12" customHeight="1" x14ac:dyDescent="0.15">
      <c r="A49" s="10" t="s">
        <v>234</v>
      </c>
      <c r="B49" s="10" t="s">
        <v>151</v>
      </c>
      <c r="C49" s="10" t="s">
        <v>207</v>
      </c>
      <c r="D49" s="12" t="s">
        <v>137</v>
      </c>
      <c r="E49" s="36" t="str">
        <f t="shared" si="3"/>
        <v>qOralMetro_15plus</v>
      </c>
      <c r="F49" s="33" t="s">
        <v>13</v>
      </c>
      <c r="G49" s="12">
        <v>400</v>
      </c>
      <c r="H49" s="12">
        <v>2</v>
      </c>
      <c r="I49" s="12">
        <f t="shared" si="4"/>
        <v>800</v>
      </c>
      <c r="J49" s="25">
        <v>200</v>
      </c>
      <c r="K49" s="39">
        <f>CEILING(I49,J49)/J49</f>
        <v>4</v>
      </c>
      <c r="L49" s="13" t="s">
        <v>35</v>
      </c>
      <c r="M49" s="13" t="s">
        <v>36</v>
      </c>
    </row>
    <row r="50" spans="1:13" ht="12" customHeight="1" x14ac:dyDescent="0.15">
      <c r="A50" s="10" t="s">
        <v>245</v>
      </c>
      <c r="B50" s="10" t="s">
        <v>160</v>
      </c>
      <c r="C50" s="10" t="s">
        <v>203</v>
      </c>
      <c r="D50" s="12" t="s">
        <v>138</v>
      </c>
      <c r="E50" s="36" t="str">
        <f t="shared" si="3"/>
        <v>qSuspEryth_00.04</v>
      </c>
      <c r="F50" s="12">
        <f>ROUND(AVERAGE(11.4,10.8), 0)</f>
        <v>11</v>
      </c>
      <c r="G50" s="12">
        <f>10*F50</f>
        <v>110</v>
      </c>
      <c r="H50" s="12">
        <v>4</v>
      </c>
      <c r="I50" s="12">
        <f t="shared" si="4"/>
        <v>440</v>
      </c>
      <c r="J50" s="25">
        <f>125*(100/5)</f>
        <v>2500</v>
      </c>
      <c r="K50" s="39">
        <f>FLOOR(I50/J50,0.05)</f>
        <v>0.15000000000000002</v>
      </c>
      <c r="L50" s="13" t="s">
        <v>31</v>
      </c>
      <c r="M50" s="13"/>
    </row>
    <row r="51" spans="1:13" x14ac:dyDescent="0.15">
      <c r="A51" s="10" t="s">
        <v>245</v>
      </c>
      <c r="B51" s="10" t="s">
        <v>160</v>
      </c>
      <c r="C51" s="10" t="s">
        <v>203</v>
      </c>
      <c r="D51" s="12" t="s">
        <v>139</v>
      </c>
      <c r="E51" s="36" t="str">
        <f t="shared" si="3"/>
        <v>qSuspEryth_05.09</v>
      </c>
      <c r="F51" s="12">
        <f>AVERAGE(28,24)</f>
        <v>26</v>
      </c>
      <c r="G51" s="12">
        <f>10*F51</f>
        <v>260</v>
      </c>
      <c r="H51" s="12">
        <v>4</v>
      </c>
      <c r="I51" s="12">
        <f t="shared" si="4"/>
        <v>1040</v>
      </c>
      <c r="J51" s="25">
        <f>125*(100/5)</f>
        <v>2500</v>
      </c>
      <c r="K51" s="39">
        <f>FLOOR(I51/J51,0.05)</f>
        <v>0.4</v>
      </c>
      <c r="L51" s="13" t="s">
        <v>31</v>
      </c>
      <c r="M51" s="13"/>
    </row>
    <row r="52" spans="1:13" x14ac:dyDescent="0.15">
      <c r="A52" s="10" t="s">
        <v>248</v>
      </c>
      <c r="B52" s="10" t="s">
        <v>152</v>
      </c>
      <c r="C52" s="10" t="s">
        <v>208</v>
      </c>
      <c r="D52" s="12" t="s">
        <v>136</v>
      </c>
      <c r="E52" s="36" t="str">
        <f t="shared" si="3"/>
        <v>qOralEryth_10.14</v>
      </c>
      <c r="F52" s="12">
        <v>35</v>
      </c>
      <c r="G52" s="12">
        <f>10*F52</f>
        <v>350</v>
      </c>
      <c r="H52" s="12">
        <v>4</v>
      </c>
      <c r="I52" s="12">
        <f t="shared" si="4"/>
        <v>1400</v>
      </c>
      <c r="J52" s="25">
        <v>250</v>
      </c>
      <c r="K52" s="39">
        <f t="shared" ref="K52:K57" si="5">CEILING(I52,J52)/J52</f>
        <v>6</v>
      </c>
      <c r="L52" s="13" t="s">
        <v>31</v>
      </c>
      <c r="M52" s="13"/>
    </row>
    <row r="53" spans="1:13" x14ac:dyDescent="0.15">
      <c r="A53" s="10" t="s">
        <v>248</v>
      </c>
      <c r="B53" s="10" t="s">
        <v>152</v>
      </c>
      <c r="C53" s="10" t="s">
        <v>208</v>
      </c>
      <c r="D53" s="12" t="s">
        <v>137</v>
      </c>
      <c r="E53" s="36" t="str">
        <f t="shared" si="3"/>
        <v>qOralEryth_15plus</v>
      </c>
      <c r="F53" s="33" t="s">
        <v>13</v>
      </c>
      <c r="G53" s="12">
        <v>500</v>
      </c>
      <c r="H53" s="12">
        <v>4</v>
      </c>
      <c r="I53" s="12">
        <f t="shared" si="4"/>
        <v>2000</v>
      </c>
      <c r="J53" s="25">
        <v>250</v>
      </c>
      <c r="K53" s="39">
        <f t="shared" si="5"/>
        <v>8</v>
      </c>
      <c r="L53" s="13" t="s">
        <v>31</v>
      </c>
      <c r="M53" s="13"/>
    </row>
    <row r="54" spans="1:13" x14ac:dyDescent="0.15">
      <c r="A54" s="10" t="s">
        <v>238</v>
      </c>
      <c r="B54" s="10" t="s">
        <v>153</v>
      </c>
      <c r="C54" s="10" t="s">
        <v>212</v>
      </c>
      <c r="D54" s="12" t="s">
        <v>138</v>
      </c>
      <c r="E54" s="36" t="str">
        <f t="shared" si="3"/>
        <v>qOralDoxyc_00.04</v>
      </c>
      <c r="F54" s="12">
        <f>ROUND(AVERAGE(11.4,10.8), 0)</f>
        <v>11</v>
      </c>
      <c r="G54" s="12">
        <v>0</v>
      </c>
      <c r="H54" s="12">
        <v>2</v>
      </c>
      <c r="I54" s="12">
        <f t="shared" si="4"/>
        <v>0</v>
      </c>
      <c r="J54" s="25">
        <v>100</v>
      </c>
      <c r="K54" s="39">
        <f t="shared" si="5"/>
        <v>0</v>
      </c>
      <c r="L54" s="13" t="s">
        <v>29</v>
      </c>
      <c r="M54" s="13"/>
    </row>
    <row r="55" spans="1:13" x14ac:dyDescent="0.15">
      <c r="A55" s="10" t="s">
        <v>238</v>
      </c>
      <c r="B55" s="10" t="s">
        <v>153</v>
      </c>
      <c r="C55" s="10" t="s">
        <v>212</v>
      </c>
      <c r="D55" s="12" t="s">
        <v>139</v>
      </c>
      <c r="E55" s="36" t="str">
        <f t="shared" si="3"/>
        <v>qOralDoxyc_05.09</v>
      </c>
      <c r="F55" s="12">
        <f>AVERAGE(28,24)</f>
        <v>26</v>
      </c>
      <c r="G55" s="12">
        <v>0</v>
      </c>
      <c r="H55" s="12">
        <v>2</v>
      </c>
      <c r="I55" s="12">
        <f t="shared" si="4"/>
        <v>0</v>
      </c>
      <c r="J55" s="25">
        <v>100</v>
      </c>
      <c r="K55" s="39">
        <f t="shared" si="5"/>
        <v>0</v>
      </c>
      <c r="L55" s="13" t="s">
        <v>29</v>
      </c>
      <c r="M55" s="13"/>
    </row>
    <row r="56" spans="1:13" x14ac:dyDescent="0.15">
      <c r="A56" s="10" t="s">
        <v>238</v>
      </c>
      <c r="B56" s="10" t="s">
        <v>153</v>
      </c>
      <c r="C56" s="10" t="s">
        <v>212</v>
      </c>
      <c r="D56" s="12" t="s">
        <v>136</v>
      </c>
      <c r="E56" s="36" t="str">
        <f t="shared" si="3"/>
        <v>qOralDoxyc_10.14</v>
      </c>
      <c r="F56" s="12">
        <v>35</v>
      </c>
      <c r="G56" s="12">
        <v>0</v>
      </c>
      <c r="H56" s="12">
        <v>2</v>
      </c>
      <c r="I56" s="12">
        <f t="shared" si="4"/>
        <v>0</v>
      </c>
      <c r="J56" s="25">
        <v>100</v>
      </c>
      <c r="K56" s="39">
        <f t="shared" si="5"/>
        <v>0</v>
      </c>
      <c r="L56" s="13" t="s">
        <v>29</v>
      </c>
      <c r="M56" s="13"/>
    </row>
    <row r="57" spans="1:13" x14ac:dyDescent="0.15">
      <c r="A57" s="10" t="s">
        <v>238</v>
      </c>
      <c r="B57" s="10" t="s">
        <v>153</v>
      </c>
      <c r="C57" s="10" t="s">
        <v>212</v>
      </c>
      <c r="D57" s="12" t="s">
        <v>137</v>
      </c>
      <c r="E57" s="36" t="str">
        <f t="shared" si="3"/>
        <v>qOralDoxyc_15plus</v>
      </c>
      <c r="F57" s="33" t="s">
        <v>13</v>
      </c>
      <c r="G57" s="12">
        <v>100</v>
      </c>
      <c r="H57" s="12">
        <v>2</v>
      </c>
      <c r="I57" s="12">
        <f t="shared" si="4"/>
        <v>200</v>
      </c>
      <c r="J57" s="25">
        <v>100</v>
      </c>
      <c r="K57" s="39">
        <f t="shared" si="5"/>
        <v>2</v>
      </c>
      <c r="L57" s="13" t="s">
        <v>29</v>
      </c>
      <c r="M57" s="13"/>
    </row>
    <row r="58" spans="1:13" ht="12" customHeight="1" x14ac:dyDescent="0.15">
      <c r="A58" s="10" t="s">
        <v>246</v>
      </c>
      <c r="B58" s="10" t="s">
        <v>161</v>
      </c>
      <c r="C58" s="10" t="s">
        <v>204</v>
      </c>
      <c r="D58" s="12" t="s">
        <v>138</v>
      </c>
      <c r="E58" s="36" t="str">
        <f t="shared" si="3"/>
        <v>qSuspCepha_00.04</v>
      </c>
      <c r="F58" s="12">
        <f>ROUND(AVERAGE(11.4,10.8), 0)</f>
        <v>11</v>
      </c>
      <c r="G58" s="12">
        <f>12.5*F58</f>
        <v>137.5</v>
      </c>
      <c r="H58" s="12">
        <v>4</v>
      </c>
      <c r="I58" s="12">
        <f t="shared" si="4"/>
        <v>550</v>
      </c>
      <c r="J58" s="25">
        <f>125*(100/5)</f>
        <v>2500</v>
      </c>
      <c r="K58" s="39">
        <f>FLOOR(I58/J58,0.05)</f>
        <v>0.2</v>
      </c>
      <c r="L58" s="13" t="s">
        <v>27</v>
      </c>
      <c r="M58" s="13"/>
    </row>
    <row r="59" spans="1:13" ht="12" customHeight="1" x14ac:dyDescent="0.15">
      <c r="A59" s="10" t="s">
        <v>246</v>
      </c>
      <c r="B59" s="10" t="s">
        <v>161</v>
      </c>
      <c r="C59" s="10" t="s">
        <v>204</v>
      </c>
      <c r="D59" s="12" t="s">
        <v>139</v>
      </c>
      <c r="E59" s="36" t="str">
        <f t="shared" si="3"/>
        <v>qSuspCepha_05.09</v>
      </c>
      <c r="F59" s="12">
        <f>AVERAGE(28,24)</f>
        <v>26</v>
      </c>
      <c r="G59" s="12">
        <f>12.5*F59</f>
        <v>325</v>
      </c>
      <c r="H59" s="12">
        <v>4</v>
      </c>
      <c r="I59" s="12">
        <f t="shared" si="4"/>
        <v>1300</v>
      </c>
      <c r="J59" s="25">
        <f>125*(100/5)</f>
        <v>2500</v>
      </c>
      <c r="K59" s="39">
        <f>FLOOR(I59/J59,0.05)</f>
        <v>0.5</v>
      </c>
      <c r="L59" s="13" t="s">
        <v>27</v>
      </c>
      <c r="M59" s="13"/>
    </row>
    <row r="60" spans="1:13" ht="12" customHeight="1" x14ac:dyDescent="0.15">
      <c r="A60" s="10" t="s">
        <v>239</v>
      </c>
      <c r="B60" s="10" t="s">
        <v>154</v>
      </c>
      <c r="C60" s="10" t="s">
        <v>213</v>
      </c>
      <c r="D60" s="12" t="s">
        <v>136</v>
      </c>
      <c r="E60" s="36" t="str">
        <f t="shared" si="3"/>
        <v>qOralCepha_10.14</v>
      </c>
      <c r="F60" s="12">
        <v>35</v>
      </c>
      <c r="G60" s="12">
        <f>12.5*F60</f>
        <v>437.5</v>
      </c>
      <c r="H60" s="12">
        <v>4</v>
      </c>
      <c r="I60" s="12">
        <f t="shared" si="4"/>
        <v>1750</v>
      </c>
      <c r="J60" s="25">
        <v>500</v>
      </c>
      <c r="K60" s="39">
        <f>CEILING(I60,J60)/J60</f>
        <v>4</v>
      </c>
      <c r="L60" s="13" t="s">
        <v>27</v>
      </c>
      <c r="M60" s="13"/>
    </row>
    <row r="61" spans="1:13" ht="12" customHeight="1" x14ac:dyDescent="0.15">
      <c r="A61" s="10" t="s">
        <v>239</v>
      </c>
      <c r="B61" s="10" t="s">
        <v>154</v>
      </c>
      <c r="C61" s="10" t="s">
        <v>213</v>
      </c>
      <c r="D61" s="12" t="s">
        <v>137</v>
      </c>
      <c r="E61" s="36" t="str">
        <f t="shared" si="3"/>
        <v>qOralCepha_15plus</v>
      </c>
      <c r="F61" s="33" t="s">
        <v>13</v>
      </c>
      <c r="G61" s="12">
        <v>500</v>
      </c>
      <c r="H61" s="12">
        <v>4</v>
      </c>
      <c r="I61" s="12">
        <f t="shared" si="4"/>
        <v>2000</v>
      </c>
      <c r="J61" s="25">
        <v>500</v>
      </c>
      <c r="K61" s="39">
        <f>CEILING(I61,J61)/J61</f>
        <v>4</v>
      </c>
      <c r="L61" s="13" t="s">
        <v>27</v>
      </c>
      <c r="M61" s="13"/>
    </row>
    <row r="62" spans="1:13" x14ac:dyDescent="0.15">
      <c r="A62" s="10" t="s">
        <v>247</v>
      </c>
      <c r="B62" s="10" t="s">
        <v>162</v>
      </c>
      <c r="C62" s="10" t="s">
        <v>205</v>
      </c>
      <c r="D62" s="12" t="s">
        <v>138</v>
      </c>
      <c r="E62" s="36" t="str">
        <f t="shared" si="3"/>
        <v>qSuspSeptr_00.04</v>
      </c>
      <c r="F62" s="12">
        <f>ROUND(AVERAGE(11.4,10.8), 0)</f>
        <v>11</v>
      </c>
      <c r="G62" s="12">
        <f>24*F62</f>
        <v>264</v>
      </c>
      <c r="H62" s="12">
        <v>2</v>
      </c>
      <c r="I62" s="12">
        <f t="shared" si="4"/>
        <v>528</v>
      </c>
      <c r="J62" s="25">
        <f>240*(100/5)</f>
        <v>4800</v>
      </c>
      <c r="K62" s="39">
        <f>FLOOR(I62/J62,0.05)</f>
        <v>0.1</v>
      </c>
      <c r="L62" s="13" t="s">
        <v>41</v>
      </c>
      <c r="M62" s="13" t="s">
        <v>17</v>
      </c>
    </row>
    <row r="63" spans="1:13" x14ac:dyDescent="0.15">
      <c r="A63" s="10" t="s">
        <v>247</v>
      </c>
      <c r="B63" s="10" t="s">
        <v>162</v>
      </c>
      <c r="C63" s="10" t="s">
        <v>205</v>
      </c>
      <c r="D63" s="12" t="s">
        <v>139</v>
      </c>
      <c r="E63" s="36" t="str">
        <f t="shared" si="3"/>
        <v>qSuspSeptr_05.09</v>
      </c>
      <c r="F63" s="12">
        <f>AVERAGE(28,24)</f>
        <v>26</v>
      </c>
      <c r="G63" s="12">
        <f>24*F63</f>
        <v>624</v>
      </c>
      <c r="H63" s="12">
        <v>2</v>
      </c>
      <c r="I63" s="12">
        <f t="shared" si="4"/>
        <v>1248</v>
      </c>
      <c r="J63" s="25">
        <f>240*(100/5)</f>
        <v>4800</v>
      </c>
      <c r="K63" s="39">
        <f>FLOOR(I63/J63,0.05)</f>
        <v>0.25</v>
      </c>
      <c r="L63" s="13" t="s">
        <v>41</v>
      </c>
      <c r="M63" s="13" t="s">
        <v>17</v>
      </c>
    </row>
    <row r="64" spans="1:13" x14ac:dyDescent="0.15">
      <c r="A64" s="10" t="s">
        <v>233</v>
      </c>
      <c r="B64" s="10" t="s">
        <v>155</v>
      </c>
      <c r="C64" s="10" t="s">
        <v>209</v>
      </c>
      <c r="D64" s="12" t="s">
        <v>136</v>
      </c>
      <c r="E64" s="36" t="str">
        <f t="shared" si="3"/>
        <v>qOralSeptr_10.14</v>
      </c>
      <c r="F64" s="12">
        <v>35</v>
      </c>
      <c r="G64" s="12">
        <f>24*F64</f>
        <v>840</v>
      </c>
      <c r="H64" s="12">
        <v>2</v>
      </c>
      <c r="I64" s="12">
        <f t="shared" si="4"/>
        <v>1680</v>
      </c>
      <c r="J64" s="25">
        <v>480</v>
      </c>
      <c r="K64" s="39">
        <f>CEILING(I64,J64)/J64</f>
        <v>4</v>
      </c>
      <c r="L64" s="13" t="s">
        <v>41</v>
      </c>
      <c r="M64" s="13" t="s">
        <v>17</v>
      </c>
    </row>
    <row r="65" spans="1:13" x14ac:dyDescent="0.15">
      <c r="A65" s="10" t="s">
        <v>233</v>
      </c>
      <c r="B65" s="10" t="s">
        <v>155</v>
      </c>
      <c r="C65" s="10" t="s">
        <v>209</v>
      </c>
      <c r="D65" s="12" t="s">
        <v>137</v>
      </c>
      <c r="E65" s="36" t="str">
        <f t="shared" si="3"/>
        <v>qOralSeptr_15plus</v>
      </c>
      <c r="F65" s="33" t="s">
        <v>13</v>
      </c>
      <c r="G65" s="12">
        <v>960</v>
      </c>
      <c r="H65" s="12">
        <v>2</v>
      </c>
      <c r="I65" s="12">
        <f t="shared" si="4"/>
        <v>1920</v>
      </c>
      <c r="J65" s="25">
        <v>480</v>
      </c>
      <c r="K65" s="39">
        <f>CEILING(I65,J65)/J65</f>
        <v>4</v>
      </c>
      <c r="L65" s="13" t="s">
        <v>41</v>
      </c>
      <c r="M65" s="13" t="s">
        <v>17</v>
      </c>
    </row>
    <row r="66" spans="1:13" ht="12" customHeight="1" x14ac:dyDescent="0.15">
      <c r="A66" s="10" t="s">
        <v>240</v>
      </c>
      <c r="B66" s="10" t="s">
        <v>164</v>
      </c>
      <c r="C66" s="10" t="s">
        <v>198</v>
      </c>
      <c r="D66" s="12" t="s">
        <v>138</v>
      </c>
      <c r="E66" s="36" t="str">
        <f t="shared" ref="E66:E69" si="6">_xlfn.CONCAT(B66, "_", D66)</f>
        <v>qInjnPenicG_00.04</v>
      </c>
      <c r="F66" s="12">
        <v>11</v>
      </c>
      <c r="G66" s="25">
        <v>0.6</v>
      </c>
      <c r="H66" s="12">
        <v>1</v>
      </c>
      <c r="I66" s="12">
        <f t="shared" ref="I66:I69" si="7">G66*H66</f>
        <v>0.6</v>
      </c>
      <c r="J66" s="25">
        <v>2.4</v>
      </c>
      <c r="K66" s="39">
        <f>CEILING(I66/J66, 1)</f>
        <v>1</v>
      </c>
      <c r="L66" s="13" t="s">
        <v>23</v>
      </c>
      <c r="M66" s="13"/>
    </row>
    <row r="67" spans="1:13" x14ac:dyDescent="0.15">
      <c r="A67" s="10" t="s">
        <v>240</v>
      </c>
      <c r="B67" s="10" t="s">
        <v>164</v>
      </c>
      <c r="C67" s="10" t="s">
        <v>198</v>
      </c>
      <c r="D67" s="12" t="s">
        <v>139</v>
      </c>
      <c r="E67" s="36" t="str">
        <f t="shared" si="6"/>
        <v>qInjnPenicG_05.09</v>
      </c>
      <c r="F67" s="12">
        <v>26</v>
      </c>
      <c r="G67" s="25">
        <v>1.2</v>
      </c>
      <c r="H67" s="12">
        <v>1</v>
      </c>
      <c r="I67" s="12">
        <f t="shared" si="7"/>
        <v>1.2</v>
      </c>
      <c r="J67" s="25">
        <v>2.4</v>
      </c>
      <c r="K67" s="39">
        <f>CEILING(I67/J67, 1)</f>
        <v>1</v>
      </c>
      <c r="L67" s="13" t="s">
        <v>23</v>
      </c>
      <c r="M67" s="13"/>
    </row>
    <row r="68" spans="1:13" ht="12" customHeight="1" x14ac:dyDescent="0.15">
      <c r="A68" s="10" t="s">
        <v>240</v>
      </c>
      <c r="B68" s="10" t="s">
        <v>164</v>
      </c>
      <c r="C68" s="10" t="s">
        <v>198</v>
      </c>
      <c r="D68" s="12" t="s">
        <v>136</v>
      </c>
      <c r="E68" s="36" t="str">
        <f t="shared" si="6"/>
        <v>qInjnPenicG_10.14</v>
      </c>
      <c r="F68" s="12">
        <v>35</v>
      </c>
      <c r="G68" s="25">
        <v>2.4</v>
      </c>
      <c r="H68" s="12">
        <v>1</v>
      </c>
      <c r="I68" s="12">
        <f t="shared" si="7"/>
        <v>2.4</v>
      </c>
      <c r="J68" s="25">
        <v>2.4</v>
      </c>
      <c r="K68" s="39">
        <f>CEILING(I68/J68, 1)</f>
        <v>1</v>
      </c>
      <c r="L68" s="13" t="s">
        <v>23</v>
      </c>
      <c r="M68" s="13"/>
    </row>
    <row r="69" spans="1:13" x14ac:dyDescent="0.15">
      <c r="A69" s="10" t="s">
        <v>240</v>
      </c>
      <c r="B69" s="10" t="s">
        <v>164</v>
      </c>
      <c r="C69" s="10" t="s">
        <v>198</v>
      </c>
      <c r="D69" s="12" t="s">
        <v>137</v>
      </c>
      <c r="E69" s="36" t="str">
        <f t="shared" si="6"/>
        <v>qInjnPenicG_15plus</v>
      </c>
      <c r="F69" s="33" t="s">
        <v>13</v>
      </c>
      <c r="G69" s="25">
        <v>2.4</v>
      </c>
      <c r="H69" s="12">
        <v>1</v>
      </c>
      <c r="I69" s="12">
        <f t="shared" si="7"/>
        <v>2.4</v>
      </c>
      <c r="J69" s="25">
        <v>2.4</v>
      </c>
      <c r="K69" s="39">
        <f>CEILING(I69/J69, 1)</f>
        <v>1</v>
      </c>
      <c r="L69" s="13" t="s">
        <v>23</v>
      </c>
      <c r="M69" s="13"/>
    </row>
  </sheetData>
  <autoFilter ref="E1:M65" xr:uid="{FF68A154-EB1C-49E7-BEF9-D1C488500386}"/>
  <phoneticPr fontId="1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EBA1-ED93-432F-930C-F4C733025027}">
  <dimension ref="A1:P27"/>
  <sheetViews>
    <sheetView tabSelected="1" topLeftCell="F1" zoomScale="120" zoomScaleNormal="120" workbookViewId="0">
      <selection activeCell="P27" sqref="L1:P27"/>
    </sheetView>
  </sheetViews>
  <sheetFormatPr baseColWidth="10" defaultColWidth="8.83203125" defaultRowHeight="15" x14ac:dyDescent="0.2"/>
  <cols>
    <col min="1" max="1" width="23" customWidth="1"/>
    <col min="2" max="2" width="15" bestFit="1" customWidth="1"/>
    <col min="3" max="4" width="7.6640625" customWidth="1"/>
    <col min="5" max="5" width="7.5" style="43" bestFit="1" customWidth="1"/>
    <col min="6" max="6" width="7.6640625" bestFit="1" customWidth="1"/>
    <col min="7" max="7" width="23.6640625" style="28" bestFit="1" customWidth="1"/>
    <col min="8" max="8" width="22.6640625" bestFit="1" customWidth="1"/>
    <col min="9" max="9" width="12" style="45" customWidth="1"/>
    <col min="12" max="12" width="31.83203125" customWidth="1"/>
    <col min="13" max="13" width="10.83203125" style="46" customWidth="1"/>
    <col min="14" max="14" width="16.33203125" bestFit="1" customWidth="1"/>
    <col min="15" max="15" width="12" style="46" bestFit="1" customWidth="1"/>
    <col min="16" max="16" width="13.1640625" style="47" bestFit="1" customWidth="1"/>
  </cols>
  <sheetData>
    <row r="1" spans="1:16" x14ac:dyDescent="0.2">
      <c r="A1" s="3" t="s">
        <v>178</v>
      </c>
      <c r="B1" s="3" t="s">
        <v>167</v>
      </c>
      <c r="C1" s="3" t="s">
        <v>179</v>
      </c>
      <c r="D1" s="3" t="s">
        <v>180</v>
      </c>
      <c r="E1" s="41" t="s">
        <v>181</v>
      </c>
      <c r="F1" s="3" t="s">
        <v>182</v>
      </c>
      <c r="G1" s="3" t="s">
        <v>44</v>
      </c>
      <c r="H1" s="3" t="s">
        <v>176</v>
      </c>
      <c r="I1" s="44" t="s">
        <v>249</v>
      </c>
      <c r="L1" s="48" t="s">
        <v>271</v>
      </c>
      <c r="M1" s="49" t="s">
        <v>269</v>
      </c>
      <c r="N1" s="48" t="s">
        <v>44</v>
      </c>
      <c r="O1" s="49" t="s">
        <v>268</v>
      </c>
      <c r="P1" s="50" t="s">
        <v>272</v>
      </c>
    </row>
    <row r="2" spans="1:16" x14ac:dyDescent="0.2">
      <c r="A2" s="5" t="str">
        <f>_xlfn.CONCAT(H2, " ", B2)</f>
        <v>Injection cloxacillin 500mg</v>
      </c>
      <c r="B2" s="5" t="s">
        <v>45</v>
      </c>
      <c r="C2" s="26">
        <v>1</v>
      </c>
      <c r="D2" s="26">
        <v>0.76</v>
      </c>
      <c r="E2" s="42">
        <f>ROUND(D2/C2, 2)</f>
        <v>0.76</v>
      </c>
      <c r="F2" s="26">
        <v>2013</v>
      </c>
      <c r="G2" s="5" t="s">
        <v>173</v>
      </c>
      <c r="H2" s="5" t="s">
        <v>214</v>
      </c>
      <c r="I2" s="23">
        <v>0.48</v>
      </c>
      <c r="L2" s="51" t="s">
        <v>250</v>
      </c>
      <c r="M2" s="52">
        <v>0.76</v>
      </c>
      <c r="N2" s="51" t="s">
        <v>273</v>
      </c>
      <c r="O2" s="52">
        <v>0.48</v>
      </c>
      <c r="P2" s="53" t="str">
        <f>IF(ROUND(M2,2)&gt;ROUND(O2,2), "Old cost", IF(ROUND(M2,2)&lt;ROUND(O2,2), "New cost", "Both costs same"))</f>
        <v>Old cost</v>
      </c>
    </row>
    <row r="3" spans="1:16" x14ac:dyDescent="0.2">
      <c r="A3" s="5" t="str">
        <f>_xlfn.CONCAT(H3, " ", B3)</f>
        <v>Injection gentamicin 80mg/2mL</v>
      </c>
      <c r="B3" s="5" t="s">
        <v>46</v>
      </c>
      <c r="C3" s="26">
        <v>1</v>
      </c>
      <c r="D3" s="26">
        <v>0.12</v>
      </c>
      <c r="E3" s="42">
        <f t="shared" ref="E3:E27" si="0">ROUND(D3/C3, 2)</f>
        <v>0.12</v>
      </c>
      <c r="F3" s="26">
        <v>2013</v>
      </c>
      <c r="G3" s="5" t="s">
        <v>173</v>
      </c>
      <c r="H3" s="5" t="s">
        <v>215</v>
      </c>
      <c r="I3" s="23">
        <v>7.3800000000000004E-2</v>
      </c>
      <c r="L3" s="51" t="s">
        <v>251</v>
      </c>
      <c r="M3" s="52">
        <v>0.12</v>
      </c>
      <c r="N3" s="51" t="s">
        <v>273</v>
      </c>
      <c r="O3" s="52">
        <v>7.3800000000000004E-2</v>
      </c>
      <c r="P3" s="53" t="str">
        <f t="shared" ref="P3:P27" si="1">IF(ROUND(M3,2)&gt;ROUND(O3,2), "Old cost", IF(ROUND(M3,2)&lt;ROUND(O3,2), "New cost", "Both costs same"))</f>
        <v>Old cost</v>
      </c>
    </row>
    <row r="4" spans="1:16" x14ac:dyDescent="0.2">
      <c r="A4" s="5" t="str">
        <f>_xlfn.CONCAT(H4, " ", B4)</f>
        <v>Injection penicillin procaine 4 million IU</v>
      </c>
      <c r="B4" s="5" t="s">
        <v>47</v>
      </c>
      <c r="C4" s="26">
        <v>1</v>
      </c>
      <c r="D4" s="26">
        <v>1.41</v>
      </c>
      <c r="E4" s="42">
        <f t="shared" si="0"/>
        <v>1.41</v>
      </c>
      <c r="F4" s="26">
        <v>2013</v>
      </c>
      <c r="G4" s="5" t="s">
        <v>173</v>
      </c>
      <c r="H4" s="5" t="s">
        <v>216</v>
      </c>
      <c r="I4" s="23">
        <v>1.4139999999999999</v>
      </c>
      <c r="L4" s="51" t="s">
        <v>252</v>
      </c>
      <c r="M4" s="52">
        <v>1.41</v>
      </c>
      <c r="N4" s="51" t="s">
        <v>273</v>
      </c>
      <c r="O4" s="52">
        <v>1.4139999999999999</v>
      </c>
      <c r="P4" s="53" t="str">
        <f t="shared" si="1"/>
        <v>Both costs same</v>
      </c>
    </row>
    <row r="5" spans="1:16" x14ac:dyDescent="0.2">
      <c r="A5" s="5" t="str">
        <f>_xlfn.CONCAT(H5, " ", B5)</f>
        <v>Injection metronidazole 500mg/100mL</v>
      </c>
      <c r="B5" s="5" t="s">
        <v>48</v>
      </c>
      <c r="C5" s="26">
        <v>1</v>
      </c>
      <c r="D5" s="26">
        <v>1.8</v>
      </c>
      <c r="E5" s="42">
        <f t="shared" si="0"/>
        <v>1.8</v>
      </c>
      <c r="F5" s="26">
        <v>2013</v>
      </c>
      <c r="G5" s="5" t="s">
        <v>173</v>
      </c>
      <c r="H5" s="5" t="s">
        <v>217</v>
      </c>
      <c r="I5" s="23">
        <v>1.9399</v>
      </c>
      <c r="L5" s="51" t="s">
        <v>253</v>
      </c>
      <c r="M5" s="52">
        <v>1.8</v>
      </c>
      <c r="N5" s="51" t="s">
        <v>273</v>
      </c>
      <c r="O5" s="52">
        <v>1.9399</v>
      </c>
      <c r="P5" s="53" t="str">
        <f t="shared" si="1"/>
        <v>New cost</v>
      </c>
    </row>
    <row r="6" spans="1:16" x14ac:dyDescent="0.2">
      <c r="A6" s="10" t="str">
        <f>_xlfn.CONCAT(H6, " ", B6)</f>
        <v>Injection erythromycin 1000mg</v>
      </c>
      <c r="B6" s="10" t="s">
        <v>49</v>
      </c>
      <c r="C6" s="25">
        <v>1</v>
      </c>
      <c r="D6" s="25">
        <v>10.17</v>
      </c>
      <c r="E6" s="42">
        <f t="shared" si="0"/>
        <v>10.17</v>
      </c>
      <c r="F6" s="26">
        <v>2013</v>
      </c>
      <c r="G6" s="5" t="s">
        <v>173</v>
      </c>
      <c r="H6" s="10" t="s">
        <v>218</v>
      </c>
      <c r="I6" s="23">
        <v>10.17</v>
      </c>
      <c r="L6" s="51" t="s">
        <v>254</v>
      </c>
      <c r="M6" s="52">
        <v>10.17</v>
      </c>
      <c r="N6" s="51" t="s">
        <v>273</v>
      </c>
      <c r="O6" s="52">
        <v>10.17</v>
      </c>
      <c r="P6" s="53" t="str">
        <f t="shared" si="1"/>
        <v>Both costs same</v>
      </c>
    </row>
    <row r="7" spans="1:16" x14ac:dyDescent="0.2">
      <c r="A7" s="10" t="str">
        <f>_xlfn.CONCAT(H7, " ", B7)</f>
        <v>Injection ceftriaxone 1000mg</v>
      </c>
      <c r="B7" s="10" t="s">
        <v>49</v>
      </c>
      <c r="C7" s="25">
        <v>1</v>
      </c>
      <c r="D7" s="25">
        <v>2.4700000000000002</v>
      </c>
      <c r="E7" s="42">
        <f t="shared" si="0"/>
        <v>2.4700000000000002</v>
      </c>
      <c r="F7" s="26">
        <v>2013</v>
      </c>
      <c r="G7" s="5" t="s">
        <v>173</v>
      </c>
      <c r="H7" s="10" t="s">
        <v>219</v>
      </c>
      <c r="I7" s="23">
        <v>0.89870000000000005</v>
      </c>
      <c r="L7" s="51" t="s">
        <v>255</v>
      </c>
      <c r="M7" s="52">
        <v>2.4700000000000002</v>
      </c>
      <c r="N7" s="51" t="s">
        <v>273</v>
      </c>
      <c r="O7" s="52">
        <v>0.89870000000000005</v>
      </c>
      <c r="P7" s="53" t="str">
        <f t="shared" si="1"/>
        <v>Old cost</v>
      </c>
    </row>
    <row r="8" spans="1:16" x14ac:dyDescent="0.2">
      <c r="A8" s="10" t="str">
        <f>_xlfn.CONCAT(H8, " ", B8)</f>
        <v>Injection ciprofloxacin 100mg/50mL</v>
      </c>
      <c r="B8" s="10" t="s">
        <v>50</v>
      </c>
      <c r="C8" s="25">
        <v>1</v>
      </c>
      <c r="D8" s="25">
        <v>6.3</v>
      </c>
      <c r="E8" s="42">
        <f t="shared" si="0"/>
        <v>6.3</v>
      </c>
      <c r="F8" s="26">
        <v>2013</v>
      </c>
      <c r="G8" s="5" t="s">
        <v>173</v>
      </c>
      <c r="H8" s="10" t="s">
        <v>220</v>
      </c>
      <c r="I8" s="42"/>
      <c r="L8" s="51" t="s">
        <v>256</v>
      </c>
      <c r="M8" s="52">
        <v>6.3</v>
      </c>
      <c r="N8" s="51" t="s">
        <v>273</v>
      </c>
      <c r="O8" s="52"/>
      <c r="P8" s="53"/>
    </row>
    <row r="9" spans="1:16" x14ac:dyDescent="0.2">
      <c r="A9" s="10" t="str">
        <f>_xlfn.CONCAT(H9, " ", B9)</f>
        <v>Injection meropenem 1000mg</v>
      </c>
      <c r="B9" s="10" t="s">
        <v>49</v>
      </c>
      <c r="C9" s="25">
        <v>1</v>
      </c>
      <c r="D9" s="25">
        <v>40</v>
      </c>
      <c r="E9" s="42">
        <f t="shared" si="0"/>
        <v>40</v>
      </c>
      <c r="F9" s="26">
        <v>2020</v>
      </c>
      <c r="G9" s="10" t="s">
        <v>51</v>
      </c>
      <c r="H9" s="10" t="s">
        <v>221</v>
      </c>
      <c r="I9" s="23">
        <v>29</v>
      </c>
      <c r="L9" s="51" t="s">
        <v>257</v>
      </c>
      <c r="M9" s="52">
        <v>40</v>
      </c>
      <c r="N9" s="51" t="s">
        <v>51</v>
      </c>
      <c r="O9" s="52">
        <v>29</v>
      </c>
      <c r="P9" s="53" t="str">
        <f t="shared" si="1"/>
        <v>Old cost</v>
      </c>
    </row>
    <row r="10" spans="1:16" x14ac:dyDescent="0.2">
      <c r="A10" s="10" t="str">
        <f>_xlfn.CONCAT(H10, " ", B10)</f>
        <v>Injection septrim 480mg/5mL</v>
      </c>
      <c r="B10" s="10" t="s">
        <v>52</v>
      </c>
      <c r="C10" s="25">
        <v>1</v>
      </c>
      <c r="D10" s="25">
        <f>D5</f>
        <v>1.8</v>
      </c>
      <c r="E10" s="42">
        <f t="shared" si="0"/>
        <v>1.8</v>
      </c>
      <c r="F10" s="26">
        <v>2013</v>
      </c>
      <c r="G10" s="10" t="s">
        <v>169</v>
      </c>
      <c r="H10" s="10" t="s">
        <v>222</v>
      </c>
      <c r="I10" s="42">
        <v>1.94</v>
      </c>
      <c r="L10" s="51" t="s">
        <v>258</v>
      </c>
      <c r="M10" s="52">
        <v>1.8</v>
      </c>
      <c r="N10" s="51" t="s">
        <v>276</v>
      </c>
      <c r="O10" s="52"/>
      <c r="P10" s="53"/>
    </row>
    <row r="11" spans="1:16" x14ac:dyDescent="0.2">
      <c r="A11" s="5" t="s">
        <v>163</v>
      </c>
      <c r="B11" s="5" t="s">
        <v>165</v>
      </c>
      <c r="C11" s="25">
        <v>1</v>
      </c>
      <c r="D11" s="25">
        <v>0.95</v>
      </c>
      <c r="E11" s="42">
        <f t="shared" si="0"/>
        <v>0.95</v>
      </c>
      <c r="F11" s="26">
        <v>2013</v>
      </c>
      <c r="G11" s="5" t="s">
        <v>168</v>
      </c>
      <c r="H11" s="10" t="s">
        <v>223</v>
      </c>
      <c r="I11" s="42">
        <v>0.95</v>
      </c>
      <c r="L11" s="51" t="s">
        <v>163</v>
      </c>
      <c r="M11" s="52">
        <v>0.95</v>
      </c>
      <c r="N11" s="51" t="s">
        <v>274</v>
      </c>
      <c r="O11" s="52">
        <v>0.95</v>
      </c>
      <c r="P11" s="53" t="str">
        <f t="shared" si="1"/>
        <v>Both costs same</v>
      </c>
    </row>
    <row r="12" spans="1:16" x14ac:dyDescent="0.2">
      <c r="A12" s="10" t="str">
        <f>_xlfn.CONCAT(H12, " ", B12)</f>
        <v>Oral capsules flucloxacillin 500mg</v>
      </c>
      <c r="B12" s="10" t="s">
        <v>45</v>
      </c>
      <c r="C12" s="25">
        <v>500</v>
      </c>
      <c r="D12" s="25">
        <v>76.349999999999994</v>
      </c>
      <c r="E12" s="42">
        <f t="shared" si="0"/>
        <v>0.15</v>
      </c>
      <c r="F12" s="26">
        <v>2020</v>
      </c>
      <c r="G12" s="29" t="s">
        <v>172</v>
      </c>
      <c r="H12" s="10" t="s">
        <v>232</v>
      </c>
      <c r="I12" s="42">
        <v>0.08</v>
      </c>
      <c r="L12" s="51" t="s">
        <v>262</v>
      </c>
      <c r="M12" s="52">
        <v>0.15</v>
      </c>
      <c r="N12" s="51" t="s">
        <v>275</v>
      </c>
      <c r="O12" s="52">
        <v>0.08</v>
      </c>
      <c r="P12" s="53" t="str">
        <f t="shared" si="1"/>
        <v>Old cost</v>
      </c>
    </row>
    <row r="13" spans="1:16" x14ac:dyDescent="0.2">
      <c r="A13" s="10" t="str">
        <f>_xlfn.CONCAT(H13, " ", B13)</f>
        <v>Oral tablets penicillin 250mg</v>
      </c>
      <c r="B13" s="10" t="s">
        <v>55</v>
      </c>
      <c r="C13" s="25">
        <v>50</v>
      </c>
      <c r="D13" s="25">
        <v>5.23</v>
      </c>
      <c r="E13" s="42">
        <f t="shared" si="0"/>
        <v>0.1</v>
      </c>
      <c r="F13" s="26">
        <v>2020</v>
      </c>
      <c r="G13" s="29" t="s">
        <v>172</v>
      </c>
      <c r="H13" s="10" t="s">
        <v>235</v>
      </c>
      <c r="I13" s="42">
        <v>2.7900000000000001E-2</v>
      </c>
      <c r="L13" s="51" t="s">
        <v>259</v>
      </c>
      <c r="M13" s="52">
        <v>0.1</v>
      </c>
      <c r="N13" s="51" t="s">
        <v>275</v>
      </c>
      <c r="O13" s="52">
        <v>2.7900000000000001E-2</v>
      </c>
      <c r="P13" s="53" t="str">
        <f t="shared" si="1"/>
        <v>Old cost</v>
      </c>
    </row>
    <row r="14" spans="1:16" x14ac:dyDescent="0.2">
      <c r="A14" s="10" t="str">
        <f>_xlfn.CONCAT(H14, " ", B14)</f>
        <v>Oral capsules amoxycillin 500mg</v>
      </c>
      <c r="B14" s="10" t="s">
        <v>45</v>
      </c>
      <c r="C14" s="25">
        <v>500</v>
      </c>
      <c r="D14" s="25">
        <v>59.36</v>
      </c>
      <c r="E14" s="42">
        <f t="shared" si="0"/>
        <v>0.12</v>
      </c>
      <c r="F14" s="26">
        <v>2020</v>
      </c>
      <c r="G14" s="29" t="s">
        <v>172</v>
      </c>
      <c r="H14" s="10" t="s">
        <v>236</v>
      </c>
      <c r="I14" s="42">
        <v>0.04</v>
      </c>
      <c r="L14" s="51" t="s">
        <v>263</v>
      </c>
      <c r="M14" s="52">
        <v>0.12</v>
      </c>
      <c r="N14" s="51" t="s">
        <v>275</v>
      </c>
      <c r="O14" s="52">
        <v>0.04</v>
      </c>
      <c r="P14" s="53" t="str">
        <f t="shared" si="1"/>
        <v>Old cost</v>
      </c>
    </row>
    <row r="15" spans="1:16" x14ac:dyDescent="0.2">
      <c r="A15" s="10" t="str">
        <f>_xlfn.CONCAT(H15, " ", B15)</f>
        <v>Oral tablets metronidazole 200mg</v>
      </c>
      <c r="B15" s="10" t="s">
        <v>57</v>
      </c>
      <c r="C15" s="25">
        <v>500</v>
      </c>
      <c r="D15" s="25">
        <v>14.28</v>
      </c>
      <c r="E15" s="42">
        <f t="shared" si="0"/>
        <v>0.03</v>
      </c>
      <c r="F15" s="26">
        <v>2020</v>
      </c>
      <c r="G15" s="29" t="s">
        <v>172</v>
      </c>
      <c r="H15" s="10" t="s">
        <v>234</v>
      </c>
      <c r="I15" s="42">
        <v>0.01</v>
      </c>
      <c r="L15" s="51" t="s">
        <v>260</v>
      </c>
      <c r="M15" s="52">
        <v>0.03</v>
      </c>
      <c r="N15" s="51" t="s">
        <v>275</v>
      </c>
      <c r="O15" s="52">
        <v>0.01</v>
      </c>
      <c r="P15" s="53" t="str">
        <f t="shared" si="1"/>
        <v>Old cost</v>
      </c>
    </row>
    <row r="16" spans="1:16" x14ac:dyDescent="0.2">
      <c r="A16" s="10" t="str">
        <f>_xlfn.CONCAT(H16, " ", B16)</f>
        <v>Oral capsules erythromycin 250mg</v>
      </c>
      <c r="B16" s="10" t="s">
        <v>55</v>
      </c>
      <c r="C16" s="25">
        <v>1000</v>
      </c>
      <c r="D16" s="25">
        <v>192.65</v>
      </c>
      <c r="E16" s="42">
        <f t="shared" si="0"/>
        <v>0.19</v>
      </c>
      <c r="F16" s="26">
        <v>2020</v>
      </c>
      <c r="G16" s="29" t="s">
        <v>172</v>
      </c>
      <c r="H16" s="10" t="s">
        <v>237</v>
      </c>
      <c r="I16" s="42">
        <v>0.06</v>
      </c>
      <c r="L16" s="51" t="s">
        <v>264</v>
      </c>
      <c r="M16" s="52">
        <v>0.19</v>
      </c>
      <c r="N16" s="51" t="s">
        <v>275</v>
      </c>
      <c r="O16" s="52">
        <v>0.06</v>
      </c>
      <c r="P16" s="53" t="str">
        <f t="shared" si="1"/>
        <v>Old cost</v>
      </c>
    </row>
    <row r="17" spans="1:16" x14ac:dyDescent="0.2">
      <c r="A17" s="10" t="str">
        <f>_xlfn.CONCAT(H17, " ", B17)</f>
        <v>Oral capsules doxycycline 100mg</v>
      </c>
      <c r="B17" s="10" t="s">
        <v>58</v>
      </c>
      <c r="C17" s="25">
        <f>C16</f>
        <v>1000</v>
      </c>
      <c r="D17" s="25">
        <f>D16</f>
        <v>192.65</v>
      </c>
      <c r="E17" s="42">
        <f t="shared" si="0"/>
        <v>0.19</v>
      </c>
      <c r="F17" s="26">
        <v>2020</v>
      </c>
      <c r="G17" s="10" t="s">
        <v>170</v>
      </c>
      <c r="H17" s="10" t="s">
        <v>238</v>
      </c>
      <c r="I17" s="42">
        <v>2.6599999999999999E-2</v>
      </c>
      <c r="L17" s="51" t="s">
        <v>265</v>
      </c>
      <c r="M17" s="52">
        <v>0.19</v>
      </c>
      <c r="N17" s="51" t="s">
        <v>277</v>
      </c>
      <c r="O17" s="52">
        <v>2.6599999999999999E-2</v>
      </c>
      <c r="P17" s="53" t="str">
        <f t="shared" si="1"/>
        <v>Old cost</v>
      </c>
    </row>
    <row r="18" spans="1:16" x14ac:dyDescent="0.2">
      <c r="A18" s="5" t="str">
        <f>_xlfn.CONCAT(H18, " ", B18)</f>
        <v>Oral capsules cephalexin 500mg</v>
      </c>
      <c r="B18" s="5" t="s">
        <v>45</v>
      </c>
      <c r="C18" s="25">
        <f>C12</f>
        <v>500</v>
      </c>
      <c r="D18" s="25">
        <f>D12</f>
        <v>76.349999999999994</v>
      </c>
      <c r="E18" s="42">
        <f t="shared" si="0"/>
        <v>0.15</v>
      </c>
      <c r="F18" s="26">
        <v>2020</v>
      </c>
      <c r="G18" s="10" t="s">
        <v>171</v>
      </c>
      <c r="H18" s="5" t="s">
        <v>239</v>
      </c>
      <c r="I18" s="42"/>
      <c r="L18" s="51" t="s">
        <v>266</v>
      </c>
      <c r="M18" s="52">
        <v>0.15</v>
      </c>
      <c r="N18" s="51" t="s">
        <v>278</v>
      </c>
      <c r="O18" s="52"/>
      <c r="P18" s="53"/>
    </row>
    <row r="19" spans="1:16" x14ac:dyDescent="0.2">
      <c r="A19" s="5" t="str">
        <f>_xlfn.CONCAT(H19, " ", B19)</f>
        <v>Oral tablets septrim 480mg</v>
      </c>
      <c r="B19" s="5" t="s">
        <v>59</v>
      </c>
      <c r="C19" s="25">
        <v>1000</v>
      </c>
      <c r="D19" s="25">
        <v>33.75</v>
      </c>
      <c r="E19" s="42">
        <f t="shared" si="0"/>
        <v>0.03</v>
      </c>
      <c r="F19" s="26">
        <v>2020</v>
      </c>
      <c r="G19" s="29" t="s">
        <v>172</v>
      </c>
      <c r="H19" s="5" t="s">
        <v>233</v>
      </c>
      <c r="I19" s="42">
        <v>1.55E-2</v>
      </c>
      <c r="L19" s="51" t="s">
        <v>261</v>
      </c>
      <c r="M19" s="52">
        <v>0.03</v>
      </c>
      <c r="N19" s="51" t="s">
        <v>275</v>
      </c>
      <c r="O19" s="52">
        <v>1.55E-2</v>
      </c>
      <c r="P19" s="53" t="str">
        <f t="shared" si="1"/>
        <v>Old cost</v>
      </c>
    </row>
    <row r="20" spans="1:16" x14ac:dyDescent="0.2">
      <c r="A20" s="5" t="str">
        <f>_xlfn.CONCAT(H20, " ", B20)</f>
        <v>Oral suspension flucloxacillin 125mg/5mL (100mL)</v>
      </c>
      <c r="B20" s="5" t="s">
        <v>60</v>
      </c>
      <c r="C20" s="25">
        <v>1</v>
      </c>
      <c r="D20" s="25">
        <v>2.35</v>
      </c>
      <c r="E20" s="42">
        <f t="shared" si="0"/>
        <v>2.35</v>
      </c>
      <c r="F20" s="26">
        <v>2020</v>
      </c>
      <c r="G20" s="29" t="s">
        <v>172</v>
      </c>
      <c r="H20" s="5" t="s">
        <v>224</v>
      </c>
      <c r="I20" s="42">
        <v>0.23799999999999999</v>
      </c>
      <c r="L20" s="51" t="s">
        <v>120</v>
      </c>
      <c r="M20" s="52">
        <v>2.35</v>
      </c>
      <c r="N20" s="51" t="s">
        <v>275</v>
      </c>
      <c r="O20" s="52">
        <v>0.23799999999999999</v>
      </c>
      <c r="P20" s="53" t="str">
        <f t="shared" si="1"/>
        <v>Old cost</v>
      </c>
    </row>
    <row r="21" spans="1:16" x14ac:dyDescent="0.2">
      <c r="A21" s="5" t="str">
        <f>_xlfn.CONCAT(H21, " ", B21)</f>
        <v>Oral suspension penicillin 125mg/5mL (100mL)</v>
      </c>
      <c r="B21" s="5" t="s">
        <v>60</v>
      </c>
      <c r="C21" s="25">
        <v>1</v>
      </c>
      <c r="D21" s="25">
        <v>2.99</v>
      </c>
      <c r="E21" s="42">
        <f t="shared" si="0"/>
        <v>2.99</v>
      </c>
      <c r="F21" s="26">
        <v>2020</v>
      </c>
      <c r="G21" s="29" t="s">
        <v>172</v>
      </c>
      <c r="H21" s="5" t="s">
        <v>225</v>
      </c>
      <c r="I21" s="42"/>
      <c r="L21" s="51" t="s">
        <v>118</v>
      </c>
      <c r="M21" s="52">
        <v>2.99</v>
      </c>
      <c r="N21" s="51" t="s">
        <v>275</v>
      </c>
      <c r="O21" s="52"/>
      <c r="P21" s="53"/>
    </row>
    <row r="22" spans="1:16" x14ac:dyDescent="0.2">
      <c r="A22" s="10" t="str">
        <f>_xlfn.CONCAT(H22, " ", B22)</f>
        <v>Oral suspension amoxycillin 125mg/5mL (100mL)</v>
      </c>
      <c r="B22" s="10" t="s">
        <v>60</v>
      </c>
      <c r="C22" s="25">
        <v>1</v>
      </c>
      <c r="D22" s="25">
        <v>1.71</v>
      </c>
      <c r="E22" s="42">
        <f t="shared" si="0"/>
        <v>1.71</v>
      </c>
      <c r="F22" s="26">
        <v>2020</v>
      </c>
      <c r="G22" s="29" t="s">
        <v>172</v>
      </c>
      <c r="H22" s="10" t="s">
        <v>226</v>
      </c>
      <c r="I22" s="42">
        <v>0.85</v>
      </c>
      <c r="L22" s="51" t="s">
        <v>123</v>
      </c>
      <c r="M22" s="52">
        <v>1.71</v>
      </c>
      <c r="N22" s="51" t="s">
        <v>275</v>
      </c>
      <c r="O22" s="52">
        <v>0.85</v>
      </c>
      <c r="P22" s="53" t="str">
        <f t="shared" si="1"/>
        <v>Old cost</v>
      </c>
    </row>
    <row r="23" spans="1:16" x14ac:dyDescent="0.2">
      <c r="A23" s="10" t="str">
        <f>_xlfn.CONCAT(H23, " ", B23)</f>
        <v>Oral suspension metronidazole 200mg/5mL (100mL)</v>
      </c>
      <c r="B23" s="10" t="s">
        <v>61</v>
      </c>
      <c r="C23" s="25">
        <v>1</v>
      </c>
      <c r="D23" s="25">
        <f>D27</f>
        <v>1.05</v>
      </c>
      <c r="E23" s="42">
        <f t="shared" si="0"/>
        <v>1.05</v>
      </c>
      <c r="F23" s="26">
        <v>2020</v>
      </c>
      <c r="G23" s="10" t="s">
        <v>174</v>
      </c>
      <c r="H23" s="10" t="s">
        <v>227</v>
      </c>
      <c r="I23" s="42"/>
      <c r="L23" s="51" t="s">
        <v>119</v>
      </c>
      <c r="M23" s="52">
        <v>1.05</v>
      </c>
      <c r="N23" s="51" t="s">
        <v>279</v>
      </c>
      <c r="O23" s="52"/>
      <c r="P23" s="53"/>
    </row>
    <row r="24" spans="1:16" x14ac:dyDescent="0.2">
      <c r="A24" s="10" t="str">
        <f>_xlfn.CONCAT(H24, " ", B24)</f>
        <v>Oral suspension erythromycin 125mg/5mL (100mL)</v>
      </c>
      <c r="B24" s="10" t="s">
        <v>60</v>
      </c>
      <c r="C24" s="25">
        <v>1</v>
      </c>
      <c r="D24" s="25">
        <v>2.46</v>
      </c>
      <c r="E24" s="42">
        <f t="shared" si="0"/>
        <v>2.46</v>
      </c>
      <c r="F24" s="26">
        <v>2020</v>
      </c>
      <c r="G24" s="29" t="s">
        <v>172</v>
      </c>
      <c r="H24" s="10" t="s">
        <v>228</v>
      </c>
      <c r="I24" s="42">
        <v>0.246</v>
      </c>
      <c r="L24" s="51" t="s">
        <v>121</v>
      </c>
      <c r="M24" s="52">
        <v>2.46</v>
      </c>
      <c r="N24" s="51" t="s">
        <v>275</v>
      </c>
      <c r="O24" s="52">
        <v>0.246</v>
      </c>
      <c r="P24" s="53" t="str">
        <f t="shared" si="1"/>
        <v>Old cost</v>
      </c>
    </row>
    <row r="25" spans="1:16" x14ac:dyDescent="0.2">
      <c r="A25" s="10" t="str">
        <f>_xlfn.CONCAT(H25, " ", B25)</f>
        <v xml:space="preserve">Oral suspension doxycycline </v>
      </c>
      <c r="B25" s="10"/>
      <c r="C25" s="25"/>
      <c r="D25" s="25"/>
      <c r="E25" s="42"/>
      <c r="F25" s="26">
        <v>2020</v>
      </c>
      <c r="G25" s="10" t="s">
        <v>166</v>
      </c>
      <c r="H25" s="10" t="s">
        <v>229</v>
      </c>
      <c r="I25" s="42"/>
      <c r="L25" s="51" t="s">
        <v>267</v>
      </c>
      <c r="M25" s="52" t="s">
        <v>270</v>
      </c>
      <c r="N25" s="51" t="s">
        <v>270</v>
      </c>
      <c r="O25" s="52" t="s">
        <v>270</v>
      </c>
      <c r="P25" s="53" t="s">
        <v>270</v>
      </c>
    </row>
    <row r="26" spans="1:16" x14ac:dyDescent="0.2">
      <c r="A26" s="10" t="str">
        <f>_xlfn.CONCAT(H26, " ", B26)</f>
        <v>Oral suspension cephalexin 125mg/5mL (100mL)</v>
      </c>
      <c r="B26" s="10" t="s">
        <v>60</v>
      </c>
      <c r="C26" s="25">
        <v>1</v>
      </c>
      <c r="D26" s="25">
        <f>D20</f>
        <v>2.35</v>
      </c>
      <c r="E26" s="42">
        <f t="shared" si="0"/>
        <v>2.35</v>
      </c>
      <c r="F26" s="26">
        <v>2020</v>
      </c>
      <c r="G26" s="10" t="s">
        <v>171</v>
      </c>
      <c r="H26" s="10" t="s">
        <v>230</v>
      </c>
      <c r="I26" s="42"/>
      <c r="L26" s="51" t="s">
        <v>122</v>
      </c>
      <c r="M26" s="52">
        <v>2.35</v>
      </c>
      <c r="N26" s="51" t="s">
        <v>278</v>
      </c>
      <c r="O26" s="52"/>
      <c r="P26" s="53" t="str">
        <f t="shared" si="1"/>
        <v>Old cost</v>
      </c>
    </row>
    <row r="27" spans="1:16" x14ac:dyDescent="0.2">
      <c r="A27" s="10" t="str">
        <f>_xlfn.CONCAT(H27, " ", B27)</f>
        <v>Oral suspension septrim 240mg/5mL (100mL)</v>
      </c>
      <c r="B27" s="10" t="s">
        <v>62</v>
      </c>
      <c r="C27" s="25">
        <v>1</v>
      </c>
      <c r="D27" s="25">
        <v>1.05</v>
      </c>
      <c r="E27" s="42">
        <f t="shared" si="0"/>
        <v>1.05</v>
      </c>
      <c r="F27" s="26">
        <v>2020</v>
      </c>
      <c r="G27" s="29" t="s">
        <v>172</v>
      </c>
      <c r="H27" s="10" t="s">
        <v>231</v>
      </c>
      <c r="I27" s="42">
        <v>6.4999999999999997E-3</v>
      </c>
      <c r="L27" s="51" t="s">
        <v>117</v>
      </c>
      <c r="M27" s="52">
        <v>1.05</v>
      </c>
      <c r="N27" s="51" t="s">
        <v>275</v>
      </c>
      <c r="O27" s="52">
        <v>6.4999999999999997E-3</v>
      </c>
      <c r="P27" s="53" t="str">
        <f t="shared" si="1"/>
        <v>Old cost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538E-986E-E642-9F31-6461A5F94D00}">
  <dimension ref="A1:B69"/>
  <sheetViews>
    <sheetView zoomScale="150" zoomScaleNormal="150" workbookViewId="0">
      <selection activeCell="A28" sqref="A28"/>
    </sheetView>
  </sheetViews>
  <sheetFormatPr baseColWidth="10" defaultColWidth="8.83203125" defaultRowHeight="15" x14ac:dyDescent="0.2"/>
  <cols>
    <col min="1" max="1" width="34.1640625" style="32" bestFit="1" customWidth="1"/>
    <col min="2" max="2" width="52.83203125" style="32" bestFit="1" customWidth="1"/>
  </cols>
  <sheetData>
    <row r="1" spans="1:2" x14ac:dyDescent="0.2">
      <c r="A1" s="31" t="s">
        <v>178</v>
      </c>
      <c r="B1" s="31" t="s">
        <v>187</v>
      </c>
    </row>
    <row r="2" spans="1:2" x14ac:dyDescent="0.2">
      <c r="A2" s="10" t="s">
        <v>126</v>
      </c>
      <c r="B2" s="13" t="s">
        <v>16</v>
      </c>
    </row>
    <row r="3" spans="1:2" x14ac:dyDescent="0.2">
      <c r="A3" s="10" t="s">
        <v>128</v>
      </c>
      <c r="B3" s="13" t="s">
        <v>19</v>
      </c>
    </row>
    <row r="4" spans="1:2" x14ac:dyDescent="0.2">
      <c r="A4" s="10" t="s">
        <v>131</v>
      </c>
      <c r="B4" s="13" t="s">
        <v>23</v>
      </c>
    </row>
    <row r="5" spans="1:2" x14ac:dyDescent="0.2">
      <c r="A5" s="10" t="s">
        <v>130</v>
      </c>
      <c r="B5" s="13" t="s">
        <v>22</v>
      </c>
    </row>
    <row r="6" spans="1:2" x14ac:dyDescent="0.2">
      <c r="A6" s="10" t="s">
        <v>127</v>
      </c>
      <c r="B6" s="13" t="s">
        <v>18</v>
      </c>
    </row>
    <row r="7" spans="1:2" x14ac:dyDescent="0.2">
      <c r="A7" s="10" t="s">
        <v>124</v>
      </c>
      <c r="B7" s="13" t="s">
        <v>10</v>
      </c>
    </row>
    <row r="8" spans="1:2" x14ac:dyDescent="0.2">
      <c r="A8" s="10" t="s">
        <v>125</v>
      </c>
      <c r="B8" s="13" t="s">
        <v>14</v>
      </c>
    </row>
    <row r="9" spans="1:2" x14ac:dyDescent="0.2">
      <c r="A9" s="10" t="s">
        <v>129</v>
      </c>
      <c r="B9" s="13" t="s">
        <v>20</v>
      </c>
    </row>
    <row r="10" spans="1:2" x14ac:dyDescent="0.2">
      <c r="A10" s="10" t="s">
        <v>120</v>
      </c>
      <c r="B10" s="13" t="s">
        <v>33</v>
      </c>
    </row>
    <row r="11" spans="1:2" x14ac:dyDescent="0.2">
      <c r="A11" s="10" t="s">
        <v>34</v>
      </c>
      <c r="B11" s="13" t="s">
        <v>33</v>
      </c>
    </row>
    <row r="12" spans="1:2" x14ac:dyDescent="0.2">
      <c r="A12" s="10" t="s">
        <v>118</v>
      </c>
      <c r="B12" s="13" t="s">
        <v>38</v>
      </c>
    </row>
    <row r="13" spans="1:2" x14ac:dyDescent="0.2">
      <c r="A13" s="10" t="s">
        <v>40</v>
      </c>
      <c r="B13" s="13" t="s">
        <v>38</v>
      </c>
    </row>
    <row r="14" spans="1:2" x14ac:dyDescent="0.2">
      <c r="A14" s="10" t="s">
        <v>123</v>
      </c>
      <c r="B14" s="13" t="s">
        <v>24</v>
      </c>
    </row>
    <row r="15" spans="1:2" x14ac:dyDescent="0.2">
      <c r="A15" s="10" t="s">
        <v>26</v>
      </c>
      <c r="B15" s="13" t="s">
        <v>24</v>
      </c>
    </row>
    <row r="16" spans="1:2" x14ac:dyDescent="0.2">
      <c r="A16" s="10" t="s">
        <v>119</v>
      </c>
      <c r="B16" s="13" t="s">
        <v>35</v>
      </c>
    </row>
    <row r="17" spans="1:2" x14ac:dyDescent="0.2">
      <c r="A17" s="10" t="s">
        <v>37</v>
      </c>
      <c r="B17" s="13" t="s">
        <v>35</v>
      </c>
    </row>
    <row r="18" spans="1:2" x14ac:dyDescent="0.2">
      <c r="A18" s="10" t="s">
        <v>121</v>
      </c>
      <c r="B18" s="13" t="s">
        <v>31</v>
      </c>
    </row>
    <row r="19" spans="1:2" x14ac:dyDescent="0.2">
      <c r="A19" s="10" t="s">
        <v>32</v>
      </c>
      <c r="B19" s="13" t="s">
        <v>31</v>
      </c>
    </row>
    <row r="20" spans="1:2" x14ac:dyDescent="0.2">
      <c r="A20" s="10" t="s">
        <v>30</v>
      </c>
      <c r="B20" s="13" t="s">
        <v>29</v>
      </c>
    </row>
    <row r="21" spans="1:2" x14ac:dyDescent="0.2">
      <c r="A21" s="10" t="s">
        <v>122</v>
      </c>
      <c r="B21" s="13" t="s">
        <v>27</v>
      </c>
    </row>
    <row r="22" spans="1:2" x14ac:dyDescent="0.2">
      <c r="A22" s="10" t="s">
        <v>28</v>
      </c>
      <c r="B22" s="13" t="s">
        <v>27</v>
      </c>
    </row>
    <row r="23" spans="1:2" x14ac:dyDescent="0.2">
      <c r="A23" s="10" t="s">
        <v>117</v>
      </c>
      <c r="B23" s="13" t="s">
        <v>41</v>
      </c>
    </row>
    <row r="24" spans="1:2" x14ac:dyDescent="0.2">
      <c r="A24" s="10" t="s">
        <v>42</v>
      </c>
      <c r="B24" s="13" t="s">
        <v>41</v>
      </c>
    </row>
    <row r="25" spans="1:2" x14ac:dyDescent="0.2">
      <c r="A25" s="10" t="s">
        <v>163</v>
      </c>
      <c r="B25" s="13" t="s">
        <v>23</v>
      </c>
    </row>
    <row r="26" spans="1:2" x14ac:dyDescent="0.2">
      <c r="A26"/>
      <c r="B26"/>
    </row>
    <row r="27" spans="1:2" x14ac:dyDescent="0.2">
      <c r="A27"/>
      <c r="B27"/>
    </row>
    <row r="28" spans="1:2" x14ac:dyDescent="0.2">
      <c r="A28"/>
      <c r="B28"/>
    </row>
    <row r="29" spans="1:2" x14ac:dyDescent="0.2">
      <c r="A29"/>
      <c r="B29"/>
    </row>
    <row r="30" spans="1:2" x14ac:dyDescent="0.2">
      <c r="A30"/>
      <c r="B30"/>
    </row>
    <row r="31" spans="1:2" x14ac:dyDescent="0.2">
      <c r="A31"/>
      <c r="B31"/>
    </row>
    <row r="32" spans="1: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  <row r="43" spans="1:2" x14ac:dyDescent="0.2">
      <c r="A43"/>
      <c r="B43"/>
    </row>
    <row r="44" spans="1:2" x14ac:dyDescent="0.2">
      <c r="A44"/>
      <c r="B44"/>
    </row>
    <row r="45" spans="1:2" x14ac:dyDescent="0.2">
      <c r="A45"/>
      <c r="B45"/>
    </row>
    <row r="46" spans="1:2" x14ac:dyDescent="0.2">
      <c r="A46"/>
      <c r="B46"/>
    </row>
    <row r="47" spans="1:2" x14ac:dyDescent="0.2">
      <c r="A47"/>
      <c r="B47"/>
    </row>
    <row r="48" spans="1:2" x14ac:dyDescent="0.2">
      <c r="A48"/>
      <c r="B48"/>
    </row>
    <row r="49" spans="1:2" x14ac:dyDescent="0.2">
      <c r="A49"/>
      <c r="B49"/>
    </row>
    <row r="50" spans="1:2" x14ac:dyDescent="0.2">
      <c r="A50"/>
      <c r="B50"/>
    </row>
    <row r="51" spans="1:2" x14ac:dyDescent="0.2">
      <c r="A51"/>
      <c r="B51"/>
    </row>
    <row r="52" spans="1:2" x14ac:dyDescent="0.2">
      <c r="A52"/>
      <c r="B52"/>
    </row>
    <row r="53" spans="1:2" x14ac:dyDescent="0.2">
      <c r="A53"/>
      <c r="B53"/>
    </row>
    <row r="54" spans="1:2" x14ac:dyDescent="0.2">
      <c r="A54"/>
      <c r="B54"/>
    </row>
    <row r="55" spans="1:2" x14ac:dyDescent="0.2">
      <c r="A55"/>
      <c r="B55"/>
    </row>
    <row r="56" spans="1:2" x14ac:dyDescent="0.2">
      <c r="A56"/>
      <c r="B56"/>
    </row>
    <row r="57" spans="1:2" x14ac:dyDescent="0.2">
      <c r="A57"/>
      <c r="B57"/>
    </row>
    <row r="58" spans="1:2" x14ac:dyDescent="0.2">
      <c r="A58"/>
      <c r="B58"/>
    </row>
    <row r="59" spans="1:2" x14ac:dyDescent="0.2">
      <c r="A59"/>
      <c r="B59"/>
    </row>
    <row r="60" spans="1:2" x14ac:dyDescent="0.2">
      <c r="A60"/>
      <c r="B60"/>
    </row>
    <row r="61" spans="1:2" x14ac:dyDescent="0.2">
      <c r="A61"/>
      <c r="B61"/>
    </row>
    <row r="62" spans="1:2" x14ac:dyDescent="0.2">
      <c r="A62"/>
      <c r="B62"/>
    </row>
    <row r="63" spans="1:2" x14ac:dyDescent="0.2">
      <c r="A63"/>
      <c r="B63"/>
    </row>
    <row r="64" spans="1:2" x14ac:dyDescent="0.2">
      <c r="A64"/>
      <c r="B64"/>
    </row>
    <row r="65" spans="1:2" x14ac:dyDescent="0.2">
      <c r="A65"/>
      <c r="B65"/>
    </row>
    <row r="66" spans="1:2" x14ac:dyDescent="0.2">
      <c r="A66"/>
      <c r="B66"/>
    </row>
    <row r="67" spans="1:2" x14ac:dyDescent="0.2">
      <c r="A67"/>
      <c r="B67"/>
    </row>
    <row r="68" spans="1:2" x14ac:dyDescent="0.2">
      <c r="A68"/>
      <c r="B68"/>
    </row>
    <row r="69" spans="1:2" x14ac:dyDescent="0.2">
      <c r="A69"/>
      <c r="B6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CDFF-29C9-4809-BD51-74537925FEEF}">
  <dimension ref="A1:D34"/>
  <sheetViews>
    <sheetView zoomScaleNormal="100" workbookViewId="0">
      <selection activeCell="C59" sqref="C59"/>
    </sheetView>
  </sheetViews>
  <sheetFormatPr baseColWidth="10" defaultColWidth="9.1640625" defaultRowHeight="12" x14ac:dyDescent="0.15"/>
  <cols>
    <col min="1" max="1" width="16.83203125" style="1" bestFit="1" customWidth="1"/>
    <col min="2" max="2" width="37.1640625" style="1" bestFit="1" customWidth="1"/>
    <col min="3" max="3" width="98.5" style="1" bestFit="1" customWidth="1"/>
    <col min="4" max="4" width="15.1640625" style="1" bestFit="1" customWidth="1"/>
    <col min="5" max="16384" width="9.1640625" style="1"/>
  </cols>
  <sheetData>
    <row r="1" spans="1:4" ht="13" x14ac:dyDescent="0.15">
      <c r="A1" s="14" t="s">
        <v>63</v>
      </c>
      <c r="B1" s="15" t="s">
        <v>64</v>
      </c>
      <c r="C1" s="15" t="s">
        <v>65</v>
      </c>
      <c r="D1" s="16" t="s">
        <v>66</v>
      </c>
    </row>
    <row r="2" spans="1:4" x14ac:dyDescent="0.15">
      <c r="A2" s="17" t="s">
        <v>67</v>
      </c>
      <c r="B2" s="17" t="s">
        <v>17</v>
      </c>
      <c r="C2" s="17" t="s">
        <v>68</v>
      </c>
      <c r="D2" s="17" t="s">
        <v>69</v>
      </c>
    </row>
    <row r="3" spans="1:4" x14ac:dyDescent="0.15">
      <c r="A3" s="17" t="s">
        <v>70</v>
      </c>
      <c r="B3" s="17" t="s">
        <v>21</v>
      </c>
      <c r="C3" s="17" t="s">
        <v>71</v>
      </c>
      <c r="D3" s="17" t="s">
        <v>69</v>
      </c>
    </row>
    <row r="4" spans="1:4" s="17" customFormat="1" x14ac:dyDescent="0.15">
      <c r="A4" s="17" t="s">
        <v>72</v>
      </c>
      <c r="C4" s="17" t="s">
        <v>73</v>
      </c>
    </row>
    <row r="5" spans="1:4" x14ac:dyDescent="0.15">
      <c r="A5" s="17" t="s">
        <v>74</v>
      </c>
      <c r="B5" s="17"/>
      <c r="C5" s="17" t="s">
        <v>75</v>
      </c>
      <c r="D5" s="17" t="s">
        <v>69</v>
      </c>
    </row>
    <row r="6" spans="1:4" x14ac:dyDescent="0.15">
      <c r="A6" s="17" t="s">
        <v>56</v>
      </c>
      <c r="B6" s="17" t="s">
        <v>36</v>
      </c>
      <c r="C6" s="17" t="s">
        <v>76</v>
      </c>
      <c r="D6" s="17" t="s">
        <v>69</v>
      </c>
    </row>
    <row r="7" spans="1:4" x14ac:dyDescent="0.15">
      <c r="A7" s="1" t="s">
        <v>77</v>
      </c>
    </row>
    <row r="8" spans="1:4" s="17" customFormat="1" x14ac:dyDescent="0.15">
      <c r="A8" s="17" t="s">
        <v>78</v>
      </c>
      <c r="B8" s="17" t="s">
        <v>79</v>
      </c>
      <c r="C8" s="17" t="s">
        <v>80</v>
      </c>
      <c r="D8" s="17" t="s">
        <v>69</v>
      </c>
    </row>
    <row r="9" spans="1:4" x14ac:dyDescent="0.15">
      <c r="A9" s="1" t="s">
        <v>54</v>
      </c>
    </row>
    <row r="10" spans="1:4" x14ac:dyDescent="0.15">
      <c r="A10" s="17" t="s">
        <v>53</v>
      </c>
      <c r="B10" s="17"/>
      <c r="C10" s="17" t="s">
        <v>81</v>
      </c>
      <c r="D10" s="17" t="s">
        <v>69</v>
      </c>
    </row>
    <row r="12" spans="1:4" x14ac:dyDescent="0.15">
      <c r="A12" s="1" t="s">
        <v>82</v>
      </c>
    </row>
    <row r="16" spans="1:4" s="17" customFormat="1" x14ac:dyDescent="0.15">
      <c r="A16" s="17" t="s">
        <v>83</v>
      </c>
      <c r="B16" s="17" t="s">
        <v>84</v>
      </c>
      <c r="C16" s="17" t="s">
        <v>85</v>
      </c>
      <c r="D16" s="17" t="s">
        <v>69</v>
      </c>
    </row>
    <row r="17" spans="1:4" s="17" customFormat="1" x14ac:dyDescent="0.15">
      <c r="C17" s="17" t="s">
        <v>86</v>
      </c>
      <c r="D17" s="17" t="s">
        <v>69</v>
      </c>
    </row>
    <row r="19" spans="1:4" ht="26" x14ac:dyDescent="0.15">
      <c r="A19" s="1" t="s">
        <v>87</v>
      </c>
      <c r="B19" s="1" t="s">
        <v>88</v>
      </c>
      <c r="C19" s="18" t="s">
        <v>89</v>
      </c>
    </row>
    <row r="20" spans="1:4" x14ac:dyDescent="0.15">
      <c r="A20" s="1" t="s">
        <v>90</v>
      </c>
      <c r="B20" s="1" t="s">
        <v>91</v>
      </c>
      <c r="C20" s="1" t="s">
        <v>92</v>
      </c>
    </row>
    <row r="21" spans="1:4" s="21" customFormat="1" x14ac:dyDescent="0.15">
      <c r="B21" s="21" t="s">
        <v>93</v>
      </c>
      <c r="C21" s="21" t="s">
        <v>94</v>
      </c>
    </row>
    <row r="22" spans="1:4" s="21" customFormat="1" x14ac:dyDescent="0.15">
      <c r="B22" s="21" t="s">
        <v>95</v>
      </c>
      <c r="C22" s="21" t="s">
        <v>96</v>
      </c>
    </row>
    <row r="23" spans="1:4" s="17" customFormat="1" x14ac:dyDescent="0.15">
      <c r="A23" s="17" t="s">
        <v>97</v>
      </c>
      <c r="C23" s="17" t="s">
        <v>98</v>
      </c>
      <c r="D23" s="17" t="s">
        <v>69</v>
      </c>
    </row>
    <row r="24" spans="1:4" x14ac:dyDescent="0.15">
      <c r="A24" s="1" t="s">
        <v>99</v>
      </c>
    </row>
    <row r="26" spans="1:4" ht="26" x14ac:dyDescent="0.15">
      <c r="A26" s="1" t="s">
        <v>100</v>
      </c>
      <c r="B26" s="18" t="s">
        <v>101</v>
      </c>
      <c r="C26" s="1" t="s">
        <v>102</v>
      </c>
    </row>
    <row r="28" spans="1:4" s="17" customFormat="1" x14ac:dyDescent="0.15">
      <c r="A28" s="17" t="s">
        <v>103</v>
      </c>
      <c r="B28" s="17" t="s">
        <v>104</v>
      </c>
      <c r="C28" s="17" t="s">
        <v>105</v>
      </c>
    </row>
    <row r="29" spans="1:4" s="17" customFormat="1" x14ac:dyDescent="0.15">
      <c r="B29" s="17" t="s">
        <v>106</v>
      </c>
      <c r="C29" s="17" t="s">
        <v>107</v>
      </c>
    </row>
    <row r="30" spans="1:4" s="17" customFormat="1" x14ac:dyDescent="0.15">
      <c r="B30" s="17" t="s">
        <v>108</v>
      </c>
      <c r="C30" s="17" t="s">
        <v>109</v>
      </c>
    </row>
    <row r="31" spans="1:4" s="17" customFormat="1" x14ac:dyDescent="0.15">
      <c r="B31" s="17" t="s">
        <v>110</v>
      </c>
      <c r="C31" s="17" t="s">
        <v>111</v>
      </c>
    </row>
    <row r="32" spans="1:4" s="17" customFormat="1" x14ac:dyDescent="0.15">
      <c r="B32" s="17" t="s">
        <v>112</v>
      </c>
      <c r="C32" s="17" t="s">
        <v>105</v>
      </c>
    </row>
    <row r="33" spans="1:3" s="17" customFormat="1" x14ac:dyDescent="0.15">
      <c r="A33" s="17" t="s">
        <v>113</v>
      </c>
      <c r="C33" s="17" t="s">
        <v>114</v>
      </c>
    </row>
    <row r="34" spans="1:3" x14ac:dyDescent="0.15">
      <c r="A34" s="1" t="s">
        <v>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Doses (2)</vt:lpstr>
      <vt:lpstr>Doses</vt:lpstr>
      <vt:lpstr>Costs</vt:lpstr>
      <vt:lpstr>Guide</vt:lpstr>
      <vt:lpstr>Guidelines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Edifofon Akpan</cp:lastModifiedBy>
  <cp:revision/>
  <dcterms:created xsi:type="dcterms:W3CDTF">2023-06-21T13:57:16Z</dcterms:created>
  <dcterms:modified xsi:type="dcterms:W3CDTF">2024-02-10T09:40:09Z</dcterms:modified>
  <cp:category/>
  <cp:contentStatus/>
</cp:coreProperties>
</file>