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/>
  <mc:AlternateContent xmlns:mc="http://schemas.openxmlformats.org/markup-compatibility/2006">
    <mc:Choice Requires="x15">
      <x15ac:absPath xmlns:x15ac="http://schemas.microsoft.com/office/spreadsheetml/2010/11/ac" url="/Users/lianghe/Dropbox/Ondule/MechanicalTest/Results/"/>
    </mc:Choice>
  </mc:AlternateContent>
  <bookViews>
    <workbookView xWindow="0" yWindow="460" windowWidth="28800" windowHeight="16560"/>
  </bookViews>
  <sheets>
    <sheet name="Summary" sheetId="5" r:id="rId1"/>
    <sheet name="CD Tests" sheetId="1" r:id="rId2"/>
    <sheet name="WD Tests" sheetId="2" r:id="rId3"/>
    <sheet name="TN Tests" sheetId="3" r:id="rId4"/>
    <sheet name="SL Tests" sheetId="4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5" l="1"/>
  <c r="U26" i="1"/>
  <c r="U44" i="3"/>
  <c r="T45" i="3"/>
  <c r="U42" i="3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78" i="1"/>
  <c r="S64" i="1"/>
  <c r="S49" i="1"/>
  <c r="S16" i="1"/>
  <c r="S29" i="4"/>
  <c r="S12" i="4"/>
  <c r="S41" i="4"/>
  <c r="S34" i="4"/>
  <c r="T68" i="3"/>
  <c r="T56" i="3"/>
  <c r="T25" i="3"/>
  <c r="W44" i="2"/>
  <c r="V44" i="2"/>
  <c r="T70" i="2"/>
  <c r="T60" i="2"/>
  <c r="G61" i="2"/>
  <c r="W20" i="2"/>
  <c r="V20" i="2"/>
  <c r="T44" i="2"/>
  <c r="T20" i="2"/>
  <c r="P17" i="1"/>
  <c r="P41" i="4"/>
  <c r="P34" i="4"/>
  <c r="P29" i="4"/>
  <c r="P13" i="4"/>
  <c r="P78" i="1"/>
  <c r="P64" i="1"/>
  <c r="P50" i="1"/>
  <c r="Q49" i="1"/>
  <c r="Q68" i="3"/>
  <c r="Q56" i="3"/>
  <c r="P56" i="3"/>
  <c r="P57" i="3"/>
  <c r="Q46" i="3"/>
  <c r="P46" i="3"/>
  <c r="G47" i="3"/>
  <c r="P41" i="3"/>
  <c r="G46" i="3"/>
  <c r="P70" i="2"/>
  <c r="P61" i="2"/>
  <c r="P62" i="2"/>
  <c r="P44" i="2"/>
  <c r="P19" i="2"/>
  <c r="G19" i="2"/>
  <c r="G13" i="2"/>
  <c r="G14" i="2"/>
  <c r="G15" i="2"/>
  <c r="G16" i="2"/>
  <c r="G17" i="2"/>
  <c r="G18" i="2"/>
  <c r="G12" i="2"/>
  <c r="O11" i="2"/>
  <c r="P43" i="2"/>
  <c r="O4" i="3"/>
  <c r="P25" i="3"/>
  <c r="P26" i="3"/>
  <c r="G25" i="3"/>
  <c r="B9" i="5"/>
  <c r="A9" i="5"/>
  <c r="G50" i="1"/>
  <c r="C10" i="5"/>
  <c r="C9" i="5"/>
  <c r="K50" i="3"/>
  <c r="G41" i="4"/>
  <c r="H34" i="4"/>
  <c r="I34" i="4"/>
  <c r="K49" i="2"/>
  <c r="O49" i="2"/>
  <c r="O66" i="2"/>
  <c r="K66" i="2"/>
  <c r="K48" i="2"/>
  <c r="O48" i="2"/>
  <c r="K4" i="3"/>
  <c r="I26" i="3"/>
  <c r="I62" i="2"/>
  <c r="I61" i="2"/>
  <c r="I43" i="2"/>
  <c r="G43" i="2"/>
  <c r="G19" i="4"/>
  <c r="G20" i="4"/>
  <c r="G21" i="4"/>
  <c r="G22" i="4"/>
  <c r="G23" i="4"/>
  <c r="G24" i="4"/>
  <c r="G25" i="4"/>
  <c r="G26" i="4"/>
  <c r="G27" i="4"/>
  <c r="G28" i="4"/>
  <c r="G18" i="4"/>
  <c r="I29" i="4"/>
  <c r="G7" i="4"/>
  <c r="G8" i="4"/>
  <c r="G9" i="4"/>
  <c r="G10" i="4"/>
  <c r="G11" i="4"/>
  <c r="G12" i="4"/>
  <c r="I13" i="4"/>
  <c r="G76" i="1"/>
  <c r="G75" i="1"/>
  <c r="G74" i="1"/>
  <c r="G73" i="1"/>
  <c r="G72" i="1"/>
  <c r="G71" i="1"/>
  <c r="G70" i="1"/>
  <c r="G77" i="1"/>
  <c r="I78" i="1"/>
  <c r="G63" i="1"/>
  <c r="I64" i="1"/>
  <c r="I17" i="1"/>
  <c r="I50" i="1"/>
  <c r="I69" i="3"/>
  <c r="G68" i="3"/>
  <c r="G67" i="3"/>
  <c r="G63" i="3"/>
  <c r="G64" i="3"/>
  <c r="G62" i="3"/>
  <c r="I57" i="3"/>
  <c r="G52" i="3"/>
  <c r="G51" i="3"/>
  <c r="I46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31" i="3"/>
  <c r="I2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5" i="3"/>
  <c r="I70" i="2"/>
  <c r="G60" i="2"/>
  <c r="H60" i="2"/>
  <c r="I60" i="2"/>
  <c r="H23" i="2"/>
  <c r="I44" i="2"/>
  <c r="I19" i="2"/>
  <c r="G29" i="4"/>
  <c r="H41" i="4"/>
  <c r="I41" i="4"/>
  <c r="O40" i="4"/>
  <c r="L40" i="4"/>
  <c r="K40" i="4"/>
  <c r="H40" i="4"/>
  <c r="I40" i="4"/>
  <c r="O33" i="4"/>
  <c r="L33" i="4"/>
  <c r="K33" i="4"/>
  <c r="H33" i="4"/>
  <c r="I33" i="4"/>
  <c r="H19" i="4"/>
  <c r="I19" i="4"/>
  <c r="H20" i="4"/>
  <c r="I20" i="4"/>
  <c r="H21" i="4"/>
  <c r="I21" i="4"/>
  <c r="H22" i="4"/>
  <c r="I22" i="4"/>
  <c r="H23" i="4"/>
  <c r="I23" i="4"/>
  <c r="H24" i="4"/>
  <c r="I24" i="4"/>
  <c r="H25" i="4"/>
  <c r="I25" i="4"/>
  <c r="H26" i="4"/>
  <c r="I26" i="4"/>
  <c r="P26" i="4"/>
  <c r="H27" i="4"/>
  <c r="I27" i="4"/>
  <c r="H28" i="4"/>
  <c r="I28" i="4"/>
  <c r="H18" i="4"/>
  <c r="I18" i="4"/>
  <c r="O17" i="4"/>
  <c r="P18" i="4"/>
  <c r="L17" i="4"/>
  <c r="K17" i="4"/>
  <c r="H17" i="4"/>
  <c r="I17" i="4"/>
  <c r="H6" i="4"/>
  <c r="I6" i="4"/>
  <c r="H7" i="4"/>
  <c r="I7" i="4"/>
  <c r="H8" i="4"/>
  <c r="I8" i="4"/>
  <c r="H9" i="4"/>
  <c r="I9" i="4"/>
  <c r="P9" i="4"/>
  <c r="H10" i="4"/>
  <c r="I10" i="4"/>
  <c r="H11" i="4"/>
  <c r="I11" i="4"/>
  <c r="H12" i="4"/>
  <c r="I12" i="4"/>
  <c r="P12" i="4"/>
  <c r="D5" i="4"/>
  <c r="O4" i="4"/>
  <c r="P10" i="4"/>
  <c r="L4" i="4"/>
  <c r="K4" i="4"/>
  <c r="J4" i="4"/>
  <c r="H4" i="4"/>
  <c r="I4" i="4"/>
  <c r="J2" i="4"/>
  <c r="J17" i="4"/>
  <c r="H63" i="3"/>
  <c r="I63" i="3"/>
  <c r="H64" i="3"/>
  <c r="I64" i="3"/>
  <c r="H66" i="3"/>
  <c r="I66" i="3"/>
  <c r="H67" i="3"/>
  <c r="I67" i="3"/>
  <c r="H68" i="3"/>
  <c r="I68" i="3"/>
  <c r="D65" i="3"/>
  <c r="H62" i="3"/>
  <c r="I62" i="3"/>
  <c r="O61" i="3"/>
  <c r="P64" i="3"/>
  <c r="L61" i="3"/>
  <c r="K61" i="3"/>
  <c r="P66" i="3"/>
  <c r="H61" i="3"/>
  <c r="I61" i="3"/>
  <c r="H56" i="3"/>
  <c r="I56" i="3"/>
  <c r="D56" i="3"/>
  <c r="D55" i="3"/>
  <c r="C55" i="3"/>
  <c r="H55" i="3"/>
  <c r="I55" i="3"/>
  <c r="H52" i="3"/>
  <c r="I52" i="3"/>
  <c r="H54" i="3"/>
  <c r="I54" i="3"/>
  <c r="D54" i="3"/>
  <c r="D53" i="3"/>
  <c r="H53" i="3"/>
  <c r="I53" i="3"/>
  <c r="P53" i="3"/>
  <c r="H51" i="3"/>
  <c r="I51" i="3"/>
  <c r="O50" i="3"/>
  <c r="L50" i="3"/>
  <c r="I50" i="3"/>
  <c r="H50" i="3"/>
  <c r="H44" i="3"/>
  <c r="I44" i="3"/>
  <c r="H45" i="3"/>
  <c r="I45" i="3"/>
  <c r="P45" i="3"/>
  <c r="D45" i="3"/>
  <c r="D44" i="3"/>
  <c r="D43" i="3"/>
  <c r="H43" i="3"/>
  <c r="I43" i="3"/>
  <c r="D42" i="3"/>
  <c r="H42" i="3"/>
  <c r="I42" i="3"/>
  <c r="P42" i="3"/>
  <c r="D41" i="3"/>
  <c r="H41" i="3"/>
  <c r="I41" i="3"/>
  <c r="P34" i="3"/>
  <c r="H32" i="3"/>
  <c r="I32" i="3"/>
  <c r="H33" i="3"/>
  <c r="I33" i="3"/>
  <c r="H34" i="3"/>
  <c r="I34" i="3"/>
  <c r="H35" i="3"/>
  <c r="I35" i="3"/>
  <c r="P35" i="3"/>
  <c r="H36" i="3"/>
  <c r="I36" i="3"/>
  <c r="H37" i="3"/>
  <c r="I37" i="3"/>
  <c r="P37" i="3"/>
  <c r="H38" i="3"/>
  <c r="I38" i="3"/>
  <c r="H39" i="3"/>
  <c r="I39" i="3"/>
  <c r="H40" i="3"/>
  <c r="I40" i="3"/>
  <c r="P40" i="3"/>
  <c r="P31" i="3"/>
  <c r="H30" i="3"/>
  <c r="I30" i="3"/>
  <c r="K30" i="3"/>
  <c r="P43" i="3"/>
  <c r="L30" i="3"/>
  <c r="O30" i="3"/>
  <c r="H31" i="3"/>
  <c r="I31" i="3"/>
  <c r="H6" i="3"/>
  <c r="I6" i="3"/>
  <c r="P6" i="3"/>
  <c r="H7" i="3"/>
  <c r="I7" i="3"/>
  <c r="H8" i="3"/>
  <c r="I8" i="3"/>
  <c r="H9" i="3"/>
  <c r="I9" i="3"/>
  <c r="P9" i="3"/>
  <c r="H10" i="3"/>
  <c r="I10" i="3"/>
  <c r="P10" i="3"/>
  <c r="H11" i="3"/>
  <c r="I11" i="3"/>
  <c r="H12" i="3"/>
  <c r="I12" i="3"/>
  <c r="P12" i="3"/>
  <c r="H13" i="3"/>
  <c r="I13" i="3"/>
  <c r="P13" i="3"/>
  <c r="H14" i="3"/>
  <c r="I14" i="3"/>
  <c r="H15" i="3"/>
  <c r="I15" i="3"/>
  <c r="H16" i="3"/>
  <c r="I16" i="3"/>
  <c r="P16" i="3"/>
  <c r="H17" i="3"/>
  <c r="I17" i="3"/>
  <c r="P17" i="3"/>
  <c r="H18" i="3"/>
  <c r="I18" i="3"/>
  <c r="H19" i="3"/>
  <c r="I19" i="3"/>
  <c r="P19" i="3"/>
  <c r="H20" i="3"/>
  <c r="I20" i="3"/>
  <c r="H21" i="3"/>
  <c r="I21" i="3"/>
  <c r="H22" i="3"/>
  <c r="I22" i="3"/>
  <c r="P22" i="3"/>
  <c r="H23" i="3"/>
  <c r="I23" i="3"/>
  <c r="P23" i="3"/>
  <c r="H24" i="3"/>
  <c r="I24" i="3"/>
  <c r="H5" i="3"/>
  <c r="I5" i="3"/>
  <c r="P5" i="3"/>
  <c r="L4" i="3"/>
  <c r="H4" i="3"/>
  <c r="I4" i="3"/>
  <c r="J2" i="3"/>
  <c r="J61" i="3"/>
  <c r="H68" i="2"/>
  <c r="I68" i="2"/>
  <c r="H69" i="2"/>
  <c r="I69" i="2"/>
  <c r="G68" i="2"/>
  <c r="G69" i="2"/>
  <c r="G67" i="2"/>
  <c r="H67" i="2"/>
  <c r="I67" i="2"/>
  <c r="L66" i="2"/>
  <c r="H66" i="2"/>
  <c r="I66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G50" i="2"/>
  <c r="G51" i="2"/>
  <c r="G52" i="2"/>
  <c r="G53" i="2"/>
  <c r="G54" i="2"/>
  <c r="G55" i="2"/>
  <c r="G56" i="2"/>
  <c r="G57" i="2"/>
  <c r="G58" i="2"/>
  <c r="G59" i="2"/>
  <c r="G49" i="2"/>
  <c r="H49" i="2"/>
  <c r="I49" i="2"/>
  <c r="L48" i="2"/>
  <c r="H48" i="2"/>
  <c r="I48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24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O23" i="2"/>
  <c r="K23" i="2"/>
  <c r="L23" i="2"/>
  <c r="I23" i="2"/>
  <c r="D18" i="2"/>
  <c r="H18" i="2"/>
  <c r="I18" i="2"/>
  <c r="K11" i="2"/>
  <c r="L11" i="2"/>
  <c r="D17" i="2"/>
  <c r="H17" i="2"/>
  <c r="I17" i="2"/>
  <c r="H16" i="2"/>
  <c r="I16" i="2"/>
  <c r="H15" i="2"/>
  <c r="I15" i="2"/>
  <c r="H12" i="2"/>
  <c r="I12" i="2"/>
  <c r="H13" i="2"/>
  <c r="I13" i="2"/>
  <c r="H14" i="2"/>
  <c r="I14" i="2"/>
  <c r="H11" i="2"/>
  <c r="I11" i="2"/>
  <c r="D6" i="2"/>
  <c r="H6" i="2"/>
  <c r="I6" i="2"/>
  <c r="D5" i="2"/>
  <c r="H5" i="2"/>
  <c r="I5" i="2"/>
  <c r="O4" i="2"/>
  <c r="L4" i="2"/>
  <c r="K4" i="2"/>
  <c r="H4" i="2"/>
  <c r="I4" i="2"/>
  <c r="J2" i="2"/>
  <c r="J4" i="2"/>
  <c r="G56" i="1"/>
  <c r="G57" i="1"/>
  <c r="G58" i="1"/>
  <c r="G59" i="1"/>
  <c r="G60" i="1"/>
  <c r="G61" i="1"/>
  <c r="G62" i="1"/>
  <c r="H77" i="1"/>
  <c r="I77" i="1"/>
  <c r="H76" i="1"/>
  <c r="I76" i="1"/>
  <c r="H75" i="1"/>
  <c r="I75" i="1"/>
  <c r="H74" i="1"/>
  <c r="I74" i="1"/>
  <c r="H73" i="1"/>
  <c r="I73" i="1"/>
  <c r="I70" i="1"/>
  <c r="I72" i="1"/>
  <c r="H70" i="1"/>
  <c r="H71" i="1"/>
  <c r="I71" i="1"/>
  <c r="H72" i="1"/>
  <c r="O69" i="1"/>
  <c r="L69" i="1"/>
  <c r="K69" i="1"/>
  <c r="H69" i="1"/>
  <c r="I69" i="1"/>
  <c r="H63" i="1"/>
  <c r="L2" i="1"/>
  <c r="L54" i="1"/>
  <c r="H56" i="1"/>
  <c r="I56" i="1"/>
  <c r="H57" i="1"/>
  <c r="H58" i="1"/>
  <c r="I58" i="1"/>
  <c r="H59" i="1"/>
  <c r="I59" i="1"/>
  <c r="P59" i="1"/>
  <c r="H60" i="1"/>
  <c r="I60" i="1"/>
  <c r="H61" i="1"/>
  <c r="H62" i="1"/>
  <c r="I62" i="1"/>
  <c r="I57" i="1"/>
  <c r="I61" i="1"/>
  <c r="I63" i="1"/>
  <c r="G55" i="1"/>
  <c r="H55" i="1"/>
  <c r="I55" i="1"/>
  <c r="H54" i="1"/>
  <c r="I54" i="1"/>
  <c r="O54" i="1"/>
  <c r="K54" i="1"/>
  <c r="H8" i="1"/>
  <c r="I8" i="1"/>
  <c r="H9" i="1"/>
  <c r="I9" i="1"/>
  <c r="H10" i="1"/>
  <c r="I10" i="1"/>
  <c r="H11" i="1"/>
  <c r="I11" i="1"/>
  <c r="P11" i="1"/>
  <c r="H12" i="1"/>
  <c r="I12" i="1"/>
  <c r="H13" i="1"/>
  <c r="I13" i="1"/>
  <c r="H14" i="1"/>
  <c r="I14" i="1"/>
  <c r="H15" i="1"/>
  <c r="I15" i="1"/>
  <c r="H16" i="1"/>
  <c r="I16" i="1"/>
  <c r="G8" i="1"/>
  <c r="G9" i="1"/>
  <c r="G10" i="1"/>
  <c r="G11" i="1"/>
  <c r="G12" i="1"/>
  <c r="G13" i="1"/>
  <c r="G14" i="1"/>
  <c r="G15" i="1"/>
  <c r="G16" i="1"/>
  <c r="H3" i="1"/>
  <c r="I3" i="1"/>
  <c r="H4" i="1"/>
  <c r="I4" i="1"/>
  <c r="P4" i="1"/>
  <c r="H5" i="1"/>
  <c r="I5" i="1"/>
  <c r="H6" i="1"/>
  <c r="I6" i="1"/>
  <c r="H7" i="1"/>
  <c r="I7" i="1"/>
  <c r="H2" i="1"/>
  <c r="I2" i="1"/>
  <c r="G4" i="1"/>
  <c r="G5" i="1"/>
  <c r="G6" i="1"/>
  <c r="G7" i="1"/>
  <c r="G3" i="1"/>
  <c r="O2" i="1"/>
  <c r="K2" i="1"/>
  <c r="H49" i="1"/>
  <c r="I49" i="1"/>
  <c r="G49" i="1"/>
  <c r="H48" i="1"/>
  <c r="I48" i="1"/>
  <c r="G48" i="1"/>
  <c r="H47" i="1"/>
  <c r="I47" i="1"/>
  <c r="G47" i="1"/>
  <c r="H46" i="1"/>
  <c r="I46" i="1"/>
  <c r="G46" i="1"/>
  <c r="H45" i="1"/>
  <c r="I45" i="1"/>
  <c r="G45" i="1"/>
  <c r="H44" i="1"/>
  <c r="I44" i="1"/>
  <c r="G44" i="1"/>
  <c r="H43" i="1"/>
  <c r="I43" i="1"/>
  <c r="G43" i="1"/>
  <c r="H42" i="1"/>
  <c r="I42" i="1"/>
  <c r="G42" i="1"/>
  <c r="H41" i="1"/>
  <c r="I41" i="1"/>
  <c r="G41" i="1"/>
  <c r="H40" i="1"/>
  <c r="I40" i="1"/>
  <c r="G40" i="1"/>
  <c r="H39" i="1"/>
  <c r="I39" i="1"/>
  <c r="G39" i="1"/>
  <c r="H38" i="1"/>
  <c r="I38" i="1"/>
  <c r="G38" i="1"/>
  <c r="H37" i="1"/>
  <c r="I37" i="1"/>
  <c r="G37" i="1"/>
  <c r="H36" i="1"/>
  <c r="I36" i="1"/>
  <c r="G36" i="1"/>
  <c r="H35" i="1"/>
  <c r="I35" i="1"/>
  <c r="G35" i="1"/>
  <c r="H34" i="1"/>
  <c r="I34" i="1"/>
  <c r="G34" i="1"/>
  <c r="H33" i="1"/>
  <c r="I33" i="1"/>
  <c r="G33" i="1"/>
  <c r="H32" i="1"/>
  <c r="I32" i="1"/>
  <c r="G32" i="1"/>
  <c r="H31" i="1"/>
  <c r="I31" i="1"/>
  <c r="G31" i="1"/>
  <c r="H30" i="1"/>
  <c r="I30" i="1"/>
  <c r="G30" i="1"/>
  <c r="H29" i="1"/>
  <c r="I29" i="1"/>
  <c r="G29" i="1"/>
  <c r="H28" i="1"/>
  <c r="I28" i="1"/>
  <c r="G28" i="1"/>
  <c r="H27" i="1"/>
  <c r="I27" i="1"/>
  <c r="G27" i="1"/>
  <c r="H26" i="1"/>
  <c r="I26" i="1"/>
  <c r="G26" i="1"/>
  <c r="H25" i="1"/>
  <c r="I25" i="1"/>
  <c r="G25" i="1"/>
  <c r="H24" i="1"/>
  <c r="I24" i="1"/>
  <c r="G24" i="1"/>
  <c r="O23" i="1"/>
  <c r="L23" i="1"/>
  <c r="K23" i="1"/>
  <c r="H23" i="1"/>
  <c r="I23" i="1"/>
  <c r="J21" i="1"/>
  <c r="J23" i="1"/>
  <c r="P77" i="1"/>
  <c r="P7" i="1"/>
  <c r="P3" i="1"/>
  <c r="P14" i="1"/>
  <c r="P72" i="1"/>
  <c r="P55" i="1"/>
  <c r="P60" i="1"/>
  <c r="P56" i="1"/>
  <c r="P5" i="4"/>
  <c r="J54" i="1"/>
  <c r="P74" i="1"/>
  <c r="P76" i="1"/>
  <c r="P54" i="3"/>
  <c r="P55" i="3"/>
  <c r="G65" i="3"/>
  <c r="G66" i="3"/>
  <c r="P67" i="3"/>
  <c r="P63" i="3"/>
  <c r="I5" i="4"/>
  <c r="G5" i="4"/>
  <c r="G6" i="4"/>
  <c r="P28" i="4"/>
  <c r="P23" i="4"/>
  <c r="P20" i="4"/>
  <c r="P16" i="1"/>
  <c r="P13" i="1"/>
  <c r="P57" i="1"/>
  <c r="J69" i="1"/>
  <c r="P44" i="3"/>
  <c r="P51" i="3"/>
  <c r="P6" i="4"/>
  <c r="P9" i="1"/>
  <c r="P62" i="1"/>
  <c r="P70" i="1"/>
  <c r="R15" i="2"/>
  <c r="P40" i="2"/>
  <c r="P21" i="3"/>
  <c r="P18" i="3"/>
  <c r="P8" i="3"/>
  <c r="P27" i="3"/>
  <c r="P39" i="3"/>
  <c r="P32" i="3"/>
  <c r="P33" i="3"/>
  <c r="P36" i="3"/>
  <c r="P38" i="3"/>
  <c r="P47" i="3"/>
  <c r="H65" i="3"/>
  <c r="I65" i="3"/>
  <c r="P62" i="3"/>
  <c r="P65" i="3"/>
  <c r="P7" i="4"/>
  <c r="P27" i="4"/>
  <c r="P24" i="4"/>
  <c r="P19" i="4"/>
  <c r="P21" i="4"/>
  <c r="P22" i="4"/>
  <c r="P25" i="4"/>
  <c r="P30" i="4"/>
  <c r="J33" i="4"/>
  <c r="J40" i="4"/>
  <c r="P10" i="1"/>
  <c r="P71" i="1"/>
  <c r="P25" i="2"/>
  <c r="J50" i="3"/>
  <c r="P8" i="4"/>
  <c r="H5" i="4"/>
  <c r="P42" i="1"/>
  <c r="P6" i="1"/>
  <c r="P15" i="1"/>
  <c r="P12" i="1"/>
  <c r="P63" i="1"/>
  <c r="P58" i="1"/>
  <c r="P75" i="1"/>
  <c r="P15" i="3"/>
  <c r="P11" i="3"/>
  <c r="J30" i="3"/>
  <c r="P11" i="4"/>
  <c r="P5" i="1"/>
  <c r="P8" i="1"/>
  <c r="P61" i="1"/>
  <c r="P73" i="1"/>
  <c r="J4" i="3"/>
  <c r="P24" i="3"/>
  <c r="P20" i="3"/>
  <c r="P14" i="3"/>
  <c r="P7" i="3"/>
  <c r="P52" i="3"/>
  <c r="P68" i="3"/>
  <c r="P5" i="2"/>
  <c r="R11" i="2"/>
  <c r="R12" i="2"/>
  <c r="G62" i="2"/>
  <c r="R57" i="2"/>
  <c r="R53" i="2"/>
  <c r="R17" i="2"/>
  <c r="R50" i="2"/>
  <c r="R14" i="2"/>
  <c r="R16" i="2"/>
  <c r="R13" i="2"/>
  <c r="R18" i="2"/>
  <c r="G44" i="2"/>
  <c r="G64" i="1"/>
  <c r="G17" i="1"/>
  <c r="P54" i="2"/>
  <c r="R54" i="2"/>
  <c r="R56" i="2"/>
  <c r="R52" i="2"/>
  <c r="P58" i="2"/>
  <c r="R58" i="2"/>
  <c r="R49" i="2"/>
  <c r="Q49" i="2"/>
  <c r="R59" i="2"/>
  <c r="R55" i="2"/>
  <c r="R51" i="2"/>
  <c r="R60" i="2"/>
  <c r="P17" i="2"/>
  <c r="P57" i="2"/>
  <c r="P53" i="2"/>
  <c r="J11" i="2"/>
  <c r="P18" i="2"/>
  <c r="P56" i="2"/>
  <c r="Q52" i="2"/>
  <c r="P30" i="2"/>
  <c r="P49" i="2"/>
  <c r="J66" i="2"/>
  <c r="P6" i="2"/>
  <c r="J23" i="2"/>
  <c r="P41" i="2"/>
  <c r="P38" i="2"/>
  <c r="P34" i="2"/>
  <c r="P31" i="2"/>
  <c r="P28" i="2"/>
  <c r="P24" i="2"/>
  <c r="P68" i="2"/>
  <c r="P12" i="2"/>
  <c r="P37" i="2"/>
  <c r="P27" i="2"/>
  <c r="J48" i="2"/>
  <c r="Q60" i="2"/>
  <c r="P60" i="2"/>
  <c r="P69" i="2"/>
  <c r="Q56" i="2"/>
  <c r="P15" i="2"/>
  <c r="Q59" i="2"/>
  <c r="Q55" i="2"/>
  <c r="Q51" i="2"/>
  <c r="P14" i="2"/>
  <c r="P16" i="2"/>
  <c r="P36" i="2"/>
  <c r="P33" i="2"/>
  <c r="P26" i="2"/>
  <c r="Q58" i="2"/>
  <c r="Q54" i="2"/>
  <c r="Q50" i="2"/>
  <c r="P13" i="2"/>
  <c r="P39" i="2"/>
  <c r="P35" i="2"/>
  <c r="P32" i="2"/>
  <c r="P29" i="2"/>
  <c r="Q57" i="2"/>
  <c r="Q53" i="2"/>
  <c r="P52" i="2"/>
  <c r="P51" i="2"/>
  <c r="P67" i="2"/>
  <c r="P59" i="2"/>
  <c r="P55" i="2"/>
  <c r="P50" i="2"/>
  <c r="P25" i="1"/>
  <c r="P28" i="1"/>
  <c r="P32" i="1"/>
  <c r="P33" i="1"/>
  <c r="P36" i="1"/>
  <c r="P37" i="1"/>
  <c r="P38" i="1"/>
  <c r="P39" i="1"/>
  <c r="P40" i="1"/>
  <c r="P43" i="1"/>
  <c r="P44" i="1"/>
  <c r="P45" i="1"/>
  <c r="P46" i="1"/>
  <c r="P47" i="1"/>
  <c r="P48" i="1"/>
  <c r="P49" i="1"/>
  <c r="P31" i="1"/>
  <c r="P24" i="1"/>
  <c r="P27" i="1"/>
  <c r="P29" i="1"/>
  <c r="P35" i="1"/>
  <c r="P41" i="1"/>
  <c r="J2" i="1"/>
  <c r="P26" i="1"/>
  <c r="P30" i="1"/>
  <c r="P34" i="1"/>
  <c r="P70" i="3"/>
  <c r="P58" i="3"/>
  <c r="P65" i="1"/>
  <c r="P18" i="1"/>
  <c r="P79" i="1"/>
  <c r="P14" i="4"/>
  <c r="G78" i="1"/>
  <c r="G69" i="3"/>
  <c r="P69" i="3"/>
  <c r="G13" i="4"/>
  <c r="P71" i="2"/>
  <c r="R20" i="2"/>
  <c r="P45" i="2"/>
  <c r="P20" i="2"/>
  <c r="P63" i="2"/>
  <c r="P51" i="1"/>
</calcChain>
</file>

<file path=xl/sharedStrings.xml><?xml version="1.0" encoding="utf-8"?>
<sst xmlns="http://schemas.openxmlformats.org/spreadsheetml/2006/main" count="311" uniqueCount="48">
  <si>
    <t>Test #</t>
  </si>
  <si>
    <t>CD-2</t>
  </si>
  <si>
    <t>Test 1</t>
  </si>
  <si>
    <t>Time</t>
  </si>
  <si>
    <t>Torsion</t>
  </si>
  <si>
    <t>Delta</t>
  </si>
  <si>
    <t>Theta</t>
  </si>
  <si>
    <t>Rad Theta</t>
  </si>
  <si>
    <t>E</t>
  </si>
  <si>
    <t>d</t>
  </si>
  <si>
    <t>D</t>
  </si>
  <si>
    <t>N</t>
  </si>
  <si>
    <t>Active N</t>
  </si>
  <si>
    <t>Active D</t>
  </si>
  <si>
    <t>Calc E</t>
  </si>
  <si>
    <t>Average</t>
  </si>
  <si>
    <t>CD-1</t>
  </si>
  <si>
    <t>Test 2</t>
  </si>
  <si>
    <t>E (Gpa)</t>
  </si>
  <si>
    <t>CD-3</t>
  </si>
  <si>
    <t>CD-4</t>
  </si>
  <si>
    <t>WD-1</t>
  </si>
  <si>
    <t>Test 3</t>
  </si>
  <si>
    <t>WD-2</t>
  </si>
  <si>
    <t>Steps</t>
  </si>
  <si>
    <t>WD-3</t>
  </si>
  <si>
    <t>WD-4</t>
  </si>
  <si>
    <t>WD-5</t>
  </si>
  <si>
    <t>TN-1</t>
  </si>
  <si>
    <t>TN-2</t>
  </si>
  <si>
    <t>TN-3</t>
  </si>
  <si>
    <t>TN-4</t>
  </si>
  <si>
    <t>SL-1</t>
  </si>
  <si>
    <t>SL-2</t>
  </si>
  <si>
    <t>SL-3</t>
  </si>
  <si>
    <t>SL-4</t>
  </si>
  <si>
    <t>Excluded</t>
  </si>
  <si>
    <t>Average total</t>
  </si>
  <si>
    <t>CD</t>
  </si>
  <si>
    <t>WD</t>
  </si>
  <si>
    <t>TN</t>
  </si>
  <si>
    <t>SL</t>
  </si>
  <si>
    <t>Total Average</t>
  </si>
  <si>
    <t>STDEV</t>
  </si>
  <si>
    <t>Baseline</t>
  </si>
  <si>
    <t>Bounds</t>
  </si>
  <si>
    <t>Theta/Torque (Radian/N*m)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</si>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</sst>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H11" sqref="H11"/>
    </sheetView>
  </sheetViews>
  <sheetFormatPr baseColWidth="10" defaultColWidth="8.83203125" defaultRowHeight="15" x14ac:dyDescent="0.2"/>
  <cols>
    <col min="1" max="1" width="12" bestFit="1" customWidth="1"/>
  </cols>
  <sheetData>
    <row r="1" spans="1:9" x14ac:dyDescent="0.2">
      <c r="A1" t="s">
        <v>8</v>
      </c>
      <c r="F1" t="s">
        <v>46</v>
      </c>
    </row>
    <row r="2" spans="1:9" x14ac:dyDescent="0.2">
      <c r="A2" s="1" t="s">
        <v>38</v>
      </c>
      <c r="B2" s="1" t="s">
        <v>39</v>
      </c>
      <c r="C2" s="1" t="s">
        <v>40</v>
      </c>
      <c r="D2" s="1" t="s">
        <v>41</v>
      </c>
      <c r="F2" s="1" t="s">
        <v>38</v>
      </c>
      <c r="G2" s="1" t="s">
        <v>39</v>
      </c>
      <c r="H2" s="1" t="s">
        <v>40</v>
      </c>
      <c r="I2" s="1" t="s">
        <v>41</v>
      </c>
    </row>
    <row r="3" spans="1:9" x14ac:dyDescent="0.2">
      <c r="A3" s="8">
        <v>2.6956300080000002</v>
      </c>
      <c r="B3" s="8">
        <v>2.8275661190000001</v>
      </c>
      <c r="C3" s="8">
        <v>2.8145295199999998</v>
      </c>
      <c r="D3" s="8">
        <v>2.6727844520000001</v>
      </c>
      <c r="F3">
        <v>13.21583448</v>
      </c>
      <c r="G3">
        <v>20.081203039999998</v>
      </c>
      <c r="H3">
        <v>7.4612825520000001</v>
      </c>
      <c r="I3">
        <v>15.19371447</v>
      </c>
    </row>
    <row r="4" spans="1:9" x14ac:dyDescent="0.2">
      <c r="A4" s="8">
        <v>3.0078365269999998</v>
      </c>
      <c r="B4" s="8">
        <v>2.880071343</v>
      </c>
      <c r="C4" s="8">
        <v>2.868143624</v>
      </c>
      <c r="D4" s="8">
        <v>2.6483382529999999</v>
      </c>
      <c r="F4">
        <f>13.21583/25*30.5</f>
        <v>16.123312600000002</v>
      </c>
      <c r="G4" s="8">
        <v>4.6150533109999996</v>
      </c>
      <c r="H4">
        <v>10.81586454</v>
      </c>
      <c r="I4">
        <v>15.10381083</v>
      </c>
    </row>
    <row r="5" spans="1:9" x14ac:dyDescent="0.2">
      <c r="A5" s="8">
        <v>2.6105048489999998</v>
      </c>
      <c r="B5" s="8">
        <v>2.9821831969999999</v>
      </c>
      <c r="C5" s="8">
        <v>2.8208658199999999</v>
      </c>
      <c r="D5" s="8">
        <v>2.6502978150000001</v>
      </c>
      <c r="F5" s="8">
        <v>26.43166896</v>
      </c>
      <c r="G5" s="8">
        <v>1.8735643209999999</v>
      </c>
      <c r="H5" s="8">
        <v>16.532020930000002</v>
      </c>
      <c r="I5" s="8">
        <v>16.36042552</v>
      </c>
    </row>
    <row r="6" spans="1:9" x14ac:dyDescent="0.2">
      <c r="A6" s="8">
        <v>2.8265157749999998</v>
      </c>
      <c r="B6" s="8">
        <v>2.8137674580000001</v>
      </c>
      <c r="C6" s="8">
        <v>2.8822821799999998</v>
      </c>
      <c r="D6" s="8">
        <v>2.9102618169999999</v>
      </c>
      <c r="F6" s="8">
        <v>39.624756740000002</v>
      </c>
      <c r="G6" s="8">
        <v>1.0908307820000001</v>
      </c>
      <c r="H6" s="8">
        <v>21.816615649999999</v>
      </c>
      <c r="I6" s="8">
        <v>13.74446786</v>
      </c>
    </row>
    <row r="8" spans="1:9" x14ac:dyDescent="0.2">
      <c r="A8" t="s">
        <v>42</v>
      </c>
      <c r="B8" t="s">
        <v>43</v>
      </c>
      <c r="C8" t="s">
        <v>45</v>
      </c>
      <c r="D8" t="s">
        <v>44</v>
      </c>
    </row>
    <row r="9" spans="1:9" x14ac:dyDescent="0.2">
      <c r="A9">
        <f>AVERAGE(A3:D6)</f>
        <v>2.8069736723124996</v>
      </c>
      <c r="B9">
        <f>STDEV(A3:D6)</f>
        <v>0.12007996413502572</v>
      </c>
      <c r="C9">
        <f>A9+B9</f>
        <v>2.9270536364475253</v>
      </c>
      <c r="D9" s="1"/>
    </row>
    <row r="10" spans="1:9" x14ac:dyDescent="0.2">
      <c r="C10">
        <f>A9-B9</f>
        <v>2.686893708177474</v>
      </c>
    </row>
    <row r="11" spans="1:9" x14ac:dyDescent="0.2">
      <c r="H11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9"/>
  <sheetViews>
    <sheetView topLeftCell="A13" workbookViewId="0">
      <selection activeCell="U26" sqref="U26"/>
    </sheetView>
  </sheetViews>
  <sheetFormatPr baseColWidth="10" defaultColWidth="8.83203125" defaultRowHeight="15" x14ac:dyDescent="0.2"/>
  <cols>
    <col min="10" max="10" width="10.83203125" bestFit="1" customWidth="1"/>
    <col min="14" max="14" width="9.6640625" customWidth="1"/>
    <col min="16" max="16" width="10.83203125" bestFit="1" customWidth="1"/>
    <col min="18" max="18" width="11.83203125" bestFit="1" customWidth="1"/>
  </cols>
  <sheetData>
    <row r="1" spans="1:19" x14ac:dyDescent="0.2">
      <c r="A1" t="s">
        <v>0</v>
      </c>
      <c r="B1" t="s">
        <v>16</v>
      </c>
      <c r="C1" t="s">
        <v>2</v>
      </c>
      <c r="D1" t="s">
        <v>24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9" x14ac:dyDescent="0.2">
      <c r="A2">
        <v>14</v>
      </c>
      <c r="D2">
        <v>1</v>
      </c>
      <c r="E2">
        <v>5.7091399999999997</v>
      </c>
      <c r="F2">
        <v>5.0000000000000001E-3</v>
      </c>
      <c r="H2">
        <f>2.8125*D2</f>
        <v>2.8125</v>
      </c>
      <c r="I2">
        <f t="shared" ref="I2:I17" si="0">H2*(2*PI()/360)</f>
        <v>4.9087385212340517E-2</v>
      </c>
      <c r="J2">
        <f>$J$21*10^9</f>
        <v>1800000000</v>
      </c>
      <c r="K2" s="1">
        <f t="shared" ref="K2" si="1">4/1000</f>
        <v>4.0000000000000001E-3</v>
      </c>
      <c r="L2" s="1">
        <f>(25/1000)</f>
        <v>2.5000000000000001E-2</v>
      </c>
      <c r="M2" s="1">
        <v>5</v>
      </c>
      <c r="N2">
        <v>5.7</v>
      </c>
      <c r="O2">
        <f>21/1000</f>
        <v>2.1000000000000001E-2</v>
      </c>
    </row>
    <row r="3" spans="1:19" x14ac:dyDescent="0.2">
      <c r="D3">
        <v>2</v>
      </c>
      <c r="E3">
        <v>6.7639620000000003</v>
      </c>
      <c r="F3">
        <v>8.9999999999999993E-3</v>
      </c>
      <c r="G3">
        <f t="shared" ref="G3:G16" si="2">F3-F2</f>
        <v>3.9999999999999992E-3</v>
      </c>
      <c r="H3">
        <f t="shared" ref="H3:H8" si="3">2.8125*D3</f>
        <v>5.625</v>
      </c>
      <c r="I3">
        <f t="shared" si="0"/>
        <v>9.8174770424681035E-2</v>
      </c>
      <c r="P3">
        <f t="shared" ref="P3:P16" si="4">((64*F3*$O$2*$N$2)/(($K$2^4)*I3))/(10^9)</f>
        <v>2.7433219230863819</v>
      </c>
    </row>
    <row r="4" spans="1:19" x14ac:dyDescent="0.2">
      <c r="D4">
        <v>3</v>
      </c>
      <c r="E4">
        <v>7.734998</v>
      </c>
      <c r="F4">
        <v>1.2999999999999999E-2</v>
      </c>
      <c r="G4">
        <f t="shared" si="2"/>
        <v>4.0000000000000001E-3</v>
      </c>
      <c r="H4">
        <f t="shared" si="3"/>
        <v>8.4375</v>
      </c>
      <c r="I4">
        <f t="shared" si="0"/>
        <v>0.14726215563702155</v>
      </c>
      <c r="P4">
        <f t="shared" si="4"/>
        <v>2.641717407416516</v>
      </c>
    </row>
    <row r="5" spans="1:19" x14ac:dyDescent="0.2">
      <c r="D5">
        <v>4</v>
      </c>
      <c r="E5">
        <v>8.7430160000000008</v>
      </c>
      <c r="F5">
        <v>1.7000000000000001E-2</v>
      </c>
      <c r="G5">
        <f t="shared" si="2"/>
        <v>4.0000000000000018E-3</v>
      </c>
      <c r="H5">
        <f t="shared" si="3"/>
        <v>11.25</v>
      </c>
      <c r="I5">
        <f t="shared" si="0"/>
        <v>0.19634954084936207</v>
      </c>
      <c r="P5">
        <f t="shared" si="4"/>
        <v>2.5909151495815834</v>
      </c>
    </row>
    <row r="6" spans="1:19" x14ac:dyDescent="0.2">
      <c r="D6">
        <v>5</v>
      </c>
      <c r="E6">
        <v>9.7500699999999991</v>
      </c>
      <c r="F6">
        <v>2.1000000000000001E-2</v>
      </c>
      <c r="G6">
        <f t="shared" si="2"/>
        <v>4.0000000000000001E-3</v>
      </c>
      <c r="H6">
        <f t="shared" si="3"/>
        <v>14.0625</v>
      </c>
      <c r="I6">
        <f t="shared" si="0"/>
        <v>0.24543692606170259</v>
      </c>
      <c r="P6">
        <f t="shared" si="4"/>
        <v>2.5604337948806233</v>
      </c>
    </row>
    <row r="7" spans="1:19" x14ac:dyDescent="0.2">
      <c r="D7">
        <v>6</v>
      </c>
      <c r="E7">
        <v>10.756967</v>
      </c>
      <c r="F7">
        <v>2.5000000000000001E-2</v>
      </c>
      <c r="G7">
        <f t="shared" si="2"/>
        <v>4.0000000000000001E-3</v>
      </c>
      <c r="H7">
        <f t="shared" si="3"/>
        <v>16.875</v>
      </c>
      <c r="I7">
        <f t="shared" si="0"/>
        <v>0.2945243112740431</v>
      </c>
      <c r="P7">
        <f t="shared" si="4"/>
        <v>2.5401128917466496</v>
      </c>
    </row>
    <row r="8" spans="1:19" x14ac:dyDescent="0.2">
      <c r="D8">
        <v>7</v>
      </c>
      <c r="E8">
        <v>11.752969999999999</v>
      </c>
      <c r="F8">
        <v>2.9000000000000001E-2</v>
      </c>
      <c r="G8">
        <f t="shared" si="2"/>
        <v>4.0000000000000001E-3</v>
      </c>
      <c r="H8">
        <f t="shared" si="3"/>
        <v>19.6875</v>
      </c>
      <c r="I8">
        <f t="shared" si="0"/>
        <v>0.34361169648638362</v>
      </c>
      <c r="P8">
        <f t="shared" si="4"/>
        <v>2.5255979609366692</v>
      </c>
    </row>
    <row r="9" spans="1:19" x14ac:dyDescent="0.2">
      <c r="D9">
        <v>8</v>
      </c>
      <c r="E9">
        <v>12.747959</v>
      </c>
      <c r="F9">
        <v>3.2000000000000001E-2</v>
      </c>
      <c r="G9">
        <f t="shared" si="2"/>
        <v>2.9999999999999992E-3</v>
      </c>
      <c r="H9">
        <f t="shared" ref="H9:H16" si="5">2.8125*D9</f>
        <v>22.5</v>
      </c>
      <c r="I9">
        <f t="shared" si="0"/>
        <v>0.39269908169872414</v>
      </c>
      <c r="P9">
        <f t="shared" si="4"/>
        <v>2.4385083760767841</v>
      </c>
    </row>
    <row r="10" spans="1:19" x14ac:dyDescent="0.2">
      <c r="D10">
        <v>9</v>
      </c>
      <c r="E10">
        <v>13.766966999999999</v>
      </c>
      <c r="F10">
        <v>3.5999999999999997E-2</v>
      </c>
      <c r="G10">
        <f t="shared" si="2"/>
        <v>3.9999999999999966E-3</v>
      </c>
      <c r="H10">
        <f t="shared" si="5"/>
        <v>25.3125</v>
      </c>
      <c r="I10">
        <f t="shared" si="0"/>
        <v>0.44178646691106466</v>
      </c>
      <c r="P10">
        <f t="shared" si="4"/>
        <v>2.4385083760767836</v>
      </c>
    </row>
    <row r="11" spans="1:19" x14ac:dyDescent="0.2">
      <c r="D11">
        <v>10</v>
      </c>
      <c r="E11">
        <v>14.763026</v>
      </c>
      <c r="F11">
        <v>3.9E-2</v>
      </c>
      <c r="G11">
        <f t="shared" si="2"/>
        <v>3.0000000000000027E-3</v>
      </c>
      <c r="H11">
        <f t="shared" si="5"/>
        <v>28.125</v>
      </c>
      <c r="I11">
        <f t="shared" si="0"/>
        <v>0.49087385212340517</v>
      </c>
      <c r="P11">
        <f t="shared" si="4"/>
        <v>2.3775456666748642</v>
      </c>
    </row>
    <row r="12" spans="1:19" x14ac:dyDescent="0.2">
      <c r="D12">
        <v>11</v>
      </c>
      <c r="E12">
        <v>15.782035</v>
      </c>
      <c r="F12">
        <v>4.3999999999999997E-2</v>
      </c>
      <c r="G12">
        <f t="shared" si="2"/>
        <v>4.9999999999999975E-3</v>
      </c>
      <c r="H12">
        <f t="shared" si="5"/>
        <v>30.9375</v>
      </c>
      <c r="I12">
        <f t="shared" si="0"/>
        <v>0.53996123733574575</v>
      </c>
      <c r="P12">
        <f t="shared" si="4"/>
        <v>2.4385083760767836</v>
      </c>
    </row>
    <row r="13" spans="1:19" x14ac:dyDescent="0.2">
      <c r="D13">
        <v>12</v>
      </c>
      <c r="E13">
        <v>16.789966</v>
      </c>
      <c r="F13">
        <v>4.7E-2</v>
      </c>
      <c r="G13">
        <f t="shared" si="2"/>
        <v>3.0000000000000027E-3</v>
      </c>
      <c r="H13">
        <f t="shared" si="5"/>
        <v>33.75</v>
      </c>
      <c r="I13">
        <f t="shared" si="0"/>
        <v>0.58904862254808621</v>
      </c>
      <c r="P13">
        <f t="shared" si="4"/>
        <v>2.3877061182418506</v>
      </c>
    </row>
    <row r="14" spans="1:19" x14ac:dyDescent="0.2">
      <c r="D14">
        <v>13</v>
      </c>
      <c r="E14">
        <v>17.796994000000002</v>
      </c>
      <c r="F14">
        <v>5.0999999999999997E-2</v>
      </c>
      <c r="G14">
        <f t="shared" si="2"/>
        <v>3.9999999999999966E-3</v>
      </c>
      <c r="H14">
        <f t="shared" si="5"/>
        <v>36.5625</v>
      </c>
      <c r="I14">
        <f t="shared" si="0"/>
        <v>0.63813600776042678</v>
      </c>
      <c r="P14">
        <f t="shared" si="4"/>
        <v>2.3916139842291528</v>
      </c>
    </row>
    <row r="15" spans="1:19" x14ac:dyDescent="0.2">
      <c r="D15">
        <v>14</v>
      </c>
      <c r="E15">
        <v>18.803957</v>
      </c>
      <c r="F15">
        <v>5.3999999999999999E-2</v>
      </c>
      <c r="G15">
        <f t="shared" si="2"/>
        <v>3.0000000000000027E-3</v>
      </c>
      <c r="H15">
        <f t="shared" si="5"/>
        <v>39.375</v>
      </c>
      <c r="I15">
        <f t="shared" si="0"/>
        <v>0.68722339297276724</v>
      </c>
      <c r="P15">
        <f t="shared" si="4"/>
        <v>2.3514187912168989</v>
      </c>
    </row>
    <row r="16" spans="1:19" x14ac:dyDescent="0.2">
      <c r="D16">
        <v>15</v>
      </c>
      <c r="E16">
        <v>19.799976999999998</v>
      </c>
      <c r="F16">
        <v>5.7000000000000002E-2</v>
      </c>
      <c r="G16">
        <f t="shared" si="2"/>
        <v>3.0000000000000027E-3</v>
      </c>
      <c r="H16" s="2">
        <f t="shared" si="5"/>
        <v>42.1875</v>
      </c>
      <c r="I16">
        <f t="shared" si="0"/>
        <v>0.73631077818510782</v>
      </c>
      <c r="P16">
        <f t="shared" si="4"/>
        <v>2.3165829572729444</v>
      </c>
      <c r="S16">
        <f>I17/G17</f>
        <v>13.215834480245523</v>
      </c>
    </row>
    <row r="17" spans="1:21" x14ac:dyDescent="0.2">
      <c r="G17">
        <f>AVERAGE(G3:G16)</f>
        <v>3.7142857142857147E-3</v>
      </c>
      <c r="H17" s="2">
        <v>2.8125</v>
      </c>
      <c r="I17">
        <f t="shared" si="0"/>
        <v>4.9087385212340517E-2</v>
      </c>
      <c r="P17" s="6">
        <f>((64*G17*$L$2*$N$2)/(($K$2^4)*I17))/(10^9)</f>
        <v>2.6956300075678734</v>
      </c>
      <c r="R17" t="s">
        <v>37</v>
      </c>
    </row>
    <row r="18" spans="1:21" x14ac:dyDescent="0.2">
      <c r="O18" t="s">
        <v>15</v>
      </c>
      <c r="P18" s="2">
        <f>AVERAGE(P3:P16)</f>
        <v>2.4816065552510342</v>
      </c>
    </row>
    <row r="20" spans="1:21" x14ac:dyDescent="0.2">
      <c r="J20" t="s">
        <v>18</v>
      </c>
    </row>
    <row r="21" spans="1:21" x14ac:dyDescent="0.2">
      <c r="J21">
        <f>1.8</f>
        <v>1.8</v>
      </c>
    </row>
    <row r="22" spans="1:21" x14ac:dyDescent="0.2">
      <c r="A22" t="s">
        <v>0</v>
      </c>
      <c r="B22" t="s">
        <v>1</v>
      </c>
      <c r="C22" t="s">
        <v>2</v>
      </c>
      <c r="D22" t="s">
        <v>24</v>
      </c>
      <c r="E22" t="s">
        <v>3</v>
      </c>
      <c r="F22" t="s">
        <v>4</v>
      </c>
      <c r="G22" t="s">
        <v>5</v>
      </c>
      <c r="H22" t="s">
        <v>6</v>
      </c>
      <c r="I22" t="s">
        <v>7</v>
      </c>
      <c r="J22" t="s">
        <v>8</v>
      </c>
      <c r="K22" t="s">
        <v>9</v>
      </c>
      <c r="L22" t="s">
        <v>10</v>
      </c>
      <c r="M22" t="s">
        <v>11</v>
      </c>
      <c r="N22" t="s">
        <v>12</v>
      </c>
      <c r="O22" t="s">
        <v>13</v>
      </c>
      <c r="P22" t="s">
        <v>14</v>
      </c>
    </row>
    <row r="23" spans="1:21" x14ac:dyDescent="0.2">
      <c r="A23">
        <v>15</v>
      </c>
      <c r="D23">
        <v>1</v>
      </c>
      <c r="E23">
        <v>10.948702000000001</v>
      </c>
      <c r="F23">
        <v>1E-3</v>
      </c>
      <c r="H23">
        <f t="shared" ref="H23:H40" si="6">2.8125*D23</f>
        <v>2.8125</v>
      </c>
      <c r="I23">
        <f>H23*(2*PI()/360)</f>
        <v>4.9087385212340517E-2</v>
      </c>
      <c r="J23">
        <f>$J$21*10^9</f>
        <v>1800000000</v>
      </c>
      <c r="K23" s="1">
        <f t="shared" ref="K23" si="7">4/1000</f>
        <v>4.0000000000000001E-3</v>
      </c>
      <c r="L23" s="1">
        <f>(30/1000)</f>
        <v>0.03</v>
      </c>
      <c r="M23" s="1">
        <v>5</v>
      </c>
      <c r="N23">
        <v>4</v>
      </c>
      <c r="O23">
        <f>26/1000</f>
        <v>2.5999999999999999E-2</v>
      </c>
    </row>
    <row r="24" spans="1:21" x14ac:dyDescent="0.2">
      <c r="D24">
        <v>2</v>
      </c>
      <c r="E24">
        <v>11.965636999999999</v>
      </c>
      <c r="F24">
        <v>8.0000000000000002E-3</v>
      </c>
      <c r="G24">
        <f>F24-F23</f>
        <v>7.0000000000000001E-3</v>
      </c>
      <c r="H24">
        <f t="shared" si="6"/>
        <v>5.625</v>
      </c>
      <c r="I24">
        <f t="shared" ref="I24:I50" si="8">H24*(2*PI()/360)</f>
        <v>9.8174770424681035E-2</v>
      </c>
      <c r="P24">
        <f t="shared" ref="P24:P49" si="9">((64*F24*$O$23*$N$23)/(($K$23^4)*I24))/(10^9)</f>
        <v>2.1186706024393107</v>
      </c>
      <c r="S24">
        <f t="shared" ref="S24:S35" si="10">I25/F25</f>
        <v>12.271846303085129</v>
      </c>
    </row>
    <row r="25" spans="1:21" x14ac:dyDescent="0.2">
      <c r="D25">
        <v>3</v>
      </c>
      <c r="E25">
        <v>12.959807</v>
      </c>
      <c r="F25">
        <v>1.2E-2</v>
      </c>
      <c r="G25">
        <f t="shared" ref="G25:G49" si="11">F25-F24</f>
        <v>4.0000000000000001E-3</v>
      </c>
      <c r="H25">
        <f t="shared" si="6"/>
        <v>8.4375</v>
      </c>
      <c r="I25">
        <f t="shared" si="8"/>
        <v>0.14726215563702155</v>
      </c>
      <c r="P25">
        <f t="shared" si="9"/>
        <v>2.1186706024393107</v>
      </c>
      <c r="S25">
        <f t="shared" si="10"/>
        <v>10.90830782496456</v>
      </c>
    </row>
    <row r="26" spans="1:21" x14ac:dyDescent="0.2">
      <c r="D26">
        <v>4</v>
      </c>
      <c r="E26">
        <v>13.977638000000001</v>
      </c>
      <c r="F26">
        <v>1.7999999999999999E-2</v>
      </c>
      <c r="G26">
        <f t="shared" si="11"/>
        <v>5.9999999999999984E-3</v>
      </c>
      <c r="H26">
        <f t="shared" si="6"/>
        <v>11.25</v>
      </c>
      <c r="I26">
        <f t="shared" si="8"/>
        <v>0.19634954084936207</v>
      </c>
      <c r="P26">
        <f t="shared" si="9"/>
        <v>2.3835044277442243</v>
      </c>
      <c r="S26">
        <f t="shared" si="10"/>
        <v>10.226538585904274</v>
      </c>
      <c r="U26">
        <f>13.21583/25*30</f>
        <v>15.858996000000001</v>
      </c>
    </row>
    <row r="27" spans="1:21" x14ac:dyDescent="0.2">
      <c r="D27">
        <v>5</v>
      </c>
      <c r="E27">
        <v>14.983632999999999</v>
      </c>
      <c r="F27">
        <v>2.4E-2</v>
      </c>
      <c r="G27">
        <f t="shared" si="11"/>
        <v>6.0000000000000019E-3</v>
      </c>
      <c r="H27">
        <f t="shared" si="6"/>
        <v>14.0625</v>
      </c>
      <c r="I27">
        <f t="shared" si="8"/>
        <v>0.24543692606170259</v>
      </c>
      <c r="P27">
        <f t="shared" si="9"/>
        <v>2.5424047229271731</v>
      </c>
      <c r="S27">
        <f t="shared" si="10"/>
        <v>9.8174770424681039</v>
      </c>
    </row>
    <row r="28" spans="1:21" x14ac:dyDescent="0.2">
      <c r="D28">
        <v>6</v>
      </c>
      <c r="E28">
        <v>15.989682999999999</v>
      </c>
      <c r="F28">
        <v>0.03</v>
      </c>
      <c r="G28">
        <f t="shared" si="11"/>
        <v>5.9999999999999984E-3</v>
      </c>
      <c r="H28">
        <f t="shared" si="6"/>
        <v>16.875</v>
      </c>
      <c r="I28">
        <f t="shared" si="8"/>
        <v>0.2945243112740431</v>
      </c>
      <c r="P28">
        <f t="shared" si="9"/>
        <v>2.6483382530491384</v>
      </c>
      <c r="S28">
        <f t="shared" si="10"/>
        <v>9.286802607740098</v>
      </c>
    </row>
    <row r="29" spans="1:21" x14ac:dyDescent="0.2">
      <c r="D29">
        <v>7</v>
      </c>
      <c r="E29">
        <v>16.995638</v>
      </c>
      <c r="F29">
        <v>3.6999999999999998E-2</v>
      </c>
      <c r="G29">
        <f t="shared" si="11"/>
        <v>6.9999999999999993E-3</v>
      </c>
      <c r="H29">
        <f t="shared" si="6"/>
        <v>19.6875</v>
      </c>
      <c r="I29">
        <f t="shared" si="8"/>
        <v>0.34361169648638362</v>
      </c>
      <c r="P29">
        <f t="shared" si="9"/>
        <v>2.799671867509089</v>
      </c>
      <c r="S29">
        <f t="shared" si="10"/>
        <v>9.3499781356839069</v>
      </c>
    </row>
    <row r="30" spans="1:21" x14ac:dyDescent="0.2">
      <c r="D30">
        <v>8</v>
      </c>
      <c r="E30">
        <v>17.989632</v>
      </c>
      <c r="F30">
        <v>4.2000000000000003E-2</v>
      </c>
      <c r="G30">
        <f t="shared" si="11"/>
        <v>5.0000000000000044E-3</v>
      </c>
      <c r="H30">
        <f t="shared" si="6"/>
        <v>22.5</v>
      </c>
      <c r="I30">
        <f t="shared" si="8"/>
        <v>0.39269908169872414</v>
      </c>
      <c r="P30">
        <f t="shared" si="9"/>
        <v>2.7807551657015956</v>
      </c>
      <c r="S30">
        <f t="shared" si="10"/>
        <v>9.0160503451237677</v>
      </c>
    </row>
    <row r="31" spans="1:21" x14ac:dyDescent="0.2">
      <c r="D31">
        <v>9</v>
      </c>
      <c r="E31">
        <v>19.007638</v>
      </c>
      <c r="F31">
        <v>4.9000000000000002E-2</v>
      </c>
      <c r="G31">
        <f t="shared" si="11"/>
        <v>6.9999999999999993E-3</v>
      </c>
      <c r="H31">
        <f t="shared" si="6"/>
        <v>25.3125</v>
      </c>
      <c r="I31">
        <f t="shared" si="8"/>
        <v>0.44178646691106466</v>
      </c>
      <c r="P31">
        <f t="shared" si="9"/>
        <v>2.8837460977646177</v>
      </c>
      <c r="S31">
        <f t="shared" si="10"/>
        <v>8.9249791295164584</v>
      </c>
    </row>
    <row r="32" spans="1:21" x14ac:dyDescent="0.2">
      <c r="D32">
        <v>10</v>
      </c>
      <c r="E32">
        <v>20.024705000000001</v>
      </c>
      <c r="F32">
        <v>5.5E-2</v>
      </c>
      <c r="G32">
        <f t="shared" si="11"/>
        <v>5.9999999999999984E-3</v>
      </c>
      <c r="H32">
        <f t="shared" si="6"/>
        <v>28.125</v>
      </c>
      <c r="I32">
        <f t="shared" si="8"/>
        <v>0.49087385212340517</v>
      </c>
      <c r="P32">
        <f t="shared" si="9"/>
        <v>2.913172078354052</v>
      </c>
      <c r="S32">
        <f t="shared" si="10"/>
        <v>8.4368943333710273</v>
      </c>
    </row>
    <row r="33" spans="4:19" x14ac:dyDescent="0.2">
      <c r="D33">
        <v>11</v>
      </c>
      <c r="E33">
        <v>21.054676000000001</v>
      </c>
      <c r="F33">
        <v>6.4000000000000001E-2</v>
      </c>
      <c r="G33">
        <f t="shared" si="11"/>
        <v>9.0000000000000011E-3</v>
      </c>
      <c r="H33">
        <f t="shared" si="6"/>
        <v>30.9375</v>
      </c>
      <c r="I33">
        <f t="shared" si="8"/>
        <v>0.53996123733574575</v>
      </c>
      <c r="P33">
        <f t="shared" si="9"/>
        <v>3.0817026944571793</v>
      </c>
      <c r="S33">
        <f t="shared" si="10"/>
        <v>8.5369365586679162</v>
      </c>
    </row>
    <row r="34" spans="4:19" x14ac:dyDescent="0.2">
      <c r="D34">
        <v>12</v>
      </c>
      <c r="E34">
        <v>22.024650999999999</v>
      </c>
      <c r="F34">
        <v>6.9000000000000006E-2</v>
      </c>
      <c r="G34">
        <f t="shared" si="11"/>
        <v>5.0000000000000044E-3</v>
      </c>
      <c r="H34">
        <f t="shared" si="6"/>
        <v>33.75</v>
      </c>
      <c r="I34">
        <f t="shared" si="8"/>
        <v>0.58904862254808621</v>
      </c>
      <c r="P34">
        <f t="shared" si="9"/>
        <v>3.0455889910065093</v>
      </c>
      <c r="S34">
        <f t="shared" si="10"/>
        <v>8.5084801034723583</v>
      </c>
    </row>
    <row r="35" spans="4:19" x14ac:dyDescent="0.2">
      <c r="D35">
        <v>13</v>
      </c>
      <c r="E35">
        <v>23.018646</v>
      </c>
      <c r="F35">
        <v>7.4999999999999997E-2</v>
      </c>
      <c r="G35">
        <f t="shared" si="11"/>
        <v>5.9999999999999915E-3</v>
      </c>
      <c r="H35">
        <f t="shared" si="6"/>
        <v>36.5625</v>
      </c>
      <c r="I35">
        <f t="shared" si="8"/>
        <v>0.63813600776042678</v>
      </c>
      <c r="P35">
        <f t="shared" si="9"/>
        <v>3.0557749073643898</v>
      </c>
      <c r="S35">
        <f>I36/F36</f>
        <v>8.4842394194168786</v>
      </c>
    </row>
    <row r="36" spans="4:19" x14ac:dyDescent="0.2">
      <c r="D36">
        <v>14</v>
      </c>
      <c r="E36">
        <v>24.036633999999999</v>
      </c>
      <c r="F36">
        <v>8.1000000000000003E-2</v>
      </c>
      <c r="G36">
        <f t="shared" si="11"/>
        <v>6.0000000000000053E-3</v>
      </c>
      <c r="H36">
        <f t="shared" si="6"/>
        <v>39.375</v>
      </c>
      <c r="I36">
        <f t="shared" si="8"/>
        <v>0.68722339297276724</v>
      </c>
      <c r="P36">
        <f t="shared" si="9"/>
        <v>3.0645056928140031</v>
      </c>
      <c r="S36">
        <f t="shared" ref="S36:S47" si="12">I37/F37</f>
        <v>8.4633422779897458</v>
      </c>
    </row>
    <row r="37" spans="4:19" x14ac:dyDescent="0.2">
      <c r="D37">
        <v>15</v>
      </c>
      <c r="E37">
        <v>25.054638000000001</v>
      </c>
      <c r="F37">
        <v>8.6999999999999994E-2</v>
      </c>
      <c r="G37">
        <f t="shared" si="11"/>
        <v>5.9999999999999915E-3</v>
      </c>
      <c r="H37">
        <f t="shared" si="6"/>
        <v>42.1875</v>
      </c>
      <c r="I37">
        <f t="shared" si="8"/>
        <v>0.73631077818510782</v>
      </c>
      <c r="P37">
        <f t="shared" si="9"/>
        <v>3.0720723735370004</v>
      </c>
      <c r="S37">
        <f t="shared" si="12"/>
        <v>8.3552996106111515</v>
      </c>
    </row>
    <row r="38" spans="4:19" x14ac:dyDescent="0.2">
      <c r="D38">
        <v>16</v>
      </c>
      <c r="E38">
        <v>26.047664999999999</v>
      </c>
      <c r="F38">
        <v>9.4E-2</v>
      </c>
      <c r="G38">
        <f t="shared" si="11"/>
        <v>7.0000000000000062E-3</v>
      </c>
      <c r="H38">
        <f t="shared" si="6"/>
        <v>45</v>
      </c>
      <c r="I38">
        <f t="shared" si="8"/>
        <v>0.78539816339744828</v>
      </c>
      <c r="P38">
        <f t="shared" si="9"/>
        <v>3.1117974473327381</v>
      </c>
      <c r="S38">
        <f t="shared" si="12"/>
        <v>8.4291469556544332</v>
      </c>
    </row>
    <row r="39" spans="4:19" x14ac:dyDescent="0.2">
      <c r="D39">
        <v>17</v>
      </c>
      <c r="E39">
        <v>27.041626999999998</v>
      </c>
      <c r="F39">
        <v>9.9000000000000005E-2</v>
      </c>
      <c r="G39">
        <f t="shared" si="11"/>
        <v>5.0000000000000044E-3</v>
      </c>
      <c r="H39">
        <f t="shared" si="6"/>
        <v>47.8125</v>
      </c>
      <c r="I39">
        <f t="shared" si="8"/>
        <v>0.83448554860978885</v>
      </c>
      <c r="P39">
        <f t="shared" si="9"/>
        <v>3.0845351417866436</v>
      </c>
      <c r="S39">
        <f t="shared" si="12"/>
        <v>8.4149803221155182</v>
      </c>
    </row>
    <row r="40" spans="4:19" x14ac:dyDescent="0.2">
      <c r="D40">
        <v>18</v>
      </c>
      <c r="E40">
        <v>28.059650000000001</v>
      </c>
      <c r="F40">
        <v>0.105</v>
      </c>
      <c r="G40">
        <f t="shared" si="11"/>
        <v>5.9999999999999915E-3</v>
      </c>
      <c r="H40">
        <f t="shared" si="6"/>
        <v>50.625</v>
      </c>
      <c r="I40">
        <f t="shared" si="8"/>
        <v>0.88357293382212931</v>
      </c>
      <c r="P40">
        <f t="shared" si="9"/>
        <v>3.0897279618906612</v>
      </c>
      <c r="S40">
        <f t="shared" si="12"/>
        <v>8.4787301730406348</v>
      </c>
    </row>
    <row r="41" spans="4:19" x14ac:dyDescent="0.2">
      <c r="D41">
        <v>19</v>
      </c>
      <c r="E41">
        <v>29.065626000000002</v>
      </c>
      <c r="F41">
        <v>0.11</v>
      </c>
      <c r="G41">
        <f t="shared" si="11"/>
        <v>5.0000000000000044E-3</v>
      </c>
      <c r="H41">
        <f t="shared" ref="H41:H46" si="13">2.8125*D41</f>
        <v>53.4375</v>
      </c>
      <c r="I41">
        <f t="shared" si="8"/>
        <v>0.93266031903446989</v>
      </c>
      <c r="P41">
        <f t="shared" si="9"/>
        <v>3.0664969245832125</v>
      </c>
      <c r="S41">
        <f t="shared" si="12"/>
        <v>8.3910060192035072</v>
      </c>
    </row>
    <row r="42" spans="4:19" x14ac:dyDescent="0.2">
      <c r="D42">
        <v>20</v>
      </c>
      <c r="E42">
        <v>30.094715000000001</v>
      </c>
      <c r="F42">
        <v>0.11700000000000001</v>
      </c>
      <c r="G42">
        <f t="shared" si="11"/>
        <v>7.0000000000000062E-3</v>
      </c>
      <c r="H42">
        <f t="shared" si="13"/>
        <v>56.25</v>
      </c>
      <c r="I42">
        <f t="shared" si="8"/>
        <v>0.98174770424681035</v>
      </c>
      <c r="P42">
        <f t="shared" si="9"/>
        <v>3.0985557560674919</v>
      </c>
      <c r="S42">
        <f t="shared" si="12"/>
        <v>8.4494679463864824</v>
      </c>
    </row>
    <row r="43" spans="4:19" x14ac:dyDescent="0.2">
      <c r="D43">
        <v>21</v>
      </c>
      <c r="E43">
        <v>31.076640999999999</v>
      </c>
      <c r="F43">
        <v>0.122</v>
      </c>
      <c r="G43">
        <f t="shared" si="11"/>
        <v>4.9999999999999906E-3</v>
      </c>
      <c r="H43">
        <f t="shared" si="13"/>
        <v>59.0625</v>
      </c>
      <c r="I43">
        <f t="shared" si="8"/>
        <v>1.0308350894591509</v>
      </c>
      <c r="P43">
        <f t="shared" si="9"/>
        <v>3.0771168273523322</v>
      </c>
      <c r="S43">
        <f t="shared" si="12"/>
        <v>8.5033265722164675</v>
      </c>
    </row>
    <row r="44" spans="4:19" x14ac:dyDescent="0.2">
      <c r="D44">
        <v>22</v>
      </c>
      <c r="E44">
        <v>32.070624000000002</v>
      </c>
      <c r="F44">
        <v>0.127</v>
      </c>
      <c r="G44">
        <f t="shared" si="11"/>
        <v>5.0000000000000044E-3</v>
      </c>
      <c r="H44">
        <f t="shared" si="13"/>
        <v>61.875</v>
      </c>
      <c r="I44">
        <f t="shared" si="8"/>
        <v>1.0799224746714915</v>
      </c>
      <c r="P44">
        <f t="shared" si="9"/>
        <v>3.057626892156732</v>
      </c>
      <c r="S44">
        <f t="shared" si="12"/>
        <v>8.618395876975816</v>
      </c>
    </row>
    <row r="45" spans="4:19" x14ac:dyDescent="0.2">
      <c r="D45">
        <v>23</v>
      </c>
      <c r="E45">
        <v>33.076627000000002</v>
      </c>
      <c r="F45">
        <v>0.13100000000000001</v>
      </c>
      <c r="G45">
        <f t="shared" si="11"/>
        <v>4.0000000000000036E-3</v>
      </c>
      <c r="H45">
        <f t="shared" si="13"/>
        <v>64.6875</v>
      </c>
      <c r="I45">
        <f t="shared" si="8"/>
        <v>1.1290098598838318</v>
      </c>
      <c r="P45">
        <f t="shared" si="9"/>
        <v>3.0168027056472799</v>
      </c>
      <c r="S45">
        <f t="shared" si="12"/>
        <v>8.6624797433542078</v>
      </c>
    </row>
    <row r="46" spans="4:19" x14ac:dyDescent="0.2">
      <c r="D46">
        <v>24</v>
      </c>
      <c r="E46">
        <v>34.118792999999997</v>
      </c>
      <c r="F46">
        <v>0.13600000000000001</v>
      </c>
      <c r="G46">
        <f t="shared" si="11"/>
        <v>5.0000000000000044E-3</v>
      </c>
      <c r="H46">
        <f t="shared" si="13"/>
        <v>67.5</v>
      </c>
      <c r="I46">
        <f t="shared" si="8"/>
        <v>1.1780972450961724</v>
      </c>
      <c r="P46">
        <f t="shared" si="9"/>
        <v>3.0014500201223568</v>
      </c>
      <c r="S46">
        <f t="shared" si="12"/>
        <v>8.7034370943866186</v>
      </c>
    </row>
    <row r="47" spans="4:19" x14ac:dyDescent="0.2">
      <c r="D47">
        <v>25</v>
      </c>
      <c r="E47">
        <v>35.088622999999998</v>
      </c>
      <c r="F47">
        <v>0.14099999999999999</v>
      </c>
      <c r="G47">
        <f t="shared" si="11"/>
        <v>4.9999999999999767E-3</v>
      </c>
      <c r="H47">
        <f>2.8125*D47</f>
        <v>70.3125</v>
      </c>
      <c r="I47">
        <f t="shared" si="8"/>
        <v>1.227184630308513</v>
      </c>
      <c r="P47">
        <f t="shared" si="9"/>
        <v>2.9873255494394275</v>
      </c>
      <c r="S47">
        <f t="shared" si="12"/>
        <v>8.8630001077837068</v>
      </c>
    </row>
    <row r="48" spans="4:19" x14ac:dyDescent="0.2">
      <c r="D48">
        <v>26</v>
      </c>
      <c r="E48">
        <v>36.094644000000002</v>
      </c>
      <c r="F48">
        <v>0.14399999999999999</v>
      </c>
      <c r="G48">
        <f t="shared" si="11"/>
        <v>3.0000000000000027E-3</v>
      </c>
      <c r="H48">
        <f>2.8125*D48</f>
        <v>73.125</v>
      </c>
      <c r="I48">
        <f t="shared" si="8"/>
        <v>1.2762720155208536</v>
      </c>
      <c r="P48">
        <f t="shared" si="9"/>
        <v>2.933543911069814</v>
      </c>
      <c r="S48">
        <f>I49/F49</f>
        <v>8.8357293382212934</v>
      </c>
    </row>
    <row r="49" spans="1:19" x14ac:dyDescent="0.2">
      <c r="D49">
        <v>27</v>
      </c>
      <c r="E49">
        <v>37.123632999999998</v>
      </c>
      <c r="F49">
        <v>0.15</v>
      </c>
      <c r="G49">
        <f t="shared" si="11"/>
        <v>6.0000000000000053E-3</v>
      </c>
      <c r="H49" s="2">
        <f>2.8125*D49</f>
        <v>75.9375</v>
      </c>
      <c r="I49">
        <f t="shared" si="8"/>
        <v>1.3253594007331939</v>
      </c>
      <c r="P49">
        <f t="shared" si="9"/>
        <v>2.9425980589434877</v>
      </c>
      <c r="Q49" s="6">
        <f>AVERAGE(P29:P49)</f>
        <v>3.0078365269000291</v>
      </c>
      <c r="S49">
        <f>I50/G50</f>
        <v>8.5655839967842518</v>
      </c>
    </row>
    <row r="50" spans="1:19" x14ac:dyDescent="0.2">
      <c r="G50">
        <f>AVERAGE(G24:G49)</f>
        <v>5.7307692307692303E-3</v>
      </c>
      <c r="H50" s="3">
        <v>2.8125</v>
      </c>
      <c r="I50">
        <f t="shared" si="8"/>
        <v>4.9087385212340517E-2</v>
      </c>
      <c r="P50" s="5">
        <f>((64*G50*$O$23*$N$23)/(($K$23^4)*I50))/(10^9)</f>
        <v>3.0354030746486278</v>
      </c>
    </row>
    <row r="51" spans="1:19" x14ac:dyDescent="0.2">
      <c r="O51" t="s">
        <v>15</v>
      </c>
      <c r="P51" s="2">
        <f>AVERAGE(P24:P49)</f>
        <v>2.8836982951346068</v>
      </c>
    </row>
    <row r="52" spans="1:19" x14ac:dyDescent="0.2">
      <c r="P52" s="3"/>
    </row>
    <row r="53" spans="1:19" x14ac:dyDescent="0.2">
      <c r="A53" t="s">
        <v>0</v>
      </c>
      <c r="B53" t="s">
        <v>19</v>
      </c>
      <c r="C53" t="s">
        <v>2</v>
      </c>
      <c r="D53" t="s">
        <v>24</v>
      </c>
      <c r="E53" t="s">
        <v>3</v>
      </c>
      <c r="F53" t="s">
        <v>4</v>
      </c>
      <c r="G53" t="s">
        <v>5</v>
      </c>
      <c r="H53" t="s">
        <v>6</v>
      </c>
      <c r="I53" t="s">
        <v>7</v>
      </c>
      <c r="J53" t="s">
        <v>8</v>
      </c>
      <c r="K53" t="s">
        <v>9</v>
      </c>
      <c r="L53" t="s">
        <v>10</v>
      </c>
      <c r="M53" t="s">
        <v>11</v>
      </c>
      <c r="N53" t="s">
        <v>12</v>
      </c>
      <c r="O53" t="s">
        <v>13</v>
      </c>
      <c r="P53" t="s">
        <v>14</v>
      </c>
    </row>
    <row r="54" spans="1:19" x14ac:dyDescent="0.2">
      <c r="A54">
        <v>16</v>
      </c>
      <c r="D54">
        <v>1</v>
      </c>
      <c r="E54">
        <v>10.57696</v>
      </c>
      <c r="F54">
        <v>2E-3</v>
      </c>
      <c r="H54">
        <f>2.8125*D54</f>
        <v>2.8125</v>
      </c>
      <c r="I54">
        <f t="shared" ref="I54:I78" si="14">H54*(2*PI()/360)</f>
        <v>4.9087385212340517E-2</v>
      </c>
      <c r="J54">
        <f>$J$21*10^9</f>
        <v>1800000000</v>
      </c>
      <c r="K54" s="1">
        <f t="shared" ref="K54" si="15">4/1000</f>
        <v>4.0000000000000001E-3</v>
      </c>
      <c r="L54" s="1">
        <f>(50/1000)</f>
        <v>0.05</v>
      </c>
      <c r="M54" s="1">
        <v>5</v>
      </c>
      <c r="N54">
        <v>6</v>
      </c>
      <c r="O54">
        <f>46/1000</f>
        <v>4.5999999999999999E-2</v>
      </c>
    </row>
    <row r="55" spans="1:19" x14ac:dyDescent="0.2">
      <c r="D55">
        <v>2</v>
      </c>
      <c r="E55">
        <v>11.608952</v>
      </c>
      <c r="F55">
        <v>4.0000000000000001E-3</v>
      </c>
      <c r="G55">
        <f>F55-F54</f>
        <v>2E-3</v>
      </c>
      <c r="H55">
        <f t="shared" ref="H55:H62" si="16">2.8125*D55</f>
        <v>5.625</v>
      </c>
      <c r="I55">
        <f t="shared" si="14"/>
        <v>9.8174770424681035E-2</v>
      </c>
      <c r="P55">
        <f>((64*F55*$O$54*$N$54)/(($K$54^4)*I55))/(10^9)</f>
        <v>2.8113129147752391</v>
      </c>
    </row>
    <row r="56" spans="1:19" x14ac:dyDescent="0.2">
      <c r="D56">
        <v>3</v>
      </c>
      <c r="E56">
        <v>12.617070999999999</v>
      </c>
      <c r="F56">
        <v>5.0000000000000001E-3</v>
      </c>
      <c r="G56">
        <f t="shared" ref="G56:G62" si="17">F56-F55</f>
        <v>1E-3</v>
      </c>
      <c r="H56">
        <f t="shared" si="16"/>
        <v>8.4375</v>
      </c>
      <c r="I56">
        <f t="shared" si="14"/>
        <v>0.14726215563702155</v>
      </c>
      <c r="P56">
        <f t="shared" ref="P56:P63" si="18">((64*F56*$O$54*$N$54)/(($K$54^4)*I56))/(10^9)</f>
        <v>2.3427607623126998</v>
      </c>
    </row>
    <row r="57" spans="1:19" x14ac:dyDescent="0.2">
      <c r="D57">
        <v>4</v>
      </c>
      <c r="E57">
        <v>13.613958999999999</v>
      </c>
      <c r="F57">
        <v>6.0000000000000001E-3</v>
      </c>
      <c r="G57">
        <f t="shared" si="17"/>
        <v>1E-3</v>
      </c>
      <c r="H57">
        <f t="shared" si="16"/>
        <v>11.25</v>
      </c>
      <c r="I57">
        <f t="shared" si="14"/>
        <v>0.19634954084936207</v>
      </c>
      <c r="P57">
        <f t="shared" si="18"/>
        <v>2.1084846860814297</v>
      </c>
    </row>
    <row r="58" spans="1:19" x14ac:dyDescent="0.2">
      <c r="D58">
        <v>5</v>
      </c>
      <c r="E58">
        <v>14.609978</v>
      </c>
      <c r="F58">
        <v>7.0000000000000001E-3</v>
      </c>
      <c r="G58">
        <f t="shared" si="17"/>
        <v>1E-3</v>
      </c>
      <c r="H58">
        <f t="shared" si="16"/>
        <v>14.0625</v>
      </c>
      <c r="I58">
        <f t="shared" si="14"/>
        <v>0.24543692606170259</v>
      </c>
      <c r="P58">
        <f t="shared" si="18"/>
        <v>1.9679190403426678</v>
      </c>
    </row>
    <row r="59" spans="1:19" x14ac:dyDescent="0.2">
      <c r="D59">
        <v>6</v>
      </c>
      <c r="E59">
        <v>15.617976000000001</v>
      </c>
      <c r="F59">
        <v>8.0000000000000002E-3</v>
      </c>
      <c r="G59">
        <f t="shared" si="17"/>
        <v>1E-3</v>
      </c>
      <c r="H59">
        <f t="shared" si="16"/>
        <v>16.875</v>
      </c>
      <c r="I59">
        <f t="shared" si="14"/>
        <v>0.2945243112740431</v>
      </c>
      <c r="P59">
        <f t="shared" si="18"/>
        <v>1.8742086098501594</v>
      </c>
    </row>
    <row r="60" spans="1:19" x14ac:dyDescent="0.2">
      <c r="D60">
        <v>7</v>
      </c>
      <c r="E60">
        <v>16.614968999999999</v>
      </c>
      <c r="F60">
        <v>8.9999999999999993E-3</v>
      </c>
      <c r="G60">
        <f t="shared" si="17"/>
        <v>9.9999999999999915E-4</v>
      </c>
      <c r="H60">
        <f t="shared" si="16"/>
        <v>19.6875</v>
      </c>
      <c r="I60">
        <f t="shared" si="14"/>
        <v>0.34361169648638362</v>
      </c>
      <c r="P60">
        <f t="shared" si="18"/>
        <v>1.8072725880697968</v>
      </c>
    </row>
    <row r="61" spans="1:19" x14ac:dyDescent="0.2">
      <c r="D61">
        <v>8</v>
      </c>
      <c r="E61">
        <v>17.622948000000001</v>
      </c>
      <c r="F61">
        <v>0.01</v>
      </c>
      <c r="G61">
        <f t="shared" si="17"/>
        <v>1.0000000000000009E-3</v>
      </c>
      <c r="H61">
        <f t="shared" si="16"/>
        <v>22.5</v>
      </c>
      <c r="I61">
        <f t="shared" si="14"/>
        <v>0.39269908169872414</v>
      </c>
      <c r="P61">
        <f t="shared" si="18"/>
        <v>1.7570705717345247</v>
      </c>
    </row>
    <row r="62" spans="1:19" x14ac:dyDescent="0.2">
      <c r="D62">
        <v>9</v>
      </c>
      <c r="E62">
        <v>18.632100999999999</v>
      </c>
      <c r="F62">
        <v>1.0999999999999999E-2</v>
      </c>
      <c r="G62">
        <f t="shared" si="17"/>
        <v>9.9999999999999915E-4</v>
      </c>
      <c r="H62">
        <f t="shared" si="16"/>
        <v>25.3125</v>
      </c>
      <c r="I62">
        <f t="shared" si="14"/>
        <v>0.44178646691106466</v>
      </c>
      <c r="P62">
        <f t="shared" si="18"/>
        <v>1.7180245590293126</v>
      </c>
    </row>
    <row r="63" spans="1:19" x14ac:dyDescent="0.2">
      <c r="D63">
        <v>77</v>
      </c>
      <c r="E63">
        <v>87.021940000000001</v>
      </c>
      <c r="F63">
        <v>0.14299999999999999</v>
      </c>
      <c r="G63">
        <f>(F63-F62)/(D63-D62)</f>
        <v>1.941176470588235E-3</v>
      </c>
      <c r="H63" s="2">
        <f>2.8125*(87-10)</f>
        <v>216.5625</v>
      </c>
      <c r="I63">
        <f t="shared" si="14"/>
        <v>3.7797286613502199</v>
      </c>
      <c r="P63" s="6">
        <f t="shared" si="18"/>
        <v>2.6105048494341507</v>
      </c>
    </row>
    <row r="64" spans="1:19" x14ac:dyDescent="0.2">
      <c r="G64">
        <f>AVERAGE(G55:G63)</f>
        <v>1.2156862745098037E-3</v>
      </c>
      <c r="H64" s="2">
        <v>2.8125</v>
      </c>
      <c r="I64">
        <f t="shared" si="14"/>
        <v>4.9087385212340517E-2</v>
      </c>
      <c r="P64" s="5">
        <f>((64*G64*$L$54*$N$54)/(($K$54^4)*I64))/(10^9)</f>
        <v>1.8574318064371784</v>
      </c>
      <c r="S64">
        <f>I63/F63</f>
        <v>26.431668960491052</v>
      </c>
    </row>
    <row r="65" spans="1:19" x14ac:dyDescent="0.2">
      <c r="O65" t="s">
        <v>15</v>
      </c>
      <c r="P65" s="2">
        <f>AVERAGE(P55:P63)</f>
        <v>2.1108398424033314</v>
      </c>
    </row>
    <row r="68" spans="1:19" x14ac:dyDescent="0.2">
      <c r="A68" t="s">
        <v>0</v>
      </c>
      <c r="B68" t="s">
        <v>20</v>
      </c>
      <c r="C68" t="s">
        <v>2</v>
      </c>
      <c r="D68" t="s">
        <v>24</v>
      </c>
      <c r="E68" t="s">
        <v>3</v>
      </c>
      <c r="F68" t="s">
        <v>4</v>
      </c>
      <c r="G68" t="s">
        <v>5</v>
      </c>
      <c r="H68" t="s">
        <v>6</v>
      </c>
      <c r="I68" t="s">
        <v>7</v>
      </c>
      <c r="J68" t="s">
        <v>8</v>
      </c>
      <c r="K68" t="s">
        <v>9</v>
      </c>
      <c r="L68" t="s">
        <v>10</v>
      </c>
      <c r="M68" t="s">
        <v>11</v>
      </c>
      <c r="N68" t="s">
        <v>12</v>
      </c>
      <c r="O68" t="s">
        <v>13</v>
      </c>
      <c r="P68" t="s">
        <v>14</v>
      </c>
    </row>
    <row r="69" spans="1:19" x14ac:dyDescent="0.2">
      <c r="A69">
        <v>17</v>
      </c>
      <c r="D69">
        <v>1</v>
      </c>
      <c r="E69">
        <v>6.3025659999999997</v>
      </c>
      <c r="F69">
        <v>1E-3</v>
      </c>
      <c r="H69">
        <f>2.8125*D69</f>
        <v>2.8125</v>
      </c>
      <c r="I69">
        <f t="shared" si="14"/>
        <v>4.9087385212340517E-2</v>
      </c>
      <c r="J69">
        <f>$J$21*10^9</f>
        <v>1800000000</v>
      </c>
      <c r="K69" s="1">
        <f t="shared" ref="K69" si="19">4/1000</f>
        <v>4.0000000000000001E-3</v>
      </c>
      <c r="L69" s="1">
        <f>(60/1000)</f>
        <v>0.06</v>
      </c>
      <c r="M69" s="1">
        <v>5</v>
      </c>
      <c r="N69">
        <v>8</v>
      </c>
      <c r="O69">
        <f>56/1000</f>
        <v>5.6000000000000001E-2</v>
      </c>
    </row>
    <row r="70" spans="1:19" x14ac:dyDescent="0.2">
      <c r="D70">
        <v>2</v>
      </c>
      <c r="E70">
        <v>7.3355490000000003</v>
      </c>
      <c r="F70">
        <v>2E-3</v>
      </c>
      <c r="G70">
        <f t="shared" ref="G70:G76" si="20">(F70-F69)/(D70-D69)</f>
        <v>1E-3</v>
      </c>
      <c r="H70">
        <f t="shared" ref="H70:H76" si="21">2.8125*D70</f>
        <v>5.625</v>
      </c>
      <c r="I70">
        <f t="shared" si="14"/>
        <v>9.8174770424681035E-2</v>
      </c>
      <c r="P70">
        <f>((64*F70*$O$69*$N$69)/(($K$69^4)*I70))/(10^9)</f>
        <v>2.2816452641654115</v>
      </c>
    </row>
    <row r="71" spans="1:19" x14ac:dyDescent="0.2">
      <c r="D71">
        <v>4</v>
      </c>
      <c r="E71">
        <v>9.3155629999999991</v>
      </c>
      <c r="F71">
        <v>3.0000000000000001E-3</v>
      </c>
      <c r="G71">
        <f t="shared" si="20"/>
        <v>5.0000000000000001E-4</v>
      </c>
      <c r="H71">
        <f t="shared" si="21"/>
        <v>11.25</v>
      </c>
      <c r="I71">
        <f t="shared" si="14"/>
        <v>0.19634954084936207</v>
      </c>
      <c r="P71">
        <f t="shared" ref="P71:P77" si="22">((64*F71*$O$69*$N$69)/(($K$69^4)*I71))/(10^9)</f>
        <v>1.711233948124059</v>
      </c>
    </row>
    <row r="72" spans="1:19" x14ac:dyDescent="0.2">
      <c r="D72">
        <v>5</v>
      </c>
      <c r="E72">
        <v>10.324543999999999</v>
      </c>
      <c r="F72">
        <v>4.0000000000000001E-3</v>
      </c>
      <c r="G72">
        <f t="shared" si="20"/>
        <v>1E-3</v>
      </c>
      <c r="H72">
        <f t="shared" si="21"/>
        <v>14.0625</v>
      </c>
      <c r="I72">
        <f t="shared" si="14"/>
        <v>0.24543692606170259</v>
      </c>
      <c r="P72">
        <f t="shared" si="22"/>
        <v>1.8253162113323294</v>
      </c>
    </row>
    <row r="73" spans="1:19" x14ac:dyDescent="0.2">
      <c r="D73">
        <v>7</v>
      </c>
      <c r="E73">
        <v>12.329561999999999</v>
      </c>
      <c r="F73">
        <v>5.0000000000000001E-3</v>
      </c>
      <c r="G73">
        <f t="shared" si="20"/>
        <v>5.0000000000000001E-4</v>
      </c>
      <c r="H73">
        <f t="shared" si="21"/>
        <v>19.6875</v>
      </c>
      <c r="I73">
        <f t="shared" si="14"/>
        <v>0.34361169648638362</v>
      </c>
      <c r="P73">
        <f t="shared" si="22"/>
        <v>1.6297466172610084</v>
      </c>
    </row>
    <row r="74" spans="1:19" x14ac:dyDescent="0.2">
      <c r="D74">
        <v>8</v>
      </c>
      <c r="E74">
        <v>13.337541</v>
      </c>
      <c r="F74">
        <v>6.0000000000000001E-3</v>
      </c>
      <c r="G74">
        <f t="shared" si="20"/>
        <v>1E-3</v>
      </c>
      <c r="H74">
        <f t="shared" si="21"/>
        <v>22.5</v>
      </c>
      <c r="I74">
        <f t="shared" si="14"/>
        <v>0.39269908169872414</v>
      </c>
      <c r="P74">
        <f t="shared" si="22"/>
        <v>1.711233948124059</v>
      </c>
    </row>
    <row r="75" spans="1:19" x14ac:dyDescent="0.2">
      <c r="D75">
        <v>9</v>
      </c>
      <c r="E75">
        <v>14.345541000000001</v>
      </c>
      <c r="F75">
        <v>7.0000000000000001E-3</v>
      </c>
      <c r="G75">
        <f t="shared" si="20"/>
        <v>1E-3</v>
      </c>
      <c r="H75">
        <f t="shared" si="21"/>
        <v>25.3125</v>
      </c>
      <c r="I75">
        <f t="shared" si="14"/>
        <v>0.44178646691106466</v>
      </c>
      <c r="P75">
        <f t="shared" si="22"/>
        <v>1.7746129832397648</v>
      </c>
    </row>
    <row r="76" spans="1:19" x14ac:dyDescent="0.2">
      <c r="D76">
        <v>11</v>
      </c>
      <c r="E76">
        <v>16.350560000000002</v>
      </c>
      <c r="F76">
        <v>8.0000000000000002E-3</v>
      </c>
      <c r="G76">
        <f t="shared" si="20"/>
        <v>5.0000000000000001E-4</v>
      </c>
      <c r="H76">
        <f t="shared" si="21"/>
        <v>30.9375</v>
      </c>
      <c r="I76">
        <f t="shared" si="14"/>
        <v>0.53996123733574575</v>
      </c>
      <c r="P76">
        <f t="shared" si="22"/>
        <v>1.6593783739384811</v>
      </c>
    </row>
    <row r="77" spans="1:19" x14ac:dyDescent="0.2">
      <c r="D77">
        <v>67</v>
      </c>
      <c r="E77">
        <v>73.687550000000002</v>
      </c>
      <c r="F77">
        <v>8.3000000000000004E-2</v>
      </c>
      <c r="G77">
        <f>(F77-F76)/(D77-D76)</f>
        <v>1.3392857142857145E-3</v>
      </c>
      <c r="H77" s="2">
        <f>2.8125*(73-6)</f>
        <v>188.4375</v>
      </c>
      <c r="I77">
        <f t="shared" si="14"/>
        <v>3.2888548092268146</v>
      </c>
      <c r="P77" s="6">
        <f t="shared" si="22"/>
        <v>2.8265157750108831</v>
      </c>
    </row>
    <row r="78" spans="1:19" x14ac:dyDescent="0.2">
      <c r="G78">
        <f>AVERAGE(G64:G77)</f>
        <v>8.9499688764394653E-4</v>
      </c>
      <c r="H78" s="2">
        <v>2.8125</v>
      </c>
      <c r="I78">
        <f t="shared" si="14"/>
        <v>4.9087385212340517E-2</v>
      </c>
      <c r="P78" s="5">
        <f>((64*G78*$L$69*$N$69)/(($K$69^4)*I78))/(10^9)</f>
        <v>2.1879272251452786</v>
      </c>
      <c r="S78">
        <f>I77/F77</f>
        <v>39.624756737672463</v>
      </c>
    </row>
    <row r="79" spans="1:19" x14ac:dyDescent="0.2">
      <c r="O79" t="s">
        <v>15</v>
      </c>
      <c r="P79" s="2">
        <f>AVERAGE(P70:P77)</f>
        <v>1.9274603901494993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"/>
  <sheetViews>
    <sheetView topLeftCell="A28" workbookViewId="0">
      <selection activeCell="W45" sqref="W45"/>
    </sheetView>
  </sheetViews>
  <sheetFormatPr baseColWidth="10" defaultColWidth="8.83203125" defaultRowHeight="15" x14ac:dyDescent="0.2"/>
  <cols>
    <col min="10" max="10" width="10.83203125" bestFit="1" customWidth="1"/>
  </cols>
  <sheetData>
    <row r="1" spans="1:18" x14ac:dyDescent="0.2">
      <c r="J1" t="s">
        <v>18</v>
      </c>
    </row>
    <row r="2" spans="1:18" x14ac:dyDescent="0.2">
      <c r="J2">
        <f>1.8</f>
        <v>1.8</v>
      </c>
    </row>
    <row r="3" spans="1:18" x14ac:dyDescent="0.2">
      <c r="A3" t="s">
        <v>0</v>
      </c>
      <c r="B3" t="s">
        <v>21</v>
      </c>
      <c r="C3" t="s">
        <v>22</v>
      </c>
      <c r="D3" t="s">
        <v>24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</row>
    <row r="4" spans="1:18" x14ac:dyDescent="0.2">
      <c r="A4">
        <v>1</v>
      </c>
      <c r="B4" s="1" t="s">
        <v>36</v>
      </c>
      <c r="D4">
        <v>1</v>
      </c>
      <c r="E4">
        <v>19.023101</v>
      </c>
      <c r="F4">
        <v>1E-3</v>
      </c>
      <c r="H4">
        <f>2.8125*D4</f>
        <v>2.8125</v>
      </c>
      <c r="I4">
        <f>H4*(2*PI()/360)</f>
        <v>4.9087385212340517E-2</v>
      </c>
      <c r="J4">
        <f>$J$2*10^9</f>
        <v>1800000000</v>
      </c>
      <c r="K4" s="1">
        <f>2/1000</f>
        <v>2E-3</v>
      </c>
      <c r="L4" s="1">
        <f>(32/1000)</f>
        <v>3.2000000000000001E-2</v>
      </c>
      <c r="M4" s="1">
        <v>5</v>
      </c>
      <c r="N4">
        <v>3</v>
      </c>
      <c r="O4">
        <f>30/1000</f>
        <v>0.03</v>
      </c>
    </row>
    <row r="5" spans="1:18" x14ac:dyDescent="0.2">
      <c r="D5">
        <f>38-19</f>
        <v>19</v>
      </c>
      <c r="E5">
        <v>38.129978000000001</v>
      </c>
      <c r="F5">
        <v>2E-3</v>
      </c>
      <c r="H5">
        <f>2.8125*D5</f>
        <v>53.4375</v>
      </c>
      <c r="I5">
        <f t="shared" ref="I5:I6" si="0">H5*(2*PI()/360)</f>
        <v>0.93266031903446989</v>
      </c>
      <c r="P5">
        <f>((64*F5*$O$4*$N$4)/(($K$4^4)*I5))/(10^9)</f>
        <v>0.77198523975521449</v>
      </c>
    </row>
    <row r="6" spans="1:18" x14ac:dyDescent="0.2">
      <c r="D6">
        <f>(56-38)+19</f>
        <v>37</v>
      </c>
      <c r="E6">
        <v>56.650961000000002</v>
      </c>
      <c r="F6">
        <v>3.0000000000000001E-3</v>
      </c>
      <c r="H6">
        <f>2.8125*D6</f>
        <v>104.0625</v>
      </c>
      <c r="I6">
        <f t="shared" si="0"/>
        <v>1.8162332528565992</v>
      </c>
      <c r="P6">
        <f>((64*F6*$O$4*$N$4)/(($K$4^4)*I6))/(10^9)</f>
        <v>0.59463727927090826</v>
      </c>
    </row>
    <row r="10" spans="1:18" x14ac:dyDescent="0.2">
      <c r="A10" t="s">
        <v>0</v>
      </c>
      <c r="B10" t="s">
        <v>23</v>
      </c>
      <c r="C10" t="s">
        <v>2</v>
      </c>
      <c r="D10" t="s">
        <v>24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M10" t="s">
        <v>11</v>
      </c>
      <c r="N10" t="s">
        <v>12</v>
      </c>
      <c r="O10" t="s">
        <v>13</v>
      </c>
      <c r="P10" t="s">
        <v>14</v>
      </c>
    </row>
    <row r="11" spans="1:18" x14ac:dyDescent="0.2">
      <c r="A11">
        <v>2</v>
      </c>
      <c r="D11">
        <v>1</v>
      </c>
      <c r="E11">
        <v>7.9549899999999996</v>
      </c>
      <c r="F11">
        <v>1E-3</v>
      </c>
      <c r="H11">
        <f>2.8125*D11</f>
        <v>2.8125</v>
      </c>
      <c r="I11">
        <f>H11*(2*PI()/360)</f>
        <v>4.9087385212340517E-2</v>
      </c>
      <c r="J11">
        <f>$J$2*10^9</f>
        <v>1800000000</v>
      </c>
      <c r="K11" s="1">
        <f>3.4/1000</f>
        <v>3.3999999999999998E-3</v>
      </c>
      <c r="L11" s="1">
        <f>(32/1000)</f>
        <v>3.2000000000000001E-2</v>
      </c>
      <c r="M11" s="1">
        <v>5</v>
      </c>
      <c r="N11">
        <v>4</v>
      </c>
      <c r="O11">
        <f>28.6/1000</f>
        <v>2.86E-2</v>
      </c>
      <c r="R11" t="e">
        <f>((64*G11*$L$48*$M$48)/(($K$48^4)*(I11-I10)))/(10^9)</f>
        <v>#VALUE!</v>
      </c>
    </row>
    <row r="12" spans="1:18" s="4" customFormat="1" x14ac:dyDescent="0.2">
      <c r="D12" s="4">
        <v>3</v>
      </c>
      <c r="E12" s="4">
        <v>9.9462010000000003</v>
      </c>
      <c r="F12" s="4">
        <v>2E-3</v>
      </c>
      <c r="G12" s="4">
        <f>(F12-F11)/(D12-D11)</f>
        <v>5.0000000000000001E-4</v>
      </c>
      <c r="H12" s="4">
        <f t="shared" ref="H12:H17" si="1">2.8125*D12</f>
        <v>8.4375</v>
      </c>
      <c r="I12" s="4">
        <f t="shared" ref="I12:I19" si="2">H12*(2*PI()/360)</f>
        <v>0.14726215563702155</v>
      </c>
      <c r="P12" s="4">
        <f t="shared" ref="P12:P16" si="3">((64*F12*$O$11*$N$11)/(($K$11^4)*I12))/(10^9)</f>
        <v>0.74409634708500194</v>
      </c>
      <c r="R12">
        <f>((64*$F$19*$L$11*$M$11)/(($K$11^4)*(I12-I11)))/(10^9)</f>
        <v>0.7805206437954566</v>
      </c>
    </row>
    <row r="13" spans="1:18" s="4" customFormat="1" x14ac:dyDescent="0.2">
      <c r="D13" s="4">
        <v>4</v>
      </c>
      <c r="E13" s="4">
        <v>10.965985</v>
      </c>
      <c r="F13" s="4">
        <v>3.0000000000000001E-3</v>
      </c>
      <c r="G13" s="4">
        <f t="shared" ref="G13:G18" si="4">(F13-F12)/(D13-D12)</f>
        <v>1E-3</v>
      </c>
      <c r="H13" s="4">
        <f t="shared" si="1"/>
        <v>11.25</v>
      </c>
      <c r="I13" s="4">
        <f t="shared" si="2"/>
        <v>0.19634954084936207</v>
      </c>
      <c r="P13" s="4">
        <f t="shared" si="3"/>
        <v>0.83710839047062735</v>
      </c>
      <c r="R13">
        <f t="shared" ref="R13:R18" si="5">((64*$F$19*$L$11*$M$11)/(($K$11^4)*(I13-I12)))/(10^9)</f>
        <v>1.5610412875909132</v>
      </c>
    </row>
    <row r="14" spans="1:18" s="4" customFormat="1" x14ac:dyDescent="0.2">
      <c r="D14" s="4">
        <v>5</v>
      </c>
      <c r="E14" s="4">
        <v>11.974021</v>
      </c>
      <c r="F14" s="4">
        <v>4.0000000000000001E-3</v>
      </c>
      <c r="G14" s="4">
        <f t="shared" si="4"/>
        <v>1E-3</v>
      </c>
      <c r="H14" s="4">
        <f t="shared" si="1"/>
        <v>14.0625</v>
      </c>
      <c r="I14" s="4">
        <f t="shared" si="2"/>
        <v>0.24543692606170259</v>
      </c>
      <c r="P14" s="4">
        <f t="shared" si="3"/>
        <v>0.89291561650200235</v>
      </c>
      <c r="R14">
        <f t="shared" si="5"/>
        <v>1.5610412875909132</v>
      </c>
    </row>
    <row r="15" spans="1:18" s="4" customFormat="1" x14ac:dyDescent="0.2">
      <c r="D15" s="4">
        <v>6</v>
      </c>
      <c r="E15" s="4">
        <v>12.981995</v>
      </c>
      <c r="F15" s="4">
        <v>5.0000000000000001E-3</v>
      </c>
      <c r="G15" s="4">
        <f t="shared" si="4"/>
        <v>1E-3</v>
      </c>
      <c r="H15" s="4">
        <f t="shared" si="1"/>
        <v>16.875</v>
      </c>
      <c r="I15" s="4">
        <f t="shared" si="2"/>
        <v>0.2945243112740431</v>
      </c>
      <c r="P15" s="4">
        <f t="shared" si="3"/>
        <v>0.93012043385625254</v>
      </c>
      <c r="R15">
        <f t="shared" si="5"/>
        <v>1.5610412875909132</v>
      </c>
    </row>
    <row r="16" spans="1:18" s="4" customFormat="1" x14ac:dyDescent="0.2">
      <c r="D16" s="4">
        <v>7</v>
      </c>
      <c r="E16" s="4">
        <v>13.978023</v>
      </c>
      <c r="F16" s="4">
        <v>6.0000000000000001E-3</v>
      </c>
      <c r="G16" s="4">
        <f t="shared" si="4"/>
        <v>1E-3</v>
      </c>
      <c r="H16" s="4">
        <f t="shared" si="1"/>
        <v>19.6875</v>
      </c>
      <c r="I16" s="4">
        <f t="shared" si="2"/>
        <v>0.34361169648638362</v>
      </c>
      <c r="P16" s="4">
        <f t="shared" si="3"/>
        <v>0.95669530339500253</v>
      </c>
      <c r="R16">
        <f t="shared" si="5"/>
        <v>1.5610412875909132</v>
      </c>
    </row>
    <row r="17" spans="1:23" x14ac:dyDescent="0.2">
      <c r="D17">
        <f>(34-13)+7</f>
        <v>28</v>
      </c>
      <c r="E17">
        <v>34.097003999999998</v>
      </c>
      <c r="F17">
        <v>5.5E-2</v>
      </c>
      <c r="G17" s="4">
        <f t="shared" si="4"/>
        <v>2.3333333333333335E-3</v>
      </c>
      <c r="H17">
        <f t="shared" si="1"/>
        <v>78.75</v>
      </c>
      <c r="I17">
        <f t="shared" si="2"/>
        <v>1.3744467859455345</v>
      </c>
      <c r="P17">
        <f>((64*F17*$O$11*$N$11)/(($K$11^4)*I17))/(10^9)</f>
        <v>2.1924267369468806</v>
      </c>
      <c r="R17">
        <f t="shared" si="5"/>
        <v>7.4335299409091102E-2</v>
      </c>
    </row>
    <row r="18" spans="1:23" x14ac:dyDescent="0.2">
      <c r="D18">
        <f>(69-34)+28</f>
        <v>63</v>
      </c>
      <c r="E18">
        <v>69.321980999999994</v>
      </c>
      <c r="F18">
        <v>0.154</v>
      </c>
      <c r="G18" s="4">
        <f t="shared" si="4"/>
        <v>2.8285714285714286E-3</v>
      </c>
      <c r="H18">
        <f t="shared" ref="H18" si="6">2.8125*D18</f>
        <v>177.1875</v>
      </c>
      <c r="I18">
        <f t="shared" si="2"/>
        <v>3.0925052683774528</v>
      </c>
      <c r="P18">
        <f>((64*F18*$O$11*$N$11)/(($K$11^4)*I18))/(10^9)</f>
        <v>2.7283532726450073</v>
      </c>
      <c r="R18">
        <f t="shared" si="5"/>
        <v>4.460117964545466E-2</v>
      </c>
    </row>
    <row r="19" spans="1:23" x14ac:dyDescent="0.2">
      <c r="F19">
        <v>1E-3</v>
      </c>
      <c r="G19" s="4">
        <f>(0.001+0.001+0.001+0.001+(21*G17)+(G18*(63-28)))/(D18-D12)</f>
        <v>2.5333333333333336E-3</v>
      </c>
      <c r="H19">
        <v>2.8125</v>
      </c>
      <c r="I19">
        <f t="shared" si="2"/>
        <v>4.9087385212340517E-2</v>
      </c>
      <c r="P19" s="6">
        <f>((64*G19*$O$11*$N$11)/(($K$11^4)*I19))/(10^9)</f>
        <v>2.8275661189230079</v>
      </c>
    </row>
    <row r="20" spans="1:23" x14ac:dyDescent="0.2">
      <c r="O20" t="s">
        <v>15</v>
      </c>
      <c r="P20" s="2">
        <f>AVERAGE(P12:P18)</f>
        <v>1.3259594429858248</v>
      </c>
      <c r="R20">
        <f>AVERAGE(R13:R16)</f>
        <v>1.5610412875909132</v>
      </c>
      <c r="T20">
        <f>I18/F18</f>
        <v>20.081203041412031</v>
      </c>
      <c r="V20">
        <f>T20/T44</f>
        <v>4.3512396694214877</v>
      </c>
      <c r="W20">
        <f>(4.8^4)/(3.4^4)</f>
        <v>3.9723662312472316</v>
      </c>
    </row>
    <row r="22" spans="1:23" x14ac:dyDescent="0.2">
      <c r="A22" t="s">
        <v>0</v>
      </c>
      <c r="B22" t="s">
        <v>25</v>
      </c>
      <c r="C22" t="s">
        <v>2</v>
      </c>
      <c r="D22" t="s">
        <v>24</v>
      </c>
      <c r="E22" t="s">
        <v>3</v>
      </c>
      <c r="F22" t="s">
        <v>4</v>
      </c>
      <c r="G22" t="s">
        <v>5</v>
      </c>
      <c r="H22" t="s">
        <v>6</v>
      </c>
      <c r="I22" t="s">
        <v>7</v>
      </c>
      <c r="J22" t="s">
        <v>8</v>
      </c>
      <c r="K22" t="s">
        <v>9</v>
      </c>
      <c r="L22" t="s">
        <v>10</v>
      </c>
      <c r="M22" t="s">
        <v>11</v>
      </c>
      <c r="N22" t="s">
        <v>12</v>
      </c>
      <c r="O22" t="s">
        <v>13</v>
      </c>
      <c r="P22" t="s">
        <v>14</v>
      </c>
    </row>
    <row r="23" spans="1:23" x14ac:dyDescent="0.2">
      <c r="A23">
        <v>3</v>
      </c>
      <c r="D23">
        <v>1</v>
      </c>
      <c r="E23">
        <v>6.4789519999999996</v>
      </c>
      <c r="F23">
        <v>3.0000000000000001E-3</v>
      </c>
      <c r="H23">
        <f>2.8125*D23</f>
        <v>2.8125</v>
      </c>
      <c r="I23">
        <f>H23*(2*PI()/360)</f>
        <v>4.9087385212340517E-2</v>
      </c>
      <c r="J23">
        <f>$J$2*10^9</f>
        <v>1800000000</v>
      </c>
      <c r="K23" s="1">
        <f>4.8/1000</f>
        <v>4.7999999999999996E-3</v>
      </c>
      <c r="L23" s="1">
        <f>(32/1000)</f>
        <v>3.2000000000000001E-2</v>
      </c>
      <c r="M23" s="1">
        <v>5</v>
      </c>
      <c r="N23">
        <v>4</v>
      </c>
      <c r="O23">
        <f>27.2/1000</f>
        <v>2.7199999999999998E-2</v>
      </c>
    </row>
    <row r="24" spans="1:23" x14ac:dyDescent="0.2">
      <c r="D24">
        <v>2</v>
      </c>
      <c r="E24">
        <v>7.5230639999999998</v>
      </c>
      <c r="F24">
        <v>0.02</v>
      </c>
      <c r="G24">
        <f>F24-F23</f>
        <v>1.7000000000000001E-2</v>
      </c>
      <c r="H24">
        <f t="shared" ref="H24:H41" si="7">2.8125*D24</f>
        <v>5.625</v>
      </c>
      <c r="I24">
        <f t="shared" ref="I24:I44" si="8">H24*(2*PI()/360)</f>
        <v>9.8174770424681035E-2</v>
      </c>
      <c r="P24">
        <f>((64*F24*$O$23*$N$23)/(($K$23^4)*I24))/(10^9)</f>
        <v>2.6722311432713304</v>
      </c>
    </row>
    <row r="25" spans="1:23" s="4" customFormat="1" x14ac:dyDescent="0.2">
      <c r="D25" s="4">
        <v>3</v>
      </c>
      <c r="E25" s="4">
        <v>8.5310919999999992</v>
      </c>
      <c r="F25" s="4">
        <v>2.7E-2</v>
      </c>
      <c r="G25" s="4">
        <f t="shared" ref="G25:G41" si="9">F25-F24</f>
        <v>6.9999999999999993E-3</v>
      </c>
      <c r="H25" s="4">
        <f t="shared" si="7"/>
        <v>8.4375</v>
      </c>
      <c r="I25" s="4">
        <f t="shared" si="8"/>
        <v>0.14726215563702155</v>
      </c>
      <c r="P25" s="4">
        <f>((64*F25*$O$23*$N$23)/(($K$23^4)*I25))/(10^9)</f>
        <v>2.4050080289441973</v>
      </c>
    </row>
    <row r="26" spans="1:23" s="4" customFormat="1" x14ac:dyDescent="0.2">
      <c r="D26" s="4">
        <v>4</v>
      </c>
      <c r="E26" s="4">
        <v>9.5269910000000007</v>
      </c>
      <c r="F26" s="4">
        <v>3.9E-2</v>
      </c>
      <c r="G26" s="4">
        <f t="shared" si="9"/>
        <v>1.2E-2</v>
      </c>
      <c r="H26" s="4">
        <f t="shared" si="7"/>
        <v>11.25</v>
      </c>
      <c r="I26" s="4">
        <f t="shared" si="8"/>
        <v>0.19634954084936207</v>
      </c>
      <c r="P26" s="4">
        <f t="shared" ref="P26:P41" si="10">((64*F26*$O$23*$N$23)/(($K$23^4)*I26))/(10^9)</f>
        <v>2.6054253646895469</v>
      </c>
    </row>
    <row r="27" spans="1:23" s="4" customFormat="1" x14ac:dyDescent="0.2">
      <c r="D27" s="4">
        <v>5</v>
      </c>
      <c r="E27" s="4">
        <v>10.558954999999999</v>
      </c>
      <c r="F27" s="4">
        <v>0.05</v>
      </c>
      <c r="G27" s="4">
        <f t="shared" si="9"/>
        <v>1.1000000000000003E-2</v>
      </c>
      <c r="H27" s="4">
        <f t="shared" si="7"/>
        <v>14.0625</v>
      </c>
      <c r="I27" s="4">
        <f t="shared" si="8"/>
        <v>0.24543692606170259</v>
      </c>
      <c r="P27" s="4">
        <f t="shared" si="10"/>
        <v>2.6722311432713308</v>
      </c>
    </row>
    <row r="28" spans="1:23" s="4" customFormat="1" x14ac:dyDescent="0.2">
      <c r="D28" s="4">
        <v>6</v>
      </c>
      <c r="E28" s="4">
        <v>11.554971999999999</v>
      </c>
      <c r="F28" s="4">
        <v>6.0999999999999999E-2</v>
      </c>
      <c r="G28" s="4">
        <f t="shared" si="9"/>
        <v>1.0999999999999996E-2</v>
      </c>
      <c r="H28" s="4">
        <f t="shared" si="7"/>
        <v>16.875</v>
      </c>
      <c r="I28" s="4">
        <f t="shared" si="8"/>
        <v>0.2945243112740431</v>
      </c>
      <c r="P28" s="4">
        <f t="shared" si="10"/>
        <v>2.7167683289925186</v>
      </c>
    </row>
    <row r="29" spans="1:23" s="4" customFormat="1" x14ac:dyDescent="0.2">
      <c r="D29" s="4">
        <v>7</v>
      </c>
      <c r="E29" s="4">
        <v>12.562951999999999</v>
      </c>
      <c r="F29" s="4">
        <v>7.1999999999999995E-2</v>
      </c>
      <c r="G29" s="4">
        <f t="shared" si="9"/>
        <v>1.0999999999999996E-2</v>
      </c>
      <c r="H29" s="4">
        <f t="shared" si="7"/>
        <v>19.6875</v>
      </c>
      <c r="I29" s="4">
        <f t="shared" si="8"/>
        <v>0.34361169648638362</v>
      </c>
      <c r="P29" s="4">
        <f t="shared" si="10"/>
        <v>2.7485806045076537</v>
      </c>
    </row>
    <row r="30" spans="1:23" s="4" customFormat="1" x14ac:dyDescent="0.2">
      <c r="D30" s="4">
        <v>8</v>
      </c>
      <c r="E30" s="4">
        <v>13.558024</v>
      </c>
      <c r="F30" s="4">
        <v>8.1000000000000003E-2</v>
      </c>
      <c r="G30" s="4">
        <f t="shared" si="9"/>
        <v>9.000000000000008E-3</v>
      </c>
      <c r="H30" s="4">
        <f t="shared" si="7"/>
        <v>22.5</v>
      </c>
      <c r="I30" s="4">
        <f t="shared" si="8"/>
        <v>0.39269908169872414</v>
      </c>
      <c r="P30" s="4">
        <f t="shared" si="10"/>
        <v>2.7056340325622217</v>
      </c>
    </row>
    <row r="31" spans="1:23" s="4" customFormat="1" x14ac:dyDescent="0.2">
      <c r="D31" s="4">
        <v>9</v>
      </c>
      <c r="E31" s="4">
        <v>14.566015</v>
      </c>
      <c r="F31" s="4">
        <v>9.2999999999999999E-2</v>
      </c>
      <c r="G31" s="4">
        <f t="shared" si="9"/>
        <v>1.1999999999999997E-2</v>
      </c>
      <c r="H31" s="4">
        <f t="shared" si="7"/>
        <v>25.3125</v>
      </c>
      <c r="I31" s="4">
        <f t="shared" si="8"/>
        <v>0.44178646691106466</v>
      </c>
      <c r="P31" s="4">
        <f t="shared" si="10"/>
        <v>2.7613055147137073</v>
      </c>
    </row>
    <row r="32" spans="1:23" s="4" customFormat="1" x14ac:dyDescent="0.2">
      <c r="D32" s="4">
        <v>10</v>
      </c>
      <c r="E32" s="4">
        <v>15.562010000000001</v>
      </c>
      <c r="F32" s="4">
        <v>0.104</v>
      </c>
      <c r="G32" s="4">
        <f t="shared" si="9"/>
        <v>1.0999999999999996E-2</v>
      </c>
      <c r="H32" s="4">
        <f t="shared" si="7"/>
        <v>28.125</v>
      </c>
      <c r="I32" s="4">
        <f t="shared" si="8"/>
        <v>0.49087385212340517</v>
      </c>
      <c r="P32" s="4">
        <f t="shared" si="10"/>
        <v>2.7791203890021836</v>
      </c>
    </row>
    <row r="33" spans="1:23" s="4" customFormat="1" x14ac:dyDescent="0.2">
      <c r="D33" s="4">
        <v>11</v>
      </c>
      <c r="E33" s="4">
        <v>16.581977999999999</v>
      </c>
      <c r="F33" s="4">
        <v>0.11700000000000001</v>
      </c>
      <c r="G33" s="4">
        <f t="shared" si="9"/>
        <v>1.3000000000000012E-2</v>
      </c>
      <c r="H33" s="4">
        <f t="shared" si="7"/>
        <v>30.9375</v>
      </c>
      <c r="I33" s="4">
        <f t="shared" si="8"/>
        <v>0.53996123733574575</v>
      </c>
      <c r="P33" s="4">
        <f t="shared" si="10"/>
        <v>2.8422822160249601</v>
      </c>
    </row>
    <row r="34" spans="1:23" x14ac:dyDescent="0.2">
      <c r="D34">
        <v>12</v>
      </c>
      <c r="E34">
        <v>17.577978000000002</v>
      </c>
      <c r="F34">
        <v>0.124</v>
      </c>
      <c r="G34">
        <f t="shared" si="9"/>
        <v>6.9999999999999923E-3</v>
      </c>
      <c r="H34">
        <f t="shared" si="7"/>
        <v>33.75</v>
      </c>
      <c r="I34">
        <f t="shared" si="8"/>
        <v>0.58904862254808621</v>
      </c>
      <c r="P34">
        <f t="shared" si="10"/>
        <v>2.7613055147137073</v>
      </c>
    </row>
    <row r="35" spans="1:23" x14ac:dyDescent="0.2">
      <c r="D35">
        <v>13</v>
      </c>
      <c r="E35">
        <v>18.58596</v>
      </c>
      <c r="F35">
        <v>0.13200000000000001</v>
      </c>
      <c r="G35">
        <f t="shared" si="9"/>
        <v>8.0000000000000071E-3</v>
      </c>
      <c r="H35">
        <f t="shared" si="7"/>
        <v>36.5625</v>
      </c>
      <c r="I35">
        <f t="shared" si="8"/>
        <v>0.63813600776042678</v>
      </c>
      <c r="P35">
        <f t="shared" si="10"/>
        <v>2.7133423916293506</v>
      </c>
    </row>
    <row r="36" spans="1:23" x14ac:dyDescent="0.2">
      <c r="D36">
        <v>14</v>
      </c>
      <c r="E36">
        <v>19.592943999999999</v>
      </c>
      <c r="F36">
        <v>0.14000000000000001</v>
      </c>
      <c r="G36">
        <f t="shared" si="9"/>
        <v>8.0000000000000071E-3</v>
      </c>
      <c r="H36">
        <f t="shared" si="7"/>
        <v>39.375</v>
      </c>
      <c r="I36">
        <f t="shared" si="8"/>
        <v>0.68722339297276724</v>
      </c>
      <c r="P36">
        <f t="shared" si="10"/>
        <v>2.6722311432713304</v>
      </c>
    </row>
    <row r="37" spans="1:23" x14ac:dyDescent="0.2">
      <c r="D37">
        <v>15</v>
      </c>
      <c r="E37">
        <v>20.600978000000001</v>
      </c>
      <c r="F37">
        <v>0.152</v>
      </c>
      <c r="G37">
        <f t="shared" si="9"/>
        <v>1.1999999999999983E-2</v>
      </c>
      <c r="H37">
        <f t="shared" si="7"/>
        <v>42.1875</v>
      </c>
      <c r="I37">
        <f t="shared" si="8"/>
        <v>0.73631077818510782</v>
      </c>
      <c r="P37">
        <f t="shared" si="10"/>
        <v>2.7078608918482816</v>
      </c>
    </row>
    <row r="38" spans="1:23" x14ac:dyDescent="0.2">
      <c r="D38">
        <v>16</v>
      </c>
      <c r="E38">
        <v>21.584944</v>
      </c>
      <c r="F38">
        <v>0.159</v>
      </c>
      <c r="G38">
        <f t="shared" si="9"/>
        <v>7.0000000000000062E-3</v>
      </c>
      <c r="H38">
        <f t="shared" si="7"/>
        <v>45</v>
      </c>
      <c r="I38">
        <f t="shared" si="8"/>
        <v>0.78539816339744828</v>
      </c>
      <c r="P38">
        <f t="shared" si="10"/>
        <v>2.6555296986258847</v>
      </c>
    </row>
    <row r="39" spans="1:23" x14ac:dyDescent="0.2">
      <c r="D39">
        <v>17</v>
      </c>
      <c r="E39">
        <v>22.580953999999998</v>
      </c>
      <c r="F39">
        <v>0.16600000000000001</v>
      </c>
      <c r="G39">
        <f t="shared" si="9"/>
        <v>7.0000000000000062E-3</v>
      </c>
      <c r="H39">
        <f t="shared" si="7"/>
        <v>47.8125</v>
      </c>
      <c r="I39">
        <f t="shared" si="8"/>
        <v>0.83448554860978885</v>
      </c>
      <c r="P39">
        <f t="shared" si="10"/>
        <v>2.609355116370828</v>
      </c>
    </row>
    <row r="40" spans="1:23" x14ac:dyDescent="0.2">
      <c r="D40">
        <v>18</v>
      </c>
      <c r="E40">
        <v>23.57695</v>
      </c>
      <c r="F40">
        <v>0.17100000000000001</v>
      </c>
      <c r="G40">
        <f t="shared" si="9"/>
        <v>5.0000000000000044E-3</v>
      </c>
      <c r="H40">
        <f t="shared" si="7"/>
        <v>50.625</v>
      </c>
      <c r="I40">
        <f t="shared" si="8"/>
        <v>0.88357293382212931</v>
      </c>
      <c r="P40">
        <f t="shared" si="10"/>
        <v>2.5386195861077638</v>
      </c>
    </row>
    <row r="41" spans="1:23" x14ac:dyDescent="0.2">
      <c r="D41">
        <v>19</v>
      </c>
      <c r="E41">
        <v>24.584968</v>
      </c>
      <c r="F41">
        <v>0.17699999999999999</v>
      </c>
      <c r="G41">
        <f t="shared" si="9"/>
        <v>5.9999999999999776E-3</v>
      </c>
      <c r="H41">
        <f t="shared" si="7"/>
        <v>53.4375</v>
      </c>
      <c r="I41">
        <f t="shared" si="8"/>
        <v>0.93266031903446989</v>
      </c>
      <c r="P41">
        <f t="shared" si="10"/>
        <v>2.4893942755738174</v>
      </c>
    </row>
    <row r="43" spans="1:23" x14ac:dyDescent="0.2">
      <c r="F43" t="s">
        <v>17</v>
      </c>
      <c r="G43">
        <f>(0.003+0.009+0.006)/3</f>
        <v>6.000000000000001E-3</v>
      </c>
      <c r="H43">
        <v>2.8125</v>
      </c>
      <c r="I43">
        <f t="shared" ref="I43" si="11">H43*(2*PI()/360)</f>
        <v>4.9087385212340517E-2</v>
      </c>
      <c r="P43" s="5">
        <f>((64*G43*$O$23*$N$23)/(($K$23^4)*I43))/(10^9)</f>
        <v>1.603338685962798</v>
      </c>
    </row>
    <row r="44" spans="1:23" x14ac:dyDescent="0.2">
      <c r="F44" t="s">
        <v>2</v>
      </c>
      <c r="G44">
        <f>AVERAGE(G25:G33)</f>
        <v>1.0777777777777778E-2</v>
      </c>
      <c r="H44">
        <v>2.8125</v>
      </c>
      <c r="I44">
        <f t="shared" si="8"/>
        <v>4.9087385212340517E-2</v>
      </c>
      <c r="P44" s="6">
        <f>((64*G44*$O$23*$N$23)/(($K$23^4)*I44))/(10^9)</f>
        <v>2.8800713433035452</v>
      </c>
      <c r="T44">
        <f>I33/F33</f>
        <v>4.6150533105619296</v>
      </c>
      <c r="V44">
        <f>T44/T60</f>
        <v>2.4632478632478638</v>
      </c>
      <c r="W44">
        <f>(6.2^4)/(4.8^4)</f>
        <v>2.7835678288966057</v>
      </c>
    </row>
    <row r="45" spans="1:23" x14ac:dyDescent="0.2">
      <c r="O45" t="s">
        <v>15</v>
      </c>
      <c r="P45" s="2">
        <f>AVERAGE(P24:P41)</f>
        <v>2.6697902991178122</v>
      </c>
    </row>
    <row r="47" spans="1:23" x14ac:dyDescent="0.2">
      <c r="A47" t="s">
        <v>0</v>
      </c>
      <c r="B47" t="s">
        <v>26</v>
      </c>
      <c r="C47" t="s">
        <v>2</v>
      </c>
      <c r="D47" t="s">
        <v>24</v>
      </c>
      <c r="E47" t="s">
        <v>3</v>
      </c>
      <c r="F47" t="s">
        <v>4</v>
      </c>
      <c r="G47" t="s">
        <v>5</v>
      </c>
      <c r="H47" t="s">
        <v>6</v>
      </c>
      <c r="I47" t="s">
        <v>7</v>
      </c>
      <c r="J47" t="s">
        <v>8</v>
      </c>
      <c r="K47" t="s">
        <v>9</v>
      </c>
      <c r="L47" t="s">
        <v>10</v>
      </c>
      <c r="M47" t="s">
        <v>11</v>
      </c>
      <c r="N47" t="s">
        <v>12</v>
      </c>
      <c r="O47" t="s">
        <v>13</v>
      </c>
      <c r="P47" t="s">
        <v>14</v>
      </c>
    </row>
    <row r="48" spans="1:23" x14ac:dyDescent="0.2">
      <c r="A48">
        <v>4</v>
      </c>
      <c r="D48">
        <v>1</v>
      </c>
      <c r="E48">
        <v>5.9879610000000003</v>
      </c>
      <c r="F48">
        <v>4.0000000000000001E-3</v>
      </c>
      <c r="H48">
        <f>2.8125*D48</f>
        <v>2.8125</v>
      </c>
      <c r="I48">
        <f>H48*(2*PI()/360)</f>
        <v>4.9087385212340517E-2</v>
      </c>
      <c r="J48">
        <f>$J$2*10^9</f>
        <v>1800000000</v>
      </c>
      <c r="K48" s="1">
        <f>6.2/1000</f>
        <v>6.1999999999999998E-3</v>
      </c>
      <c r="L48" s="1">
        <f>(32/1000)</f>
        <v>3.2000000000000001E-2</v>
      </c>
      <c r="M48" s="1">
        <v>5</v>
      </c>
      <c r="N48">
        <v>4</v>
      </c>
      <c r="O48">
        <f>25.8/1000</f>
        <v>2.58E-2</v>
      </c>
    </row>
    <row r="49" spans="4:20" x14ac:dyDescent="0.2">
      <c r="D49">
        <v>2</v>
      </c>
      <c r="E49">
        <v>6.9949149999999998</v>
      </c>
      <c r="F49">
        <v>0.01</v>
      </c>
      <c r="G49">
        <f>F49-F48</f>
        <v>6.0000000000000001E-3</v>
      </c>
      <c r="H49">
        <f t="shared" ref="H49:H50" si="12">2.8125*D49</f>
        <v>5.625</v>
      </c>
      <c r="I49">
        <f t="shared" ref="I49:I62" si="13">H49*(2*PI()/360)</f>
        <v>9.8174770424681035E-2</v>
      </c>
      <c r="K49">
        <f>(0.00625+0.00615+0.0062+0.00611)/4</f>
        <v>6.1775000000000007E-3</v>
      </c>
      <c r="L49">
        <v>3.175E-2</v>
      </c>
      <c r="O49">
        <f>L49-K49</f>
        <v>2.5572499999999998E-2</v>
      </c>
      <c r="P49">
        <f>((64*F49*$O$48*$N$48)/(($K$48^4)*I49))/(10^9)</f>
        <v>0.45529514461862824</v>
      </c>
      <c r="Q49">
        <f>((64*G49*$O$48*$N$48)/(($K$48^4)*(I49-I48)))/(10^9)</f>
        <v>0.54635417354235383</v>
      </c>
      <c r="R49">
        <f>((64*G49*$L$48*$M$48)/(($K$48^4)*(I49-I48)))/(10^9)</f>
        <v>0.84706073417419214</v>
      </c>
    </row>
    <row r="50" spans="4:20" x14ac:dyDescent="0.2">
      <c r="D50">
        <v>3</v>
      </c>
      <c r="E50">
        <v>8.0869119999999999</v>
      </c>
      <c r="F50">
        <v>2.8000000000000001E-2</v>
      </c>
      <c r="G50">
        <f t="shared" ref="G50:G60" si="14">F50-F49</f>
        <v>1.8000000000000002E-2</v>
      </c>
      <c r="H50">
        <f t="shared" si="12"/>
        <v>8.4375</v>
      </c>
      <c r="I50">
        <f t="shared" si="13"/>
        <v>0.14726215563702155</v>
      </c>
      <c r="P50">
        <f t="shared" ref="P50:P60" si="15">((64*F50*$O$48*$N$48)/(($K$48^4)*I50))/(10^9)</f>
        <v>0.84988426995477273</v>
      </c>
      <c r="Q50">
        <f t="shared" ref="Q50:Q60" si="16">((64*G50*$O$48*$N$48)/(($K$48^4)*(I50-I49)))/(10^9)</f>
        <v>1.6390625206270621</v>
      </c>
      <c r="R50">
        <f>((64*G50*$L$48*$M$48)/(($K$48^4)*(I50-I49)))/(10^9)</f>
        <v>2.541182202522577</v>
      </c>
    </row>
    <row r="51" spans="4:20" x14ac:dyDescent="0.2">
      <c r="D51">
        <v>4</v>
      </c>
      <c r="E51">
        <v>9.0469120000000007</v>
      </c>
      <c r="F51">
        <v>5.3999999999999999E-2</v>
      </c>
      <c r="G51">
        <f t="shared" si="14"/>
        <v>2.5999999999999999E-2</v>
      </c>
      <c r="H51">
        <f t="shared" ref="H51:H60" si="17">2.8125*D51</f>
        <v>11.25</v>
      </c>
      <c r="I51">
        <f t="shared" si="13"/>
        <v>0.19634954084936207</v>
      </c>
      <c r="P51">
        <f>((64*F51*$O$48*$N$48)/(($K$48^4)*I51))/(10^9)</f>
        <v>1.2292968904702963</v>
      </c>
      <c r="Q51">
        <f t="shared" si="16"/>
        <v>2.3675347520168666</v>
      </c>
      <c r="R51">
        <f t="shared" ref="R51:R60" si="18">((64*G51*$L$48*$M$48)/(($K$48^4)*(I51-I50)))/(10^9)</f>
        <v>3.6705965147548323</v>
      </c>
    </row>
    <row r="52" spans="4:20" x14ac:dyDescent="0.2">
      <c r="D52">
        <v>5</v>
      </c>
      <c r="E52">
        <v>10.05491</v>
      </c>
      <c r="F52">
        <v>8.1000000000000003E-2</v>
      </c>
      <c r="G52">
        <f t="shared" si="14"/>
        <v>2.7000000000000003E-2</v>
      </c>
      <c r="H52">
        <f t="shared" si="17"/>
        <v>14.0625</v>
      </c>
      <c r="I52">
        <f t="shared" si="13"/>
        <v>0.24543692606170259</v>
      </c>
      <c r="P52">
        <f>((64*F52*$O$48*$N$48)/(($K$48^4)*I52))/(10^9)</f>
        <v>1.4751562685643556</v>
      </c>
      <c r="Q52">
        <f t="shared" si="16"/>
        <v>2.4585937809405931</v>
      </c>
      <c r="R52">
        <f t="shared" si="18"/>
        <v>3.8117733037838644</v>
      </c>
    </row>
    <row r="53" spans="4:20" x14ac:dyDescent="0.2">
      <c r="D53">
        <v>6</v>
      </c>
      <c r="E53">
        <v>11.074911</v>
      </c>
      <c r="F53">
        <v>0.107</v>
      </c>
      <c r="G53">
        <f t="shared" si="14"/>
        <v>2.5999999999999995E-2</v>
      </c>
      <c r="H53">
        <f t="shared" si="17"/>
        <v>16.875</v>
      </c>
      <c r="I53">
        <f t="shared" si="13"/>
        <v>0.2945243112740431</v>
      </c>
      <c r="P53">
        <f t="shared" si="15"/>
        <v>1.6238860158064405</v>
      </c>
      <c r="Q53">
        <f t="shared" si="16"/>
        <v>2.3675347520168666</v>
      </c>
      <c r="R53">
        <f t="shared" si="18"/>
        <v>3.6705965147548314</v>
      </c>
    </row>
    <row r="54" spans="4:20" x14ac:dyDescent="0.2">
      <c r="D54">
        <v>7</v>
      </c>
      <c r="E54">
        <v>12.070926</v>
      </c>
      <c r="F54">
        <v>0.13200000000000001</v>
      </c>
      <c r="G54">
        <f t="shared" si="14"/>
        <v>2.5000000000000008E-2</v>
      </c>
      <c r="H54">
        <f t="shared" si="17"/>
        <v>19.6875</v>
      </c>
      <c r="I54">
        <f t="shared" si="13"/>
        <v>0.34361169648638362</v>
      </c>
      <c r="P54">
        <f t="shared" si="15"/>
        <v>1.7171131168473979</v>
      </c>
      <c r="Q54">
        <f t="shared" si="16"/>
        <v>2.2764757230931418</v>
      </c>
      <c r="R54">
        <f t="shared" si="18"/>
        <v>3.5294197257258015</v>
      </c>
    </row>
    <row r="55" spans="4:20" x14ac:dyDescent="0.2">
      <c r="D55">
        <v>8</v>
      </c>
      <c r="E55">
        <v>13.066924999999999</v>
      </c>
      <c r="F55">
        <v>0.159</v>
      </c>
      <c r="G55">
        <f t="shared" si="14"/>
        <v>2.6999999999999996E-2</v>
      </c>
      <c r="H55">
        <f t="shared" si="17"/>
        <v>22.5</v>
      </c>
      <c r="I55">
        <f t="shared" si="13"/>
        <v>0.39269908169872414</v>
      </c>
      <c r="P55">
        <f t="shared" si="15"/>
        <v>1.8097981998590473</v>
      </c>
      <c r="Q55">
        <f t="shared" si="16"/>
        <v>2.4585937809405922</v>
      </c>
      <c r="R55">
        <f t="shared" si="18"/>
        <v>3.8117733037838639</v>
      </c>
    </row>
    <row r="56" spans="4:20" x14ac:dyDescent="0.2">
      <c r="D56">
        <v>9</v>
      </c>
      <c r="E56">
        <v>14.098905</v>
      </c>
      <c r="F56">
        <v>0.186</v>
      </c>
      <c r="G56">
        <f t="shared" si="14"/>
        <v>2.6999999999999996E-2</v>
      </c>
      <c r="H56">
        <f t="shared" si="17"/>
        <v>25.3125</v>
      </c>
      <c r="I56">
        <f t="shared" si="13"/>
        <v>0.44178646691106466</v>
      </c>
      <c r="P56">
        <f t="shared" si="15"/>
        <v>1.881886597756997</v>
      </c>
      <c r="Q56">
        <f t="shared" si="16"/>
        <v>2.4585937809405922</v>
      </c>
      <c r="R56">
        <f t="shared" si="18"/>
        <v>3.8117733037838639</v>
      </c>
    </row>
    <row r="57" spans="4:20" x14ac:dyDescent="0.2">
      <c r="D57">
        <v>10</v>
      </c>
      <c r="E57">
        <v>15.093904</v>
      </c>
      <c r="F57">
        <v>0.216</v>
      </c>
      <c r="G57">
        <f t="shared" si="14"/>
        <v>0.03</v>
      </c>
      <c r="H57">
        <f t="shared" si="17"/>
        <v>28.125</v>
      </c>
      <c r="I57">
        <f t="shared" si="13"/>
        <v>0.49087385212340517</v>
      </c>
      <c r="P57">
        <f t="shared" si="15"/>
        <v>1.966875024752474</v>
      </c>
      <c r="Q57">
        <f t="shared" si="16"/>
        <v>2.7317708677117696</v>
      </c>
      <c r="R57">
        <f t="shared" si="18"/>
        <v>4.2353036708709615</v>
      </c>
    </row>
    <row r="58" spans="4:20" x14ac:dyDescent="0.2">
      <c r="D58">
        <v>11</v>
      </c>
      <c r="E58">
        <v>16.101980000000001</v>
      </c>
      <c r="F58">
        <v>0.24099999999999999</v>
      </c>
      <c r="G58">
        <f t="shared" si="14"/>
        <v>2.4999999999999994E-2</v>
      </c>
      <c r="H58">
        <f t="shared" si="17"/>
        <v>30.9375</v>
      </c>
      <c r="I58">
        <f t="shared" si="13"/>
        <v>0.53996123733574575</v>
      </c>
      <c r="P58">
        <f t="shared" si="15"/>
        <v>1.9950205427834435</v>
      </c>
      <c r="Q58">
        <f t="shared" si="16"/>
        <v>2.2764757230931383</v>
      </c>
      <c r="R58">
        <f t="shared" si="18"/>
        <v>3.5294197257257953</v>
      </c>
    </row>
    <row r="59" spans="4:20" x14ac:dyDescent="0.2">
      <c r="D59">
        <v>12</v>
      </c>
      <c r="E59">
        <v>17.097933999999999</v>
      </c>
      <c r="F59">
        <v>0.27300000000000002</v>
      </c>
      <c r="G59">
        <f t="shared" si="14"/>
        <v>3.2000000000000028E-2</v>
      </c>
      <c r="H59">
        <f t="shared" si="17"/>
        <v>33.75</v>
      </c>
      <c r="I59">
        <f t="shared" si="13"/>
        <v>0.58904862254808621</v>
      </c>
      <c r="P59">
        <f t="shared" si="15"/>
        <v>2.0715929080147588</v>
      </c>
      <c r="Q59">
        <f t="shared" si="16"/>
        <v>2.9138889255592271</v>
      </c>
      <c r="R59">
        <f t="shared" si="18"/>
        <v>4.5176572489290345</v>
      </c>
    </row>
    <row r="60" spans="4:20" x14ac:dyDescent="0.2">
      <c r="D60">
        <v>13</v>
      </c>
      <c r="E60">
        <v>18.093924000000001</v>
      </c>
      <c r="F60">
        <v>0.29399999999999998</v>
      </c>
      <c r="G60">
        <f t="shared" si="14"/>
        <v>2.0999999999999963E-2</v>
      </c>
      <c r="H60">
        <f t="shared" si="17"/>
        <v>36.5625</v>
      </c>
      <c r="I60">
        <f t="shared" si="13"/>
        <v>0.63813600776042678</v>
      </c>
      <c r="P60">
        <f t="shared" si="15"/>
        <v>2.0593349618134877</v>
      </c>
      <c r="Q60">
        <f t="shared" si="16"/>
        <v>1.9122396073982331</v>
      </c>
      <c r="R60">
        <f t="shared" si="18"/>
        <v>2.9647125696096639</v>
      </c>
      <c r="T60">
        <f>I61/G61</f>
        <v>1.873564321081699</v>
      </c>
    </row>
    <row r="61" spans="4:20" x14ac:dyDescent="0.2">
      <c r="F61" t="s">
        <v>22</v>
      </c>
      <c r="G61">
        <f>(0.023+0.023+0.025+0.03+0.03)/5</f>
        <v>2.6200000000000001E-2</v>
      </c>
      <c r="H61">
        <v>2.8125</v>
      </c>
      <c r="I61">
        <f t="shared" si="13"/>
        <v>4.9087385212340517E-2</v>
      </c>
      <c r="P61" s="6">
        <f>((64*G61*$O$48*$M$48)/(($K$48^4)*I61))/(10^9)</f>
        <v>2.9821831972520156</v>
      </c>
    </row>
    <row r="62" spans="4:20" x14ac:dyDescent="0.2">
      <c r="F62" t="s">
        <v>2</v>
      </c>
      <c r="G62">
        <f>AVERAGE(G51:G58)</f>
        <v>2.6624999999999999E-2</v>
      </c>
      <c r="H62">
        <v>2.8125</v>
      </c>
      <c r="I62">
        <f t="shared" si="13"/>
        <v>4.9087385212340517E-2</v>
      </c>
      <c r="P62" s="7">
        <f>((64*G62*$O$48*$N$48)/(($K$48^4)*I62))/(10^9)</f>
        <v>2.4244466450941959</v>
      </c>
    </row>
    <row r="63" spans="4:20" x14ac:dyDescent="0.2">
      <c r="O63" t="s">
        <v>15</v>
      </c>
      <c r="P63" s="2">
        <f>AVERAGE(P49:P60)</f>
        <v>1.5945949951035081</v>
      </c>
    </row>
    <row r="65" spans="1:20" x14ac:dyDescent="0.2">
      <c r="A65" t="s">
        <v>0</v>
      </c>
      <c r="B65" t="s">
        <v>27</v>
      </c>
      <c r="C65" t="s">
        <v>2</v>
      </c>
      <c r="D65" t="s">
        <v>24</v>
      </c>
      <c r="E65" t="s">
        <v>3</v>
      </c>
      <c r="F65" t="s">
        <v>4</v>
      </c>
      <c r="G65" t="s">
        <v>5</v>
      </c>
      <c r="H65" t="s">
        <v>6</v>
      </c>
      <c r="I65" t="s">
        <v>7</v>
      </c>
      <c r="J65" t="s">
        <v>8</v>
      </c>
      <c r="K65" t="s">
        <v>9</v>
      </c>
      <c r="L65" t="s">
        <v>10</v>
      </c>
      <c r="M65" t="s">
        <v>11</v>
      </c>
      <c r="N65" t="s">
        <v>12</v>
      </c>
      <c r="O65" t="s">
        <v>13</v>
      </c>
      <c r="P65" t="s">
        <v>14</v>
      </c>
    </row>
    <row r="66" spans="1:20" x14ac:dyDescent="0.2">
      <c r="A66">
        <v>5</v>
      </c>
      <c r="D66">
        <v>1</v>
      </c>
      <c r="E66">
        <v>5.9760160000000004</v>
      </c>
      <c r="F66">
        <v>6.8000000000000005E-2</v>
      </c>
      <c r="H66">
        <f>2.8125*D66</f>
        <v>2.8125</v>
      </c>
      <c r="I66">
        <f>H66*(2*PI()/360)</f>
        <v>4.9087385212340517E-2</v>
      </c>
      <c r="J66">
        <f>$J$2*10^9</f>
        <v>1800000000</v>
      </c>
      <c r="K66" s="1">
        <f>7.6/1000</f>
        <v>7.6E-3</v>
      </c>
      <c r="L66" s="1">
        <f>(32/1000)</f>
        <v>3.2000000000000001E-2</v>
      </c>
      <c r="M66" s="1">
        <v>5</v>
      </c>
      <c r="N66">
        <v>4</v>
      </c>
      <c r="O66">
        <f>23.6/1000</f>
        <v>2.3600000000000003E-2</v>
      </c>
    </row>
    <row r="67" spans="1:20" x14ac:dyDescent="0.2">
      <c r="D67">
        <v>2</v>
      </c>
      <c r="E67">
        <v>6.9480959999999996</v>
      </c>
      <c r="F67">
        <v>0.108</v>
      </c>
      <c r="G67">
        <f>F67-F66</f>
        <v>3.9999999999999994E-2</v>
      </c>
      <c r="H67">
        <f t="shared" ref="H67" si="19">2.8125*D67</f>
        <v>5.625</v>
      </c>
      <c r="I67">
        <f t="shared" ref="I67:I70" si="20">H67*(2*PI()/360)</f>
        <v>9.8174770424681035E-2</v>
      </c>
      <c r="P67">
        <f>((64*F67*$O$66*$N$66)/(($K$66^4)*I67))/(10^9)</f>
        <v>1.992147360208091</v>
      </c>
    </row>
    <row r="68" spans="1:20" x14ac:dyDescent="0.2">
      <c r="D68">
        <v>3</v>
      </c>
      <c r="E68">
        <v>7.9441170000000003</v>
      </c>
      <c r="F68">
        <v>0.158</v>
      </c>
      <c r="G68">
        <f t="shared" ref="G68:G69" si="21">F68-F67</f>
        <v>0.05</v>
      </c>
      <c r="H68">
        <f t="shared" ref="H68:H69" si="22">2.8125*D68</f>
        <v>8.4375</v>
      </c>
      <c r="I68">
        <f t="shared" si="20"/>
        <v>0.14726215563702155</v>
      </c>
      <c r="P68">
        <f t="shared" ref="P68:P69" si="23">((64*F68*$O$66*$N$66)/(($K$66^4)*I68))/(10^9)</f>
        <v>1.942958536499249</v>
      </c>
    </row>
    <row r="69" spans="1:20" x14ac:dyDescent="0.2">
      <c r="D69">
        <v>4</v>
      </c>
      <c r="E69">
        <v>8.9391309999999997</v>
      </c>
      <c r="F69">
        <v>0.18</v>
      </c>
      <c r="G69">
        <f t="shared" si="21"/>
        <v>2.1999999999999992E-2</v>
      </c>
      <c r="H69">
        <f t="shared" si="22"/>
        <v>11.25</v>
      </c>
      <c r="I69">
        <f t="shared" si="20"/>
        <v>0.19634954084936207</v>
      </c>
      <c r="P69">
        <f t="shared" si="23"/>
        <v>1.660122800173409</v>
      </c>
    </row>
    <row r="70" spans="1:20" x14ac:dyDescent="0.2">
      <c r="G70">
        <v>4.4999999999999998E-2</v>
      </c>
      <c r="H70">
        <v>2.8125</v>
      </c>
      <c r="I70">
        <f t="shared" si="20"/>
        <v>4.9087385212340517E-2</v>
      </c>
      <c r="P70" s="6">
        <f>((64*G70*$L$66*$M$66)/(($K$66^4)*I70))/(10^9)</f>
        <v>2.8137674579210321</v>
      </c>
      <c r="T70">
        <f>I70/G70</f>
        <v>1.090830782496456</v>
      </c>
    </row>
    <row r="71" spans="1:20" x14ac:dyDescent="0.2">
      <c r="O71" t="s">
        <v>15</v>
      </c>
      <c r="P71" s="2">
        <f>AVERAGE(P67:P69)</f>
        <v>1.865076232293583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topLeftCell="A27" workbookViewId="0">
      <selection activeCell="T45" sqref="T45"/>
    </sheetView>
  </sheetViews>
  <sheetFormatPr baseColWidth="10" defaultColWidth="8.83203125" defaultRowHeight="15" x14ac:dyDescent="0.2"/>
  <sheetData>
    <row r="1" spans="1:16" x14ac:dyDescent="0.2">
      <c r="J1" t="s">
        <v>18</v>
      </c>
    </row>
    <row r="2" spans="1:16" x14ac:dyDescent="0.2">
      <c r="J2">
        <f>1.8</f>
        <v>1.8</v>
      </c>
    </row>
    <row r="3" spans="1:16" x14ac:dyDescent="0.2">
      <c r="A3" t="s">
        <v>0</v>
      </c>
      <c r="B3" t="s">
        <v>28</v>
      </c>
      <c r="C3" t="s">
        <v>17</v>
      </c>
      <c r="D3" t="s">
        <v>24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</row>
    <row r="4" spans="1:16" x14ac:dyDescent="0.2">
      <c r="A4">
        <v>6</v>
      </c>
      <c r="D4">
        <v>1</v>
      </c>
      <c r="E4">
        <v>6.4558759999999999</v>
      </c>
      <c r="F4">
        <v>1.7000000000000001E-2</v>
      </c>
      <c r="H4">
        <f>2.8125*D4</f>
        <v>2.8125</v>
      </c>
      <c r="I4">
        <f>H4*(2*PI()/360)</f>
        <v>4.9087385212340517E-2</v>
      </c>
      <c r="J4">
        <f>$J$2*10^9</f>
        <v>1800000000</v>
      </c>
      <c r="K4" s="1">
        <f>4/1000</f>
        <v>4.0000000000000001E-3</v>
      </c>
      <c r="L4" s="1">
        <f>(32/1000)</f>
        <v>3.2000000000000001E-2</v>
      </c>
      <c r="M4" s="1">
        <v>4</v>
      </c>
      <c r="N4">
        <v>3</v>
      </c>
      <c r="O4">
        <f>28/1000</f>
        <v>2.8000000000000001E-2</v>
      </c>
    </row>
    <row r="5" spans="1:16" x14ac:dyDescent="0.2">
      <c r="D5">
        <v>2</v>
      </c>
      <c r="E5">
        <v>7.4398739999999997</v>
      </c>
      <c r="F5">
        <v>2.1999999999999999E-2</v>
      </c>
      <c r="G5">
        <f>F5-F4</f>
        <v>4.9999999999999975E-3</v>
      </c>
      <c r="H5">
        <f>2.8125*D5</f>
        <v>5.625</v>
      </c>
      <c r="I5">
        <f t="shared" ref="I5:I24" si="0">H5*(2*PI()/360)</f>
        <v>9.8174770424681035E-2</v>
      </c>
      <c r="P5">
        <f>((64*F5*$O$4*$N$4)/(($K$4^4)*I5))/(10^9)</f>
        <v>4.7058933573411617</v>
      </c>
    </row>
    <row r="6" spans="1:16" x14ac:dyDescent="0.2">
      <c r="D6">
        <v>3</v>
      </c>
      <c r="E6">
        <v>8.4478539999999995</v>
      </c>
      <c r="F6">
        <v>2.8000000000000001E-2</v>
      </c>
      <c r="G6">
        <f t="shared" ref="G6:G24" si="1">F6-F5</f>
        <v>6.0000000000000019E-3</v>
      </c>
      <c r="H6">
        <f t="shared" ref="H6:H24" si="2">2.8125*D6</f>
        <v>8.4375</v>
      </c>
      <c r="I6">
        <f t="shared" si="0"/>
        <v>0.14726215563702155</v>
      </c>
      <c r="P6">
        <f t="shared" ref="P6:P24" si="3">((64*F6*$O$4*$N$4)/(($K$4^4)*I6))/(10^9)</f>
        <v>3.9928792122894707</v>
      </c>
    </row>
    <row r="7" spans="1:16" x14ac:dyDescent="0.2">
      <c r="D7">
        <v>4</v>
      </c>
      <c r="E7">
        <v>9.4548710000000007</v>
      </c>
      <c r="F7">
        <v>3.5000000000000003E-2</v>
      </c>
      <c r="G7">
        <f t="shared" si="1"/>
        <v>7.0000000000000027E-3</v>
      </c>
      <c r="H7">
        <f t="shared" si="2"/>
        <v>11.25</v>
      </c>
      <c r="I7">
        <f t="shared" si="0"/>
        <v>0.19634954084936207</v>
      </c>
      <c r="P7">
        <f t="shared" si="3"/>
        <v>3.7433242615213795</v>
      </c>
    </row>
    <row r="8" spans="1:16" x14ac:dyDescent="0.2">
      <c r="D8">
        <v>5</v>
      </c>
      <c r="E8">
        <v>10.462859</v>
      </c>
      <c r="F8">
        <v>4.2000000000000003E-2</v>
      </c>
      <c r="G8">
        <f t="shared" si="1"/>
        <v>6.9999999999999993E-3</v>
      </c>
      <c r="H8">
        <f t="shared" si="2"/>
        <v>14.0625</v>
      </c>
      <c r="I8">
        <f t="shared" si="0"/>
        <v>0.24543692606170259</v>
      </c>
      <c r="P8">
        <f t="shared" si="3"/>
        <v>3.5935912910605241</v>
      </c>
    </row>
    <row r="9" spans="1:16" x14ac:dyDescent="0.2">
      <c r="D9">
        <v>6</v>
      </c>
      <c r="E9">
        <v>11.470889</v>
      </c>
      <c r="F9">
        <v>0.05</v>
      </c>
      <c r="G9">
        <f t="shared" si="1"/>
        <v>8.0000000000000002E-3</v>
      </c>
      <c r="H9">
        <f t="shared" si="2"/>
        <v>16.875</v>
      </c>
      <c r="I9">
        <f t="shared" si="0"/>
        <v>0.2945243112740431</v>
      </c>
      <c r="P9">
        <f t="shared" si="3"/>
        <v>3.5650707252584564</v>
      </c>
    </row>
    <row r="10" spans="1:16" x14ac:dyDescent="0.2">
      <c r="D10">
        <v>7</v>
      </c>
      <c r="E10">
        <v>12.478908000000001</v>
      </c>
      <c r="F10">
        <v>5.6000000000000001E-2</v>
      </c>
      <c r="G10">
        <f t="shared" si="1"/>
        <v>5.9999999999999984E-3</v>
      </c>
      <c r="H10">
        <f t="shared" si="2"/>
        <v>19.6875</v>
      </c>
      <c r="I10">
        <f t="shared" si="0"/>
        <v>0.34361169648638362</v>
      </c>
      <c r="P10">
        <f t="shared" si="3"/>
        <v>3.4224678962481185</v>
      </c>
    </row>
    <row r="11" spans="1:16" x14ac:dyDescent="0.2">
      <c r="D11">
        <v>8</v>
      </c>
      <c r="E11">
        <v>13.486851</v>
      </c>
      <c r="F11">
        <v>6.3E-2</v>
      </c>
      <c r="G11">
        <f t="shared" si="1"/>
        <v>6.9999999999999993E-3</v>
      </c>
      <c r="H11">
        <f t="shared" si="2"/>
        <v>22.5</v>
      </c>
      <c r="I11">
        <f t="shared" si="0"/>
        <v>0.39269908169872414</v>
      </c>
      <c r="P11">
        <f t="shared" si="3"/>
        <v>3.3689918353692407</v>
      </c>
    </row>
    <row r="12" spans="1:16" x14ac:dyDescent="0.2">
      <c r="D12">
        <v>9</v>
      </c>
      <c r="E12">
        <v>14.494878999999999</v>
      </c>
      <c r="F12">
        <v>7.0000000000000007E-2</v>
      </c>
      <c r="G12">
        <f t="shared" si="1"/>
        <v>7.0000000000000062E-3</v>
      </c>
      <c r="H12">
        <f t="shared" si="2"/>
        <v>25.3125</v>
      </c>
      <c r="I12">
        <f t="shared" si="0"/>
        <v>0.44178646691106466</v>
      </c>
      <c r="P12">
        <f t="shared" si="3"/>
        <v>3.3273993435745592</v>
      </c>
    </row>
    <row r="13" spans="1:16" x14ac:dyDescent="0.2">
      <c r="D13">
        <v>10</v>
      </c>
      <c r="E13">
        <v>15.490874</v>
      </c>
      <c r="F13">
        <v>7.6999999999999999E-2</v>
      </c>
      <c r="G13">
        <f t="shared" si="1"/>
        <v>6.9999999999999923E-3</v>
      </c>
      <c r="H13">
        <f t="shared" si="2"/>
        <v>28.125</v>
      </c>
      <c r="I13">
        <f t="shared" si="0"/>
        <v>0.49087385212340517</v>
      </c>
      <c r="P13">
        <f t="shared" si="3"/>
        <v>3.2941253501388128</v>
      </c>
    </row>
    <row r="14" spans="1:16" x14ac:dyDescent="0.2">
      <c r="D14">
        <v>11</v>
      </c>
      <c r="E14">
        <v>16.498867000000001</v>
      </c>
      <c r="F14">
        <v>8.4000000000000005E-2</v>
      </c>
      <c r="G14">
        <f t="shared" si="1"/>
        <v>7.0000000000000062E-3</v>
      </c>
      <c r="H14">
        <f t="shared" si="2"/>
        <v>30.9375</v>
      </c>
      <c r="I14">
        <f t="shared" si="0"/>
        <v>0.53996123733574575</v>
      </c>
      <c r="P14">
        <f t="shared" si="3"/>
        <v>3.2669011736913851</v>
      </c>
    </row>
    <row r="15" spans="1:16" x14ac:dyDescent="0.2">
      <c r="D15">
        <v>12</v>
      </c>
      <c r="E15">
        <v>17.518856</v>
      </c>
      <c r="F15">
        <v>9.0999999999999998E-2</v>
      </c>
      <c r="G15">
        <f t="shared" si="1"/>
        <v>6.9999999999999923E-3</v>
      </c>
      <c r="H15">
        <f t="shared" si="2"/>
        <v>33.75</v>
      </c>
      <c r="I15">
        <f t="shared" si="0"/>
        <v>0.58904862254808621</v>
      </c>
      <c r="P15">
        <f t="shared" si="3"/>
        <v>3.2442143599851945</v>
      </c>
    </row>
    <row r="16" spans="1:16" x14ac:dyDescent="0.2">
      <c r="D16">
        <v>13</v>
      </c>
      <c r="E16">
        <v>18.514942000000001</v>
      </c>
      <c r="F16">
        <v>9.7000000000000003E-2</v>
      </c>
      <c r="G16">
        <f t="shared" si="1"/>
        <v>6.0000000000000053E-3</v>
      </c>
      <c r="H16">
        <f t="shared" si="2"/>
        <v>36.5625</v>
      </c>
      <c r="I16">
        <f t="shared" si="0"/>
        <v>0.63813600776042678</v>
      </c>
      <c r="P16">
        <f t="shared" si="3"/>
        <v>3.1921094801544938</v>
      </c>
    </row>
    <row r="17" spans="1:20" x14ac:dyDescent="0.2">
      <c r="D17">
        <v>14</v>
      </c>
      <c r="E17">
        <v>19.522877999999999</v>
      </c>
      <c r="F17">
        <v>0.10299999999999999</v>
      </c>
      <c r="G17">
        <f t="shared" si="1"/>
        <v>5.9999999999999915E-3</v>
      </c>
      <c r="H17">
        <f t="shared" si="2"/>
        <v>39.375</v>
      </c>
      <c r="I17">
        <f t="shared" si="0"/>
        <v>0.68722339297276724</v>
      </c>
      <c r="P17">
        <f t="shared" si="3"/>
        <v>3.1474481545853226</v>
      </c>
    </row>
    <row r="18" spans="1:20" x14ac:dyDescent="0.2">
      <c r="D18">
        <v>15</v>
      </c>
      <c r="E18">
        <v>20.518854000000001</v>
      </c>
      <c r="F18">
        <v>0.11</v>
      </c>
      <c r="G18">
        <f t="shared" si="1"/>
        <v>7.0000000000000062E-3</v>
      </c>
      <c r="H18">
        <f t="shared" si="2"/>
        <v>42.1875</v>
      </c>
      <c r="I18">
        <f t="shared" si="0"/>
        <v>0.73631077818510782</v>
      </c>
      <c r="P18">
        <f t="shared" si="3"/>
        <v>3.1372622382274411</v>
      </c>
    </row>
    <row r="19" spans="1:20" x14ac:dyDescent="0.2">
      <c r="D19">
        <v>16</v>
      </c>
      <c r="E19">
        <v>21.525874000000002</v>
      </c>
      <c r="F19">
        <v>0.11600000000000001</v>
      </c>
      <c r="G19">
        <f t="shared" si="1"/>
        <v>6.0000000000000053E-3</v>
      </c>
      <c r="H19">
        <f t="shared" si="2"/>
        <v>45</v>
      </c>
      <c r="I19">
        <f t="shared" si="0"/>
        <v>0.78539816339744828</v>
      </c>
      <c r="P19">
        <f t="shared" si="3"/>
        <v>3.1016115309748562</v>
      </c>
    </row>
    <row r="20" spans="1:20" x14ac:dyDescent="0.2">
      <c r="D20">
        <v>17</v>
      </c>
      <c r="E20">
        <v>22.533926999999998</v>
      </c>
      <c r="F20">
        <v>0.123</v>
      </c>
      <c r="G20">
        <f t="shared" si="1"/>
        <v>6.9999999999999923E-3</v>
      </c>
      <c r="H20">
        <f t="shared" si="2"/>
        <v>47.8125</v>
      </c>
      <c r="I20">
        <f t="shared" si="0"/>
        <v>0.83448554860978885</v>
      </c>
      <c r="P20">
        <f t="shared" si="3"/>
        <v>3.0953202296949889</v>
      </c>
    </row>
    <row r="21" spans="1:20" x14ac:dyDescent="0.2">
      <c r="D21">
        <v>18</v>
      </c>
      <c r="E21">
        <v>23.541875000000001</v>
      </c>
      <c r="F21">
        <v>0.129</v>
      </c>
      <c r="G21">
        <f t="shared" si="1"/>
        <v>6.0000000000000053E-3</v>
      </c>
      <c r="H21">
        <f t="shared" si="2"/>
        <v>50.625</v>
      </c>
      <c r="I21">
        <f t="shared" si="0"/>
        <v>0.88357293382212931</v>
      </c>
      <c r="P21">
        <f t="shared" si="3"/>
        <v>3.0659608237222717</v>
      </c>
    </row>
    <row r="22" spans="1:20" x14ac:dyDescent="0.2">
      <c r="D22">
        <v>19</v>
      </c>
      <c r="E22">
        <v>24.537863000000002</v>
      </c>
      <c r="F22">
        <v>0.13500000000000001</v>
      </c>
      <c r="G22">
        <f t="shared" si="1"/>
        <v>6.0000000000000053E-3</v>
      </c>
      <c r="H22">
        <f t="shared" si="2"/>
        <v>53.4375</v>
      </c>
      <c r="I22">
        <f t="shared" si="0"/>
        <v>0.93266031903446989</v>
      </c>
      <c r="P22">
        <f t="shared" si="3"/>
        <v>3.0396918815361573</v>
      </c>
    </row>
    <row r="23" spans="1:20" x14ac:dyDescent="0.2">
      <c r="D23">
        <v>20</v>
      </c>
      <c r="E23">
        <v>25.557880000000001</v>
      </c>
      <c r="F23">
        <v>0.14199999999999999</v>
      </c>
      <c r="G23">
        <f t="shared" si="1"/>
        <v>6.9999999999999785E-3</v>
      </c>
      <c r="H23">
        <f t="shared" si="2"/>
        <v>56.25</v>
      </c>
      <c r="I23">
        <f t="shared" si="0"/>
        <v>0.98174770424681035</v>
      </c>
      <c r="P23">
        <f t="shared" si="3"/>
        <v>3.0374402579202036</v>
      </c>
    </row>
    <row r="24" spans="1:20" x14ac:dyDescent="0.2">
      <c r="D24">
        <v>21</v>
      </c>
      <c r="E24">
        <v>26.553847999999999</v>
      </c>
      <c r="F24">
        <v>0.14699999999999999</v>
      </c>
      <c r="G24">
        <f t="shared" si="1"/>
        <v>5.0000000000000044E-3</v>
      </c>
      <c r="H24">
        <f t="shared" si="2"/>
        <v>59.0625</v>
      </c>
      <c r="I24">
        <f t="shared" si="0"/>
        <v>1.0308350894591509</v>
      </c>
      <c r="P24">
        <f t="shared" si="3"/>
        <v>2.9946594092171024</v>
      </c>
    </row>
    <row r="25" spans="1:20" x14ac:dyDescent="0.2">
      <c r="G25">
        <f>AVERAGE(G6:G24)</f>
        <v>6.5789473684210523E-3</v>
      </c>
      <c r="H25">
        <v>2.8125</v>
      </c>
      <c r="I25">
        <f>H25*(2*PI()/360)</f>
        <v>4.9087385212340517E-2</v>
      </c>
      <c r="P25" s="6">
        <f>((64*G25*$O$4*$N$4)/(($K$4^4)*I25))/(10^9)</f>
        <v>2.8145295199408862</v>
      </c>
      <c r="T25">
        <f>I25/G25</f>
        <v>7.4612825522757591</v>
      </c>
    </row>
    <row r="26" spans="1:20" x14ac:dyDescent="0.2">
      <c r="G26">
        <v>6.6E-3</v>
      </c>
      <c r="H26">
        <v>2.8125</v>
      </c>
      <c r="I26">
        <f>H26*(2*PI()/360)</f>
        <v>4.9087385212340517E-2</v>
      </c>
      <c r="P26" s="1">
        <f>((64*G26*$O$4*$N$4)/(($K$4^4)*I26))/(10^9)</f>
        <v>2.8235360144046968</v>
      </c>
    </row>
    <row r="27" spans="1:20" x14ac:dyDescent="0.2">
      <c r="O27" t="s">
        <v>15</v>
      </c>
      <c r="P27" s="2">
        <f>AVERAGE(P5:P24)</f>
        <v>3.3668181406255568</v>
      </c>
    </row>
    <row r="29" spans="1:20" x14ac:dyDescent="0.2">
      <c r="A29" t="s">
        <v>0</v>
      </c>
      <c r="B29" t="s">
        <v>29</v>
      </c>
      <c r="C29" t="s">
        <v>2</v>
      </c>
      <c r="D29" t="s">
        <v>24</v>
      </c>
      <c r="E29" t="s">
        <v>3</v>
      </c>
      <c r="F29" t="s">
        <v>4</v>
      </c>
      <c r="G29" t="s">
        <v>5</v>
      </c>
      <c r="H29" t="s">
        <v>6</v>
      </c>
      <c r="I29" t="s">
        <v>7</v>
      </c>
      <c r="J29" t="s">
        <v>8</v>
      </c>
      <c r="K29" t="s">
        <v>9</v>
      </c>
      <c r="L29" t="s">
        <v>10</v>
      </c>
      <c r="M29" t="s">
        <v>11</v>
      </c>
      <c r="N29" t="s">
        <v>12</v>
      </c>
      <c r="O29" t="s">
        <v>13</v>
      </c>
      <c r="P29" t="s">
        <v>14</v>
      </c>
    </row>
    <row r="30" spans="1:20" x14ac:dyDescent="0.2">
      <c r="A30">
        <v>7</v>
      </c>
      <c r="D30">
        <v>1</v>
      </c>
      <c r="E30">
        <v>5.0519780000000001</v>
      </c>
      <c r="F30">
        <v>1E-3</v>
      </c>
      <c r="H30">
        <f>2.8125*D30</f>
        <v>2.8125</v>
      </c>
      <c r="I30">
        <f>H30*(2*PI()/360)</f>
        <v>4.9087385212340517E-2</v>
      </c>
      <c r="J30">
        <f>$J$2*10^9</f>
        <v>1800000000</v>
      </c>
      <c r="K30" s="1">
        <f>4/1000</f>
        <v>4.0000000000000001E-3</v>
      </c>
      <c r="L30" s="1">
        <f>(32/1000)</f>
        <v>3.2000000000000001E-2</v>
      </c>
      <c r="M30" s="1">
        <v>6</v>
      </c>
      <c r="N30">
        <v>7</v>
      </c>
      <c r="O30">
        <f>28/1000</f>
        <v>2.8000000000000001E-2</v>
      </c>
    </row>
    <row r="31" spans="1:20" x14ac:dyDescent="0.2">
      <c r="D31">
        <v>2</v>
      </c>
      <c r="E31">
        <v>6.0719529999999997</v>
      </c>
      <c r="F31">
        <v>2E-3</v>
      </c>
      <c r="G31">
        <f>F31-F30</f>
        <v>1E-3</v>
      </c>
      <c r="H31">
        <f>2.8125*D31</f>
        <v>5.625</v>
      </c>
      <c r="I31">
        <f t="shared" ref="I31:I46" si="4">H31*(2*PI()/360)</f>
        <v>9.8174770424681035E-2</v>
      </c>
      <c r="P31">
        <f>((64*F31*$O$30*$N$30)/(($K$30^4)*I31))/(10^9)</f>
        <v>0.99821980307236757</v>
      </c>
    </row>
    <row r="32" spans="1:20" x14ac:dyDescent="0.2">
      <c r="D32">
        <v>3</v>
      </c>
      <c r="E32">
        <v>7.067958</v>
      </c>
      <c r="F32">
        <v>3.0000000000000001E-3</v>
      </c>
      <c r="G32">
        <f t="shared" ref="G32:G45" si="5">F32-F31</f>
        <v>1E-3</v>
      </c>
      <c r="H32">
        <f t="shared" ref="H32:H40" si="6">2.8125*D32</f>
        <v>8.4375</v>
      </c>
      <c r="I32">
        <f t="shared" si="4"/>
        <v>0.14726215563702155</v>
      </c>
      <c r="P32">
        <f t="shared" ref="P32:P45" si="7">((64*F32*$O$30*$N$30)/(($K$30^4)*I32))/(10^9)</f>
        <v>0.99821980307236768</v>
      </c>
    </row>
    <row r="33" spans="4:21" x14ac:dyDescent="0.2">
      <c r="D33">
        <v>4</v>
      </c>
      <c r="E33">
        <v>8.0759600000000002</v>
      </c>
      <c r="F33">
        <v>4.0000000000000001E-3</v>
      </c>
      <c r="G33">
        <f t="shared" si="5"/>
        <v>1E-3</v>
      </c>
      <c r="H33">
        <f t="shared" si="6"/>
        <v>11.25</v>
      </c>
      <c r="I33">
        <f t="shared" si="4"/>
        <v>0.19634954084936207</v>
      </c>
      <c r="P33">
        <f t="shared" si="7"/>
        <v>0.99821980307236757</v>
      </c>
    </row>
    <row r="34" spans="4:21" x14ac:dyDescent="0.2">
      <c r="D34">
        <v>5</v>
      </c>
      <c r="E34">
        <v>9.0720480000000006</v>
      </c>
      <c r="F34">
        <v>5.0000000000000001E-3</v>
      </c>
      <c r="G34">
        <f t="shared" si="5"/>
        <v>1E-3</v>
      </c>
      <c r="H34">
        <f t="shared" si="6"/>
        <v>14.0625</v>
      </c>
      <c r="I34">
        <f t="shared" si="4"/>
        <v>0.24543692606170259</v>
      </c>
      <c r="P34">
        <f t="shared" si="7"/>
        <v>0.9982198030723678</v>
      </c>
    </row>
    <row r="35" spans="4:21" x14ac:dyDescent="0.2">
      <c r="D35">
        <v>6</v>
      </c>
      <c r="E35">
        <v>10.080049000000001</v>
      </c>
      <c r="F35">
        <v>6.0000000000000001E-3</v>
      </c>
      <c r="G35">
        <f t="shared" si="5"/>
        <v>1E-3</v>
      </c>
      <c r="H35">
        <f t="shared" si="6"/>
        <v>16.875</v>
      </c>
      <c r="I35">
        <f t="shared" si="4"/>
        <v>0.2945243112740431</v>
      </c>
      <c r="P35">
        <f t="shared" si="7"/>
        <v>0.99821980307236768</v>
      </c>
    </row>
    <row r="36" spans="4:21" x14ac:dyDescent="0.2">
      <c r="D36">
        <v>7</v>
      </c>
      <c r="E36">
        <v>11.087980999999999</v>
      </c>
      <c r="F36">
        <v>8.0000000000000002E-3</v>
      </c>
      <c r="G36">
        <f t="shared" si="5"/>
        <v>2E-3</v>
      </c>
      <c r="H36">
        <f t="shared" si="6"/>
        <v>19.6875</v>
      </c>
      <c r="I36">
        <f t="shared" si="4"/>
        <v>0.34361169648638362</v>
      </c>
      <c r="P36">
        <f t="shared" si="7"/>
        <v>1.1408226320827057</v>
      </c>
    </row>
    <row r="37" spans="4:21" x14ac:dyDescent="0.2">
      <c r="D37">
        <v>8</v>
      </c>
      <c r="E37">
        <v>12.095965</v>
      </c>
      <c r="F37">
        <v>0.01</v>
      </c>
      <c r="G37">
        <f t="shared" si="5"/>
        <v>2E-3</v>
      </c>
      <c r="H37">
        <f t="shared" si="6"/>
        <v>22.5</v>
      </c>
      <c r="I37">
        <f t="shared" si="4"/>
        <v>0.39269908169872414</v>
      </c>
      <c r="P37">
        <f t="shared" si="7"/>
        <v>1.2477747538404598</v>
      </c>
    </row>
    <row r="38" spans="4:21" x14ac:dyDescent="0.2">
      <c r="D38">
        <v>9</v>
      </c>
      <c r="E38">
        <v>13.127962</v>
      </c>
      <c r="F38">
        <v>1.4E-2</v>
      </c>
      <c r="G38">
        <f t="shared" si="5"/>
        <v>4.0000000000000001E-3</v>
      </c>
      <c r="H38">
        <f t="shared" si="6"/>
        <v>25.3125</v>
      </c>
      <c r="I38">
        <f t="shared" si="4"/>
        <v>0.44178646691106466</v>
      </c>
      <c r="P38">
        <f t="shared" si="7"/>
        <v>1.5527863603347942</v>
      </c>
    </row>
    <row r="39" spans="4:21" x14ac:dyDescent="0.2">
      <c r="D39">
        <v>10</v>
      </c>
      <c r="E39">
        <v>14.148061</v>
      </c>
      <c r="F39">
        <v>1.7000000000000001E-2</v>
      </c>
      <c r="G39">
        <f t="shared" si="5"/>
        <v>3.0000000000000009E-3</v>
      </c>
      <c r="H39">
        <f t="shared" si="6"/>
        <v>28.125</v>
      </c>
      <c r="I39">
        <f t="shared" si="4"/>
        <v>0.49087385212340517</v>
      </c>
      <c r="P39">
        <f t="shared" si="7"/>
        <v>1.6969736652230252</v>
      </c>
    </row>
    <row r="40" spans="4:21" x14ac:dyDescent="0.2">
      <c r="D40">
        <v>11</v>
      </c>
      <c r="E40">
        <v>15.143953</v>
      </c>
      <c r="F40">
        <v>0.02</v>
      </c>
      <c r="G40">
        <f t="shared" si="5"/>
        <v>2.9999999999999992E-3</v>
      </c>
      <c r="H40">
        <f t="shared" si="6"/>
        <v>30.9375</v>
      </c>
      <c r="I40">
        <f t="shared" si="4"/>
        <v>0.53996123733574575</v>
      </c>
      <c r="P40">
        <f t="shared" si="7"/>
        <v>1.8149450964952141</v>
      </c>
    </row>
    <row r="41" spans="4:21" x14ac:dyDescent="0.2">
      <c r="D41">
        <f>(36-15)+11</f>
        <v>32</v>
      </c>
      <c r="E41">
        <v>36.250982</v>
      </c>
      <c r="F41">
        <v>9.0999999999999998E-2</v>
      </c>
      <c r="G41">
        <f t="shared" si="5"/>
        <v>7.0999999999999994E-2</v>
      </c>
      <c r="H41">
        <f t="shared" ref="H41:H43" si="8">2.8125*D41</f>
        <v>90</v>
      </c>
      <c r="I41">
        <f t="shared" si="4"/>
        <v>1.5707963267948966</v>
      </c>
      <c r="P41">
        <f>((64*F41*$O$30*$N$30)/(($K$30^4)*I41))/(10^9)</f>
        <v>2.8386875649870449</v>
      </c>
    </row>
    <row r="42" spans="4:21" x14ac:dyDescent="0.2">
      <c r="D42">
        <f>(43-36)+32</f>
        <v>39</v>
      </c>
      <c r="E42">
        <v>43.283006999999998</v>
      </c>
      <c r="F42">
        <v>0.112</v>
      </c>
      <c r="G42">
        <f t="shared" si="5"/>
        <v>2.1000000000000005E-2</v>
      </c>
      <c r="H42">
        <f t="shared" si="8"/>
        <v>109.6875</v>
      </c>
      <c r="I42">
        <f t="shared" si="4"/>
        <v>1.9144080232812801</v>
      </c>
      <c r="P42">
        <f t="shared" si="7"/>
        <v>2.8666825113873124</v>
      </c>
      <c r="U42">
        <f>7.451283/4*6</f>
        <v>11.1769245</v>
      </c>
    </row>
    <row r="43" spans="4:21" x14ac:dyDescent="0.2">
      <c r="D43">
        <f>(48-43)+39</f>
        <v>44</v>
      </c>
      <c r="E43">
        <v>48.310960999999999</v>
      </c>
      <c r="F43">
        <v>0.127</v>
      </c>
      <c r="G43">
        <f t="shared" si="5"/>
        <v>1.4999999999999999E-2</v>
      </c>
      <c r="H43">
        <f t="shared" si="8"/>
        <v>123.75</v>
      </c>
      <c r="I43">
        <f t="shared" si="4"/>
        <v>2.159844949342983</v>
      </c>
      <c r="P43">
        <f t="shared" si="7"/>
        <v>2.8812253406861514</v>
      </c>
    </row>
    <row r="44" spans="4:21" x14ac:dyDescent="0.2">
      <c r="D44">
        <f>(55-48)+44</f>
        <v>51</v>
      </c>
      <c r="E44">
        <v>55.330939999999998</v>
      </c>
      <c r="F44">
        <v>0.14599999999999999</v>
      </c>
      <c r="G44">
        <f t="shared" si="5"/>
        <v>1.8999999999999989E-2</v>
      </c>
      <c r="H44">
        <f t="shared" ref="H44:H45" si="9">2.8125*D44</f>
        <v>143.4375</v>
      </c>
      <c r="I44">
        <f t="shared" si="4"/>
        <v>2.5034566458293663</v>
      </c>
      <c r="P44">
        <f t="shared" si="7"/>
        <v>2.8576488480110913</v>
      </c>
      <c r="U44">
        <f>0.34/0.021</f>
        <v>16.19047619047619</v>
      </c>
    </row>
    <row r="45" spans="4:21" x14ac:dyDescent="0.2">
      <c r="D45">
        <f>(65-55)+51</f>
        <v>61</v>
      </c>
      <c r="E45">
        <v>65.398960000000002</v>
      </c>
      <c r="F45">
        <v>0.17699999999999999</v>
      </c>
      <c r="G45">
        <f t="shared" si="5"/>
        <v>3.1E-2</v>
      </c>
      <c r="H45">
        <f t="shared" si="9"/>
        <v>171.5625</v>
      </c>
      <c r="I45">
        <f t="shared" si="4"/>
        <v>2.9943304979527716</v>
      </c>
      <c r="P45">
        <f t="shared" si="7"/>
        <v>2.8964738548165414</v>
      </c>
      <c r="T45">
        <f>I42/F45</f>
        <v>10.815864538312317</v>
      </c>
    </row>
    <row r="46" spans="4:21" x14ac:dyDescent="0.2">
      <c r="G46">
        <f>AVERAGE(G31:G40)</f>
        <v>1.9E-3</v>
      </c>
      <c r="H46">
        <v>2.8125</v>
      </c>
      <c r="I46">
        <f t="shared" si="4"/>
        <v>4.9087385212340517E-2</v>
      </c>
      <c r="P46" s="5">
        <f>((64*G46*$L$30*$N$30)/(($K$30^4)*I46))/(10^9)</f>
        <v>2.1675630009571409</v>
      </c>
      <c r="Q46" s="6">
        <f>AVERAGE(P41:P45)</f>
        <v>2.8681436239776286</v>
      </c>
    </row>
    <row r="47" spans="4:21" x14ac:dyDescent="0.2">
      <c r="G47">
        <f>((G41*21)+(G42*7)+(G43*5)+(G44*7)+(G45*10))/(50)</f>
        <v>4.3119999999999992E-2</v>
      </c>
      <c r="O47" t="s">
        <v>15</v>
      </c>
      <c r="P47" s="2">
        <f>AVERAGE(P31:P45)</f>
        <v>1.7856746428817452</v>
      </c>
    </row>
    <row r="49" spans="1:20" x14ac:dyDescent="0.2">
      <c r="A49" t="s">
        <v>0</v>
      </c>
      <c r="B49" t="s">
        <v>30</v>
      </c>
      <c r="C49" t="s">
        <v>2</v>
      </c>
      <c r="D49" t="s">
        <v>24</v>
      </c>
      <c r="E49" t="s">
        <v>3</v>
      </c>
      <c r="F49" t="s">
        <v>4</v>
      </c>
      <c r="G49" t="s">
        <v>5</v>
      </c>
      <c r="H49" t="s">
        <v>6</v>
      </c>
      <c r="I49" t="s">
        <v>7</v>
      </c>
      <c r="J49" t="s">
        <v>8</v>
      </c>
      <c r="K49" t="s">
        <v>9</v>
      </c>
      <c r="L49" t="s">
        <v>10</v>
      </c>
      <c r="M49" t="s">
        <v>11</v>
      </c>
      <c r="N49" t="s">
        <v>12</v>
      </c>
      <c r="O49" t="s">
        <v>13</v>
      </c>
      <c r="P49" t="s">
        <v>14</v>
      </c>
    </row>
    <row r="50" spans="1:20" x14ac:dyDescent="0.2">
      <c r="A50">
        <v>8</v>
      </c>
      <c r="D50">
        <v>1</v>
      </c>
      <c r="E50">
        <v>8.5328320000000009</v>
      </c>
      <c r="F50">
        <v>1E-3</v>
      </c>
      <c r="H50">
        <f>2.8125*D50</f>
        <v>2.8125</v>
      </c>
      <c r="I50">
        <f>H50*(2*PI()/360)</f>
        <v>4.9087385212340517E-2</v>
      </c>
      <c r="J50">
        <f>$J$2*10^9</f>
        <v>1800000000</v>
      </c>
      <c r="K50" s="1">
        <f>4/1000</f>
        <v>4.0000000000000001E-3</v>
      </c>
      <c r="L50" s="1">
        <f>(32/1000)</f>
        <v>3.2000000000000001E-2</v>
      </c>
      <c r="M50" s="1">
        <v>8</v>
      </c>
      <c r="N50">
        <v>7</v>
      </c>
      <c r="O50">
        <f>28/1000</f>
        <v>2.8000000000000001E-2</v>
      </c>
    </row>
    <row r="51" spans="1:20" x14ac:dyDescent="0.2">
      <c r="D51">
        <v>2</v>
      </c>
      <c r="E51">
        <v>9.8528920000000006</v>
      </c>
      <c r="F51">
        <v>2E-3</v>
      </c>
      <c r="G51">
        <f>F51-F50</f>
        <v>1E-3</v>
      </c>
      <c r="H51">
        <f>2.8125*D51</f>
        <v>5.625</v>
      </c>
      <c r="I51">
        <f t="shared" ref="I51:I57" si="10">H51*(2*PI()/360)</f>
        <v>9.8174770424681035E-2</v>
      </c>
      <c r="P51">
        <f t="shared" ref="P51:P56" si="11">((64*F51*$O$50*$N$50)/(($K$50^4)*I51))/(10^9)</f>
        <v>0.99821980307236757</v>
      </c>
    </row>
    <row r="52" spans="1:20" x14ac:dyDescent="0.2">
      <c r="D52">
        <v>3</v>
      </c>
      <c r="E52">
        <v>10.872878</v>
      </c>
      <c r="F52">
        <v>3.0000000000000001E-3</v>
      </c>
      <c r="G52">
        <f t="shared" ref="G52" si="12">F52-F51</f>
        <v>1E-3</v>
      </c>
      <c r="H52">
        <f t="shared" ref="H52:H55" si="13">2.8125*D52</f>
        <v>8.4375</v>
      </c>
      <c r="I52">
        <f t="shared" si="10"/>
        <v>0.14726215563702155</v>
      </c>
      <c r="P52">
        <f t="shared" si="11"/>
        <v>0.99821980307236768</v>
      </c>
    </row>
    <row r="53" spans="1:20" x14ac:dyDescent="0.2">
      <c r="D53">
        <f>(19-10)+3</f>
        <v>12</v>
      </c>
      <c r="E53">
        <v>19.933827000000001</v>
      </c>
      <c r="F53">
        <v>2.5999999999999999E-2</v>
      </c>
      <c r="G53">
        <v>2.3999999999999998E-3</v>
      </c>
      <c r="H53">
        <f t="shared" si="13"/>
        <v>33.75</v>
      </c>
      <c r="I53">
        <f t="shared" si="10"/>
        <v>0.58904862254808621</v>
      </c>
      <c r="P53">
        <f t="shared" si="11"/>
        <v>2.1628095733234631</v>
      </c>
    </row>
    <row r="54" spans="1:20" x14ac:dyDescent="0.2">
      <c r="D54">
        <f>(26-19)+12</f>
        <v>19</v>
      </c>
      <c r="E54">
        <v>26.965821999999999</v>
      </c>
      <c r="F54">
        <v>4.8000000000000001E-2</v>
      </c>
      <c r="G54">
        <v>3.0000000000000001E-3</v>
      </c>
      <c r="H54">
        <f t="shared" si="13"/>
        <v>53.4375</v>
      </c>
      <c r="I54">
        <f t="shared" si="10"/>
        <v>0.93266031903446989</v>
      </c>
      <c r="P54">
        <f t="shared" si="11"/>
        <v>2.521818449867034</v>
      </c>
    </row>
    <row r="55" spans="1:20" x14ac:dyDescent="0.2">
      <c r="C55">
        <f>D55-D54</f>
        <v>37</v>
      </c>
      <c r="D55">
        <f>(63-26)+19</f>
        <v>56</v>
      </c>
      <c r="E55">
        <v>63.171928999999999</v>
      </c>
      <c r="F55">
        <v>0.16700000000000001</v>
      </c>
      <c r="G55">
        <v>3.2000000000000002E-3</v>
      </c>
      <c r="H55">
        <f t="shared" si="13"/>
        <v>157.5</v>
      </c>
      <c r="I55">
        <f t="shared" si="10"/>
        <v>2.748893571891069</v>
      </c>
      <c r="P55">
        <f t="shared" si="11"/>
        <v>2.9768340555908113</v>
      </c>
    </row>
    <row r="56" spans="1:20" x14ac:dyDescent="0.2">
      <c r="D56">
        <f>(72-63)+56</f>
        <v>65</v>
      </c>
      <c r="E56">
        <v>72.218826000000007</v>
      </c>
      <c r="F56">
        <v>0.193</v>
      </c>
      <c r="G56">
        <v>2.5999999999999999E-3</v>
      </c>
      <c r="H56">
        <f t="shared" ref="H56" si="14">2.8125*D56</f>
        <v>182.8125</v>
      </c>
      <c r="I56">
        <f t="shared" si="10"/>
        <v>3.1906800388021339</v>
      </c>
      <c r="P56">
        <f t="shared" si="11"/>
        <v>2.9639449537379532</v>
      </c>
      <c r="Q56" s="6">
        <f>AVERAGE(P54:P56)</f>
        <v>2.820865819731933</v>
      </c>
      <c r="T56">
        <f>I56/F56</f>
        <v>16.532020926435926</v>
      </c>
    </row>
    <row r="57" spans="1:20" x14ac:dyDescent="0.2">
      <c r="G57">
        <v>1.5E-3</v>
      </c>
      <c r="H57">
        <v>2.8125</v>
      </c>
      <c r="I57">
        <f t="shared" si="10"/>
        <v>4.9087385212340517E-2</v>
      </c>
      <c r="P57" s="5">
        <f>((64*G57*$L$50*$N$50)/(($K$50^4)*I57))/(10^9)</f>
        <v>1.711233948124059</v>
      </c>
    </row>
    <row r="58" spans="1:20" x14ac:dyDescent="0.2">
      <c r="O58" t="s">
        <v>15</v>
      </c>
      <c r="P58" s="2">
        <f>AVERAGE(P51:P56)</f>
        <v>2.1036411064439995</v>
      </c>
    </row>
    <row r="60" spans="1:20" x14ac:dyDescent="0.2">
      <c r="A60" t="s">
        <v>0</v>
      </c>
      <c r="B60" t="s">
        <v>31</v>
      </c>
      <c r="C60" t="s">
        <v>2</v>
      </c>
      <c r="D60" t="s">
        <v>24</v>
      </c>
      <c r="E60" t="s">
        <v>3</v>
      </c>
      <c r="F60" t="s">
        <v>4</v>
      </c>
      <c r="G60" t="s">
        <v>5</v>
      </c>
      <c r="H60" t="s">
        <v>6</v>
      </c>
      <c r="I60" t="s">
        <v>7</v>
      </c>
      <c r="J60" t="s">
        <v>8</v>
      </c>
      <c r="K60" t="s">
        <v>9</v>
      </c>
      <c r="L60" t="s">
        <v>10</v>
      </c>
      <c r="M60" t="s">
        <v>11</v>
      </c>
      <c r="N60" t="s">
        <v>12</v>
      </c>
      <c r="O60" t="s">
        <v>13</v>
      </c>
      <c r="P60" t="s">
        <v>14</v>
      </c>
    </row>
    <row r="61" spans="1:20" x14ac:dyDescent="0.2">
      <c r="A61">
        <v>9</v>
      </c>
      <c r="D61">
        <v>1</v>
      </c>
      <c r="E61">
        <v>4.6089859999999998</v>
      </c>
      <c r="F61">
        <v>2E-3</v>
      </c>
      <c r="H61">
        <f>2.8125*D61</f>
        <v>2.8125</v>
      </c>
      <c r="I61">
        <f>H61*(2*PI()/360)</f>
        <v>4.9087385212340517E-2</v>
      </c>
      <c r="J61">
        <f>$J$2*10^9</f>
        <v>1800000000</v>
      </c>
      <c r="K61" s="1">
        <f>4/1000</f>
        <v>4.0000000000000001E-3</v>
      </c>
      <c r="L61" s="1">
        <f>(32/1000)</f>
        <v>3.2000000000000001E-2</v>
      </c>
      <c r="M61" s="1">
        <v>10</v>
      </c>
      <c r="N61">
        <v>9</v>
      </c>
      <c r="O61">
        <f>28/1000</f>
        <v>2.8000000000000001E-2</v>
      </c>
    </row>
    <row r="62" spans="1:20" x14ac:dyDescent="0.2">
      <c r="D62">
        <v>3</v>
      </c>
      <c r="E62">
        <v>6.5769799999999998</v>
      </c>
      <c r="F62">
        <v>3.0000000000000001E-3</v>
      </c>
      <c r="G62">
        <f>F62-F61</f>
        <v>1E-3</v>
      </c>
      <c r="H62">
        <f>2.8125*D62</f>
        <v>8.4375</v>
      </c>
      <c r="I62">
        <f t="shared" ref="I62:I68" si="15">H62*(2*PI()/360)</f>
        <v>0.14726215563702155</v>
      </c>
      <c r="P62">
        <f t="shared" ref="P62:P68" si="16">((64*F62*$O$61*$N$61)/(($K$61^4)*I62))/(10^9)</f>
        <v>1.283425461093044</v>
      </c>
    </row>
    <row r="63" spans="1:20" x14ac:dyDescent="0.2">
      <c r="D63">
        <v>4</v>
      </c>
      <c r="E63">
        <v>7.5979799999999997</v>
      </c>
      <c r="F63">
        <v>4.0000000000000001E-3</v>
      </c>
      <c r="G63">
        <f t="shared" ref="G63:G64" si="17">F63-F62</f>
        <v>1E-3</v>
      </c>
      <c r="H63">
        <f t="shared" ref="H63:H68" si="18">2.8125*D63</f>
        <v>11.25</v>
      </c>
      <c r="I63">
        <f t="shared" si="15"/>
        <v>0.19634954084936207</v>
      </c>
      <c r="P63">
        <f t="shared" si="16"/>
        <v>1.283425461093044</v>
      </c>
    </row>
    <row r="64" spans="1:20" x14ac:dyDescent="0.2">
      <c r="D64">
        <v>5</v>
      </c>
      <c r="E64">
        <v>8.6059730000000005</v>
      </c>
      <c r="F64">
        <v>5.0000000000000001E-3</v>
      </c>
      <c r="G64">
        <f t="shared" si="17"/>
        <v>1E-3</v>
      </c>
      <c r="H64">
        <f t="shared" si="18"/>
        <v>14.0625</v>
      </c>
      <c r="I64">
        <f t="shared" si="15"/>
        <v>0.24543692606170259</v>
      </c>
      <c r="P64">
        <f t="shared" si="16"/>
        <v>1.283425461093044</v>
      </c>
    </row>
    <row r="65" spans="4:20" x14ac:dyDescent="0.2">
      <c r="D65">
        <f>(47-8)+5</f>
        <v>44</v>
      </c>
      <c r="E65">
        <v>47.861958999999999</v>
      </c>
      <c r="F65">
        <v>9.9000000000000005E-2</v>
      </c>
      <c r="G65">
        <f>(F65-F64)/(D65-D64)</f>
        <v>2.4102564102564104E-3</v>
      </c>
      <c r="H65">
        <f t="shared" si="18"/>
        <v>123.75</v>
      </c>
      <c r="I65">
        <f t="shared" si="15"/>
        <v>2.159844949342983</v>
      </c>
      <c r="P65">
        <f t="shared" si="16"/>
        <v>2.887707287459349</v>
      </c>
    </row>
    <row r="66" spans="4:20" x14ac:dyDescent="0.2">
      <c r="D66">
        <v>45</v>
      </c>
      <c r="E66">
        <v>48.833956999999998</v>
      </c>
      <c r="F66">
        <v>0.1</v>
      </c>
      <c r="G66">
        <f t="shared" ref="G66:G67" si="19">(F66-F65)/(D66-D65)</f>
        <v>1.0000000000000009E-3</v>
      </c>
      <c r="H66">
        <f t="shared" si="18"/>
        <v>126.5625</v>
      </c>
      <c r="I66">
        <f t="shared" si="15"/>
        <v>2.2089323345553233</v>
      </c>
      <c r="P66">
        <f t="shared" si="16"/>
        <v>2.852056580206765</v>
      </c>
    </row>
    <row r="67" spans="4:20" x14ac:dyDescent="0.2">
      <c r="D67">
        <v>46</v>
      </c>
      <c r="E67">
        <v>49.877961999999997</v>
      </c>
      <c r="F67">
        <v>0.104</v>
      </c>
      <c r="G67">
        <f t="shared" si="19"/>
        <v>3.9999999999999897E-3</v>
      </c>
      <c r="H67">
        <f t="shared" si="18"/>
        <v>129.375</v>
      </c>
      <c r="I67">
        <f t="shared" si="15"/>
        <v>2.2580197197676637</v>
      </c>
      <c r="P67">
        <f t="shared" si="16"/>
        <v>2.9016575642103604</v>
      </c>
    </row>
    <row r="68" spans="4:20" x14ac:dyDescent="0.2">
      <c r="D68">
        <v>48</v>
      </c>
      <c r="E68">
        <v>51.857971999999997</v>
      </c>
      <c r="F68">
        <v>0.108</v>
      </c>
      <c r="G68">
        <f>(F68-F67)/(D68-D67)</f>
        <v>2.0000000000000018E-3</v>
      </c>
      <c r="H68">
        <f t="shared" si="18"/>
        <v>135</v>
      </c>
      <c r="I68">
        <f t="shared" si="15"/>
        <v>2.3561944901923448</v>
      </c>
      <c r="P68">
        <f t="shared" si="16"/>
        <v>2.887707287459349</v>
      </c>
      <c r="Q68" s="6">
        <f>AVERAGE(P65:P68)</f>
        <v>2.8822821798339557</v>
      </c>
      <c r="T68">
        <f>I68/F68</f>
        <v>21.816615649929119</v>
      </c>
    </row>
    <row r="69" spans="4:20" x14ac:dyDescent="0.2">
      <c r="G69">
        <f>AVERAGE(G62:G66)</f>
        <v>1.2820512820512823E-3</v>
      </c>
      <c r="H69">
        <v>2.8125</v>
      </c>
      <c r="I69">
        <f>H69*(2*PI()/360)</f>
        <v>4.9087385212340517E-2</v>
      </c>
      <c r="P69" s="1">
        <f>((64*G69*$O$61*$N$61)/(($K$61^4)*I69))/(10^9)</f>
        <v>1.6454172578115951</v>
      </c>
    </row>
    <row r="70" spans="4:20" x14ac:dyDescent="0.2">
      <c r="O70" t="s">
        <v>15</v>
      </c>
      <c r="P70" s="2">
        <f>AVERAGE(P62:P68)</f>
        <v>2.1970578718021367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opLeftCell="A14" workbookViewId="0">
      <selection activeCell="S41" sqref="S41"/>
    </sheetView>
  </sheetViews>
  <sheetFormatPr baseColWidth="10" defaultColWidth="8.83203125" defaultRowHeight="15" x14ac:dyDescent="0.2"/>
  <sheetData>
    <row r="1" spans="1:19" x14ac:dyDescent="0.2">
      <c r="J1" t="s">
        <v>18</v>
      </c>
    </row>
    <row r="2" spans="1:19" x14ac:dyDescent="0.2">
      <c r="J2">
        <f>1.8</f>
        <v>1.8</v>
      </c>
    </row>
    <row r="3" spans="1:19" x14ac:dyDescent="0.2">
      <c r="A3" t="s">
        <v>0</v>
      </c>
      <c r="B3" t="s">
        <v>32</v>
      </c>
      <c r="C3" t="s">
        <v>2</v>
      </c>
      <c r="D3" t="s">
        <v>24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</row>
    <row r="4" spans="1:19" x14ac:dyDescent="0.2">
      <c r="A4">
        <v>10</v>
      </c>
      <c r="D4">
        <v>1</v>
      </c>
      <c r="E4">
        <v>5.4609990000000002</v>
      </c>
      <c r="F4">
        <v>2E-3</v>
      </c>
      <c r="H4">
        <f>2.8125*D4</f>
        <v>2.8125</v>
      </c>
      <c r="I4">
        <f>H4*(2*PI()/360)</f>
        <v>4.9087385212340517E-2</v>
      </c>
      <c r="J4">
        <f>$J$2*10^9</f>
        <v>1800000000</v>
      </c>
      <c r="K4" s="1">
        <f>4/1000</f>
        <v>4.0000000000000001E-3</v>
      </c>
      <c r="L4" s="1">
        <f>(32/1000)</f>
        <v>3.2000000000000001E-2</v>
      </c>
      <c r="M4" s="1">
        <v>5</v>
      </c>
      <c r="N4">
        <v>4</v>
      </c>
      <c r="O4">
        <f>28/1000</f>
        <v>2.8000000000000001E-2</v>
      </c>
    </row>
    <row r="5" spans="1:19" x14ac:dyDescent="0.2">
      <c r="D5">
        <f>(10-5)+1</f>
        <v>6</v>
      </c>
      <c r="E5">
        <v>10.513994</v>
      </c>
      <c r="F5">
        <v>1.0999999999999999E-2</v>
      </c>
      <c r="G5">
        <f>(F5-F4)/(D5-D4)</f>
        <v>1.8E-3</v>
      </c>
      <c r="H5">
        <f>2.8125*D5</f>
        <v>16.875</v>
      </c>
      <c r="I5">
        <f t="shared" ref="I5:I12" si="0">H5*(2*PI()/360)</f>
        <v>0.2945243112740431</v>
      </c>
      <c r="P5">
        <f>((64*F5*$O$4*$N$4)/(($K$4^4)*I5))/(10^9)</f>
        <v>1.0457540794091471</v>
      </c>
    </row>
    <row r="6" spans="1:19" x14ac:dyDescent="0.2">
      <c r="D6">
        <v>7</v>
      </c>
      <c r="E6">
        <v>11.497992</v>
      </c>
      <c r="F6">
        <v>1.2999999999999999E-2</v>
      </c>
      <c r="G6">
        <f t="shared" ref="G6:G12" si="1">(F6-F5)/(D6-D5)</f>
        <v>2E-3</v>
      </c>
      <c r="H6">
        <f t="shared" ref="H6:H12" si="2">2.8125*D6</f>
        <v>19.6875</v>
      </c>
      <c r="I6">
        <f t="shared" si="0"/>
        <v>0.34361169648638362</v>
      </c>
      <c r="P6">
        <f t="shared" ref="P6:P12" si="3">((64*F6*$O$4*$N$4)/(($K$4^4)*I6))/(10^9)</f>
        <v>1.0593353012196556</v>
      </c>
    </row>
    <row r="7" spans="1:19" x14ac:dyDescent="0.2">
      <c r="D7">
        <v>8</v>
      </c>
      <c r="E7">
        <v>12.506017</v>
      </c>
      <c r="F7">
        <v>1.4999999999999999E-2</v>
      </c>
      <c r="G7">
        <f t="shared" si="1"/>
        <v>2E-3</v>
      </c>
      <c r="H7">
        <f t="shared" si="2"/>
        <v>22.5</v>
      </c>
      <c r="I7">
        <f t="shared" si="0"/>
        <v>0.39269908169872414</v>
      </c>
      <c r="P7">
        <f t="shared" si="3"/>
        <v>1.0695212175775366</v>
      </c>
    </row>
    <row r="8" spans="1:19" x14ac:dyDescent="0.2">
      <c r="D8">
        <v>9</v>
      </c>
      <c r="E8">
        <v>13.537993999999999</v>
      </c>
      <c r="F8">
        <v>2.1000000000000001E-2</v>
      </c>
      <c r="G8">
        <f t="shared" si="1"/>
        <v>6.0000000000000019E-3</v>
      </c>
      <c r="H8">
        <f t="shared" si="2"/>
        <v>25.3125</v>
      </c>
      <c r="I8">
        <f t="shared" si="0"/>
        <v>0.44178646691106466</v>
      </c>
      <c r="P8">
        <f t="shared" si="3"/>
        <v>1.3309597374298237</v>
      </c>
    </row>
    <row r="9" spans="1:19" x14ac:dyDescent="0.2">
      <c r="D9">
        <v>10</v>
      </c>
      <c r="E9">
        <v>14.534020999999999</v>
      </c>
      <c r="F9">
        <v>2.4E-2</v>
      </c>
      <c r="G9">
        <f t="shared" si="1"/>
        <v>2.9999999999999992E-3</v>
      </c>
      <c r="H9">
        <f t="shared" si="2"/>
        <v>28.125</v>
      </c>
      <c r="I9">
        <f t="shared" si="0"/>
        <v>0.49087385212340517</v>
      </c>
      <c r="P9">
        <f t="shared" si="3"/>
        <v>1.368987158499247</v>
      </c>
    </row>
    <row r="10" spans="1:19" x14ac:dyDescent="0.2">
      <c r="D10">
        <v>11</v>
      </c>
      <c r="E10">
        <v>15.770987999999999</v>
      </c>
      <c r="F10">
        <v>3.1E-2</v>
      </c>
      <c r="G10">
        <f t="shared" si="1"/>
        <v>6.9999999999999993E-3</v>
      </c>
      <c r="H10">
        <f t="shared" si="2"/>
        <v>30.9375</v>
      </c>
      <c r="I10">
        <f t="shared" si="0"/>
        <v>0.53996123733574575</v>
      </c>
      <c r="P10">
        <f t="shared" si="3"/>
        <v>1.6075227997529038</v>
      </c>
    </row>
    <row r="11" spans="1:19" x14ac:dyDescent="0.2">
      <c r="D11">
        <v>12</v>
      </c>
      <c r="E11">
        <v>16.575002000000001</v>
      </c>
      <c r="F11">
        <v>3.6999999999999998E-2</v>
      </c>
      <c r="G11">
        <f t="shared" si="1"/>
        <v>5.9999999999999984E-3</v>
      </c>
      <c r="H11">
        <f t="shared" si="2"/>
        <v>33.75</v>
      </c>
      <c r="I11">
        <f t="shared" si="0"/>
        <v>0.58904862254808621</v>
      </c>
      <c r="P11">
        <f t="shared" si="3"/>
        <v>1.758768224460838</v>
      </c>
    </row>
    <row r="12" spans="1:19" x14ac:dyDescent="0.2">
      <c r="D12">
        <v>13</v>
      </c>
      <c r="E12">
        <v>17.547028999999998</v>
      </c>
      <c r="F12">
        <v>4.2000000000000003E-2</v>
      </c>
      <c r="G12">
        <f t="shared" si="1"/>
        <v>5.0000000000000044E-3</v>
      </c>
      <c r="H12">
        <f t="shared" si="2"/>
        <v>36.5625</v>
      </c>
      <c r="I12">
        <f t="shared" si="0"/>
        <v>0.63813600776042678</v>
      </c>
      <c r="P12">
        <f t="shared" si="3"/>
        <v>1.8428673287489863</v>
      </c>
      <c r="S12">
        <f>I12/F12</f>
        <v>15.19371447048635</v>
      </c>
    </row>
    <row r="13" spans="1:19" x14ac:dyDescent="0.2">
      <c r="G13">
        <f>AVERAGE(G5:G12)</f>
        <v>4.1000000000000003E-3</v>
      </c>
      <c r="H13">
        <v>2.8125</v>
      </c>
      <c r="I13">
        <f>H13*(2*PI()/360)</f>
        <v>4.9087385212340517E-2</v>
      </c>
      <c r="P13" s="6">
        <f>((64*G13*$L$4*$N$4)/(($K$4^4)*I13))/(10^9)</f>
        <v>2.6727844523080542</v>
      </c>
    </row>
    <row r="14" spans="1:19" x14ac:dyDescent="0.2">
      <c r="O14" t="s">
        <v>15</v>
      </c>
      <c r="P14" s="2">
        <f>AVERAGE(P5:P12)</f>
        <v>1.3854644808872671</v>
      </c>
    </row>
    <row r="16" spans="1:19" x14ac:dyDescent="0.2">
      <c r="A16" t="s">
        <v>0</v>
      </c>
      <c r="B16" t="s">
        <v>33</v>
      </c>
      <c r="C16" t="s">
        <v>2</v>
      </c>
      <c r="D16" t="s">
        <v>24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 t="s">
        <v>9</v>
      </c>
      <c r="L16" t="s">
        <v>10</v>
      </c>
      <c r="M16" t="s">
        <v>11</v>
      </c>
      <c r="N16" t="s">
        <v>12</v>
      </c>
      <c r="O16" t="s">
        <v>13</v>
      </c>
      <c r="P16" t="s">
        <v>14</v>
      </c>
    </row>
    <row r="17" spans="1:19" x14ac:dyDescent="0.2">
      <c r="A17">
        <v>11</v>
      </c>
      <c r="D17">
        <v>1</v>
      </c>
      <c r="E17">
        <v>7.4294209999999996</v>
      </c>
      <c r="F17">
        <v>4.0000000000000001E-3</v>
      </c>
      <c r="H17">
        <f>2.8125*D17</f>
        <v>2.8125</v>
      </c>
      <c r="I17">
        <f>H17*(2*PI()/360)</f>
        <v>4.9087385212340517E-2</v>
      </c>
      <c r="J17">
        <f>$J$2*10^9</f>
        <v>1800000000</v>
      </c>
      <c r="K17" s="1">
        <f>4/1000</f>
        <v>4.0000000000000001E-3</v>
      </c>
      <c r="L17" s="1">
        <f>(32/1000)</f>
        <v>3.2000000000000001E-2</v>
      </c>
      <c r="M17" s="1">
        <v>5</v>
      </c>
      <c r="N17">
        <v>5</v>
      </c>
      <c r="O17">
        <f>28/1000</f>
        <v>2.8000000000000001E-2</v>
      </c>
    </row>
    <row r="18" spans="1:19" x14ac:dyDescent="0.2">
      <c r="D18">
        <v>2</v>
      </c>
      <c r="E18">
        <v>8.3774929999999994</v>
      </c>
      <c r="F18">
        <v>6.0000000000000001E-3</v>
      </c>
      <c r="G18">
        <f>(F18-F17)/(D18-D17)</f>
        <v>2E-3</v>
      </c>
      <c r="H18">
        <f>2.8125*D18</f>
        <v>5.625</v>
      </c>
      <c r="I18">
        <f t="shared" ref="I18:I28" si="4">H18*(2*PI()/360)</f>
        <v>9.8174770424681035E-2</v>
      </c>
      <c r="P18">
        <f>((64*F18*$O$17*$N$17)/(($K$17^4)*I18))/(10^9)</f>
        <v>2.1390424351550732</v>
      </c>
    </row>
    <row r="19" spans="1:19" x14ac:dyDescent="0.2">
      <c r="D19">
        <v>3</v>
      </c>
      <c r="E19">
        <v>9.3744320000000005</v>
      </c>
      <c r="F19">
        <v>7.0000000000000001E-3</v>
      </c>
      <c r="G19">
        <f t="shared" ref="G19:G28" si="5">(F19-F18)/(D19-D18)</f>
        <v>1E-3</v>
      </c>
      <c r="H19">
        <f t="shared" ref="H19:H28" si="6">2.8125*D19</f>
        <v>8.4375</v>
      </c>
      <c r="I19">
        <f t="shared" si="4"/>
        <v>0.14726215563702155</v>
      </c>
      <c r="P19">
        <f t="shared" ref="P19:P28" si="7">((64*F19*$O$17*$N$17)/(($K$17^4)*I19))/(10^9)</f>
        <v>1.6636996717872796</v>
      </c>
    </row>
    <row r="20" spans="1:19" x14ac:dyDescent="0.2">
      <c r="D20">
        <v>4</v>
      </c>
      <c r="E20">
        <v>10.382440000000001</v>
      </c>
      <c r="F20">
        <v>8.9999999999999993E-3</v>
      </c>
      <c r="G20">
        <f t="shared" si="5"/>
        <v>1.9999999999999992E-3</v>
      </c>
      <c r="H20">
        <f t="shared" si="6"/>
        <v>11.25</v>
      </c>
      <c r="I20">
        <f t="shared" si="4"/>
        <v>0.19634954084936207</v>
      </c>
      <c r="P20">
        <f t="shared" si="7"/>
        <v>1.604281826366305</v>
      </c>
    </row>
    <row r="21" spans="1:19" x14ac:dyDescent="0.2">
      <c r="D21">
        <v>5</v>
      </c>
      <c r="E21">
        <v>11.390419</v>
      </c>
      <c r="F21">
        <v>1.0999999999999999E-2</v>
      </c>
      <c r="G21">
        <f t="shared" si="5"/>
        <v>2E-3</v>
      </c>
      <c r="H21">
        <f t="shared" si="6"/>
        <v>14.0625</v>
      </c>
      <c r="I21">
        <f t="shared" si="4"/>
        <v>0.24543692606170259</v>
      </c>
      <c r="P21">
        <f t="shared" si="7"/>
        <v>1.5686311191137206</v>
      </c>
    </row>
    <row r="22" spans="1:19" x14ac:dyDescent="0.2">
      <c r="D22">
        <v>6</v>
      </c>
      <c r="E22">
        <v>12.410435</v>
      </c>
      <c r="F22">
        <v>1.4E-2</v>
      </c>
      <c r="G22">
        <f t="shared" si="5"/>
        <v>3.0000000000000009E-3</v>
      </c>
      <c r="H22">
        <f t="shared" si="6"/>
        <v>16.875</v>
      </c>
      <c r="I22">
        <f t="shared" si="4"/>
        <v>0.2945243112740431</v>
      </c>
      <c r="P22">
        <f t="shared" si="7"/>
        <v>1.6636996717872796</v>
      </c>
    </row>
    <row r="23" spans="1:19" x14ac:dyDescent="0.2">
      <c r="D23">
        <v>7</v>
      </c>
      <c r="E23">
        <v>13.419442</v>
      </c>
      <c r="F23">
        <v>1.7999999999999999E-2</v>
      </c>
      <c r="G23">
        <f t="shared" si="5"/>
        <v>3.9999999999999983E-3</v>
      </c>
      <c r="H23">
        <f t="shared" si="6"/>
        <v>19.6875</v>
      </c>
      <c r="I23">
        <f t="shared" si="4"/>
        <v>0.34361169648638362</v>
      </c>
      <c r="P23">
        <f t="shared" si="7"/>
        <v>1.8334649444186346</v>
      </c>
    </row>
    <row r="24" spans="1:19" x14ac:dyDescent="0.2">
      <c r="D24">
        <v>8</v>
      </c>
      <c r="E24">
        <v>14.42742</v>
      </c>
      <c r="F24">
        <v>2.1000000000000001E-2</v>
      </c>
      <c r="G24">
        <f t="shared" si="5"/>
        <v>3.0000000000000027E-3</v>
      </c>
      <c r="H24">
        <f t="shared" si="6"/>
        <v>22.5</v>
      </c>
      <c r="I24">
        <f t="shared" si="4"/>
        <v>0.39269908169872414</v>
      </c>
      <c r="P24">
        <f t="shared" si="7"/>
        <v>1.8716621307606895</v>
      </c>
    </row>
    <row r="25" spans="1:19" x14ac:dyDescent="0.2">
      <c r="D25">
        <v>9</v>
      </c>
      <c r="E25">
        <v>15.411419</v>
      </c>
      <c r="F25">
        <v>2.3E-2</v>
      </c>
      <c r="G25">
        <f t="shared" si="5"/>
        <v>1.9999999999999983E-3</v>
      </c>
      <c r="H25">
        <f t="shared" si="6"/>
        <v>25.3125</v>
      </c>
      <c r="I25">
        <f t="shared" si="4"/>
        <v>0.44178646691106466</v>
      </c>
      <c r="P25">
        <f t="shared" si="7"/>
        <v>1.822147259576544</v>
      </c>
    </row>
    <row r="26" spans="1:19" x14ac:dyDescent="0.2">
      <c r="D26">
        <v>10</v>
      </c>
      <c r="E26">
        <v>16.432534</v>
      </c>
      <c r="F26">
        <v>2.5999999999999999E-2</v>
      </c>
      <c r="G26">
        <f t="shared" si="5"/>
        <v>2.9999999999999992E-3</v>
      </c>
      <c r="H26">
        <f t="shared" si="6"/>
        <v>28.125</v>
      </c>
      <c r="I26">
        <f t="shared" si="4"/>
        <v>0.49087385212340517</v>
      </c>
      <c r="P26">
        <f t="shared" si="7"/>
        <v>1.8538367771343971</v>
      </c>
    </row>
    <row r="27" spans="1:19" x14ac:dyDescent="0.2">
      <c r="D27">
        <v>11</v>
      </c>
      <c r="E27">
        <v>17.440455</v>
      </c>
      <c r="F27">
        <v>3.2000000000000001E-2</v>
      </c>
      <c r="G27">
        <f t="shared" si="5"/>
        <v>6.0000000000000019E-3</v>
      </c>
      <c r="H27">
        <f t="shared" si="6"/>
        <v>30.9375</v>
      </c>
      <c r="I27">
        <f t="shared" si="4"/>
        <v>0.53996123733574575</v>
      </c>
      <c r="P27">
        <f t="shared" si="7"/>
        <v>2.074222967423101</v>
      </c>
    </row>
    <row r="28" spans="1:19" x14ac:dyDescent="0.2">
      <c r="D28">
        <v>12</v>
      </c>
      <c r="E28">
        <v>18.460419999999999</v>
      </c>
      <c r="F28">
        <v>3.5000000000000003E-2</v>
      </c>
      <c r="G28">
        <f t="shared" si="5"/>
        <v>3.0000000000000027E-3</v>
      </c>
      <c r="H28">
        <f t="shared" si="6"/>
        <v>33.75</v>
      </c>
      <c r="I28">
        <f t="shared" si="4"/>
        <v>0.58904862254808621</v>
      </c>
      <c r="P28">
        <f t="shared" si="7"/>
        <v>2.0796245897340992</v>
      </c>
    </row>
    <row r="29" spans="1:19" x14ac:dyDescent="0.2">
      <c r="G29">
        <f>AVERAGE(G21:G28)</f>
        <v>3.2500000000000007E-3</v>
      </c>
      <c r="H29">
        <v>2.8125</v>
      </c>
      <c r="I29">
        <f>H29*(2*PI()/360)</f>
        <v>4.9087385212340517E-2</v>
      </c>
      <c r="P29" s="6">
        <f>((64*G29*$L$17*$N$17)/(($K$17^4)*I29))/(10^9)</f>
        <v>2.6483382530491388</v>
      </c>
      <c r="S29">
        <f>I29/G29</f>
        <v>15.10381083456631</v>
      </c>
    </row>
    <row r="30" spans="1:19" x14ac:dyDescent="0.2">
      <c r="O30" t="s">
        <v>15</v>
      </c>
      <c r="P30" s="2">
        <f>AVERAGE(P18:P28)</f>
        <v>1.8340284902961022</v>
      </c>
    </row>
    <row r="32" spans="1:19" x14ac:dyDescent="0.2">
      <c r="A32" t="s">
        <v>0</v>
      </c>
      <c r="B32" t="s">
        <v>34</v>
      </c>
      <c r="C32" t="s">
        <v>2</v>
      </c>
      <c r="D32" t="s">
        <v>24</v>
      </c>
      <c r="E32" t="s">
        <v>3</v>
      </c>
      <c r="F32" t="s">
        <v>4</v>
      </c>
      <c r="G32" t="s">
        <v>5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  <c r="N32" t="s">
        <v>12</v>
      </c>
      <c r="O32" t="s">
        <v>13</v>
      </c>
      <c r="P32" t="s">
        <v>14</v>
      </c>
    </row>
    <row r="33" spans="1:19" x14ac:dyDescent="0.2">
      <c r="A33">
        <v>12</v>
      </c>
      <c r="D33">
        <v>1</v>
      </c>
      <c r="H33">
        <f>2.8125*D33</f>
        <v>2.8125</v>
      </c>
      <c r="I33">
        <f>H33*(2*PI()/360)</f>
        <v>4.9087385212340517E-2</v>
      </c>
      <c r="J33">
        <f>$J$2*10^9</f>
        <v>1800000000</v>
      </c>
      <c r="K33" s="1">
        <f>4/1000</f>
        <v>4.0000000000000001E-3</v>
      </c>
      <c r="L33" s="1">
        <f>(32/1000)</f>
        <v>3.2000000000000001E-2</v>
      </c>
      <c r="M33" s="1">
        <v>5</v>
      </c>
      <c r="N33">
        <v>5.42</v>
      </c>
      <c r="O33">
        <f>28/1000</f>
        <v>2.8000000000000001E-2</v>
      </c>
    </row>
    <row r="34" spans="1:19" x14ac:dyDescent="0.2">
      <c r="D34">
        <v>1</v>
      </c>
      <c r="G34">
        <v>3.0000000000000001E-3</v>
      </c>
      <c r="H34">
        <f>2.81215*D34</f>
        <v>2.8121499999999999</v>
      </c>
      <c r="I34">
        <f>H34*(2*PI()/360)</f>
        <v>4.9081276559958538E-2</v>
      </c>
      <c r="P34" s="6">
        <f>((64*G34*$L$33*$N$33)/(($K$33^4)*I34))/(10^9)</f>
        <v>2.6502978145055378</v>
      </c>
      <c r="S34">
        <f>I34/G34</f>
        <v>16.36042551998618</v>
      </c>
    </row>
    <row r="39" spans="1:19" x14ac:dyDescent="0.2">
      <c r="A39" t="s">
        <v>0</v>
      </c>
      <c r="B39" t="s">
        <v>35</v>
      </c>
      <c r="C39" t="s">
        <v>2</v>
      </c>
      <c r="D39" t="s">
        <v>24</v>
      </c>
      <c r="E39" t="s">
        <v>3</v>
      </c>
      <c r="F39" t="s">
        <v>4</v>
      </c>
      <c r="G39" t="s">
        <v>5</v>
      </c>
      <c r="H39" t="s">
        <v>6</v>
      </c>
      <c r="I39" t="s">
        <v>7</v>
      </c>
      <c r="J39" t="s">
        <v>8</v>
      </c>
      <c r="K39" t="s">
        <v>9</v>
      </c>
      <c r="L39" t="s">
        <v>10</v>
      </c>
      <c r="M39" t="s">
        <v>11</v>
      </c>
      <c r="N39" t="s">
        <v>12</v>
      </c>
      <c r="O39" t="s">
        <v>13</v>
      </c>
      <c r="P39" t="s">
        <v>14</v>
      </c>
    </row>
    <row r="40" spans="1:19" x14ac:dyDescent="0.2">
      <c r="A40">
        <v>13</v>
      </c>
      <c r="D40">
        <v>1</v>
      </c>
      <c r="H40">
        <f>2.8125*D40</f>
        <v>2.8125</v>
      </c>
      <c r="I40">
        <f>H40*(2*PI()/360)</f>
        <v>4.9087385212340517E-2</v>
      </c>
      <c r="J40">
        <f>$J$2*10^9</f>
        <v>1800000000</v>
      </c>
      <c r="K40" s="1">
        <f>4/1000</f>
        <v>4.0000000000000001E-3</v>
      </c>
      <c r="L40" s="1">
        <f>(32/1000)</f>
        <v>3.2000000000000001E-2</v>
      </c>
      <c r="M40" s="1">
        <v>5</v>
      </c>
      <c r="N40">
        <v>5</v>
      </c>
      <c r="O40">
        <f>28/1000</f>
        <v>2.8000000000000001E-2</v>
      </c>
    </row>
    <row r="41" spans="1:19" x14ac:dyDescent="0.2">
      <c r="D41">
        <v>1</v>
      </c>
      <c r="G41">
        <f>(0.002+0.004+0.005+0.003+0.005+0.003+0.003)/7</f>
        <v>3.5714285714285713E-3</v>
      </c>
      <c r="H41">
        <f>2.8125*D41</f>
        <v>2.8125</v>
      </c>
      <c r="I41">
        <f t="shared" ref="I41" si="8">H41*(2*PI()/360)</f>
        <v>4.9087385212340517E-2</v>
      </c>
      <c r="P41" s="6">
        <f>((64*G41*$L$40*$N$40)/(($K$40^4)*I41))/(10^9)</f>
        <v>2.9102618165375151</v>
      </c>
      <c r="S41">
        <f>I41/G41</f>
        <v>13.744467859455344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CD Tests</vt:lpstr>
      <vt:lpstr>WD Tests</vt:lpstr>
      <vt:lpstr>TN Tests</vt:lpstr>
      <vt:lpstr>SL Tests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Konjeti</dc:creator>
  <cp:lastModifiedBy>Microsoft Office User</cp:lastModifiedBy>
  <dcterms:created xsi:type="dcterms:W3CDTF">2018-09-08T23:24:18Z</dcterms:created>
  <dcterms:modified xsi:type="dcterms:W3CDTF">2018-09-17T01:32:17Z</dcterms:modified>
</cp:coreProperties>
</file>