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7.xml"/>
  <Override ContentType="application/vnd.openxmlformats-officedocument.drawingml.chart+xml" PartName="/xl/charts/chart27.xml"/>
  <Override ContentType="application/vnd.openxmlformats-officedocument.drawingml.chart+xml" PartName="/xl/charts/chart14.xml"/>
  <Override ContentType="application/vnd.openxmlformats-officedocument.drawingml.chart+xml" PartName="/xl/charts/chart30.xml"/>
  <Override ContentType="application/vnd.openxmlformats-officedocument.drawingml.chart+xml" PartName="/xl/charts/chart18.xml"/>
  <Override ContentType="application/vnd.openxmlformats-officedocument.drawingml.chart+xml" PartName="/xl/charts/chart13.xml"/>
  <Override ContentType="application/vnd.openxmlformats-officedocument.drawingml.chart+xml" PartName="/xl/charts/chart31.xml"/>
  <Override ContentType="application/vnd.openxmlformats-officedocument.drawingml.chart+xml" PartName="/xl/charts/chart26.xml"/>
  <Override ContentType="application/vnd.openxmlformats-officedocument.drawingml.chart+xml" PartName="/xl/charts/chart39.xml"/>
  <Override ContentType="application/vnd.openxmlformats-officedocument.drawingml.chart+xml" PartName="/xl/charts/chart35.xml"/>
  <Override ContentType="application/vnd.openxmlformats-officedocument.drawingml.chart+xml" PartName="/xl/charts/chart2.xml"/>
  <Override ContentType="application/vnd.openxmlformats-officedocument.drawingml.chart+xml" PartName="/xl/charts/chart22.xml"/>
  <Override ContentType="application/vnd.openxmlformats-officedocument.drawingml.chart+xml" PartName="/xl/charts/chart34.xml"/>
  <Override ContentType="application/vnd.openxmlformats-officedocument.drawingml.chart+xml" PartName="/xl/charts/chart8.xml"/>
  <Override ContentType="application/vnd.openxmlformats-officedocument.drawingml.chart+xml" PartName="/xl/charts/chart17.xml"/>
  <Override ContentType="application/vnd.openxmlformats-officedocument.drawingml.chart+xml" PartName="/xl/charts/chart25.xml"/>
  <Override ContentType="application/vnd.openxmlformats-officedocument.drawingml.chart+xml" PartName="/xl/charts/chart12.xml"/>
  <Override ContentType="application/vnd.openxmlformats-officedocument.drawingml.chart+xml" PartName="/xl/charts/chart21.xml"/>
  <Override ContentType="application/vnd.openxmlformats-officedocument.drawingml.chart+xml" PartName="/xl/charts/chart3.xml"/>
  <Override ContentType="application/vnd.openxmlformats-officedocument.drawingml.chart+xml" PartName="/xl/charts/chart38.xml"/>
  <Override ContentType="application/vnd.openxmlformats-officedocument.drawingml.chart+xml" PartName="/xl/charts/chart16.xml"/>
  <Override ContentType="application/vnd.openxmlformats-officedocument.drawingml.chart+xml" PartName="/xl/charts/chart41.xml"/>
  <Override ContentType="application/vnd.openxmlformats-officedocument.drawingml.chart+xml" PartName="/xl/charts/chart11.xml"/>
  <Override ContentType="application/vnd.openxmlformats-officedocument.drawingml.chart+xml" PartName="/xl/charts/chart29.xml"/>
  <Override ContentType="application/vnd.openxmlformats-officedocument.drawingml.chart+xml" PartName="/xl/charts/chart37.xml"/>
  <Override ContentType="application/vnd.openxmlformats-officedocument.drawingml.chart+xml" PartName="/xl/charts/chart4.xml"/>
  <Override ContentType="application/vnd.openxmlformats-officedocument.drawingml.chart+xml" PartName="/xl/charts/chart20.xml"/>
  <Override ContentType="application/vnd.openxmlformats-officedocument.drawingml.chart+xml" PartName="/xl/charts/chart33.xml"/>
  <Override ContentType="application/vnd.openxmlformats-officedocument.drawingml.chart+xml" PartName="/xl/charts/chart24.xml"/>
  <Override ContentType="application/vnd.openxmlformats-officedocument.drawingml.chart+xml" PartName="/xl/charts/chart1.xml"/>
  <Override ContentType="application/vnd.openxmlformats-officedocument.drawingml.chart+xml" PartName="/xl/charts/chart28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15.xml"/>
  <Override ContentType="application/vnd.openxmlformats-officedocument.drawingml.chart+xml" PartName="/xl/charts/chart40.xml"/>
  <Override ContentType="application/vnd.openxmlformats-officedocument.drawingml.chart+xml" PartName="/xl/charts/chart9.xml"/>
  <Override ContentType="application/vnd.openxmlformats-officedocument.drawingml.chart+xml" PartName="/xl/charts/chart19.xml"/>
  <Override ContentType="application/vnd.openxmlformats-officedocument.drawingml.chart+xml" PartName="/xl/charts/chart32.xml"/>
  <Override ContentType="application/vnd.openxmlformats-officedocument.drawingml.chart+xml" PartName="/xl/charts/chart5.xml"/>
  <Override ContentType="application/vnd.openxmlformats-officedocument.drawingml.chart+xml" PartName="/xl/charts/chart23.xml"/>
  <Override ContentType="application/vnd.openxmlformats-officedocument.drawingml.chart+xml" PartName="/xl/charts/chart36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dos" sheetId="1" r:id="rId4"/>
    <sheet state="visible" name="Populacao" sheetId="2" r:id="rId5"/>
    <sheet state="visible" name="Peru" sheetId="3" r:id="rId6"/>
    <sheet state="visible" name="Mexico" sheetId="4" r:id="rId7"/>
    <sheet state="visible" name="Chile" sheetId="5" r:id="rId8"/>
    <sheet state="visible" name="Brasil" sheetId="6" r:id="rId9"/>
    <sheet state="visible" name="Colombia" sheetId="7" r:id="rId10"/>
    <sheet state="visible" name="Resumo - Apresentacao" sheetId="8" r:id="rId11"/>
  </sheets>
  <definedNames>
    <definedName hidden="1" localSheetId="0" name="_xlnm._FilterDatabase">Dados!$A$1:$G$1333</definedName>
    <definedName hidden="1" localSheetId="7" name="Z_77C78EA8_B01D_488C_9311_C9D60B294603_.wvu.FilterData">'Resumo - Apresentacao'!$A$15:$B$20</definedName>
  </definedNames>
  <calcPr/>
  <customWorkbookViews>
    <customWorkbookView activeSheetId="0" maximized="1" windowHeight="0" windowWidth="0" guid="{77C78EA8-B01D-488C-9311-C9D60B294603}" name="Filtro 1"/>
  </customWorkbookViews>
</workbook>
</file>

<file path=xl/sharedStrings.xml><?xml version="1.0" encoding="utf-8"?>
<sst xmlns="http://schemas.openxmlformats.org/spreadsheetml/2006/main" count="49" uniqueCount="22">
  <si>
    <t>Populacao</t>
  </si>
  <si>
    <t>mortes_covid_100.000 habit</t>
  </si>
  <si>
    <t>mortes_covid_100.000 habit_acumulado</t>
  </si>
  <si>
    <t>estimativa_total_mortes</t>
  </si>
  <si>
    <t>total_excesso_mortes</t>
  </si>
  <si>
    <t>excesso_mortes_covid_por100.000habit</t>
  </si>
  <si>
    <t>excesso_mortes_covid_por100.000habit_acumulado</t>
  </si>
  <si>
    <t>populacao</t>
  </si>
  <si>
    <t>País</t>
  </si>
  <si>
    <t>Total mortes por 100.000 habitantes</t>
  </si>
  <si>
    <t>Excesso mortes por 100.000 habitantes</t>
  </si>
  <si>
    <t>Diferença</t>
  </si>
  <si>
    <t>Mexico</t>
  </si>
  <si>
    <t>Peru</t>
  </si>
  <si>
    <t>Chile</t>
  </si>
  <si>
    <t>Brasil</t>
  </si>
  <si>
    <t>Colombia</t>
  </si>
  <si>
    <t>MEXICO</t>
  </si>
  <si>
    <t>PERU</t>
  </si>
  <si>
    <t>CHILE</t>
  </si>
  <si>
    <t>BRASIL</t>
  </si>
  <si>
    <t>COLOMBIA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</si>
</sst>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-mm-dd"/>
    <numFmt numFmtId="165" formatCode="0.00000000000"/>
  </numFmts>
  <fonts count="8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color rgb="FFDD7E6B"/>
      <name val="Arial"/>
      <scheme val="minor"/>
    </font>
    <font>
      <color rgb="FF45818E"/>
      <name val="Arial"/>
      <scheme val="minor"/>
    </font>
    <font>
      <color rgb="FF7F6000"/>
      <name val="Arial"/>
      <scheme val="minor"/>
    </font>
    <font>
      <color rgb="FFFF00FF"/>
      <name val="Arial"/>
      <scheme val="minor"/>
    </font>
    <font>
      <color rgb="FF0000FF"/>
      <name val="Arial"/>
      <scheme val="minor"/>
    </font>
  </fonts>
  <fills count="12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A2C4C9"/>
        <bgColor rgb="FFA2C4C9"/>
      </patternFill>
    </fill>
    <fill>
      <patternFill patternType="solid">
        <fgColor rgb="FFFFF2CC"/>
        <bgColor rgb="FFFFF2CC"/>
      </patternFill>
    </fill>
    <fill>
      <patternFill patternType="solid">
        <fgColor rgb="FFEAD1DC"/>
        <bgColor rgb="FFEAD1DC"/>
      </patternFill>
    </fill>
    <fill>
      <patternFill patternType="solid">
        <fgColor rgb="FFE6B8AF"/>
        <bgColor rgb="FFE6B8AF"/>
      </patternFill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C9DAF8"/>
        <bgColor rgb="FFC9DAF8"/>
      </patternFill>
    </fill>
    <fill>
      <patternFill patternType="solid">
        <fgColor rgb="FFF3F3F3"/>
        <bgColor rgb="FFF3F3F3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164" xfId="0" applyFont="1" applyNumberFormat="1"/>
    <xf borderId="0" fillId="0" fontId="1" numFmtId="3" xfId="0" applyFont="1" applyNumberFormat="1"/>
    <xf borderId="0" fillId="2" fontId="1" numFmtId="0" xfId="0" applyAlignment="1" applyFill="1" applyFont="1">
      <alignment horizontal="center"/>
    </xf>
    <xf borderId="0" fillId="2" fontId="1" numFmtId="0" xfId="0" applyAlignment="1" applyFont="1">
      <alignment horizontal="center" shrinkToFit="0" vertical="center" wrapText="1"/>
    </xf>
    <xf borderId="0" fillId="2" fontId="1" numFmtId="0" xfId="0" applyAlignment="1" applyFont="1">
      <alignment horizontal="center" readingOrder="0" shrinkToFit="0" vertical="center" wrapText="1"/>
    </xf>
    <xf borderId="0" fillId="3" fontId="1" numFmtId="165" xfId="0" applyAlignment="1" applyFill="1" applyFont="1" applyNumberFormat="1">
      <alignment horizontal="center" readingOrder="0" shrinkToFit="0" vertical="center" wrapText="1"/>
    </xf>
    <xf borderId="0" fillId="4" fontId="1" numFmtId="165" xfId="0" applyAlignment="1" applyFill="1" applyFont="1" applyNumberFormat="1">
      <alignment horizontal="center" readingOrder="0" shrinkToFit="0" vertical="center" wrapText="1"/>
    </xf>
    <xf borderId="0" fillId="5" fontId="1" numFmtId="0" xfId="0" applyAlignment="1" applyFill="1" applyFont="1">
      <alignment horizontal="center" readingOrder="0" shrinkToFit="0" vertical="center" wrapText="1"/>
    </xf>
    <xf borderId="0" fillId="6" fontId="1" numFmtId="0" xfId="0" applyAlignment="1" applyFill="1" applyFont="1">
      <alignment horizontal="center" readingOrder="0" shrinkToFit="0" vertical="center" wrapText="1"/>
    </xf>
    <xf borderId="0" fillId="7" fontId="1" numFmtId="0" xfId="0" applyAlignment="1" applyFill="1" applyFont="1">
      <alignment horizontal="center" readingOrder="0" shrinkToFit="0" vertical="center" wrapText="1"/>
    </xf>
    <xf borderId="0" fillId="8" fontId="1" numFmtId="0" xfId="0" applyAlignment="1" applyFill="1" applyFont="1">
      <alignment horizontal="center" readingOrder="0" shrinkToFit="0" vertical="center" wrapText="1"/>
    </xf>
    <xf borderId="0" fillId="0" fontId="1" numFmtId="165" xfId="0" applyFont="1" applyNumberFormat="1"/>
    <xf borderId="1" fillId="9" fontId="2" numFmtId="0" xfId="0" applyAlignment="1" applyBorder="1" applyFill="1" applyFont="1">
      <alignment horizontal="center" readingOrder="0" shrinkToFit="0" vertical="center" wrapText="1"/>
    </xf>
    <xf borderId="1" fillId="8" fontId="2" numFmtId="0" xfId="0" applyAlignment="1" applyBorder="1" applyFont="1">
      <alignment horizontal="center" readingOrder="0" shrinkToFit="0" vertical="center" wrapText="1"/>
    </xf>
    <xf borderId="1" fillId="10" fontId="2" numFmtId="0" xfId="0" applyAlignment="1" applyBorder="1" applyFill="1" applyFont="1">
      <alignment horizontal="center" readingOrder="0" shrinkToFit="0" vertical="center" wrapText="1"/>
    </xf>
    <xf borderId="1" fillId="4" fontId="2" numFmtId="0" xfId="0" applyAlignment="1" applyBorder="1" applyFont="1">
      <alignment horizontal="center" readingOrder="0" shrinkToFit="0" vertical="center" wrapText="1"/>
    </xf>
    <xf borderId="1" fillId="0" fontId="1" numFmtId="0" xfId="0" applyAlignment="1" applyBorder="1" applyFont="1">
      <alignment horizontal="left"/>
    </xf>
    <xf borderId="1" fillId="0" fontId="1" numFmtId="0" xfId="0" applyAlignment="1" applyBorder="1" applyFont="1">
      <alignment horizontal="center"/>
    </xf>
    <xf borderId="1" fillId="0" fontId="1" numFmtId="165" xfId="0" applyAlignment="1" applyBorder="1" applyFont="1" applyNumberFormat="1">
      <alignment horizontal="center"/>
    </xf>
    <xf borderId="1" fillId="0" fontId="1" numFmtId="0" xfId="0" applyAlignment="1" applyBorder="1" applyFont="1">
      <alignment horizontal="left" readingOrder="0"/>
    </xf>
    <xf borderId="0" fillId="11" fontId="3" numFmtId="3" xfId="0" applyAlignment="1" applyFill="1" applyFont="1" applyNumberFormat="1">
      <alignment horizontal="center" readingOrder="0" shrinkToFit="0" vertical="center" wrapText="0"/>
    </xf>
    <xf borderId="0" fillId="11" fontId="4" numFmtId="0" xfId="0" applyAlignment="1" applyFont="1">
      <alignment horizontal="center" readingOrder="0" vertical="center"/>
    </xf>
    <xf borderId="0" fillId="11" fontId="5" numFmtId="0" xfId="0" applyAlignment="1" applyFont="1">
      <alignment horizontal="center" readingOrder="0" shrinkToFit="0" vertical="center" wrapText="0"/>
    </xf>
    <xf borderId="0" fillId="11" fontId="6" numFmtId="0" xfId="0" applyAlignment="1" applyFont="1">
      <alignment horizontal="center" readingOrder="0" shrinkToFit="0" vertical="center" wrapText="0"/>
    </xf>
    <xf borderId="0" fillId="11" fontId="7" numFmtId="0" xfId="0" applyAlignment="1" applyFon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de mortes por covid por semana (por 100 mil habit)  - Peru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Peru!$H$1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Peru!$B$2:$B$1833</c:f>
            </c:strRef>
          </c:cat>
          <c:val>
            <c:numRef>
              <c:f>Peru!$H$2:$H$1833</c:f>
              <c:numCache/>
            </c:numRef>
          </c:val>
          <c:smooth val="0"/>
        </c:ser>
        <c:axId val="627576465"/>
        <c:axId val="235552567"/>
      </c:lineChart>
      <c:catAx>
        <c:axId val="6275764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data início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35552567"/>
      </c:catAx>
      <c:valAx>
        <c:axId val="23555256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mortes_covid_100000 habit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2757646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Excesso_mortes_covid_por100.000habit_acumulado - Mexico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Mexico!$M$1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Mexico!$B$2:$B$1833</c:f>
            </c:strRef>
          </c:cat>
          <c:val>
            <c:numRef>
              <c:f>Mexico!$M$2:$M$1833</c:f>
              <c:numCache/>
            </c:numRef>
          </c:val>
          <c:smooth val="0"/>
        </c:ser>
        <c:axId val="1499667744"/>
        <c:axId val="1139916246"/>
      </c:lineChart>
      <c:catAx>
        <c:axId val="1499667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data início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39916246"/>
      </c:catAx>
      <c:valAx>
        <c:axId val="113991624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excesso_mortes_covid_por100.000habit_acumulado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9966774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mortes reportadas por covid e total_excesso_mortes - Mexico</a:t>
            </a:r>
          </a:p>
        </c:rich>
      </c:tx>
      <c:layout>
        <c:manualLayout>
          <c:xMode val="edge"/>
          <c:yMode val="edge"/>
          <c:x val="0.03758333333333334"/>
          <c:y val="0.04730458221024259"/>
        </c:manualLayout>
      </c:layout>
      <c:overlay val="0"/>
    </c:title>
    <c:plotArea>
      <c:layout/>
      <c:lineChart>
        <c:ser>
          <c:idx val="0"/>
          <c:order val="0"/>
          <c:tx>
            <c:strRef>
              <c:f>Mexico!$F$1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Mexico!$B$2:$B$1833</c:f>
            </c:strRef>
          </c:cat>
          <c:val>
            <c:numRef>
              <c:f>Mexico!$F$2:$F$1833</c:f>
              <c:numCache/>
            </c:numRef>
          </c:val>
          <c:smooth val="0"/>
        </c:ser>
        <c:ser>
          <c:idx val="1"/>
          <c:order val="1"/>
          <c:tx>
            <c:strRef>
              <c:f>Mexico!$K$1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Mexico!$B$2:$B$1833</c:f>
            </c:strRef>
          </c:cat>
          <c:val>
            <c:numRef>
              <c:f>Mexico!$K$2:$K$1833</c:f>
              <c:numCache/>
            </c:numRef>
          </c:val>
          <c:smooth val="0"/>
        </c:ser>
        <c:axId val="2038212797"/>
        <c:axId val="95123422"/>
      </c:lineChart>
      <c:catAx>
        <c:axId val="20382127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data início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5123422"/>
      </c:catAx>
      <c:valAx>
        <c:axId val="951234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3821279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mortes_covid_100.000 habit_acumulado e excesso_mortes_covid_acumulado - Mexico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Mexico!$I$1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Mexico!$B$2:$B$1833</c:f>
            </c:strRef>
          </c:cat>
          <c:val>
            <c:numRef>
              <c:f>Mexico!$I$2:$I$1833</c:f>
              <c:numCache/>
            </c:numRef>
          </c:val>
          <c:smooth val="0"/>
        </c:ser>
        <c:ser>
          <c:idx val="1"/>
          <c:order val="1"/>
          <c:tx>
            <c:strRef>
              <c:f>Mexico!$M$1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Mexico!$B$2:$B$1833</c:f>
            </c:strRef>
          </c:cat>
          <c:val>
            <c:numRef>
              <c:f>Mexico!$M$2:$M$1833</c:f>
              <c:numCache/>
            </c:numRef>
          </c:val>
          <c:smooth val="0"/>
        </c:ser>
        <c:axId val="1691010293"/>
        <c:axId val="1080967884"/>
      </c:lineChart>
      <c:catAx>
        <c:axId val="169101029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data início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80967884"/>
      </c:catAx>
      <c:valAx>
        <c:axId val="10809678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9101029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mortes_covid_100.000 habit - Chile</a:t>
            </a:r>
          </a:p>
        </c:rich>
      </c:tx>
      <c:layout>
        <c:manualLayout>
          <c:xMode val="edge"/>
          <c:yMode val="edge"/>
          <c:x val="0.03091666666666667"/>
          <c:y val="0.055390835579514824"/>
        </c:manualLayout>
      </c:layout>
      <c:overlay val="0"/>
    </c:title>
    <c:plotArea>
      <c:layout/>
      <c:lineChart>
        <c:varyColors val="0"/>
        <c:ser>
          <c:idx val="0"/>
          <c:order val="0"/>
          <c:tx>
            <c:strRef>
              <c:f>Chile!$H$1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Chile!$B$2:$B$1000</c:f>
            </c:strRef>
          </c:cat>
          <c:val>
            <c:numRef>
              <c:f>Chile!$H$2:$H$1000</c:f>
              <c:numCache/>
            </c:numRef>
          </c:val>
          <c:smooth val="0"/>
        </c:ser>
        <c:axId val="110441238"/>
        <c:axId val="1787944465"/>
      </c:lineChart>
      <c:catAx>
        <c:axId val="11044123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data início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87944465"/>
      </c:catAx>
      <c:valAx>
        <c:axId val="178794446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mortes_covid_100.000 habit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044123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mortes_covid_100.000 habit_acumulado - Chile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Chile!$I$1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Chile!$B$2:$B$1000</c:f>
            </c:strRef>
          </c:cat>
          <c:val>
            <c:numRef>
              <c:f>Chile!$I$2:$I$1000</c:f>
              <c:numCache/>
            </c:numRef>
          </c:val>
          <c:smooth val="0"/>
        </c:ser>
        <c:axId val="1402655639"/>
        <c:axId val="469701716"/>
      </c:lineChart>
      <c:catAx>
        <c:axId val="14026556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data início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69701716"/>
      </c:catAx>
      <c:valAx>
        <c:axId val="4697017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mortes_covid_100.000 habit_acumulado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0265563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excesso_mortes_covid_por100.000habit  - Chile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Chile!$L$1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Chile!$B$2:$B$1000</c:f>
            </c:strRef>
          </c:cat>
          <c:val>
            <c:numRef>
              <c:f>Chile!$L$2:$L$1000</c:f>
              <c:numCache/>
            </c:numRef>
          </c:val>
          <c:smooth val="0"/>
        </c:ser>
        <c:axId val="244391158"/>
        <c:axId val="254271082"/>
      </c:lineChart>
      <c:catAx>
        <c:axId val="24439115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data início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54271082"/>
      </c:catAx>
      <c:valAx>
        <c:axId val="25427108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excesso_mortes_covid_por100.000habit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4439115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excesso_mortes_covid_por100.000habit_acumulado - Chile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Chile!$M$1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Chile!$B$2:$B$1000</c:f>
            </c:strRef>
          </c:cat>
          <c:val>
            <c:numRef>
              <c:f>Chile!$M$2:$M$1000</c:f>
              <c:numCache/>
            </c:numRef>
          </c:val>
          <c:smooth val="0"/>
        </c:ser>
        <c:axId val="414415910"/>
        <c:axId val="880693355"/>
      </c:lineChart>
      <c:catAx>
        <c:axId val="4144159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data início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80693355"/>
      </c:catAx>
      <c:valAx>
        <c:axId val="88069335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excesso_mortes_covid_por100.000habit_acumulado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1441591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mortes reportadas por covid e total_excesso_mortes - Chile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Chile!$F$1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Chile!$B$2:$B$1000</c:f>
            </c:strRef>
          </c:cat>
          <c:val>
            <c:numRef>
              <c:f>Chile!$F$2:$F$1000</c:f>
              <c:numCache/>
            </c:numRef>
          </c:val>
          <c:smooth val="0"/>
        </c:ser>
        <c:ser>
          <c:idx val="1"/>
          <c:order val="1"/>
          <c:tx>
            <c:strRef>
              <c:f>Chile!$K$1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Chile!$B$2:$B$1000</c:f>
            </c:strRef>
          </c:cat>
          <c:val>
            <c:numRef>
              <c:f>Chile!$K$2:$K$1000</c:f>
              <c:numCache/>
            </c:numRef>
          </c:val>
          <c:smooth val="0"/>
        </c:ser>
        <c:axId val="350212091"/>
        <c:axId val="284478462"/>
      </c:lineChart>
      <c:catAx>
        <c:axId val="3502120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data início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84478462"/>
      </c:catAx>
      <c:valAx>
        <c:axId val="28447846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5021209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mortes_covid_100.000 habit_acumulado e excesso_mortes_covid_acumulado - Chile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Chile!$I$1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Chile!$B$2:$B$1000</c:f>
            </c:strRef>
          </c:cat>
          <c:val>
            <c:numRef>
              <c:f>Chile!$I$2:$I$1000</c:f>
              <c:numCache/>
            </c:numRef>
          </c:val>
          <c:smooth val="0"/>
        </c:ser>
        <c:ser>
          <c:idx val="1"/>
          <c:order val="1"/>
          <c:tx>
            <c:strRef>
              <c:f>Chile!$M$1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Chile!$B$2:$B$1000</c:f>
            </c:strRef>
          </c:cat>
          <c:val>
            <c:numRef>
              <c:f>Chile!$M$2:$M$1000</c:f>
              <c:numCache/>
            </c:numRef>
          </c:val>
          <c:smooth val="0"/>
        </c:ser>
        <c:axId val="799451967"/>
        <c:axId val="873018615"/>
      </c:lineChart>
      <c:catAx>
        <c:axId val="7994519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data início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73018615"/>
      </c:catAx>
      <c:valAx>
        <c:axId val="87301861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9945196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mortes_covid_100.000 habit - Brasil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Brasil!$H$1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Brasil!$B$2:$B$1833</c:f>
            </c:strRef>
          </c:cat>
          <c:val>
            <c:numRef>
              <c:f>Brasil!$H$2:$H$1833</c:f>
              <c:numCache/>
            </c:numRef>
          </c:val>
          <c:smooth val="0"/>
        </c:ser>
        <c:axId val="2131285433"/>
        <c:axId val="968108347"/>
      </c:lineChart>
      <c:catAx>
        <c:axId val="21312854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data início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68108347"/>
      </c:catAx>
      <c:valAx>
        <c:axId val="96810834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mortes_covid_100.000 habit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3128543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de mortes por covid por semana acumulado - Peru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Peru!$I$1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Peru!$B$2:$B$1833</c:f>
            </c:strRef>
          </c:cat>
          <c:val>
            <c:numRef>
              <c:f>Peru!$I$2:$I$1833</c:f>
              <c:numCache/>
            </c:numRef>
          </c:val>
          <c:smooth val="0"/>
        </c:ser>
        <c:axId val="516221306"/>
        <c:axId val="882700299"/>
      </c:lineChart>
      <c:catAx>
        <c:axId val="5162213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data início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82700299"/>
      </c:catAx>
      <c:valAx>
        <c:axId val="88270029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mortes_covid_100000 habit_acumulado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1622130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mortes_covid_100.000 habit_acumulado - Brasil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Brasil!$I$1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Brasil!$B$2:$B$1833</c:f>
            </c:strRef>
          </c:cat>
          <c:val>
            <c:numRef>
              <c:f>Brasil!$I$2:$I$1833</c:f>
              <c:numCache/>
            </c:numRef>
          </c:val>
          <c:smooth val="0"/>
        </c:ser>
        <c:axId val="574881225"/>
        <c:axId val="1290803197"/>
      </c:lineChart>
      <c:catAx>
        <c:axId val="5748812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data início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90803197"/>
      </c:catAx>
      <c:valAx>
        <c:axId val="129080319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mortes_covid_100.000 habit_acumulado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7488122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excesso_mortes_covid_por100.000habit - Brasil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Brasil!$L$1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Brasil!$B$2:$B$1833</c:f>
            </c:strRef>
          </c:cat>
          <c:val>
            <c:numRef>
              <c:f>Brasil!$L$2:$L$1833</c:f>
              <c:numCache/>
            </c:numRef>
          </c:val>
          <c:smooth val="0"/>
        </c:ser>
        <c:axId val="166638629"/>
        <c:axId val="571758194"/>
      </c:lineChart>
      <c:catAx>
        <c:axId val="1666386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data início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71758194"/>
      </c:catAx>
      <c:valAx>
        <c:axId val="57175819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excesso_mortes_covid_por100.000habit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663862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excesso_mortes_covid_por100.000habit_acumulado - Brasil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Brasil!$M$1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Brasil!$B$2:$B$1833</c:f>
            </c:strRef>
          </c:cat>
          <c:val>
            <c:numRef>
              <c:f>Brasil!$M$2:$M$1833</c:f>
              <c:numCache/>
            </c:numRef>
          </c:val>
          <c:smooth val="0"/>
        </c:ser>
        <c:axId val="426239678"/>
        <c:axId val="2115411627"/>
      </c:lineChart>
      <c:catAx>
        <c:axId val="4262396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data início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15411627"/>
      </c:catAx>
      <c:valAx>
        <c:axId val="211541162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excesso_mortes_covid_por100.000habit_acumulado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2623967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mortes reportadas por covid e total_excesso_mortes - Brasil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Brasil!$F$1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Brasil!$B$2:$B$1833</c:f>
            </c:strRef>
          </c:cat>
          <c:val>
            <c:numRef>
              <c:f>Brasil!$F$2:$F$1833</c:f>
              <c:numCache/>
            </c:numRef>
          </c:val>
          <c:smooth val="0"/>
        </c:ser>
        <c:ser>
          <c:idx val="1"/>
          <c:order val="1"/>
          <c:tx>
            <c:strRef>
              <c:f>Brasil!$K$1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Brasil!$B$2:$B$1833</c:f>
            </c:strRef>
          </c:cat>
          <c:val>
            <c:numRef>
              <c:f>Brasil!$K$2:$K$1833</c:f>
              <c:numCache/>
            </c:numRef>
          </c:val>
          <c:smooth val="0"/>
        </c:ser>
        <c:axId val="1361192553"/>
        <c:axId val="1890575059"/>
      </c:lineChart>
      <c:catAx>
        <c:axId val="136119255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data início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90575059"/>
      </c:catAx>
      <c:valAx>
        <c:axId val="189057505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6119255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mortes_covid_100.000 habit_acumulado e excesso_mortes_covid_acumulado - Brsail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Brasil!$I$1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Brasil!$B$2:$B$1833</c:f>
            </c:strRef>
          </c:cat>
          <c:val>
            <c:numRef>
              <c:f>Brasil!$I$2:$I$1833</c:f>
              <c:numCache/>
            </c:numRef>
          </c:val>
          <c:smooth val="0"/>
        </c:ser>
        <c:ser>
          <c:idx val="1"/>
          <c:order val="1"/>
          <c:tx>
            <c:strRef>
              <c:f>Brasil!$M$1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Brasil!$B$2:$B$1833</c:f>
            </c:strRef>
          </c:cat>
          <c:val>
            <c:numRef>
              <c:f>Brasil!$M$2:$M$1833</c:f>
              <c:numCache/>
            </c:numRef>
          </c:val>
          <c:smooth val="0"/>
        </c:ser>
        <c:axId val="2036513560"/>
        <c:axId val="1378476969"/>
      </c:lineChart>
      <c:catAx>
        <c:axId val="2036513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data início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78476969"/>
      </c:catAx>
      <c:valAx>
        <c:axId val="137847696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3651356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mortes_covid_100.000 habit  - Colombia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Colombia!$H$1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Colombia!$B$2:$B$1000</c:f>
            </c:strRef>
          </c:cat>
          <c:val>
            <c:numRef>
              <c:f>Colombia!$H$2:$H$1000</c:f>
              <c:numCache/>
            </c:numRef>
          </c:val>
          <c:smooth val="0"/>
        </c:ser>
        <c:axId val="1848781526"/>
        <c:axId val="1639820987"/>
      </c:lineChart>
      <c:catAx>
        <c:axId val="18487815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data início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39820987"/>
      </c:catAx>
      <c:valAx>
        <c:axId val="163982098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mortes_covid_100.000 habit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4878152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mortes_covid_100.000 habit_acumulado  - Colombia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Colombia!$I$1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Colombia!$B$2:$B$1000</c:f>
            </c:strRef>
          </c:cat>
          <c:val>
            <c:numRef>
              <c:f>Colombia!$I$2:$I$1000</c:f>
              <c:numCache/>
            </c:numRef>
          </c:val>
          <c:smooth val="0"/>
        </c:ser>
        <c:axId val="1973830661"/>
        <c:axId val="723877316"/>
      </c:lineChart>
      <c:catAx>
        <c:axId val="197383066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data início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23877316"/>
      </c:catAx>
      <c:valAx>
        <c:axId val="7238773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mortes_covid_100.000 habit_acumulado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7383066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excesso_mortes_covid_por100.000habit - Colombia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Colombia!$L$1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Colombia!$B$2:$B$1000</c:f>
            </c:strRef>
          </c:cat>
          <c:val>
            <c:numRef>
              <c:f>Colombia!$L$2:$L$1000</c:f>
              <c:numCache/>
            </c:numRef>
          </c:val>
          <c:smooth val="0"/>
        </c:ser>
        <c:axId val="495294818"/>
        <c:axId val="1714537358"/>
      </c:lineChart>
      <c:catAx>
        <c:axId val="4952948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data início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14537358"/>
      </c:catAx>
      <c:valAx>
        <c:axId val="171453735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excesso_mortes_covid_por100.000habit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9529481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excesso_mortes_covid_por100.000habit_acumulado - Colombia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Colombia!$M$1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Colombia!$B$2:$B$1000</c:f>
            </c:strRef>
          </c:cat>
          <c:val>
            <c:numRef>
              <c:f>Colombia!$M$2:$M$1000</c:f>
              <c:numCache/>
            </c:numRef>
          </c:val>
          <c:smooth val="0"/>
        </c:ser>
        <c:axId val="555542863"/>
        <c:axId val="551409119"/>
      </c:lineChart>
      <c:catAx>
        <c:axId val="5555428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data início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51409119"/>
      </c:catAx>
      <c:valAx>
        <c:axId val="55140911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excesso_mortes_covid_por100.000habit_acumulado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5554286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mortes reportadas por covid e total_excesso_mortes - Colombia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Colombia!$F$1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Colombia!$B$2:$B$1000</c:f>
            </c:strRef>
          </c:cat>
          <c:val>
            <c:numRef>
              <c:f>Colombia!$F$2:$F$1000</c:f>
              <c:numCache/>
            </c:numRef>
          </c:val>
          <c:smooth val="0"/>
        </c:ser>
        <c:ser>
          <c:idx val="1"/>
          <c:order val="1"/>
          <c:tx>
            <c:strRef>
              <c:f>Colombia!$K$1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Colombia!$B$2:$B$1000</c:f>
            </c:strRef>
          </c:cat>
          <c:val>
            <c:numRef>
              <c:f>Colombia!$K$2:$K$1000</c:f>
              <c:numCache/>
            </c:numRef>
          </c:val>
          <c:smooth val="0"/>
        </c:ser>
        <c:axId val="698223378"/>
        <c:axId val="1077161450"/>
      </c:lineChart>
      <c:catAx>
        <c:axId val="6982233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data início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77161450"/>
      </c:catAx>
      <c:valAx>
        <c:axId val="107716145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9822337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excesso_mortes_covid_por100000Habi por semana - Peru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Peru!$L$1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Peru!$B$2:$B$1833</c:f>
            </c:strRef>
          </c:cat>
          <c:val>
            <c:numRef>
              <c:f>Peru!$L$2:$L$1833</c:f>
              <c:numCache/>
            </c:numRef>
          </c:val>
          <c:smooth val="0"/>
        </c:ser>
        <c:axId val="757637291"/>
        <c:axId val="1441746763"/>
      </c:lineChart>
      <c:catAx>
        <c:axId val="7576372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data início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41746763"/>
      </c:catAx>
      <c:valAx>
        <c:axId val="14417467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excesso_mortes_covid_por100000Habi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5763729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mortes_covid_100.000 habit_acumulado e excesso_mortes_covid_acumulado - Colombia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Colombia!$I$1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Colombia!$B$2:$B$1000</c:f>
            </c:strRef>
          </c:cat>
          <c:val>
            <c:numRef>
              <c:f>Colombia!$I$2:$I$1000</c:f>
              <c:numCache/>
            </c:numRef>
          </c:val>
          <c:smooth val="0"/>
        </c:ser>
        <c:ser>
          <c:idx val="1"/>
          <c:order val="1"/>
          <c:tx>
            <c:strRef>
              <c:f>Colombia!$M$1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Colombia!$B$2:$B$1000</c:f>
            </c:strRef>
          </c:cat>
          <c:val>
            <c:numRef>
              <c:f>Colombia!$M$2:$M$1000</c:f>
              <c:numCache/>
            </c:numRef>
          </c:val>
          <c:smooth val="0"/>
        </c:ser>
        <c:axId val="1661688808"/>
        <c:axId val="1312641950"/>
      </c:lineChart>
      <c:catAx>
        <c:axId val="1661688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data início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12641950"/>
      </c:catAx>
      <c:valAx>
        <c:axId val="131264195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6168880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Total mortes Covid por 100.000 habitantes e Excesso mortes por 100.000 habitantes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'Resumo - Apresentacao'!$B$1</c:f>
            </c:strRef>
          </c:tx>
          <c:spPr>
            <a:solidFill>
              <a:srgbClr val="38761D"/>
            </a:solidFill>
            <a:ln cmpd="sng">
              <a:solidFill>
                <a:srgbClr val="000000"/>
              </a:solidFill>
            </a:ln>
          </c:spPr>
          <c:dPt>
            <c:idx val="0"/>
          </c:dPt>
          <c:dPt>
            <c:idx val="1"/>
          </c:dPt>
          <c:cat>
            <c:strRef>
              <c:f>'Resumo - Apresentacao'!$A$2:$A$6</c:f>
            </c:strRef>
          </c:cat>
          <c:val>
            <c:numRef>
              <c:f>'Resumo - Apresentacao'!$B$2:$B$6</c:f>
              <c:numCache/>
            </c:numRef>
          </c:val>
        </c:ser>
        <c:ser>
          <c:idx val="1"/>
          <c:order val="1"/>
          <c:tx>
            <c:strRef>
              <c:f>'Resumo - Apresentacao'!$C$1</c:f>
            </c:strRef>
          </c:tx>
          <c:spPr>
            <a:solidFill>
              <a:srgbClr val="C27BA0"/>
            </a:solidFill>
            <a:ln cmpd="sng">
              <a:solidFill>
                <a:srgbClr val="000000"/>
              </a:solidFill>
            </a:ln>
          </c:spPr>
          <c:dPt>
            <c:idx val="0"/>
          </c:dPt>
          <c:dPt>
            <c:idx val="2"/>
          </c:dPt>
          <c:cat>
            <c:strRef>
              <c:f>'Resumo - Apresentacao'!$A$2:$A$6</c:f>
            </c:strRef>
          </c:cat>
          <c:val>
            <c:numRef>
              <c:f>'Resumo - Apresentacao'!$C$2:$C$6</c:f>
              <c:numCache/>
            </c:numRef>
          </c:val>
        </c:ser>
        <c:axId val="1320111773"/>
        <c:axId val="531808731"/>
      </c:barChart>
      <c:catAx>
        <c:axId val="13201117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País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31808731"/>
      </c:catAx>
      <c:valAx>
        <c:axId val="53180873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2011177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mortes reportadas e total de excesso de mortes por covid por semana - Peru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Peru!$F$1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Peru!$B$2:$B$1833</c:f>
            </c:strRef>
          </c:cat>
          <c:val>
            <c:numRef>
              <c:f>Peru!$F$2:$F$1833</c:f>
              <c:numCache/>
            </c:numRef>
          </c:val>
          <c:smooth val="0"/>
        </c:ser>
        <c:ser>
          <c:idx val="1"/>
          <c:order val="1"/>
          <c:tx>
            <c:strRef>
              <c:f>Peru!$K$1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Peru!$B$2:$B$1833</c:f>
            </c:strRef>
          </c:cat>
          <c:val>
            <c:numRef>
              <c:f>Peru!$K$2:$K$1833</c:f>
              <c:numCache/>
            </c:numRef>
          </c:val>
          <c:smooth val="0"/>
        </c:ser>
        <c:axId val="1402020144"/>
        <c:axId val="1655149518"/>
      </c:lineChart>
      <c:catAx>
        <c:axId val="1402020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data início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55149518"/>
      </c:catAx>
      <c:valAx>
        <c:axId val="165514951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total mortes reportadas por covid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0202014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de mortes por covid acumulado X excesso de mortes acumulado por 100.000 habitantes - Peru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Peru!$I$1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Peru!$B$2:$B$1833</c:f>
            </c:strRef>
          </c:cat>
          <c:val>
            <c:numRef>
              <c:f>Peru!$I$2:$I$1833</c:f>
              <c:numCache/>
            </c:numRef>
          </c:val>
          <c:smooth val="0"/>
        </c:ser>
        <c:ser>
          <c:idx val="1"/>
          <c:order val="1"/>
          <c:tx>
            <c:strRef>
              <c:f>Peru!$M$1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Peru!$B$2:$B$1833</c:f>
            </c:strRef>
          </c:cat>
          <c:val>
            <c:numRef>
              <c:f>Peru!$M$2:$M$1833</c:f>
              <c:numCache/>
            </c:numRef>
          </c:val>
          <c:smooth val="0"/>
        </c:ser>
        <c:axId val="1309889166"/>
        <c:axId val="394131725"/>
      </c:lineChart>
      <c:catAx>
        <c:axId val="13098891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data início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94131725"/>
      </c:catAx>
      <c:valAx>
        <c:axId val="39413172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mortes_covid_100000 habit_acumulado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0988916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mortes reportadas por covid e total_excesso_mortes - Mexico</a:t>
            </a:r>
          </a:p>
        </c:rich>
      </c:tx>
      <c:layout>
        <c:manualLayout>
          <c:xMode val="edge"/>
          <c:yMode val="edge"/>
          <c:x val="0.03758333333333334"/>
          <c:y val="0.04730458221024259"/>
        </c:manualLayout>
      </c:layout>
      <c:overlay val="0"/>
    </c:title>
    <c:plotArea>
      <c:layout/>
      <c:lineChart>
        <c:ser>
          <c:idx val="0"/>
          <c:order val="0"/>
          <c:tx>
            <c:strRef>
              <c:f>Mexico!$F$1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Mexico!$B$2:$B$1833</c:f>
            </c:strRef>
          </c:cat>
          <c:val>
            <c:numRef>
              <c:f>Mexico!$F$2:$F$1833</c:f>
              <c:numCache/>
            </c:numRef>
          </c:val>
          <c:smooth val="0"/>
        </c:ser>
        <c:ser>
          <c:idx val="1"/>
          <c:order val="1"/>
          <c:tx>
            <c:strRef>
              <c:f>Mexico!$K$1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Mexico!$B$2:$B$1833</c:f>
            </c:strRef>
          </c:cat>
          <c:val>
            <c:numRef>
              <c:f>Mexico!$K$2:$K$1833</c:f>
              <c:numCache/>
            </c:numRef>
          </c:val>
          <c:smooth val="0"/>
        </c:ser>
        <c:axId val="1081758848"/>
        <c:axId val="4787039"/>
      </c:lineChart>
      <c:catAx>
        <c:axId val="1081758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data início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787039"/>
      </c:catAx>
      <c:valAx>
        <c:axId val="478703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8175884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mortes_covid_100.000 habit_acumulado e excesso_mortes_covid_acumulado - Mexico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Mexico!$I$1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Mexico!$B$2:$B$1833</c:f>
            </c:strRef>
          </c:cat>
          <c:val>
            <c:numRef>
              <c:f>Mexico!$I$2:$I$1833</c:f>
              <c:numCache/>
            </c:numRef>
          </c:val>
          <c:smooth val="0"/>
        </c:ser>
        <c:ser>
          <c:idx val="1"/>
          <c:order val="1"/>
          <c:tx>
            <c:strRef>
              <c:f>Mexico!$M$1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Mexico!$B$2:$B$1833</c:f>
            </c:strRef>
          </c:cat>
          <c:val>
            <c:numRef>
              <c:f>Mexico!$M$2:$M$1833</c:f>
              <c:numCache/>
            </c:numRef>
          </c:val>
          <c:smooth val="0"/>
        </c:ser>
        <c:axId val="1128770452"/>
        <c:axId val="61278555"/>
      </c:lineChart>
      <c:catAx>
        <c:axId val="11287704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data início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1278555"/>
      </c:catAx>
      <c:valAx>
        <c:axId val="6127855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2877045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mortes reportadas por covid e total_excesso_mortes - Chile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Chile!$F$1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Chile!$B$2:$B$1000</c:f>
            </c:strRef>
          </c:cat>
          <c:val>
            <c:numRef>
              <c:f>Chile!$F$2:$F$1000</c:f>
              <c:numCache/>
            </c:numRef>
          </c:val>
          <c:smooth val="0"/>
        </c:ser>
        <c:ser>
          <c:idx val="1"/>
          <c:order val="1"/>
          <c:tx>
            <c:strRef>
              <c:f>Chile!$K$1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Chile!$B$2:$B$1000</c:f>
            </c:strRef>
          </c:cat>
          <c:val>
            <c:numRef>
              <c:f>Chile!$K$2:$K$1000</c:f>
              <c:numCache/>
            </c:numRef>
          </c:val>
          <c:smooth val="0"/>
        </c:ser>
        <c:axId val="687453891"/>
        <c:axId val="630033046"/>
      </c:lineChart>
      <c:catAx>
        <c:axId val="6874538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data início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30033046"/>
      </c:catAx>
      <c:valAx>
        <c:axId val="63003304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8745389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mortes_covid_100.000 habit_acumulado e excesso_mortes_covid_acumulado - Chile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Chile!$I$1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Chile!$B$2:$B$1000</c:f>
            </c:strRef>
          </c:cat>
          <c:val>
            <c:numRef>
              <c:f>Chile!$I$2:$I$1000</c:f>
              <c:numCache/>
            </c:numRef>
          </c:val>
          <c:smooth val="0"/>
        </c:ser>
        <c:ser>
          <c:idx val="1"/>
          <c:order val="1"/>
          <c:tx>
            <c:strRef>
              <c:f>Chile!$M$1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Chile!$B$2:$B$1000</c:f>
            </c:strRef>
          </c:cat>
          <c:val>
            <c:numRef>
              <c:f>Chile!$M$2:$M$1000</c:f>
              <c:numCache/>
            </c:numRef>
          </c:val>
          <c:smooth val="0"/>
        </c:ser>
        <c:axId val="634408196"/>
        <c:axId val="1121724351"/>
      </c:lineChart>
      <c:catAx>
        <c:axId val="6344081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data início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21724351"/>
      </c:catAx>
      <c:valAx>
        <c:axId val="112172435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3440819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mortes reportadas por covid e total_excesso_mortes - Brasil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Brasil!$F$1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Brasil!$B$2:$B$1833</c:f>
            </c:strRef>
          </c:cat>
          <c:val>
            <c:numRef>
              <c:f>Brasil!$F$2:$F$1833</c:f>
              <c:numCache/>
            </c:numRef>
          </c:val>
          <c:smooth val="0"/>
        </c:ser>
        <c:ser>
          <c:idx val="1"/>
          <c:order val="1"/>
          <c:tx>
            <c:strRef>
              <c:f>Brasil!$K$1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Brasil!$B$2:$B$1833</c:f>
            </c:strRef>
          </c:cat>
          <c:val>
            <c:numRef>
              <c:f>Brasil!$K$2:$K$1833</c:f>
              <c:numCache/>
            </c:numRef>
          </c:val>
          <c:smooth val="0"/>
        </c:ser>
        <c:axId val="192528856"/>
        <c:axId val="1511189707"/>
      </c:lineChart>
      <c:catAx>
        <c:axId val="192528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data início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11189707"/>
      </c:catAx>
      <c:valAx>
        <c:axId val="151118970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252885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mortes_covid_100.000 habit_acumulado e excesso_mortes_covid_acumulado - Brasil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Brasil!$I$1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Brasil!$B$2:$B$1833</c:f>
            </c:strRef>
          </c:cat>
          <c:val>
            <c:numRef>
              <c:f>Brasil!$I$2:$I$1833</c:f>
              <c:numCache/>
            </c:numRef>
          </c:val>
          <c:smooth val="0"/>
        </c:ser>
        <c:ser>
          <c:idx val="1"/>
          <c:order val="1"/>
          <c:tx>
            <c:strRef>
              <c:f>Brasil!$M$1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Brasil!$B$2:$B$1833</c:f>
            </c:strRef>
          </c:cat>
          <c:val>
            <c:numRef>
              <c:f>Brasil!$M$2:$M$1833</c:f>
              <c:numCache/>
            </c:numRef>
          </c:val>
          <c:smooth val="0"/>
        </c:ser>
        <c:axId val="2059963222"/>
        <c:axId val="644174982"/>
      </c:lineChart>
      <c:catAx>
        <c:axId val="205996322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data início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44174982"/>
      </c:catAx>
      <c:valAx>
        <c:axId val="64417498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5996322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excesso_mortes_covid_por100000Habi_acumulado por semana - Peru</a:t>
            </a:r>
          </a:p>
        </c:rich>
      </c:tx>
      <c:layout>
        <c:manualLayout>
          <c:xMode val="edge"/>
          <c:yMode val="edge"/>
          <c:x val="9.166666666666678E-4"/>
          <c:y val="0.055390835579514824"/>
        </c:manualLayout>
      </c:layout>
      <c:overlay val="0"/>
    </c:title>
    <c:plotArea>
      <c:layout/>
      <c:lineChart>
        <c:varyColors val="0"/>
        <c:ser>
          <c:idx val="0"/>
          <c:order val="0"/>
          <c:tx>
            <c:strRef>
              <c:f>Peru!$M$1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Peru!$B$2:$B$1833</c:f>
            </c:strRef>
          </c:cat>
          <c:val>
            <c:numRef>
              <c:f>Peru!$M$2:$M$1833</c:f>
              <c:numCache/>
            </c:numRef>
          </c:val>
          <c:smooth val="0"/>
        </c:ser>
        <c:axId val="1428724728"/>
        <c:axId val="1342206709"/>
      </c:lineChart>
      <c:catAx>
        <c:axId val="1428724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data início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42206709"/>
      </c:catAx>
      <c:valAx>
        <c:axId val="134220670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excesso_mortes_covid_por100000Habi_acumulado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2872472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mortes reportadas por covid e total_excesso_mortes - Colombia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Colombia!$F$1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Colombia!$B$2:$B$1000</c:f>
            </c:strRef>
          </c:cat>
          <c:val>
            <c:numRef>
              <c:f>Colombia!$F$2:$F$1000</c:f>
              <c:numCache/>
            </c:numRef>
          </c:val>
          <c:smooth val="0"/>
        </c:ser>
        <c:ser>
          <c:idx val="1"/>
          <c:order val="1"/>
          <c:tx>
            <c:strRef>
              <c:f>Colombia!$K$1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Colombia!$B$2:$B$1000</c:f>
            </c:strRef>
          </c:cat>
          <c:val>
            <c:numRef>
              <c:f>Colombia!$K$2:$K$1000</c:f>
              <c:numCache/>
            </c:numRef>
          </c:val>
          <c:smooth val="0"/>
        </c:ser>
        <c:axId val="789711180"/>
        <c:axId val="1456190833"/>
      </c:lineChart>
      <c:catAx>
        <c:axId val="7897111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data início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56190833"/>
      </c:catAx>
      <c:valAx>
        <c:axId val="145619083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8971118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mortes_covid_100.000 habit_acumulado e excesso_mortes_covid_acumulado - Colombia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Colombia!$I$1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Colombia!$B$2:$B$1000</c:f>
            </c:strRef>
          </c:cat>
          <c:val>
            <c:numRef>
              <c:f>Colombia!$I$2:$I$1000</c:f>
              <c:numCache/>
            </c:numRef>
          </c:val>
          <c:smooth val="0"/>
        </c:ser>
        <c:ser>
          <c:idx val="1"/>
          <c:order val="1"/>
          <c:tx>
            <c:strRef>
              <c:f>Colombia!$M$1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Colombia!$B$2:$B$1000</c:f>
            </c:strRef>
          </c:cat>
          <c:val>
            <c:numRef>
              <c:f>Colombia!$M$2:$M$1000</c:f>
              <c:numCache/>
            </c:numRef>
          </c:val>
          <c:smooth val="0"/>
        </c:ser>
        <c:axId val="547420970"/>
        <c:axId val="768848135"/>
      </c:lineChart>
      <c:catAx>
        <c:axId val="54742097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data início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68848135"/>
      </c:catAx>
      <c:valAx>
        <c:axId val="76884813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4742097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mortes reportadas e total de excesso de mortes por covid por semana - Peru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Peru!$F$1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Peru!$B$2:$B$1833</c:f>
            </c:strRef>
          </c:cat>
          <c:val>
            <c:numRef>
              <c:f>Peru!$F$2:$F$1833</c:f>
              <c:numCache/>
            </c:numRef>
          </c:val>
          <c:smooth val="0"/>
        </c:ser>
        <c:ser>
          <c:idx val="1"/>
          <c:order val="1"/>
          <c:tx>
            <c:strRef>
              <c:f>Peru!$K$1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Peru!$B$2:$B$1833</c:f>
            </c:strRef>
          </c:cat>
          <c:val>
            <c:numRef>
              <c:f>Peru!$K$2:$K$1833</c:f>
              <c:numCache/>
            </c:numRef>
          </c:val>
          <c:smooth val="0"/>
        </c:ser>
        <c:axId val="1287917480"/>
        <c:axId val="1173320841"/>
      </c:lineChart>
      <c:catAx>
        <c:axId val="1287917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data início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73320841"/>
      </c:catAx>
      <c:valAx>
        <c:axId val="117332084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total mortes reportadas por covid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8791748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de mortes por covid acumulado X excesso de mortes acumulado por 100.000 habitantes - Peru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Peru!$I$1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Peru!$B$2:$B$1833</c:f>
            </c:strRef>
          </c:cat>
          <c:val>
            <c:numRef>
              <c:f>Peru!$I$2:$I$1833</c:f>
              <c:numCache/>
            </c:numRef>
          </c:val>
          <c:smooth val="0"/>
        </c:ser>
        <c:ser>
          <c:idx val="1"/>
          <c:order val="1"/>
          <c:tx>
            <c:strRef>
              <c:f>Peru!$M$1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Peru!$B$2:$B$1833</c:f>
            </c:strRef>
          </c:cat>
          <c:val>
            <c:numRef>
              <c:f>Peru!$M$2:$M$1833</c:f>
              <c:numCache/>
            </c:numRef>
          </c:val>
          <c:smooth val="0"/>
        </c:ser>
        <c:axId val="372709259"/>
        <c:axId val="576346363"/>
      </c:lineChart>
      <c:catAx>
        <c:axId val="3727092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data início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76346363"/>
      </c:catAx>
      <c:valAx>
        <c:axId val="5763463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mortes_covid_100000 habit_acumulado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7270925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de mortes covid por semana (por 100 mil habit) - Mexico</a:t>
            </a:r>
          </a:p>
        </c:rich>
      </c:tx>
      <c:layout>
        <c:manualLayout>
          <c:xMode val="edge"/>
          <c:yMode val="edge"/>
          <c:x val="0.03091666666666667"/>
          <c:y val="0.052695417789757414"/>
        </c:manualLayout>
      </c:layout>
      <c:overlay val="0"/>
    </c:title>
    <c:plotArea>
      <c:layout/>
      <c:lineChart>
        <c:varyColors val="0"/>
        <c:ser>
          <c:idx val="0"/>
          <c:order val="0"/>
          <c:tx>
            <c:strRef>
              <c:f>Mexico!$H$1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Mexico!$B$2:$B$1833</c:f>
            </c:strRef>
          </c:cat>
          <c:val>
            <c:numRef>
              <c:f>Mexico!$H$2:$H$1833</c:f>
              <c:numCache/>
            </c:numRef>
          </c:val>
          <c:smooth val="0"/>
        </c:ser>
        <c:axId val="821914280"/>
        <c:axId val="1171791405"/>
      </c:lineChart>
      <c:catAx>
        <c:axId val="821914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data início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71791405"/>
      </c:catAx>
      <c:valAx>
        <c:axId val="117179140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mortes_covid_100000 habit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2191428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mortes_covid_100.000 habit_acumulado - Mexico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Mexico!$I$1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Mexico!$B$2:$B$1833</c:f>
            </c:strRef>
          </c:cat>
          <c:val>
            <c:numRef>
              <c:f>Mexico!$I$2:$I$1833</c:f>
              <c:numCache/>
            </c:numRef>
          </c:val>
          <c:smooth val="0"/>
        </c:ser>
        <c:axId val="1314577496"/>
        <c:axId val="1094143629"/>
      </c:lineChart>
      <c:catAx>
        <c:axId val="1314577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data início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94143629"/>
      </c:catAx>
      <c:valAx>
        <c:axId val="109414362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mortes_covid_100.000 habit_acumulado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1457749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excesso_mortes_covid_por100.000habit semanal - Mexico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Mexico!$L$1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Mexico!$B$2:$B$1833</c:f>
            </c:strRef>
          </c:cat>
          <c:val>
            <c:numRef>
              <c:f>Mexico!$L$2:$L$1833</c:f>
              <c:numCache/>
            </c:numRef>
          </c:val>
          <c:smooth val="0"/>
        </c:ser>
        <c:axId val="734001279"/>
        <c:axId val="682346832"/>
      </c:lineChart>
      <c:catAx>
        <c:axId val="7340012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data início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82346832"/>
      </c:catAx>
      <c:valAx>
        <c:axId val="6823468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excesso_mortes_covid_por100.000habit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3400127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<Relationship Id="rId4" Type="http://schemas.openxmlformats.org/officeDocument/2006/relationships/chart" Target="../charts/chart16.xml"/><Relationship Id="rId5" Type="http://schemas.openxmlformats.org/officeDocument/2006/relationships/chart" Target="../charts/chart17.xml"/><Relationship Id="rId6" Type="http://schemas.openxmlformats.org/officeDocument/2006/relationships/chart" Target="../charts/chart18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Relationship Id="rId3" Type="http://schemas.openxmlformats.org/officeDocument/2006/relationships/chart" Target="../charts/chart21.xml"/><Relationship Id="rId4" Type="http://schemas.openxmlformats.org/officeDocument/2006/relationships/chart" Target="../charts/chart22.xml"/><Relationship Id="rId5" Type="http://schemas.openxmlformats.org/officeDocument/2006/relationships/chart" Target="../charts/chart23.xml"/><Relationship Id="rId6" Type="http://schemas.openxmlformats.org/officeDocument/2006/relationships/chart" Target="../charts/chart24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Relationship Id="rId3" Type="http://schemas.openxmlformats.org/officeDocument/2006/relationships/chart" Target="../charts/chart27.xml"/><Relationship Id="rId4" Type="http://schemas.openxmlformats.org/officeDocument/2006/relationships/chart" Target="../charts/chart28.xml"/><Relationship Id="rId5" Type="http://schemas.openxmlformats.org/officeDocument/2006/relationships/chart" Target="../charts/chart29.xml"/><Relationship Id="rId6" Type="http://schemas.openxmlformats.org/officeDocument/2006/relationships/chart" Target="../charts/chart30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31.xml"/><Relationship Id="rId2" Type="http://schemas.openxmlformats.org/officeDocument/2006/relationships/chart" Target="../charts/chart32.xml"/><Relationship Id="rId3" Type="http://schemas.openxmlformats.org/officeDocument/2006/relationships/chart" Target="../charts/chart33.xml"/><Relationship Id="rId4" Type="http://schemas.openxmlformats.org/officeDocument/2006/relationships/chart" Target="../charts/chart34.xml"/><Relationship Id="rId11" Type="http://schemas.openxmlformats.org/officeDocument/2006/relationships/chart" Target="../charts/chart41.xml"/><Relationship Id="rId10" Type="http://schemas.openxmlformats.org/officeDocument/2006/relationships/chart" Target="../charts/chart40.xml"/><Relationship Id="rId9" Type="http://schemas.openxmlformats.org/officeDocument/2006/relationships/chart" Target="../charts/chart39.xml"/><Relationship Id="rId5" Type="http://schemas.openxmlformats.org/officeDocument/2006/relationships/chart" Target="../charts/chart35.xml"/><Relationship Id="rId6" Type="http://schemas.openxmlformats.org/officeDocument/2006/relationships/chart" Target="../charts/chart36.xml"/><Relationship Id="rId7" Type="http://schemas.openxmlformats.org/officeDocument/2006/relationships/chart" Target="../charts/chart37.xml"/><Relationship Id="rId8" Type="http://schemas.openxmlformats.org/officeDocument/2006/relationships/chart" Target="../charts/chart3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14</xdr:col>
      <xdr:colOff>504825</xdr:colOff>
      <xdr:row>1</xdr:row>
      <xdr:rowOff>95250</xdr:rowOff>
    </xdr:from>
    <xdr:ext cx="6657975" cy="305752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14</xdr:col>
      <xdr:colOff>552450</xdr:colOff>
      <xdr:row>18</xdr:row>
      <xdr:rowOff>9525</xdr:rowOff>
    </xdr:from>
    <xdr:ext cx="6381750" cy="286702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14</xdr:col>
      <xdr:colOff>647700</xdr:colOff>
      <xdr:row>34</xdr:row>
      <xdr:rowOff>9525</xdr:rowOff>
    </xdr:from>
    <xdr:ext cx="6181725" cy="3819525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14</xdr:col>
      <xdr:colOff>647700</xdr:colOff>
      <xdr:row>55</xdr:row>
      <xdr:rowOff>9525</xdr:rowOff>
    </xdr:from>
    <xdr:ext cx="5715000" cy="3533775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14</xdr:col>
      <xdr:colOff>28575</xdr:colOff>
      <xdr:row>74</xdr:row>
      <xdr:rowOff>38100</xdr:rowOff>
    </xdr:from>
    <xdr:ext cx="6343650" cy="3924300"/>
    <xdr:graphicFrame>
      <xdr:nvGraphicFramePr>
        <xdr:cNvPr id="5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14</xdr:col>
      <xdr:colOff>190500</xdr:colOff>
      <xdr:row>95</xdr:row>
      <xdr:rowOff>47625</xdr:rowOff>
    </xdr:from>
    <xdr:ext cx="6067425" cy="3752850"/>
    <xdr:graphicFrame>
      <xdr:nvGraphicFramePr>
        <xdr:cNvPr id="6" name="Chart 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14</xdr:col>
      <xdr:colOff>57150</xdr:colOff>
      <xdr:row>0</xdr:row>
      <xdr:rowOff>257175</xdr:rowOff>
    </xdr:from>
    <xdr:ext cx="5715000" cy="3533775"/>
    <xdr:graphicFrame>
      <xdr:nvGraphicFramePr>
        <xdr:cNvPr id="7" name="Chart 7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14</xdr:col>
      <xdr:colOff>123825</xdr:colOff>
      <xdr:row>20</xdr:row>
      <xdr:rowOff>19050</xdr:rowOff>
    </xdr:from>
    <xdr:ext cx="5715000" cy="3533775"/>
    <xdr:graphicFrame>
      <xdr:nvGraphicFramePr>
        <xdr:cNvPr id="8" name="Chart 8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14</xdr:col>
      <xdr:colOff>123825</xdr:colOff>
      <xdr:row>39</xdr:row>
      <xdr:rowOff>152400</xdr:rowOff>
    </xdr:from>
    <xdr:ext cx="5715000" cy="3533775"/>
    <xdr:graphicFrame>
      <xdr:nvGraphicFramePr>
        <xdr:cNvPr id="9" name="Chart 9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14</xdr:col>
      <xdr:colOff>123825</xdr:colOff>
      <xdr:row>59</xdr:row>
      <xdr:rowOff>85725</xdr:rowOff>
    </xdr:from>
    <xdr:ext cx="5715000" cy="3533775"/>
    <xdr:graphicFrame>
      <xdr:nvGraphicFramePr>
        <xdr:cNvPr id="10" name="Chart 10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14</xdr:col>
      <xdr:colOff>123825</xdr:colOff>
      <xdr:row>78</xdr:row>
      <xdr:rowOff>123825</xdr:rowOff>
    </xdr:from>
    <xdr:ext cx="5715000" cy="3533775"/>
    <xdr:graphicFrame>
      <xdr:nvGraphicFramePr>
        <xdr:cNvPr id="11" name="Chart 1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14</xdr:col>
      <xdr:colOff>123825</xdr:colOff>
      <xdr:row>97</xdr:row>
      <xdr:rowOff>161925</xdr:rowOff>
    </xdr:from>
    <xdr:ext cx="5715000" cy="3533775"/>
    <xdr:graphicFrame>
      <xdr:nvGraphicFramePr>
        <xdr:cNvPr id="12" name="Chart 1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14</xdr:col>
      <xdr:colOff>38100</xdr:colOff>
      <xdr:row>0</xdr:row>
      <xdr:rowOff>352425</xdr:rowOff>
    </xdr:from>
    <xdr:ext cx="5715000" cy="3533775"/>
    <xdr:graphicFrame>
      <xdr:nvGraphicFramePr>
        <xdr:cNvPr id="13" name="Chart 1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13</xdr:col>
      <xdr:colOff>933450</xdr:colOff>
      <xdr:row>20</xdr:row>
      <xdr:rowOff>57150</xdr:rowOff>
    </xdr:from>
    <xdr:ext cx="5715000" cy="3533775"/>
    <xdr:graphicFrame>
      <xdr:nvGraphicFramePr>
        <xdr:cNvPr id="14" name="Chart 1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13</xdr:col>
      <xdr:colOff>885825</xdr:colOff>
      <xdr:row>39</xdr:row>
      <xdr:rowOff>142875</xdr:rowOff>
    </xdr:from>
    <xdr:ext cx="5715000" cy="3533775"/>
    <xdr:graphicFrame>
      <xdr:nvGraphicFramePr>
        <xdr:cNvPr id="15" name="Chart 1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13</xdr:col>
      <xdr:colOff>885825</xdr:colOff>
      <xdr:row>58</xdr:row>
      <xdr:rowOff>142875</xdr:rowOff>
    </xdr:from>
    <xdr:ext cx="5715000" cy="3533775"/>
    <xdr:graphicFrame>
      <xdr:nvGraphicFramePr>
        <xdr:cNvPr id="16" name="Chart 1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13</xdr:col>
      <xdr:colOff>876300</xdr:colOff>
      <xdr:row>77</xdr:row>
      <xdr:rowOff>142875</xdr:rowOff>
    </xdr:from>
    <xdr:ext cx="5715000" cy="3533775"/>
    <xdr:graphicFrame>
      <xdr:nvGraphicFramePr>
        <xdr:cNvPr id="17" name="Chart 17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13</xdr:col>
      <xdr:colOff>828675</xdr:colOff>
      <xdr:row>98</xdr:row>
      <xdr:rowOff>19050</xdr:rowOff>
    </xdr:from>
    <xdr:ext cx="5715000" cy="3533775"/>
    <xdr:graphicFrame>
      <xdr:nvGraphicFramePr>
        <xdr:cNvPr id="18" name="Chart 18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14</xdr:col>
      <xdr:colOff>190500</xdr:colOff>
      <xdr:row>0</xdr:row>
      <xdr:rowOff>238125</xdr:rowOff>
    </xdr:from>
    <xdr:ext cx="5715000" cy="3533775"/>
    <xdr:graphicFrame>
      <xdr:nvGraphicFramePr>
        <xdr:cNvPr id="19" name="Chart 19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14</xdr:col>
      <xdr:colOff>190500</xdr:colOff>
      <xdr:row>18</xdr:row>
      <xdr:rowOff>85725</xdr:rowOff>
    </xdr:from>
    <xdr:ext cx="5715000" cy="3533775"/>
    <xdr:graphicFrame>
      <xdr:nvGraphicFramePr>
        <xdr:cNvPr id="20" name="Chart 20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14</xdr:col>
      <xdr:colOff>180975</xdr:colOff>
      <xdr:row>37</xdr:row>
      <xdr:rowOff>190500</xdr:rowOff>
    </xdr:from>
    <xdr:ext cx="5715000" cy="3533775"/>
    <xdr:graphicFrame>
      <xdr:nvGraphicFramePr>
        <xdr:cNvPr id="21" name="Chart 2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14</xdr:col>
      <xdr:colOff>180975</xdr:colOff>
      <xdr:row>56</xdr:row>
      <xdr:rowOff>171450</xdr:rowOff>
    </xdr:from>
    <xdr:ext cx="5715000" cy="3533775"/>
    <xdr:graphicFrame>
      <xdr:nvGraphicFramePr>
        <xdr:cNvPr id="22" name="Chart 2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14</xdr:col>
      <xdr:colOff>180975</xdr:colOff>
      <xdr:row>76</xdr:row>
      <xdr:rowOff>47625</xdr:rowOff>
    </xdr:from>
    <xdr:ext cx="5715000" cy="3533775"/>
    <xdr:graphicFrame>
      <xdr:nvGraphicFramePr>
        <xdr:cNvPr id="23" name="Chart 2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14</xdr:col>
      <xdr:colOff>133350</xdr:colOff>
      <xdr:row>95</xdr:row>
      <xdr:rowOff>47625</xdr:rowOff>
    </xdr:from>
    <xdr:ext cx="5715000" cy="3533775"/>
    <xdr:graphicFrame>
      <xdr:nvGraphicFramePr>
        <xdr:cNvPr id="24" name="Chart 2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14</xdr:col>
      <xdr:colOff>76200</xdr:colOff>
      <xdr:row>0</xdr:row>
      <xdr:rowOff>276225</xdr:rowOff>
    </xdr:from>
    <xdr:ext cx="5715000" cy="3533775"/>
    <xdr:graphicFrame>
      <xdr:nvGraphicFramePr>
        <xdr:cNvPr id="25" name="Chart 2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14</xdr:col>
      <xdr:colOff>76200</xdr:colOff>
      <xdr:row>19</xdr:row>
      <xdr:rowOff>57150</xdr:rowOff>
    </xdr:from>
    <xdr:ext cx="5715000" cy="3533775"/>
    <xdr:graphicFrame>
      <xdr:nvGraphicFramePr>
        <xdr:cNvPr id="26" name="Chart 2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14</xdr:col>
      <xdr:colOff>85725</xdr:colOff>
      <xdr:row>39</xdr:row>
      <xdr:rowOff>114300</xdr:rowOff>
    </xdr:from>
    <xdr:ext cx="5715000" cy="3533775"/>
    <xdr:graphicFrame>
      <xdr:nvGraphicFramePr>
        <xdr:cNvPr id="27" name="Chart 27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14</xdr:col>
      <xdr:colOff>85725</xdr:colOff>
      <xdr:row>59</xdr:row>
      <xdr:rowOff>66675</xdr:rowOff>
    </xdr:from>
    <xdr:ext cx="5715000" cy="3533775"/>
    <xdr:graphicFrame>
      <xdr:nvGraphicFramePr>
        <xdr:cNvPr id="28" name="Chart 28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14</xdr:col>
      <xdr:colOff>76200</xdr:colOff>
      <xdr:row>78</xdr:row>
      <xdr:rowOff>76200</xdr:rowOff>
    </xdr:from>
    <xdr:ext cx="5715000" cy="3533775"/>
    <xdr:graphicFrame>
      <xdr:nvGraphicFramePr>
        <xdr:cNvPr id="29" name="Chart 29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14</xdr:col>
      <xdr:colOff>85725</xdr:colOff>
      <xdr:row>98</xdr:row>
      <xdr:rowOff>123825</xdr:rowOff>
    </xdr:from>
    <xdr:ext cx="5715000" cy="3533775"/>
    <xdr:graphicFrame>
      <xdr:nvGraphicFramePr>
        <xdr:cNvPr id="30" name="Chart 30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390525</xdr:colOff>
      <xdr:row>0</xdr:row>
      <xdr:rowOff>76200</xdr:rowOff>
    </xdr:from>
    <xdr:ext cx="8086725" cy="3676650"/>
    <xdr:graphicFrame>
      <xdr:nvGraphicFramePr>
        <xdr:cNvPr id="31" name="Chart 3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628650</xdr:colOff>
      <xdr:row>20</xdr:row>
      <xdr:rowOff>123825</xdr:rowOff>
    </xdr:from>
    <xdr:ext cx="5172075" cy="2809875"/>
    <xdr:graphicFrame>
      <xdr:nvGraphicFramePr>
        <xdr:cNvPr id="32" name="Chart 3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4</xdr:col>
      <xdr:colOff>628650</xdr:colOff>
      <xdr:row>36</xdr:row>
      <xdr:rowOff>180975</xdr:rowOff>
    </xdr:from>
    <xdr:ext cx="5172075" cy="3067050"/>
    <xdr:graphicFrame>
      <xdr:nvGraphicFramePr>
        <xdr:cNvPr id="33" name="Chart 3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123825</xdr:colOff>
      <xdr:row>20</xdr:row>
      <xdr:rowOff>123825</xdr:rowOff>
    </xdr:from>
    <xdr:ext cx="4724400" cy="2809875"/>
    <xdr:graphicFrame>
      <xdr:nvGraphicFramePr>
        <xdr:cNvPr id="34" name="Chart 3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0</xdr:col>
      <xdr:colOff>123825</xdr:colOff>
      <xdr:row>36</xdr:row>
      <xdr:rowOff>180975</xdr:rowOff>
    </xdr:from>
    <xdr:ext cx="4600575" cy="2886075"/>
    <xdr:graphicFrame>
      <xdr:nvGraphicFramePr>
        <xdr:cNvPr id="35" name="Chart 3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10</xdr:col>
      <xdr:colOff>771525</xdr:colOff>
      <xdr:row>20</xdr:row>
      <xdr:rowOff>123825</xdr:rowOff>
    </xdr:from>
    <xdr:ext cx="4781550" cy="2886075"/>
    <xdr:graphicFrame>
      <xdr:nvGraphicFramePr>
        <xdr:cNvPr id="36" name="Chart 3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11</xdr:col>
      <xdr:colOff>9525</xdr:colOff>
      <xdr:row>36</xdr:row>
      <xdr:rowOff>180975</xdr:rowOff>
    </xdr:from>
    <xdr:ext cx="4638675" cy="2886075"/>
    <xdr:graphicFrame>
      <xdr:nvGraphicFramePr>
        <xdr:cNvPr id="37" name="Chart 37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16</xdr:col>
      <xdr:colOff>390525</xdr:colOff>
      <xdr:row>20</xdr:row>
      <xdr:rowOff>95250</xdr:rowOff>
    </xdr:from>
    <xdr:ext cx="4829175" cy="2886075"/>
    <xdr:graphicFrame>
      <xdr:nvGraphicFramePr>
        <xdr:cNvPr id="38" name="Chart 38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16</xdr:col>
      <xdr:colOff>447675</xdr:colOff>
      <xdr:row>36</xdr:row>
      <xdr:rowOff>104775</xdr:rowOff>
    </xdr:from>
    <xdr:ext cx="4724400" cy="2886075"/>
    <xdr:graphicFrame>
      <xdr:nvGraphicFramePr>
        <xdr:cNvPr id="39" name="Chart 39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22</xdr:col>
      <xdr:colOff>85725</xdr:colOff>
      <xdr:row>20</xdr:row>
      <xdr:rowOff>19050</xdr:rowOff>
    </xdr:from>
    <xdr:ext cx="4781550" cy="2962275"/>
    <xdr:graphicFrame>
      <xdr:nvGraphicFramePr>
        <xdr:cNvPr id="40" name="Chart 40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  <xdr:oneCellAnchor>
    <xdr:from>
      <xdr:col>22</xdr:col>
      <xdr:colOff>19050</xdr:colOff>
      <xdr:row>36</xdr:row>
      <xdr:rowOff>161925</xdr:rowOff>
    </xdr:from>
    <xdr:ext cx="4781550" cy="2962275"/>
    <xdr:graphicFrame>
      <xdr:nvGraphicFramePr>
        <xdr:cNvPr id="41" name="Chart 4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0"/>
    <col customWidth="1" min="2" max="2" width="11.75"/>
    <col customWidth="1" min="3" max="3" width="9.88"/>
    <col customWidth="1" min="4" max="4" width="6.88"/>
    <col customWidth="1" min="5" max="5" width="9.75"/>
    <col customWidth="1" min="6" max="6" width="22.13"/>
    <col customWidth="1" min="7" max="7" width="30.13"/>
    <col customWidth="1" min="8" max="8" width="15.0"/>
  </cols>
  <sheetData>
    <row r="1">
      <c r="A1" s="1" t="str">
        <f>IFERROR(__xludf.DUMMYFUNCTION("IMPORTRANGE(""https://docs.google.com/spreadsheets/d/1qs64yg3caddAEvkwbZDeEmZNDwba-IIvR-KuUQhuC1k/edit#gid=801375610"", ""Dataset!A1:G"")"),"país")</f>
        <v>país</v>
      </c>
      <c r="B1" s="2" t="str">
        <f>IFERROR(__xludf.DUMMYFUNCTION("""COMPUTED_VALUE"""),"data início")</f>
        <v>data início</v>
      </c>
      <c r="C1" s="2" t="str">
        <f>IFERROR(__xludf.DUMMYFUNCTION("""COMPUTED_VALUE"""),"data fim")</f>
        <v>data fim</v>
      </c>
      <c r="D1" s="2" t="str">
        <f>IFERROR(__xludf.DUMMYFUNCTION("""COMPUTED_VALUE"""),"dias")</f>
        <v>dias</v>
      </c>
      <c r="E1" s="2" t="str">
        <f>IFERROR(__xludf.DUMMYFUNCTION("""COMPUTED_VALUE"""),"semana")</f>
        <v>semana</v>
      </c>
      <c r="F1" s="2" t="str">
        <f>IFERROR(__xludf.DUMMYFUNCTION("""COMPUTED_VALUE"""),"total mortes reportadas")</f>
        <v>total mortes reportadas</v>
      </c>
      <c r="G1" s="2" t="str">
        <f>IFERROR(__xludf.DUMMYFUNCTION("""COMPUTED_VALUE"""),"total mortes reportadas por covid")</f>
        <v>total mortes reportadas por covid</v>
      </c>
    </row>
    <row r="2">
      <c r="A2" s="2" t="str">
        <f>IFERROR(__xludf.DUMMYFUNCTION("""COMPUTED_VALUE"""),"Mexico")</f>
        <v>Mexico</v>
      </c>
      <c r="B2" s="3">
        <f>IFERROR(__xludf.DUMMYFUNCTION("""COMPUTED_VALUE"""),42002.0)</f>
        <v>42002</v>
      </c>
      <c r="C2" s="3">
        <f>IFERROR(__xludf.DUMMYFUNCTION("""COMPUTED_VALUE"""),42008.0)</f>
        <v>42008</v>
      </c>
      <c r="D2" s="2">
        <f>IFERROR(__xludf.DUMMYFUNCTION("""COMPUTED_VALUE"""),7.0)</f>
        <v>7</v>
      </c>
      <c r="E2" s="2">
        <f>IFERROR(__xludf.DUMMYFUNCTION("""COMPUTED_VALUE"""),1.0)</f>
        <v>1</v>
      </c>
      <c r="F2" s="2">
        <f>IFERROR(__xludf.DUMMYFUNCTION("""COMPUTED_VALUE"""),15101.0)</f>
        <v>15101</v>
      </c>
      <c r="G2" s="2">
        <f>IFERROR(__xludf.DUMMYFUNCTION("""COMPUTED_VALUE"""),0.0)</f>
        <v>0</v>
      </c>
    </row>
    <row r="3">
      <c r="A3" s="2" t="str">
        <f>IFERROR(__xludf.DUMMYFUNCTION("""COMPUTED_VALUE"""),"Mexico")</f>
        <v>Mexico</v>
      </c>
      <c r="B3" s="3">
        <f>IFERROR(__xludf.DUMMYFUNCTION("""COMPUTED_VALUE"""),42009.0)</f>
        <v>42009</v>
      </c>
      <c r="C3" s="3">
        <f>IFERROR(__xludf.DUMMYFUNCTION("""COMPUTED_VALUE"""),42015.0)</f>
        <v>42015</v>
      </c>
      <c r="D3" s="2">
        <f>IFERROR(__xludf.DUMMYFUNCTION("""COMPUTED_VALUE"""),7.0)</f>
        <v>7</v>
      </c>
      <c r="E3" s="2">
        <f>IFERROR(__xludf.DUMMYFUNCTION("""COMPUTED_VALUE"""),2.0)</f>
        <v>2</v>
      </c>
      <c r="F3" s="2">
        <f>IFERROR(__xludf.DUMMYFUNCTION("""COMPUTED_VALUE"""),15449.0)</f>
        <v>15449</v>
      </c>
      <c r="G3" s="2">
        <f>IFERROR(__xludf.DUMMYFUNCTION("""COMPUTED_VALUE"""),0.0)</f>
        <v>0</v>
      </c>
    </row>
    <row r="4">
      <c r="A4" s="2" t="str">
        <f>IFERROR(__xludf.DUMMYFUNCTION("""COMPUTED_VALUE"""),"Mexico")</f>
        <v>Mexico</v>
      </c>
      <c r="B4" s="3">
        <f>IFERROR(__xludf.DUMMYFUNCTION("""COMPUTED_VALUE"""),42016.0)</f>
        <v>42016</v>
      </c>
      <c r="C4" s="3">
        <f>IFERROR(__xludf.DUMMYFUNCTION("""COMPUTED_VALUE"""),42022.0)</f>
        <v>42022</v>
      </c>
      <c r="D4" s="2">
        <f>IFERROR(__xludf.DUMMYFUNCTION("""COMPUTED_VALUE"""),7.0)</f>
        <v>7</v>
      </c>
      <c r="E4" s="2">
        <f>IFERROR(__xludf.DUMMYFUNCTION("""COMPUTED_VALUE"""),3.0)</f>
        <v>3</v>
      </c>
      <c r="F4" s="2">
        <f>IFERROR(__xludf.DUMMYFUNCTION("""COMPUTED_VALUE"""),14820.0)</f>
        <v>14820</v>
      </c>
      <c r="G4" s="2">
        <f>IFERROR(__xludf.DUMMYFUNCTION("""COMPUTED_VALUE"""),0.0)</f>
        <v>0</v>
      </c>
    </row>
    <row r="5">
      <c r="A5" s="2" t="str">
        <f>IFERROR(__xludf.DUMMYFUNCTION("""COMPUTED_VALUE"""),"Mexico")</f>
        <v>Mexico</v>
      </c>
      <c r="B5" s="3">
        <f>IFERROR(__xludf.DUMMYFUNCTION("""COMPUTED_VALUE"""),42023.0)</f>
        <v>42023</v>
      </c>
      <c r="C5" s="3">
        <f>IFERROR(__xludf.DUMMYFUNCTION("""COMPUTED_VALUE"""),42029.0)</f>
        <v>42029</v>
      </c>
      <c r="D5" s="2">
        <f>IFERROR(__xludf.DUMMYFUNCTION("""COMPUTED_VALUE"""),7.0)</f>
        <v>7</v>
      </c>
      <c r="E5" s="2">
        <f>IFERROR(__xludf.DUMMYFUNCTION("""COMPUTED_VALUE"""),4.0)</f>
        <v>4</v>
      </c>
      <c r="F5" s="2">
        <f>IFERROR(__xludf.DUMMYFUNCTION("""COMPUTED_VALUE"""),14172.0)</f>
        <v>14172</v>
      </c>
      <c r="G5" s="2">
        <f>IFERROR(__xludf.DUMMYFUNCTION("""COMPUTED_VALUE"""),0.0)</f>
        <v>0</v>
      </c>
    </row>
    <row r="6">
      <c r="A6" s="2" t="str">
        <f>IFERROR(__xludf.DUMMYFUNCTION("""COMPUTED_VALUE"""),"Mexico")</f>
        <v>Mexico</v>
      </c>
      <c r="B6" s="3">
        <f>IFERROR(__xludf.DUMMYFUNCTION("""COMPUTED_VALUE"""),42030.0)</f>
        <v>42030</v>
      </c>
      <c r="C6" s="3">
        <f>IFERROR(__xludf.DUMMYFUNCTION("""COMPUTED_VALUE"""),42036.0)</f>
        <v>42036</v>
      </c>
      <c r="D6" s="2">
        <f>IFERROR(__xludf.DUMMYFUNCTION("""COMPUTED_VALUE"""),7.0)</f>
        <v>7</v>
      </c>
      <c r="E6" s="2">
        <f>IFERROR(__xludf.DUMMYFUNCTION("""COMPUTED_VALUE"""),5.0)</f>
        <v>5</v>
      </c>
      <c r="F6" s="2">
        <f>IFERROR(__xludf.DUMMYFUNCTION("""COMPUTED_VALUE"""),13628.0)</f>
        <v>13628</v>
      </c>
      <c r="G6" s="2">
        <f>IFERROR(__xludf.DUMMYFUNCTION("""COMPUTED_VALUE"""),0.0)</f>
        <v>0</v>
      </c>
    </row>
    <row r="7">
      <c r="A7" s="2" t="str">
        <f>IFERROR(__xludf.DUMMYFUNCTION("""COMPUTED_VALUE"""),"Mexico")</f>
        <v>Mexico</v>
      </c>
      <c r="B7" s="3">
        <f>IFERROR(__xludf.DUMMYFUNCTION("""COMPUTED_VALUE"""),42037.0)</f>
        <v>42037</v>
      </c>
      <c r="C7" s="3">
        <f>IFERROR(__xludf.DUMMYFUNCTION("""COMPUTED_VALUE"""),42043.0)</f>
        <v>42043</v>
      </c>
      <c r="D7" s="2">
        <f>IFERROR(__xludf.DUMMYFUNCTION("""COMPUTED_VALUE"""),7.0)</f>
        <v>7</v>
      </c>
      <c r="E7" s="2">
        <f>IFERROR(__xludf.DUMMYFUNCTION("""COMPUTED_VALUE"""),6.0)</f>
        <v>6</v>
      </c>
      <c r="F7" s="2">
        <f>IFERROR(__xludf.DUMMYFUNCTION("""COMPUTED_VALUE"""),13914.0)</f>
        <v>13914</v>
      </c>
      <c r="G7" s="2">
        <f>IFERROR(__xludf.DUMMYFUNCTION("""COMPUTED_VALUE"""),0.0)</f>
        <v>0</v>
      </c>
    </row>
    <row r="8">
      <c r="A8" s="2" t="str">
        <f>IFERROR(__xludf.DUMMYFUNCTION("""COMPUTED_VALUE"""),"Mexico")</f>
        <v>Mexico</v>
      </c>
      <c r="B8" s="3">
        <f>IFERROR(__xludf.DUMMYFUNCTION("""COMPUTED_VALUE"""),42044.0)</f>
        <v>42044</v>
      </c>
      <c r="C8" s="3">
        <f>IFERROR(__xludf.DUMMYFUNCTION("""COMPUTED_VALUE"""),42050.0)</f>
        <v>42050</v>
      </c>
      <c r="D8" s="2">
        <f>IFERROR(__xludf.DUMMYFUNCTION("""COMPUTED_VALUE"""),7.0)</f>
        <v>7</v>
      </c>
      <c r="E8" s="2">
        <f>IFERROR(__xludf.DUMMYFUNCTION("""COMPUTED_VALUE"""),7.0)</f>
        <v>7</v>
      </c>
      <c r="F8" s="2">
        <f>IFERROR(__xludf.DUMMYFUNCTION("""COMPUTED_VALUE"""),13550.0)</f>
        <v>13550</v>
      </c>
      <c r="G8" s="2">
        <f>IFERROR(__xludf.DUMMYFUNCTION("""COMPUTED_VALUE"""),0.0)</f>
        <v>0</v>
      </c>
    </row>
    <row r="9">
      <c r="A9" s="2" t="str">
        <f>IFERROR(__xludf.DUMMYFUNCTION("""COMPUTED_VALUE"""),"Mexico")</f>
        <v>Mexico</v>
      </c>
      <c r="B9" s="3">
        <f>IFERROR(__xludf.DUMMYFUNCTION("""COMPUTED_VALUE"""),42051.0)</f>
        <v>42051</v>
      </c>
      <c r="C9" s="3">
        <f>IFERROR(__xludf.DUMMYFUNCTION("""COMPUTED_VALUE"""),42057.0)</f>
        <v>42057</v>
      </c>
      <c r="D9" s="2">
        <f>IFERROR(__xludf.DUMMYFUNCTION("""COMPUTED_VALUE"""),7.0)</f>
        <v>7</v>
      </c>
      <c r="E9" s="2">
        <f>IFERROR(__xludf.DUMMYFUNCTION("""COMPUTED_VALUE"""),8.0)</f>
        <v>8</v>
      </c>
      <c r="F9" s="2">
        <f>IFERROR(__xludf.DUMMYFUNCTION("""COMPUTED_VALUE"""),13799.0)</f>
        <v>13799</v>
      </c>
      <c r="G9" s="2">
        <f>IFERROR(__xludf.DUMMYFUNCTION("""COMPUTED_VALUE"""),0.0)</f>
        <v>0</v>
      </c>
    </row>
    <row r="10">
      <c r="A10" s="2" t="str">
        <f>IFERROR(__xludf.DUMMYFUNCTION("""COMPUTED_VALUE"""),"Mexico")</f>
        <v>Mexico</v>
      </c>
      <c r="B10" s="3">
        <f>IFERROR(__xludf.DUMMYFUNCTION("""COMPUTED_VALUE"""),42058.0)</f>
        <v>42058</v>
      </c>
      <c r="C10" s="3">
        <f>IFERROR(__xludf.DUMMYFUNCTION("""COMPUTED_VALUE"""),42064.0)</f>
        <v>42064</v>
      </c>
      <c r="D10" s="2">
        <f>IFERROR(__xludf.DUMMYFUNCTION("""COMPUTED_VALUE"""),7.0)</f>
        <v>7</v>
      </c>
      <c r="E10" s="2">
        <f>IFERROR(__xludf.DUMMYFUNCTION("""COMPUTED_VALUE"""),9.0)</f>
        <v>9</v>
      </c>
      <c r="F10" s="2">
        <f>IFERROR(__xludf.DUMMYFUNCTION("""COMPUTED_VALUE"""),13054.0)</f>
        <v>13054</v>
      </c>
      <c r="G10" s="2">
        <f>IFERROR(__xludf.DUMMYFUNCTION("""COMPUTED_VALUE"""),0.0)</f>
        <v>0</v>
      </c>
    </row>
    <row r="11">
      <c r="A11" s="2" t="str">
        <f>IFERROR(__xludf.DUMMYFUNCTION("""COMPUTED_VALUE"""),"Mexico")</f>
        <v>Mexico</v>
      </c>
      <c r="B11" s="3">
        <f>IFERROR(__xludf.DUMMYFUNCTION("""COMPUTED_VALUE"""),42065.0)</f>
        <v>42065</v>
      </c>
      <c r="C11" s="3">
        <f>IFERROR(__xludf.DUMMYFUNCTION("""COMPUTED_VALUE"""),42071.0)</f>
        <v>42071</v>
      </c>
      <c r="D11" s="2">
        <f>IFERROR(__xludf.DUMMYFUNCTION("""COMPUTED_VALUE"""),7.0)</f>
        <v>7</v>
      </c>
      <c r="E11" s="2">
        <f>IFERROR(__xludf.DUMMYFUNCTION("""COMPUTED_VALUE"""),10.0)</f>
        <v>10</v>
      </c>
      <c r="F11" s="2">
        <f>IFERROR(__xludf.DUMMYFUNCTION("""COMPUTED_VALUE"""),12979.0)</f>
        <v>12979</v>
      </c>
      <c r="G11" s="2">
        <f>IFERROR(__xludf.DUMMYFUNCTION("""COMPUTED_VALUE"""),0.0)</f>
        <v>0</v>
      </c>
    </row>
    <row r="12">
      <c r="A12" s="2" t="str">
        <f>IFERROR(__xludf.DUMMYFUNCTION("""COMPUTED_VALUE"""),"Mexico")</f>
        <v>Mexico</v>
      </c>
      <c r="B12" s="3">
        <f>IFERROR(__xludf.DUMMYFUNCTION("""COMPUTED_VALUE"""),42072.0)</f>
        <v>42072</v>
      </c>
      <c r="C12" s="3">
        <f>IFERROR(__xludf.DUMMYFUNCTION("""COMPUTED_VALUE"""),42078.0)</f>
        <v>42078</v>
      </c>
      <c r="D12" s="2">
        <f>IFERROR(__xludf.DUMMYFUNCTION("""COMPUTED_VALUE"""),7.0)</f>
        <v>7</v>
      </c>
      <c r="E12" s="2">
        <f>IFERROR(__xludf.DUMMYFUNCTION("""COMPUTED_VALUE"""),11.0)</f>
        <v>11</v>
      </c>
      <c r="F12" s="2">
        <f>IFERROR(__xludf.DUMMYFUNCTION("""COMPUTED_VALUE"""),12498.0)</f>
        <v>12498</v>
      </c>
      <c r="G12" s="2">
        <f>IFERROR(__xludf.DUMMYFUNCTION("""COMPUTED_VALUE"""),0.0)</f>
        <v>0</v>
      </c>
    </row>
    <row r="13">
      <c r="A13" s="2" t="str">
        <f>IFERROR(__xludf.DUMMYFUNCTION("""COMPUTED_VALUE"""),"Mexico")</f>
        <v>Mexico</v>
      </c>
      <c r="B13" s="3">
        <f>IFERROR(__xludf.DUMMYFUNCTION("""COMPUTED_VALUE"""),42079.0)</f>
        <v>42079</v>
      </c>
      <c r="C13" s="3">
        <f>IFERROR(__xludf.DUMMYFUNCTION("""COMPUTED_VALUE"""),42085.0)</f>
        <v>42085</v>
      </c>
      <c r="D13" s="2">
        <f>IFERROR(__xludf.DUMMYFUNCTION("""COMPUTED_VALUE"""),7.0)</f>
        <v>7</v>
      </c>
      <c r="E13" s="2">
        <f>IFERROR(__xludf.DUMMYFUNCTION("""COMPUTED_VALUE"""),12.0)</f>
        <v>12</v>
      </c>
      <c r="F13" s="2">
        <f>IFERROR(__xludf.DUMMYFUNCTION("""COMPUTED_VALUE"""),13133.0)</f>
        <v>13133</v>
      </c>
      <c r="G13" s="2">
        <f>IFERROR(__xludf.DUMMYFUNCTION("""COMPUTED_VALUE"""),0.0)</f>
        <v>0</v>
      </c>
    </row>
    <row r="14">
      <c r="A14" s="2" t="str">
        <f>IFERROR(__xludf.DUMMYFUNCTION("""COMPUTED_VALUE"""),"Mexico")</f>
        <v>Mexico</v>
      </c>
      <c r="B14" s="3">
        <f>IFERROR(__xludf.DUMMYFUNCTION("""COMPUTED_VALUE"""),42086.0)</f>
        <v>42086</v>
      </c>
      <c r="C14" s="3">
        <f>IFERROR(__xludf.DUMMYFUNCTION("""COMPUTED_VALUE"""),42092.0)</f>
        <v>42092</v>
      </c>
      <c r="D14" s="2">
        <f>IFERROR(__xludf.DUMMYFUNCTION("""COMPUTED_VALUE"""),7.0)</f>
        <v>7</v>
      </c>
      <c r="E14" s="2">
        <f>IFERROR(__xludf.DUMMYFUNCTION("""COMPUTED_VALUE"""),13.0)</f>
        <v>13</v>
      </c>
      <c r="F14" s="2">
        <f>IFERROR(__xludf.DUMMYFUNCTION("""COMPUTED_VALUE"""),12066.0)</f>
        <v>12066</v>
      </c>
      <c r="G14" s="2">
        <f>IFERROR(__xludf.DUMMYFUNCTION("""COMPUTED_VALUE"""),0.0)</f>
        <v>0</v>
      </c>
    </row>
    <row r="15">
      <c r="A15" s="2" t="str">
        <f>IFERROR(__xludf.DUMMYFUNCTION("""COMPUTED_VALUE"""),"Mexico")</f>
        <v>Mexico</v>
      </c>
      <c r="B15" s="3">
        <f>IFERROR(__xludf.DUMMYFUNCTION("""COMPUTED_VALUE"""),42093.0)</f>
        <v>42093</v>
      </c>
      <c r="C15" s="3">
        <f>IFERROR(__xludf.DUMMYFUNCTION("""COMPUTED_VALUE"""),42099.0)</f>
        <v>42099</v>
      </c>
      <c r="D15" s="2">
        <f>IFERROR(__xludf.DUMMYFUNCTION("""COMPUTED_VALUE"""),7.0)</f>
        <v>7</v>
      </c>
      <c r="E15" s="2">
        <f>IFERROR(__xludf.DUMMYFUNCTION("""COMPUTED_VALUE"""),14.0)</f>
        <v>14</v>
      </c>
      <c r="F15" s="2">
        <f>IFERROR(__xludf.DUMMYFUNCTION("""COMPUTED_VALUE"""),12477.0)</f>
        <v>12477</v>
      </c>
      <c r="G15" s="2">
        <f>IFERROR(__xludf.DUMMYFUNCTION("""COMPUTED_VALUE"""),0.0)</f>
        <v>0</v>
      </c>
    </row>
    <row r="16">
      <c r="A16" s="2" t="str">
        <f>IFERROR(__xludf.DUMMYFUNCTION("""COMPUTED_VALUE"""),"Mexico")</f>
        <v>Mexico</v>
      </c>
      <c r="B16" s="3">
        <f>IFERROR(__xludf.DUMMYFUNCTION("""COMPUTED_VALUE"""),42100.0)</f>
        <v>42100</v>
      </c>
      <c r="C16" s="3">
        <f>IFERROR(__xludf.DUMMYFUNCTION("""COMPUTED_VALUE"""),42106.0)</f>
        <v>42106</v>
      </c>
      <c r="D16" s="2">
        <f>IFERROR(__xludf.DUMMYFUNCTION("""COMPUTED_VALUE"""),7.0)</f>
        <v>7</v>
      </c>
      <c r="E16" s="2">
        <f>IFERROR(__xludf.DUMMYFUNCTION("""COMPUTED_VALUE"""),15.0)</f>
        <v>15</v>
      </c>
      <c r="F16" s="2">
        <f>IFERROR(__xludf.DUMMYFUNCTION("""COMPUTED_VALUE"""),12202.0)</f>
        <v>12202</v>
      </c>
      <c r="G16" s="2">
        <f>IFERROR(__xludf.DUMMYFUNCTION("""COMPUTED_VALUE"""),0.0)</f>
        <v>0</v>
      </c>
    </row>
    <row r="17">
      <c r="A17" s="2" t="str">
        <f>IFERROR(__xludf.DUMMYFUNCTION("""COMPUTED_VALUE"""),"Mexico")</f>
        <v>Mexico</v>
      </c>
      <c r="B17" s="3">
        <f>IFERROR(__xludf.DUMMYFUNCTION("""COMPUTED_VALUE"""),42107.0)</f>
        <v>42107</v>
      </c>
      <c r="C17" s="3">
        <f>IFERROR(__xludf.DUMMYFUNCTION("""COMPUTED_VALUE"""),42113.0)</f>
        <v>42113</v>
      </c>
      <c r="D17" s="2">
        <f>IFERROR(__xludf.DUMMYFUNCTION("""COMPUTED_VALUE"""),7.0)</f>
        <v>7</v>
      </c>
      <c r="E17" s="2">
        <f>IFERROR(__xludf.DUMMYFUNCTION("""COMPUTED_VALUE"""),16.0)</f>
        <v>16</v>
      </c>
      <c r="F17" s="2">
        <f>IFERROR(__xludf.DUMMYFUNCTION("""COMPUTED_VALUE"""),11796.0)</f>
        <v>11796</v>
      </c>
      <c r="G17" s="2">
        <f>IFERROR(__xludf.DUMMYFUNCTION("""COMPUTED_VALUE"""),0.0)</f>
        <v>0</v>
      </c>
    </row>
    <row r="18">
      <c r="A18" s="2" t="str">
        <f>IFERROR(__xludf.DUMMYFUNCTION("""COMPUTED_VALUE"""),"Mexico")</f>
        <v>Mexico</v>
      </c>
      <c r="B18" s="3">
        <f>IFERROR(__xludf.DUMMYFUNCTION("""COMPUTED_VALUE"""),42114.0)</f>
        <v>42114</v>
      </c>
      <c r="C18" s="3">
        <f>IFERROR(__xludf.DUMMYFUNCTION("""COMPUTED_VALUE"""),42120.0)</f>
        <v>42120</v>
      </c>
      <c r="D18" s="2">
        <f>IFERROR(__xludf.DUMMYFUNCTION("""COMPUTED_VALUE"""),7.0)</f>
        <v>7</v>
      </c>
      <c r="E18" s="2">
        <f>IFERROR(__xludf.DUMMYFUNCTION("""COMPUTED_VALUE"""),17.0)</f>
        <v>17</v>
      </c>
      <c r="F18" s="2">
        <f>IFERROR(__xludf.DUMMYFUNCTION("""COMPUTED_VALUE"""),12403.0)</f>
        <v>12403</v>
      </c>
      <c r="G18" s="2">
        <f>IFERROR(__xludf.DUMMYFUNCTION("""COMPUTED_VALUE"""),0.0)</f>
        <v>0</v>
      </c>
    </row>
    <row r="19">
      <c r="A19" s="2" t="str">
        <f>IFERROR(__xludf.DUMMYFUNCTION("""COMPUTED_VALUE"""),"Mexico")</f>
        <v>Mexico</v>
      </c>
      <c r="B19" s="3">
        <f>IFERROR(__xludf.DUMMYFUNCTION("""COMPUTED_VALUE"""),42121.0)</f>
        <v>42121</v>
      </c>
      <c r="C19" s="3">
        <f>IFERROR(__xludf.DUMMYFUNCTION("""COMPUTED_VALUE"""),42127.0)</f>
        <v>42127</v>
      </c>
      <c r="D19" s="2">
        <f>IFERROR(__xludf.DUMMYFUNCTION("""COMPUTED_VALUE"""),7.0)</f>
        <v>7</v>
      </c>
      <c r="E19" s="2">
        <f>IFERROR(__xludf.DUMMYFUNCTION("""COMPUTED_VALUE"""),18.0)</f>
        <v>18</v>
      </c>
      <c r="F19" s="2">
        <f>IFERROR(__xludf.DUMMYFUNCTION("""COMPUTED_VALUE"""),11763.0)</f>
        <v>11763</v>
      </c>
      <c r="G19" s="2">
        <f>IFERROR(__xludf.DUMMYFUNCTION("""COMPUTED_VALUE"""),0.0)</f>
        <v>0</v>
      </c>
    </row>
    <row r="20">
      <c r="A20" s="2" t="str">
        <f>IFERROR(__xludf.DUMMYFUNCTION("""COMPUTED_VALUE"""),"Mexico")</f>
        <v>Mexico</v>
      </c>
      <c r="B20" s="3">
        <f>IFERROR(__xludf.DUMMYFUNCTION("""COMPUTED_VALUE"""),42128.0)</f>
        <v>42128</v>
      </c>
      <c r="C20" s="3">
        <f>IFERROR(__xludf.DUMMYFUNCTION("""COMPUTED_VALUE"""),42134.0)</f>
        <v>42134</v>
      </c>
      <c r="D20" s="2">
        <f>IFERROR(__xludf.DUMMYFUNCTION("""COMPUTED_VALUE"""),7.0)</f>
        <v>7</v>
      </c>
      <c r="E20" s="2">
        <f>IFERROR(__xludf.DUMMYFUNCTION("""COMPUTED_VALUE"""),19.0)</f>
        <v>19</v>
      </c>
      <c r="F20" s="2">
        <f>IFERROR(__xludf.DUMMYFUNCTION("""COMPUTED_VALUE"""),12059.0)</f>
        <v>12059</v>
      </c>
      <c r="G20" s="2">
        <f>IFERROR(__xludf.DUMMYFUNCTION("""COMPUTED_VALUE"""),0.0)</f>
        <v>0</v>
      </c>
    </row>
    <row r="21">
      <c r="A21" s="2" t="str">
        <f>IFERROR(__xludf.DUMMYFUNCTION("""COMPUTED_VALUE"""),"Mexico")</f>
        <v>Mexico</v>
      </c>
      <c r="B21" s="3">
        <f>IFERROR(__xludf.DUMMYFUNCTION("""COMPUTED_VALUE"""),42135.0)</f>
        <v>42135</v>
      </c>
      <c r="C21" s="3">
        <f>IFERROR(__xludf.DUMMYFUNCTION("""COMPUTED_VALUE"""),42141.0)</f>
        <v>42141</v>
      </c>
      <c r="D21" s="2">
        <f>IFERROR(__xludf.DUMMYFUNCTION("""COMPUTED_VALUE"""),7.0)</f>
        <v>7</v>
      </c>
      <c r="E21" s="2">
        <f>IFERROR(__xludf.DUMMYFUNCTION("""COMPUTED_VALUE"""),20.0)</f>
        <v>20</v>
      </c>
      <c r="F21" s="2">
        <f>IFERROR(__xludf.DUMMYFUNCTION("""COMPUTED_VALUE"""),11732.0)</f>
        <v>11732</v>
      </c>
      <c r="G21" s="2">
        <f>IFERROR(__xludf.DUMMYFUNCTION("""COMPUTED_VALUE"""),0.0)</f>
        <v>0</v>
      </c>
    </row>
    <row r="22">
      <c r="A22" s="2" t="str">
        <f>IFERROR(__xludf.DUMMYFUNCTION("""COMPUTED_VALUE"""),"Mexico")</f>
        <v>Mexico</v>
      </c>
      <c r="B22" s="3">
        <f>IFERROR(__xludf.DUMMYFUNCTION("""COMPUTED_VALUE"""),42142.0)</f>
        <v>42142</v>
      </c>
      <c r="C22" s="3">
        <f>IFERROR(__xludf.DUMMYFUNCTION("""COMPUTED_VALUE"""),42148.0)</f>
        <v>42148</v>
      </c>
      <c r="D22" s="2">
        <f>IFERROR(__xludf.DUMMYFUNCTION("""COMPUTED_VALUE"""),7.0)</f>
        <v>7</v>
      </c>
      <c r="E22" s="2">
        <f>IFERROR(__xludf.DUMMYFUNCTION("""COMPUTED_VALUE"""),21.0)</f>
        <v>21</v>
      </c>
      <c r="F22" s="2">
        <f>IFERROR(__xludf.DUMMYFUNCTION("""COMPUTED_VALUE"""),11856.0)</f>
        <v>11856</v>
      </c>
      <c r="G22" s="2">
        <f>IFERROR(__xludf.DUMMYFUNCTION("""COMPUTED_VALUE"""),0.0)</f>
        <v>0</v>
      </c>
    </row>
    <row r="23">
      <c r="A23" s="2" t="str">
        <f>IFERROR(__xludf.DUMMYFUNCTION("""COMPUTED_VALUE"""),"Mexico")</f>
        <v>Mexico</v>
      </c>
      <c r="B23" s="3">
        <f>IFERROR(__xludf.DUMMYFUNCTION("""COMPUTED_VALUE"""),42149.0)</f>
        <v>42149</v>
      </c>
      <c r="C23" s="3">
        <f>IFERROR(__xludf.DUMMYFUNCTION("""COMPUTED_VALUE"""),42155.0)</f>
        <v>42155</v>
      </c>
      <c r="D23" s="2">
        <f>IFERROR(__xludf.DUMMYFUNCTION("""COMPUTED_VALUE"""),7.0)</f>
        <v>7</v>
      </c>
      <c r="E23" s="2">
        <f>IFERROR(__xludf.DUMMYFUNCTION("""COMPUTED_VALUE"""),22.0)</f>
        <v>22</v>
      </c>
      <c r="F23" s="2">
        <f>IFERROR(__xludf.DUMMYFUNCTION("""COMPUTED_VALUE"""),11608.0)</f>
        <v>11608</v>
      </c>
      <c r="G23" s="2">
        <f>IFERROR(__xludf.DUMMYFUNCTION("""COMPUTED_VALUE"""),0.0)</f>
        <v>0</v>
      </c>
    </row>
    <row r="24">
      <c r="A24" s="2" t="str">
        <f>IFERROR(__xludf.DUMMYFUNCTION("""COMPUTED_VALUE"""),"Mexico")</f>
        <v>Mexico</v>
      </c>
      <c r="B24" s="3">
        <f>IFERROR(__xludf.DUMMYFUNCTION("""COMPUTED_VALUE"""),42156.0)</f>
        <v>42156</v>
      </c>
      <c r="C24" s="3">
        <f>IFERROR(__xludf.DUMMYFUNCTION("""COMPUTED_VALUE"""),42162.0)</f>
        <v>42162</v>
      </c>
      <c r="D24" s="2">
        <f>IFERROR(__xludf.DUMMYFUNCTION("""COMPUTED_VALUE"""),7.0)</f>
        <v>7</v>
      </c>
      <c r="E24" s="2">
        <f>IFERROR(__xludf.DUMMYFUNCTION("""COMPUTED_VALUE"""),23.0)</f>
        <v>23</v>
      </c>
      <c r="F24" s="2">
        <f>IFERROR(__xludf.DUMMYFUNCTION("""COMPUTED_VALUE"""),11876.0)</f>
        <v>11876</v>
      </c>
      <c r="G24" s="2">
        <f>IFERROR(__xludf.DUMMYFUNCTION("""COMPUTED_VALUE"""),0.0)</f>
        <v>0</v>
      </c>
    </row>
    <row r="25">
      <c r="A25" s="2" t="str">
        <f>IFERROR(__xludf.DUMMYFUNCTION("""COMPUTED_VALUE"""),"Mexico")</f>
        <v>Mexico</v>
      </c>
      <c r="B25" s="3">
        <f>IFERROR(__xludf.DUMMYFUNCTION("""COMPUTED_VALUE"""),42163.0)</f>
        <v>42163</v>
      </c>
      <c r="C25" s="3">
        <f>IFERROR(__xludf.DUMMYFUNCTION("""COMPUTED_VALUE"""),42169.0)</f>
        <v>42169</v>
      </c>
      <c r="D25" s="2">
        <f>IFERROR(__xludf.DUMMYFUNCTION("""COMPUTED_VALUE"""),7.0)</f>
        <v>7</v>
      </c>
      <c r="E25" s="2">
        <f>IFERROR(__xludf.DUMMYFUNCTION("""COMPUTED_VALUE"""),24.0)</f>
        <v>24</v>
      </c>
      <c r="F25" s="2">
        <f>IFERROR(__xludf.DUMMYFUNCTION("""COMPUTED_VALUE"""),11709.0)</f>
        <v>11709</v>
      </c>
      <c r="G25" s="2">
        <f>IFERROR(__xludf.DUMMYFUNCTION("""COMPUTED_VALUE"""),0.0)</f>
        <v>0</v>
      </c>
    </row>
    <row r="26">
      <c r="A26" s="2" t="str">
        <f>IFERROR(__xludf.DUMMYFUNCTION("""COMPUTED_VALUE"""),"Mexico")</f>
        <v>Mexico</v>
      </c>
      <c r="B26" s="3">
        <f>IFERROR(__xludf.DUMMYFUNCTION("""COMPUTED_VALUE"""),42170.0)</f>
        <v>42170</v>
      </c>
      <c r="C26" s="3">
        <f>IFERROR(__xludf.DUMMYFUNCTION("""COMPUTED_VALUE"""),42176.0)</f>
        <v>42176</v>
      </c>
      <c r="D26" s="2">
        <f>IFERROR(__xludf.DUMMYFUNCTION("""COMPUTED_VALUE"""),7.0)</f>
        <v>7</v>
      </c>
      <c r="E26" s="2">
        <f>IFERROR(__xludf.DUMMYFUNCTION("""COMPUTED_VALUE"""),25.0)</f>
        <v>25</v>
      </c>
      <c r="F26" s="2">
        <f>IFERROR(__xludf.DUMMYFUNCTION("""COMPUTED_VALUE"""),11510.0)</f>
        <v>11510</v>
      </c>
      <c r="G26" s="2">
        <f>IFERROR(__xludf.DUMMYFUNCTION("""COMPUTED_VALUE"""),0.0)</f>
        <v>0</v>
      </c>
    </row>
    <row r="27">
      <c r="A27" s="2" t="str">
        <f>IFERROR(__xludf.DUMMYFUNCTION("""COMPUTED_VALUE"""),"Mexico")</f>
        <v>Mexico</v>
      </c>
      <c r="B27" s="3">
        <f>IFERROR(__xludf.DUMMYFUNCTION("""COMPUTED_VALUE"""),42177.0)</f>
        <v>42177</v>
      </c>
      <c r="C27" s="3">
        <f>IFERROR(__xludf.DUMMYFUNCTION("""COMPUTED_VALUE"""),42183.0)</f>
        <v>42183</v>
      </c>
      <c r="D27" s="2">
        <f>IFERROR(__xludf.DUMMYFUNCTION("""COMPUTED_VALUE"""),7.0)</f>
        <v>7</v>
      </c>
      <c r="E27" s="2">
        <f>IFERROR(__xludf.DUMMYFUNCTION("""COMPUTED_VALUE"""),26.0)</f>
        <v>26</v>
      </c>
      <c r="F27" s="2">
        <f>IFERROR(__xludf.DUMMYFUNCTION("""COMPUTED_VALUE"""),11571.0)</f>
        <v>11571</v>
      </c>
      <c r="G27" s="2">
        <f>IFERROR(__xludf.DUMMYFUNCTION("""COMPUTED_VALUE"""),0.0)</f>
        <v>0</v>
      </c>
    </row>
    <row r="28">
      <c r="A28" s="2" t="str">
        <f>IFERROR(__xludf.DUMMYFUNCTION("""COMPUTED_VALUE"""),"Mexico")</f>
        <v>Mexico</v>
      </c>
      <c r="B28" s="3">
        <f>IFERROR(__xludf.DUMMYFUNCTION("""COMPUTED_VALUE"""),42184.0)</f>
        <v>42184</v>
      </c>
      <c r="C28" s="3">
        <f>IFERROR(__xludf.DUMMYFUNCTION("""COMPUTED_VALUE"""),42190.0)</f>
        <v>42190</v>
      </c>
      <c r="D28" s="2">
        <f>IFERROR(__xludf.DUMMYFUNCTION("""COMPUTED_VALUE"""),7.0)</f>
        <v>7</v>
      </c>
      <c r="E28" s="2">
        <f>IFERROR(__xludf.DUMMYFUNCTION("""COMPUTED_VALUE"""),27.0)</f>
        <v>27</v>
      </c>
      <c r="F28" s="2">
        <f>IFERROR(__xludf.DUMMYFUNCTION("""COMPUTED_VALUE"""),11583.0)</f>
        <v>11583</v>
      </c>
      <c r="G28" s="2">
        <f>IFERROR(__xludf.DUMMYFUNCTION("""COMPUTED_VALUE"""),0.0)</f>
        <v>0</v>
      </c>
    </row>
    <row r="29">
      <c r="A29" s="2" t="str">
        <f>IFERROR(__xludf.DUMMYFUNCTION("""COMPUTED_VALUE"""),"Mexico")</f>
        <v>Mexico</v>
      </c>
      <c r="B29" s="3">
        <f>IFERROR(__xludf.DUMMYFUNCTION("""COMPUTED_VALUE"""),42191.0)</f>
        <v>42191</v>
      </c>
      <c r="C29" s="3">
        <f>IFERROR(__xludf.DUMMYFUNCTION("""COMPUTED_VALUE"""),42197.0)</f>
        <v>42197</v>
      </c>
      <c r="D29" s="2">
        <f>IFERROR(__xludf.DUMMYFUNCTION("""COMPUTED_VALUE"""),7.0)</f>
        <v>7</v>
      </c>
      <c r="E29" s="2">
        <f>IFERROR(__xludf.DUMMYFUNCTION("""COMPUTED_VALUE"""),28.0)</f>
        <v>28</v>
      </c>
      <c r="F29" s="2">
        <f>IFERROR(__xludf.DUMMYFUNCTION("""COMPUTED_VALUE"""),11538.0)</f>
        <v>11538</v>
      </c>
      <c r="G29" s="2">
        <f>IFERROR(__xludf.DUMMYFUNCTION("""COMPUTED_VALUE"""),0.0)</f>
        <v>0</v>
      </c>
    </row>
    <row r="30">
      <c r="A30" s="2" t="str">
        <f>IFERROR(__xludf.DUMMYFUNCTION("""COMPUTED_VALUE"""),"Mexico")</f>
        <v>Mexico</v>
      </c>
      <c r="B30" s="3">
        <f>IFERROR(__xludf.DUMMYFUNCTION("""COMPUTED_VALUE"""),42198.0)</f>
        <v>42198</v>
      </c>
      <c r="C30" s="3">
        <f>IFERROR(__xludf.DUMMYFUNCTION("""COMPUTED_VALUE"""),42204.0)</f>
        <v>42204</v>
      </c>
      <c r="D30" s="2">
        <f>IFERROR(__xludf.DUMMYFUNCTION("""COMPUTED_VALUE"""),7.0)</f>
        <v>7</v>
      </c>
      <c r="E30" s="2">
        <f>IFERROR(__xludf.DUMMYFUNCTION("""COMPUTED_VALUE"""),29.0)</f>
        <v>29</v>
      </c>
      <c r="F30" s="2">
        <f>IFERROR(__xludf.DUMMYFUNCTION("""COMPUTED_VALUE"""),12003.0)</f>
        <v>12003</v>
      </c>
      <c r="G30" s="2">
        <f>IFERROR(__xludf.DUMMYFUNCTION("""COMPUTED_VALUE"""),0.0)</f>
        <v>0</v>
      </c>
    </row>
    <row r="31">
      <c r="A31" s="2" t="str">
        <f>IFERROR(__xludf.DUMMYFUNCTION("""COMPUTED_VALUE"""),"Mexico")</f>
        <v>Mexico</v>
      </c>
      <c r="B31" s="3">
        <f>IFERROR(__xludf.DUMMYFUNCTION("""COMPUTED_VALUE"""),42205.0)</f>
        <v>42205</v>
      </c>
      <c r="C31" s="3">
        <f>IFERROR(__xludf.DUMMYFUNCTION("""COMPUTED_VALUE"""),42211.0)</f>
        <v>42211</v>
      </c>
      <c r="D31" s="2">
        <f>IFERROR(__xludf.DUMMYFUNCTION("""COMPUTED_VALUE"""),7.0)</f>
        <v>7</v>
      </c>
      <c r="E31" s="2">
        <f>IFERROR(__xludf.DUMMYFUNCTION("""COMPUTED_VALUE"""),30.0)</f>
        <v>30</v>
      </c>
      <c r="F31" s="2">
        <f>IFERROR(__xludf.DUMMYFUNCTION("""COMPUTED_VALUE"""),11947.0)</f>
        <v>11947</v>
      </c>
      <c r="G31" s="2">
        <f>IFERROR(__xludf.DUMMYFUNCTION("""COMPUTED_VALUE"""),0.0)</f>
        <v>0</v>
      </c>
    </row>
    <row r="32">
      <c r="A32" s="2" t="str">
        <f>IFERROR(__xludf.DUMMYFUNCTION("""COMPUTED_VALUE"""),"Mexico")</f>
        <v>Mexico</v>
      </c>
      <c r="B32" s="3">
        <f>IFERROR(__xludf.DUMMYFUNCTION("""COMPUTED_VALUE"""),42212.0)</f>
        <v>42212</v>
      </c>
      <c r="C32" s="3">
        <f>IFERROR(__xludf.DUMMYFUNCTION("""COMPUTED_VALUE"""),42218.0)</f>
        <v>42218</v>
      </c>
      <c r="D32" s="2">
        <f>IFERROR(__xludf.DUMMYFUNCTION("""COMPUTED_VALUE"""),7.0)</f>
        <v>7</v>
      </c>
      <c r="E32" s="2">
        <f>IFERROR(__xludf.DUMMYFUNCTION("""COMPUTED_VALUE"""),31.0)</f>
        <v>31</v>
      </c>
      <c r="F32" s="2">
        <f>IFERROR(__xludf.DUMMYFUNCTION("""COMPUTED_VALUE"""),12083.0)</f>
        <v>12083</v>
      </c>
      <c r="G32" s="2">
        <f>IFERROR(__xludf.DUMMYFUNCTION("""COMPUTED_VALUE"""),0.0)</f>
        <v>0</v>
      </c>
    </row>
    <row r="33">
      <c r="A33" s="2" t="str">
        <f>IFERROR(__xludf.DUMMYFUNCTION("""COMPUTED_VALUE"""),"Mexico")</f>
        <v>Mexico</v>
      </c>
      <c r="B33" s="3">
        <f>IFERROR(__xludf.DUMMYFUNCTION("""COMPUTED_VALUE"""),42219.0)</f>
        <v>42219</v>
      </c>
      <c r="C33" s="3">
        <f>IFERROR(__xludf.DUMMYFUNCTION("""COMPUTED_VALUE"""),42225.0)</f>
        <v>42225</v>
      </c>
      <c r="D33" s="2">
        <f>IFERROR(__xludf.DUMMYFUNCTION("""COMPUTED_VALUE"""),7.0)</f>
        <v>7</v>
      </c>
      <c r="E33" s="2">
        <f>IFERROR(__xludf.DUMMYFUNCTION("""COMPUTED_VALUE"""),32.0)</f>
        <v>32</v>
      </c>
      <c r="F33" s="2">
        <f>IFERROR(__xludf.DUMMYFUNCTION("""COMPUTED_VALUE"""),12237.0)</f>
        <v>12237</v>
      </c>
      <c r="G33" s="2">
        <f>IFERROR(__xludf.DUMMYFUNCTION("""COMPUTED_VALUE"""),0.0)</f>
        <v>0</v>
      </c>
    </row>
    <row r="34">
      <c r="A34" s="2" t="str">
        <f>IFERROR(__xludf.DUMMYFUNCTION("""COMPUTED_VALUE"""),"Mexico")</f>
        <v>Mexico</v>
      </c>
      <c r="B34" s="3">
        <f>IFERROR(__xludf.DUMMYFUNCTION("""COMPUTED_VALUE"""),42226.0)</f>
        <v>42226</v>
      </c>
      <c r="C34" s="3">
        <f>IFERROR(__xludf.DUMMYFUNCTION("""COMPUTED_VALUE"""),42232.0)</f>
        <v>42232</v>
      </c>
      <c r="D34" s="2">
        <f>IFERROR(__xludf.DUMMYFUNCTION("""COMPUTED_VALUE"""),7.0)</f>
        <v>7</v>
      </c>
      <c r="E34" s="2">
        <f>IFERROR(__xludf.DUMMYFUNCTION("""COMPUTED_VALUE"""),33.0)</f>
        <v>33</v>
      </c>
      <c r="F34" s="2">
        <f>IFERROR(__xludf.DUMMYFUNCTION("""COMPUTED_VALUE"""),11739.0)</f>
        <v>11739</v>
      </c>
      <c r="G34" s="2">
        <f>IFERROR(__xludf.DUMMYFUNCTION("""COMPUTED_VALUE"""),0.0)</f>
        <v>0</v>
      </c>
    </row>
    <row r="35">
      <c r="A35" s="2" t="str">
        <f>IFERROR(__xludf.DUMMYFUNCTION("""COMPUTED_VALUE"""),"Mexico")</f>
        <v>Mexico</v>
      </c>
      <c r="B35" s="3">
        <f>IFERROR(__xludf.DUMMYFUNCTION("""COMPUTED_VALUE"""),42233.0)</f>
        <v>42233</v>
      </c>
      <c r="C35" s="3">
        <f>IFERROR(__xludf.DUMMYFUNCTION("""COMPUTED_VALUE"""),42239.0)</f>
        <v>42239</v>
      </c>
      <c r="D35" s="2">
        <f>IFERROR(__xludf.DUMMYFUNCTION("""COMPUTED_VALUE"""),7.0)</f>
        <v>7</v>
      </c>
      <c r="E35" s="2">
        <f>IFERROR(__xludf.DUMMYFUNCTION("""COMPUTED_VALUE"""),34.0)</f>
        <v>34</v>
      </c>
      <c r="F35" s="2">
        <f>IFERROR(__xludf.DUMMYFUNCTION("""COMPUTED_VALUE"""),11670.0)</f>
        <v>11670</v>
      </c>
      <c r="G35" s="2">
        <f>IFERROR(__xludf.DUMMYFUNCTION("""COMPUTED_VALUE"""),0.0)</f>
        <v>0</v>
      </c>
    </row>
    <row r="36">
      <c r="A36" s="2" t="str">
        <f>IFERROR(__xludf.DUMMYFUNCTION("""COMPUTED_VALUE"""),"Mexico")</f>
        <v>Mexico</v>
      </c>
      <c r="B36" s="3">
        <f>IFERROR(__xludf.DUMMYFUNCTION("""COMPUTED_VALUE"""),42240.0)</f>
        <v>42240</v>
      </c>
      <c r="C36" s="3">
        <f>IFERROR(__xludf.DUMMYFUNCTION("""COMPUTED_VALUE"""),42246.0)</f>
        <v>42246</v>
      </c>
      <c r="D36" s="2">
        <f>IFERROR(__xludf.DUMMYFUNCTION("""COMPUTED_VALUE"""),7.0)</f>
        <v>7</v>
      </c>
      <c r="E36" s="2">
        <f>IFERROR(__xludf.DUMMYFUNCTION("""COMPUTED_VALUE"""),35.0)</f>
        <v>35</v>
      </c>
      <c r="F36" s="2">
        <f>IFERROR(__xludf.DUMMYFUNCTION("""COMPUTED_VALUE"""),11680.0)</f>
        <v>11680</v>
      </c>
      <c r="G36" s="2">
        <f>IFERROR(__xludf.DUMMYFUNCTION("""COMPUTED_VALUE"""),0.0)</f>
        <v>0</v>
      </c>
    </row>
    <row r="37">
      <c r="A37" s="2" t="str">
        <f>IFERROR(__xludf.DUMMYFUNCTION("""COMPUTED_VALUE"""),"Mexico")</f>
        <v>Mexico</v>
      </c>
      <c r="B37" s="3">
        <f>IFERROR(__xludf.DUMMYFUNCTION("""COMPUTED_VALUE"""),42247.0)</f>
        <v>42247</v>
      </c>
      <c r="C37" s="3">
        <f>IFERROR(__xludf.DUMMYFUNCTION("""COMPUTED_VALUE"""),42253.0)</f>
        <v>42253</v>
      </c>
      <c r="D37" s="2">
        <f>IFERROR(__xludf.DUMMYFUNCTION("""COMPUTED_VALUE"""),7.0)</f>
        <v>7</v>
      </c>
      <c r="E37" s="2">
        <f>IFERROR(__xludf.DUMMYFUNCTION("""COMPUTED_VALUE"""),36.0)</f>
        <v>36</v>
      </c>
      <c r="F37" s="2">
        <f>IFERROR(__xludf.DUMMYFUNCTION("""COMPUTED_VALUE"""),11668.0)</f>
        <v>11668</v>
      </c>
      <c r="G37" s="2">
        <f>IFERROR(__xludf.DUMMYFUNCTION("""COMPUTED_VALUE"""),0.0)</f>
        <v>0</v>
      </c>
    </row>
    <row r="38">
      <c r="A38" s="2" t="str">
        <f>IFERROR(__xludf.DUMMYFUNCTION("""COMPUTED_VALUE"""),"Mexico")</f>
        <v>Mexico</v>
      </c>
      <c r="B38" s="3">
        <f>IFERROR(__xludf.DUMMYFUNCTION("""COMPUTED_VALUE"""),42254.0)</f>
        <v>42254</v>
      </c>
      <c r="C38" s="3">
        <f>IFERROR(__xludf.DUMMYFUNCTION("""COMPUTED_VALUE"""),42260.0)</f>
        <v>42260</v>
      </c>
      <c r="D38" s="2">
        <f>IFERROR(__xludf.DUMMYFUNCTION("""COMPUTED_VALUE"""),7.0)</f>
        <v>7</v>
      </c>
      <c r="E38" s="2">
        <f>IFERROR(__xludf.DUMMYFUNCTION("""COMPUTED_VALUE"""),37.0)</f>
        <v>37</v>
      </c>
      <c r="F38" s="2">
        <f>IFERROR(__xludf.DUMMYFUNCTION("""COMPUTED_VALUE"""),11814.0)</f>
        <v>11814</v>
      </c>
      <c r="G38" s="2">
        <f>IFERROR(__xludf.DUMMYFUNCTION("""COMPUTED_VALUE"""),0.0)</f>
        <v>0</v>
      </c>
    </row>
    <row r="39">
      <c r="A39" s="2" t="str">
        <f>IFERROR(__xludf.DUMMYFUNCTION("""COMPUTED_VALUE"""),"Mexico")</f>
        <v>Mexico</v>
      </c>
      <c r="B39" s="3">
        <f>IFERROR(__xludf.DUMMYFUNCTION("""COMPUTED_VALUE"""),42261.0)</f>
        <v>42261</v>
      </c>
      <c r="C39" s="3">
        <f>IFERROR(__xludf.DUMMYFUNCTION("""COMPUTED_VALUE"""),42267.0)</f>
        <v>42267</v>
      </c>
      <c r="D39" s="2">
        <f>IFERROR(__xludf.DUMMYFUNCTION("""COMPUTED_VALUE"""),7.0)</f>
        <v>7</v>
      </c>
      <c r="E39" s="2">
        <f>IFERROR(__xludf.DUMMYFUNCTION("""COMPUTED_VALUE"""),38.0)</f>
        <v>38</v>
      </c>
      <c r="F39" s="2">
        <f>IFERROR(__xludf.DUMMYFUNCTION("""COMPUTED_VALUE"""),11957.0)</f>
        <v>11957</v>
      </c>
      <c r="G39" s="2">
        <f>IFERROR(__xludf.DUMMYFUNCTION("""COMPUTED_VALUE"""),0.0)</f>
        <v>0</v>
      </c>
    </row>
    <row r="40">
      <c r="A40" s="2" t="str">
        <f>IFERROR(__xludf.DUMMYFUNCTION("""COMPUTED_VALUE"""),"Mexico")</f>
        <v>Mexico</v>
      </c>
      <c r="B40" s="3">
        <f>IFERROR(__xludf.DUMMYFUNCTION("""COMPUTED_VALUE"""),42268.0)</f>
        <v>42268</v>
      </c>
      <c r="C40" s="3">
        <f>IFERROR(__xludf.DUMMYFUNCTION("""COMPUTED_VALUE"""),42274.0)</f>
        <v>42274</v>
      </c>
      <c r="D40" s="2">
        <f>IFERROR(__xludf.DUMMYFUNCTION("""COMPUTED_VALUE"""),7.0)</f>
        <v>7</v>
      </c>
      <c r="E40" s="2">
        <f>IFERROR(__xludf.DUMMYFUNCTION("""COMPUTED_VALUE"""),39.0)</f>
        <v>39</v>
      </c>
      <c r="F40" s="2">
        <f>IFERROR(__xludf.DUMMYFUNCTION("""COMPUTED_VALUE"""),11560.0)</f>
        <v>11560</v>
      </c>
      <c r="G40" s="2">
        <f>IFERROR(__xludf.DUMMYFUNCTION("""COMPUTED_VALUE"""),0.0)</f>
        <v>0</v>
      </c>
    </row>
    <row r="41">
      <c r="A41" s="2" t="str">
        <f>IFERROR(__xludf.DUMMYFUNCTION("""COMPUTED_VALUE"""),"Mexico")</f>
        <v>Mexico</v>
      </c>
      <c r="B41" s="3">
        <f>IFERROR(__xludf.DUMMYFUNCTION("""COMPUTED_VALUE"""),42275.0)</f>
        <v>42275</v>
      </c>
      <c r="C41" s="3">
        <f>IFERROR(__xludf.DUMMYFUNCTION("""COMPUTED_VALUE"""),42281.0)</f>
        <v>42281</v>
      </c>
      <c r="D41" s="2">
        <f>IFERROR(__xludf.DUMMYFUNCTION("""COMPUTED_VALUE"""),7.0)</f>
        <v>7</v>
      </c>
      <c r="E41" s="2">
        <f>IFERROR(__xludf.DUMMYFUNCTION("""COMPUTED_VALUE"""),40.0)</f>
        <v>40</v>
      </c>
      <c r="F41" s="2">
        <f>IFERROR(__xludf.DUMMYFUNCTION("""COMPUTED_VALUE"""),12484.0)</f>
        <v>12484</v>
      </c>
      <c r="G41" s="2">
        <f>IFERROR(__xludf.DUMMYFUNCTION("""COMPUTED_VALUE"""),0.0)</f>
        <v>0</v>
      </c>
    </row>
    <row r="42">
      <c r="A42" s="2" t="str">
        <f>IFERROR(__xludf.DUMMYFUNCTION("""COMPUTED_VALUE"""),"Mexico")</f>
        <v>Mexico</v>
      </c>
      <c r="B42" s="3">
        <f>IFERROR(__xludf.DUMMYFUNCTION("""COMPUTED_VALUE"""),42282.0)</f>
        <v>42282</v>
      </c>
      <c r="C42" s="3">
        <f>IFERROR(__xludf.DUMMYFUNCTION("""COMPUTED_VALUE"""),42288.0)</f>
        <v>42288</v>
      </c>
      <c r="D42" s="2">
        <f>IFERROR(__xludf.DUMMYFUNCTION("""COMPUTED_VALUE"""),7.0)</f>
        <v>7</v>
      </c>
      <c r="E42" s="2">
        <f>IFERROR(__xludf.DUMMYFUNCTION("""COMPUTED_VALUE"""),41.0)</f>
        <v>41</v>
      </c>
      <c r="F42" s="2">
        <f>IFERROR(__xludf.DUMMYFUNCTION("""COMPUTED_VALUE"""),12397.0)</f>
        <v>12397</v>
      </c>
      <c r="G42" s="2">
        <f>IFERROR(__xludf.DUMMYFUNCTION("""COMPUTED_VALUE"""),0.0)</f>
        <v>0</v>
      </c>
    </row>
    <row r="43">
      <c r="A43" s="2" t="str">
        <f>IFERROR(__xludf.DUMMYFUNCTION("""COMPUTED_VALUE"""),"Mexico")</f>
        <v>Mexico</v>
      </c>
      <c r="B43" s="3">
        <f>IFERROR(__xludf.DUMMYFUNCTION("""COMPUTED_VALUE"""),42289.0)</f>
        <v>42289</v>
      </c>
      <c r="C43" s="3">
        <f>IFERROR(__xludf.DUMMYFUNCTION("""COMPUTED_VALUE"""),42295.0)</f>
        <v>42295</v>
      </c>
      <c r="D43" s="2">
        <f>IFERROR(__xludf.DUMMYFUNCTION("""COMPUTED_VALUE"""),7.0)</f>
        <v>7</v>
      </c>
      <c r="E43" s="2">
        <f>IFERROR(__xludf.DUMMYFUNCTION("""COMPUTED_VALUE"""),42.0)</f>
        <v>42</v>
      </c>
      <c r="F43" s="2">
        <f>IFERROR(__xludf.DUMMYFUNCTION("""COMPUTED_VALUE"""),12063.0)</f>
        <v>12063</v>
      </c>
      <c r="G43" s="2">
        <f>IFERROR(__xludf.DUMMYFUNCTION("""COMPUTED_VALUE"""),0.0)</f>
        <v>0</v>
      </c>
    </row>
    <row r="44">
      <c r="A44" s="2" t="str">
        <f>IFERROR(__xludf.DUMMYFUNCTION("""COMPUTED_VALUE"""),"Mexico")</f>
        <v>Mexico</v>
      </c>
      <c r="B44" s="3">
        <f>IFERROR(__xludf.DUMMYFUNCTION("""COMPUTED_VALUE"""),42296.0)</f>
        <v>42296</v>
      </c>
      <c r="C44" s="3">
        <f>IFERROR(__xludf.DUMMYFUNCTION("""COMPUTED_VALUE"""),42302.0)</f>
        <v>42302</v>
      </c>
      <c r="D44" s="2">
        <f>IFERROR(__xludf.DUMMYFUNCTION("""COMPUTED_VALUE"""),7.0)</f>
        <v>7</v>
      </c>
      <c r="E44" s="2">
        <f>IFERROR(__xludf.DUMMYFUNCTION("""COMPUTED_VALUE"""),43.0)</f>
        <v>43</v>
      </c>
      <c r="F44" s="2">
        <f>IFERROR(__xludf.DUMMYFUNCTION("""COMPUTED_VALUE"""),12221.0)</f>
        <v>12221</v>
      </c>
      <c r="G44" s="2">
        <f>IFERROR(__xludf.DUMMYFUNCTION("""COMPUTED_VALUE"""),0.0)</f>
        <v>0</v>
      </c>
    </row>
    <row r="45">
      <c r="A45" s="2" t="str">
        <f>IFERROR(__xludf.DUMMYFUNCTION("""COMPUTED_VALUE"""),"Mexico")</f>
        <v>Mexico</v>
      </c>
      <c r="B45" s="3">
        <f>IFERROR(__xludf.DUMMYFUNCTION("""COMPUTED_VALUE"""),42303.0)</f>
        <v>42303</v>
      </c>
      <c r="C45" s="3">
        <f>IFERROR(__xludf.DUMMYFUNCTION("""COMPUTED_VALUE"""),42309.0)</f>
        <v>42309</v>
      </c>
      <c r="D45" s="2">
        <f>IFERROR(__xludf.DUMMYFUNCTION("""COMPUTED_VALUE"""),7.0)</f>
        <v>7</v>
      </c>
      <c r="E45" s="2">
        <f>IFERROR(__xludf.DUMMYFUNCTION("""COMPUTED_VALUE"""),44.0)</f>
        <v>44</v>
      </c>
      <c r="F45" s="2">
        <f>IFERROR(__xludf.DUMMYFUNCTION("""COMPUTED_VALUE"""),12153.0)</f>
        <v>12153</v>
      </c>
      <c r="G45" s="2">
        <f>IFERROR(__xludf.DUMMYFUNCTION("""COMPUTED_VALUE"""),0.0)</f>
        <v>0</v>
      </c>
    </row>
    <row r="46">
      <c r="A46" s="2" t="str">
        <f>IFERROR(__xludf.DUMMYFUNCTION("""COMPUTED_VALUE"""),"Mexico")</f>
        <v>Mexico</v>
      </c>
      <c r="B46" s="3">
        <f>IFERROR(__xludf.DUMMYFUNCTION("""COMPUTED_VALUE"""),42310.0)</f>
        <v>42310</v>
      </c>
      <c r="C46" s="3">
        <f>IFERROR(__xludf.DUMMYFUNCTION("""COMPUTED_VALUE"""),42316.0)</f>
        <v>42316</v>
      </c>
      <c r="D46" s="2">
        <f>IFERROR(__xludf.DUMMYFUNCTION("""COMPUTED_VALUE"""),7.0)</f>
        <v>7</v>
      </c>
      <c r="E46" s="2">
        <f>IFERROR(__xludf.DUMMYFUNCTION("""COMPUTED_VALUE"""),45.0)</f>
        <v>45</v>
      </c>
      <c r="F46" s="2">
        <f>IFERROR(__xludf.DUMMYFUNCTION("""COMPUTED_VALUE"""),12543.0)</f>
        <v>12543</v>
      </c>
      <c r="G46" s="2">
        <f>IFERROR(__xludf.DUMMYFUNCTION("""COMPUTED_VALUE"""),0.0)</f>
        <v>0</v>
      </c>
    </row>
    <row r="47">
      <c r="A47" s="2" t="str">
        <f>IFERROR(__xludf.DUMMYFUNCTION("""COMPUTED_VALUE"""),"Mexico")</f>
        <v>Mexico</v>
      </c>
      <c r="B47" s="3">
        <f>IFERROR(__xludf.DUMMYFUNCTION("""COMPUTED_VALUE"""),42317.0)</f>
        <v>42317</v>
      </c>
      <c r="C47" s="3">
        <f>IFERROR(__xludf.DUMMYFUNCTION("""COMPUTED_VALUE"""),42323.0)</f>
        <v>42323</v>
      </c>
      <c r="D47" s="2">
        <f>IFERROR(__xludf.DUMMYFUNCTION("""COMPUTED_VALUE"""),7.0)</f>
        <v>7</v>
      </c>
      <c r="E47" s="2">
        <f>IFERROR(__xludf.DUMMYFUNCTION("""COMPUTED_VALUE"""),46.0)</f>
        <v>46</v>
      </c>
      <c r="F47" s="2">
        <f>IFERROR(__xludf.DUMMYFUNCTION("""COMPUTED_VALUE"""),12217.0)</f>
        <v>12217</v>
      </c>
      <c r="G47" s="2">
        <f>IFERROR(__xludf.DUMMYFUNCTION("""COMPUTED_VALUE"""),0.0)</f>
        <v>0</v>
      </c>
    </row>
    <row r="48">
      <c r="A48" s="2" t="str">
        <f>IFERROR(__xludf.DUMMYFUNCTION("""COMPUTED_VALUE"""),"Mexico")</f>
        <v>Mexico</v>
      </c>
      <c r="B48" s="3">
        <f>IFERROR(__xludf.DUMMYFUNCTION("""COMPUTED_VALUE"""),42324.0)</f>
        <v>42324</v>
      </c>
      <c r="C48" s="3">
        <f>IFERROR(__xludf.DUMMYFUNCTION("""COMPUTED_VALUE"""),42330.0)</f>
        <v>42330</v>
      </c>
      <c r="D48" s="2">
        <f>IFERROR(__xludf.DUMMYFUNCTION("""COMPUTED_VALUE"""),7.0)</f>
        <v>7</v>
      </c>
      <c r="E48" s="2">
        <f>IFERROR(__xludf.DUMMYFUNCTION("""COMPUTED_VALUE"""),47.0)</f>
        <v>47</v>
      </c>
      <c r="F48" s="2">
        <f>IFERROR(__xludf.DUMMYFUNCTION("""COMPUTED_VALUE"""),12542.0)</f>
        <v>12542</v>
      </c>
      <c r="G48" s="2">
        <f>IFERROR(__xludf.DUMMYFUNCTION("""COMPUTED_VALUE"""),0.0)</f>
        <v>0</v>
      </c>
    </row>
    <row r="49">
      <c r="A49" s="2" t="str">
        <f>IFERROR(__xludf.DUMMYFUNCTION("""COMPUTED_VALUE"""),"Mexico")</f>
        <v>Mexico</v>
      </c>
      <c r="B49" s="3">
        <f>IFERROR(__xludf.DUMMYFUNCTION("""COMPUTED_VALUE"""),42331.0)</f>
        <v>42331</v>
      </c>
      <c r="C49" s="3">
        <f>IFERROR(__xludf.DUMMYFUNCTION("""COMPUTED_VALUE"""),42337.0)</f>
        <v>42337</v>
      </c>
      <c r="D49" s="2">
        <f>IFERROR(__xludf.DUMMYFUNCTION("""COMPUTED_VALUE"""),7.0)</f>
        <v>7</v>
      </c>
      <c r="E49" s="2">
        <f>IFERROR(__xludf.DUMMYFUNCTION("""COMPUTED_VALUE"""),48.0)</f>
        <v>48</v>
      </c>
      <c r="F49" s="2">
        <f>IFERROR(__xludf.DUMMYFUNCTION("""COMPUTED_VALUE"""),12597.0)</f>
        <v>12597</v>
      </c>
      <c r="G49" s="2">
        <f>IFERROR(__xludf.DUMMYFUNCTION("""COMPUTED_VALUE"""),0.0)</f>
        <v>0</v>
      </c>
    </row>
    <row r="50">
      <c r="A50" s="2" t="str">
        <f>IFERROR(__xludf.DUMMYFUNCTION("""COMPUTED_VALUE"""),"Mexico")</f>
        <v>Mexico</v>
      </c>
      <c r="B50" s="3">
        <f>IFERROR(__xludf.DUMMYFUNCTION("""COMPUTED_VALUE"""),42338.0)</f>
        <v>42338</v>
      </c>
      <c r="C50" s="3">
        <f>IFERROR(__xludf.DUMMYFUNCTION("""COMPUTED_VALUE"""),42344.0)</f>
        <v>42344</v>
      </c>
      <c r="D50" s="2">
        <f>IFERROR(__xludf.DUMMYFUNCTION("""COMPUTED_VALUE"""),7.0)</f>
        <v>7</v>
      </c>
      <c r="E50" s="2">
        <f>IFERROR(__xludf.DUMMYFUNCTION("""COMPUTED_VALUE"""),49.0)</f>
        <v>49</v>
      </c>
      <c r="F50" s="2">
        <f>IFERROR(__xludf.DUMMYFUNCTION("""COMPUTED_VALUE"""),12830.0)</f>
        <v>12830</v>
      </c>
      <c r="G50" s="2">
        <f>IFERROR(__xludf.DUMMYFUNCTION("""COMPUTED_VALUE"""),0.0)</f>
        <v>0</v>
      </c>
    </row>
    <row r="51">
      <c r="A51" s="2" t="str">
        <f>IFERROR(__xludf.DUMMYFUNCTION("""COMPUTED_VALUE"""),"Mexico")</f>
        <v>Mexico</v>
      </c>
      <c r="B51" s="3">
        <f>IFERROR(__xludf.DUMMYFUNCTION("""COMPUTED_VALUE"""),42345.0)</f>
        <v>42345</v>
      </c>
      <c r="C51" s="3">
        <f>IFERROR(__xludf.DUMMYFUNCTION("""COMPUTED_VALUE"""),42351.0)</f>
        <v>42351</v>
      </c>
      <c r="D51" s="2">
        <f>IFERROR(__xludf.DUMMYFUNCTION("""COMPUTED_VALUE"""),7.0)</f>
        <v>7</v>
      </c>
      <c r="E51" s="2">
        <f>IFERROR(__xludf.DUMMYFUNCTION("""COMPUTED_VALUE"""),50.0)</f>
        <v>50</v>
      </c>
      <c r="F51" s="2">
        <f>IFERROR(__xludf.DUMMYFUNCTION("""COMPUTED_VALUE"""),13526.0)</f>
        <v>13526</v>
      </c>
      <c r="G51" s="2">
        <f>IFERROR(__xludf.DUMMYFUNCTION("""COMPUTED_VALUE"""),0.0)</f>
        <v>0</v>
      </c>
    </row>
    <row r="52">
      <c r="A52" s="2" t="str">
        <f>IFERROR(__xludf.DUMMYFUNCTION("""COMPUTED_VALUE"""),"Mexico")</f>
        <v>Mexico</v>
      </c>
      <c r="B52" s="3">
        <f>IFERROR(__xludf.DUMMYFUNCTION("""COMPUTED_VALUE"""),42352.0)</f>
        <v>42352</v>
      </c>
      <c r="C52" s="3">
        <f>IFERROR(__xludf.DUMMYFUNCTION("""COMPUTED_VALUE"""),42358.0)</f>
        <v>42358</v>
      </c>
      <c r="D52" s="2">
        <f>IFERROR(__xludf.DUMMYFUNCTION("""COMPUTED_VALUE"""),7.0)</f>
        <v>7</v>
      </c>
      <c r="E52" s="2">
        <f>IFERROR(__xludf.DUMMYFUNCTION("""COMPUTED_VALUE"""),51.0)</f>
        <v>51</v>
      </c>
      <c r="F52" s="2">
        <f>IFERROR(__xludf.DUMMYFUNCTION("""COMPUTED_VALUE"""),13542.0)</f>
        <v>13542</v>
      </c>
      <c r="G52" s="2">
        <f>IFERROR(__xludf.DUMMYFUNCTION("""COMPUTED_VALUE"""),0.0)</f>
        <v>0</v>
      </c>
    </row>
    <row r="53">
      <c r="A53" s="2" t="str">
        <f>IFERROR(__xludf.DUMMYFUNCTION("""COMPUTED_VALUE"""),"Mexico")</f>
        <v>Mexico</v>
      </c>
      <c r="B53" s="3">
        <f>IFERROR(__xludf.DUMMYFUNCTION("""COMPUTED_VALUE"""),42359.0)</f>
        <v>42359</v>
      </c>
      <c r="C53" s="3">
        <f>IFERROR(__xludf.DUMMYFUNCTION("""COMPUTED_VALUE"""),42365.0)</f>
        <v>42365</v>
      </c>
      <c r="D53" s="2">
        <f>IFERROR(__xludf.DUMMYFUNCTION("""COMPUTED_VALUE"""),7.0)</f>
        <v>7</v>
      </c>
      <c r="E53" s="2">
        <f>IFERROR(__xludf.DUMMYFUNCTION("""COMPUTED_VALUE"""),52.0)</f>
        <v>52</v>
      </c>
      <c r="F53" s="2">
        <f>IFERROR(__xludf.DUMMYFUNCTION("""COMPUTED_VALUE"""),14351.0)</f>
        <v>14351</v>
      </c>
      <c r="G53" s="2">
        <f>IFERROR(__xludf.DUMMYFUNCTION("""COMPUTED_VALUE"""),0.0)</f>
        <v>0</v>
      </c>
    </row>
    <row r="54">
      <c r="A54" s="2" t="str">
        <f>IFERROR(__xludf.DUMMYFUNCTION("""COMPUTED_VALUE"""),"Mexico")</f>
        <v>Mexico</v>
      </c>
      <c r="B54" s="3">
        <f>IFERROR(__xludf.DUMMYFUNCTION("""COMPUTED_VALUE"""),42366.0)</f>
        <v>42366</v>
      </c>
      <c r="C54" s="3">
        <f>IFERROR(__xludf.DUMMYFUNCTION("""COMPUTED_VALUE"""),42372.0)</f>
        <v>42372</v>
      </c>
      <c r="D54" s="2">
        <f>IFERROR(__xludf.DUMMYFUNCTION("""COMPUTED_VALUE"""),7.0)</f>
        <v>7</v>
      </c>
      <c r="E54" s="2">
        <f>IFERROR(__xludf.DUMMYFUNCTION("""COMPUTED_VALUE"""),53.0)</f>
        <v>53</v>
      </c>
      <c r="F54" s="2">
        <f>IFERROR(__xludf.DUMMYFUNCTION("""COMPUTED_VALUE"""),14170.0)</f>
        <v>14170</v>
      </c>
      <c r="G54" s="2">
        <f>IFERROR(__xludf.DUMMYFUNCTION("""COMPUTED_VALUE"""),0.0)</f>
        <v>0</v>
      </c>
    </row>
    <row r="55">
      <c r="A55" s="2" t="str">
        <f>IFERROR(__xludf.DUMMYFUNCTION("""COMPUTED_VALUE"""),"Mexico")</f>
        <v>Mexico</v>
      </c>
      <c r="B55" s="3">
        <f>IFERROR(__xludf.DUMMYFUNCTION("""COMPUTED_VALUE"""),42373.0)</f>
        <v>42373</v>
      </c>
      <c r="C55" s="3">
        <f>IFERROR(__xludf.DUMMYFUNCTION("""COMPUTED_VALUE"""),42379.0)</f>
        <v>42379</v>
      </c>
      <c r="D55" s="2">
        <f>IFERROR(__xludf.DUMMYFUNCTION("""COMPUTED_VALUE"""),7.0)</f>
        <v>7</v>
      </c>
      <c r="E55" s="2">
        <f>IFERROR(__xludf.DUMMYFUNCTION("""COMPUTED_VALUE"""),1.0)</f>
        <v>1</v>
      </c>
      <c r="F55" s="2">
        <f>IFERROR(__xludf.DUMMYFUNCTION("""COMPUTED_VALUE"""),14299.0)</f>
        <v>14299</v>
      </c>
      <c r="G55" s="2">
        <f>IFERROR(__xludf.DUMMYFUNCTION("""COMPUTED_VALUE"""),0.0)</f>
        <v>0</v>
      </c>
    </row>
    <row r="56">
      <c r="A56" s="2" t="str">
        <f>IFERROR(__xludf.DUMMYFUNCTION("""COMPUTED_VALUE"""),"Mexico")</f>
        <v>Mexico</v>
      </c>
      <c r="B56" s="3">
        <f>IFERROR(__xludf.DUMMYFUNCTION("""COMPUTED_VALUE"""),42380.0)</f>
        <v>42380</v>
      </c>
      <c r="C56" s="3">
        <f>IFERROR(__xludf.DUMMYFUNCTION("""COMPUTED_VALUE"""),42386.0)</f>
        <v>42386</v>
      </c>
      <c r="D56" s="2">
        <f>IFERROR(__xludf.DUMMYFUNCTION("""COMPUTED_VALUE"""),7.0)</f>
        <v>7</v>
      </c>
      <c r="E56" s="2">
        <f>IFERROR(__xludf.DUMMYFUNCTION("""COMPUTED_VALUE"""),2.0)</f>
        <v>2</v>
      </c>
      <c r="F56" s="2">
        <f>IFERROR(__xludf.DUMMYFUNCTION("""COMPUTED_VALUE"""),14540.0)</f>
        <v>14540</v>
      </c>
      <c r="G56" s="2">
        <f>IFERROR(__xludf.DUMMYFUNCTION("""COMPUTED_VALUE"""),0.0)</f>
        <v>0</v>
      </c>
    </row>
    <row r="57">
      <c r="A57" s="2" t="str">
        <f>IFERROR(__xludf.DUMMYFUNCTION("""COMPUTED_VALUE"""),"Mexico")</f>
        <v>Mexico</v>
      </c>
      <c r="B57" s="3">
        <f>IFERROR(__xludf.DUMMYFUNCTION("""COMPUTED_VALUE"""),42387.0)</f>
        <v>42387</v>
      </c>
      <c r="C57" s="3">
        <f>IFERROR(__xludf.DUMMYFUNCTION("""COMPUTED_VALUE"""),42393.0)</f>
        <v>42393</v>
      </c>
      <c r="D57" s="2">
        <f>IFERROR(__xludf.DUMMYFUNCTION("""COMPUTED_VALUE"""),7.0)</f>
        <v>7</v>
      </c>
      <c r="E57" s="2">
        <f>IFERROR(__xludf.DUMMYFUNCTION("""COMPUTED_VALUE"""),3.0)</f>
        <v>3</v>
      </c>
      <c r="F57" s="2">
        <f>IFERROR(__xludf.DUMMYFUNCTION("""COMPUTED_VALUE"""),14557.0)</f>
        <v>14557</v>
      </c>
      <c r="G57" s="2">
        <f>IFERROR(__xludf.DUMMYFUNCTION("""COMPUTED_VALUE"""),0.0)</f>
        <v>0</v>
      </c>
    </row>
    <row r="58">
      <c r="A58" s="2" t="str">
        <f>IFERROR(__xludf.DUMMYFUNCTION("""COMPUTED_VALUE"""),"Mexico")</f>
        <v>Mexico</v>
      </c>
      <c r="B58" s="3">
        <f>IFERROR(__xludf.DUMMYFUNCTION("""COMPUTED_VALUE"""),42394.0)</f>
        <v>42394</v>
      </c>
      <c r="C58" s="3">
        <f>IFERROR(__xludf.DUMMYFUNCTION("""COMPUTED_VALUE"""),42400.0)</f>
        <v>42400</v>
      </c>
      <c r="D58" s="2">
        <f>IFERROR(__xludf.DUMMYFUNCTION("""COMPUTED_VALUE"""),7.0)</f>
        <v>7</v>
      </c>
      <c r="E58" s="2">
        <f>IFERROR(__xludf.DUMMYFUNCTION("""COMPUTED_VALUE"""),4.0)</f>
        <v>4</v>
      </c>
      <c r="F58" s="2">
        <f>IFERROR(__xludf.DUMMYFUNCTION("""COMPUTED_VALUE"""),14902.0)</f>
        <v>14902</v>
      </c>
      <c r="G58" s="2">
        <f>IFERROR(__xludf.DUMMYFUNCTION("""COMPUTED_VALUE"""),0.0)</f>
        <v>0</v>
      </c>
    </row>
    <row r="59">
      <c r="A59" s="2" t="str">
        <f>IFERROR(__xludf.DUMMYFUNCTION("""COMPUTED_VALUE"""),"Mexico")</f>
        <v>Mexico</v>
      </c>
      <c r="B59" s="3">
        <f>IFERROR(__xludf.DUMMYFUNCTION("""COMPUTED_VALUE"""),42401.0)</f>
        <v>42401</v>
      </c>
      <c r="C59" s="3">
        <f>IFERROR(__xludf.DUMMYFUNCTION("""COMPUTED_VALUE"""),42407.0)</f>
        <v>42407</v>
      </c>
      <c r="D59" s="2">
        <f>IFERROR(__xludf.DUMMYFUNCTION("""COMPUTED_VALUE"""),7.0)</f>
        <v>7</v>
      </c>
      <c r="E59" s="2">
        <f>IFERROR(__xludf.DUMMYFUNCTION("""COMPUTED_VALUE"""),5.0)</f>
        <v>5</v>
      </c>
      <c r="F59" s="2">
        <f>IFERROR(__xludf.DUMMYFUNCTION("""COMPUTED_VALUE"""),15160.0)</f>
        <v>15160</v>
      </c>
      <c r="G59" s="2">
        <f>IFERROR(__xludf.DUMMYFUNCTION("""COMPUTED_VALUE"""),0.0)</f>
        <v>0</v>
      </c>
    </row>
    <row r="60">
      <c r="A60" s="2" t="str">
        <f>IFERROR(__xludf.DUMMYFUNCTION("""COMPUTED_VALUE"""),"Mexico")</f>
        <v>Mexico</v>
      </c>
      <c r="B60" s="3">
        <f>IFERROR(__xludf.DUMMYFUNCTION("""COMPUTED_VALUE"""),42408.0)</f>
        <v>42408</v>
      </c>
      <c r="C60" s="3">
        <f>IFERROR(__xludf.DUMMYFUNCTION("""COMPUTED_VALUE"""),42414.0)</f>
        <v>42414</v>
      </c>
      <c r="D60" s="2">
        <f>IFERROR(__xludf.DUMMYFUNCTION("""COMPUTED_VALUE"""),7.0)</f>
        <v>7</v>
      </c>
      <c r="E60" s="2">
        <f>IFERROR(__xludf.DUMMYFUNCTION("""COMPUTED_VALUE"""),6.0)</f>
        <v>6</v>
      </c>
      <c r="F60" s="2">
        <f>IFERROR(__xludf.DUMMYFUNCTION("""COMPUTED_VALUE"""),15691.0)</f>
        <v>15691</v>
      </c>
      <c r="G60" s="2">
        <f>IFERROR(__xludf.DUMMYFUNCTION("""COMPUTED_VALUE"""),0.0)</f>
        <v>0</v>
      </c>
    </row>
    <row r="61">
      <c r="A61" s="2" t="str">
        <f>IFERROR(__xludf.DUMMYFUNCTION("""COMPUTED_VALUE"""),"Mexico")</f>
        <v>Mexico</v>
      </c>
      <c r="B61" s="3">
        <f>IFERROR(__xludf.DUMMYFUNCTION("""COMPUTED_VALUE"""),42415.0)</f>
        <v>42415</v>
      </c>
      <c r="C61" s="3">
        <f>IFERROR(__xludf.DUMMYFUNCTION("""COMPUTED_VALUE"""),42421.0)</f>
        <v>42421</v>
      </c>
      <c r="D61" s="2">
        <f>IFERROR(__xludf.DUMMYFUNCTION("""COMPUTED_VALUE"""),7.0)</f>
        <v>7</v>
      </c>
      <c r="E61" s="2">
        <f>IFERROR(__xludf.DUMMYFUNCTION("""COMPUTED_VALUE"""),7.0)</f>
        <v>7</v>
      </c>
      <c r="F61" s="2">
        <f>IFERROR(__xludf.DUMMYFUNCTION("""COMPUTED_VALUE"""),15725.0)</f>
        <v>15725</v>
      </c>
      <c r="G61" s="2">
        <f>IFERROR(__xludf.DUMMYFUNCTION("""COMPUTED_VALUE"""),0.0)</f>
        <v>0</v>
      </c>
    </row>
    <row r="62">
      <c r="A62" s="2" t="str">
        <f>IFERROR(__xludf.DUMMYFUNCTION("""COMPUTED_VALUE"""),"Mexico")</f>
        <v>Mexico</v>
      </c>
      <c r="B62" s="3">
        <f>IFERROR(__xludf.DUMMYFUNCTION("""COMPUTED_VALUE"""),42422.0)</f>
        <v>42422</v>
      </c>
      <c r="C62" s="3">
        <f>IFERROR(__xludf.DUMMYFUNCTION("""COMPUTED_VALUE"""),42428.0)</f>
        <v>42428</v>
      </c>
      <c r="D62" s="2">
        <f>IFERROR(__xludf.DUMMYFUNCTION("""COMPUTED_VALUE"""),7.0)</f>
        <v>7</v>
      </c>
      <c r="E62" s="2">
        <f>IFERROR(__xludf.DUMMYFUNCTION("""COMPUTED_VALUE"""),8.0)</f>
        <v>8</v>
      </c>
      <c r="F62" s="2">
        <f>IFERROR(__xludf.DUMMYFUNCTION("""COMPUTED_VALUE"""),15034.0)</f>
        <v>15034</v>
      </c>
      <c r="G62" s="2">
        <f>IFERROR(__xludf.DUMMYFUNCTION("""COMPUTED_VALUE"""),0.0)</f>
        <v>0</v>
      </c>
    </row>
    <row r="63">
      <c r="A63" s="2" t="str">
        <f>IFERROR(__xludf.DUMMYFUNCTION("""COMPUTED_VALUE"""),"Mexico")</f>
        <v>Mexico</v>
      </c>
      <c r="B63" s="3">
        <f>IFERROR(__xludf.DUMMYFUNCTION("""COMPUTED_VALUE"""),42429.0)</f>
        <v>42429</v>
      </c>
      <c r="C63" s="3">
        <f>IFERROR(__xludf.DUMMYFUNCTION("""COMPUTED_VALUE"""),42435.0)</f>
        <v>42435</v>
      </c>
      <c r="D63" s="2">
        <f>IFERROR(__xludf.DUMMYFUNCTION("""COMPUTED_VALUE"""),7.0)</f>
        <v>7</v>
      </c>
      <c r="E63" s="2">
        <f>IFERROR(__xludf.DUMMYFUNCTION("""COMPUTED_VALUE"""),9.0)</f>
        <v>9</v>
      </c>
      <c r="F63" s="2">
        <f>IFERROR(__xludf.DUMMYFUNCTION("""COMPUTED_VALUE"""),14797.0)</f>
        <v>14797</v>
      </c>
      <c r="G63" s="2">
        <f>IFERROR(__xludf.DUMMYFUNCTION("""COMPUTED_VALUE"""),0.0)</f>
        <v>0</v>
      </c>
    </row>
    <row r="64">
      <c r="A64" s="2" t="str">
        <f>IFERROR(__xludf.DUMMYFUNCTION("""COMPUTED_VALUE"""),"Mexico")</f>
        <v>Mexico</v>
      </c>
      <c r="B64" s="3">
        <f>IFERROR(__xludf.DUMMYFUNCTION("""COMPUTED_VALUE"""),42436.0)</f>
        <v>42436</v>
      </c>
      <c r="C64" s="3">
        <f>IFERROR(__xludf.DUMMYFUNCTION("""COMPUTED_VALUE"""),42442.0)</f>
        <v>42442</v>
      </c>
      <c r="D64" s="2">
        <f>IFERROR(__xludf.DUMMYFUNCTION("""COMPUTED_VALUE"""),7.0)</f>
        <v>7</v>
      </c>
      <c r="E64" s="2">
        <f>IFERROR(__xludf.DUMMYFUNCTION("""COMPUTED_VALUE"""),10.0)</f>
        <v>10</v>
      </c>
      <c r="F64" s="2">
        <f>IFERROR(__xludf.DUMMYFUNCTION("""COMPUTED_VALUE"""),14351.0)</f>
        <v>14351</v>
      </c>
      <c r="G64" s="2">
        <f>IFERROR(__xludf.DUMMYFUNCTION("""COMPUTED_VALUE"""),0.0)</f>
        <v>0</v>
      </c>
    </row>
    <row r="65">
      <c r="A65" s="2" t="str">
        <f>IFERROR(__xludf.DUMMYFUNCTION("""COMPUTED_VALUE"""),"Mexico")</f>
        <v>Mexico</v>
      </c>
      <c r="B65" s="3">
        <f>IFERROR(__xludf.DUMMYFUNCTION("""COMPUTED_VALUE"""),42443.0)</f>
        <v>42443</v>
      </c>
      <c r="C65" s="3">
        <f>IFERROR(__xludf.DUMMYFUNCTION("""COMPUTED_VALUE"""),42449.0)</f>
        <v>42449</v>
      </c>
      <c r="D65" s="2">
        <f>IFERROR(__xludf.DUMMYFUNCTION("""COMPUTED_VALUE"""),7.0)</f>
        <v>7</v>
      </c>
      <c r="E65" s="2">
        <f>IFERROR(__xludf.DUMMYFUNCTION("""COMPUTED_VALUE"""),11.0)</f>
        <v>11</v>
      </c>
      <c r="F65" s="2">
        <f>IFERROR(__xludf.DUMMYFUNCTION("""COMPUTED_VALUE"""),14025.0)</f>
        <v>14025</v>
      </c>
      <c r="G65" s="2">
        <f>IFERROR(__xludf.DUMMYFUNCTION("""COMPUTED_VALUE"""),0.0)</f>
        <v>0</v>
      </c>
    </row>
    <row r="66">
      <c r="A66" s="2" t="str">
        <f>IFERROR(__xludf.DUMMYFUNCTION("""COMPUTED_VALUE"""),"Mexico")</f>
        <v>Mexico</v>
      </c>
      <c r="B66" s="3">
        <f>IFERROR(__xludf.DUMMYFUNCTION("""COMPUTED_VALUE"""),42450.0)</f>
        <v>42450</v>
      </c>
      <c r="C66" s="3">
        <f>IFERROR(__xludf.DUMMYFUNCTION("""COMPUTED_VALUE"""),42456.0)</f>
        <v>42456</v>
      </c>
      <c r="D66" s="2">
        <f>IFERROR(__xludf.DUMMYFUNCTION("""COMPUTED_VALUE"""),7.0)</f>
        <v>7</v>
      </c>
      <c r="E66" s="2">
        <f>IFERROR(__xludf.DUMMYFUNCTION("""COMPUTED_VALUE"""),12.0)</f>
        <v>12</v>
      </c>
      <c r="F66" s="2">
        <f>IFERROR(__xludf.DUMMYFUNCTION("""COMPUTED_VALUE"""),13418.0)</f>
        <v>13418</v>
      </c>
      <c r="G66" s="2">
        <f>IFERROR(__xludf.DUMMYFUNCTION("""COMPUTED_VALUE"""),0.0)</f>
        <v>0</v>
      </c>
    </row>
    <row r="67">
      <c r="A67" s="2" t="str">
        <f>IFERROR(__xludf.DUMMYFUNCTION("""COMPUTED_VALUE"""),"Mexico")</f>
        <v>Mexico</v>
      </c>
      <c r="B67" s="3">
        <f>IFERROR(__xludf.DUMMYFUNCTION("""COMPUTED_VALUE"""),42457.0)</f>
        <v>42457</v>
      </c>
      <c r="C67" s="3">
        <f>IFERROR(__xludf.DUMMYFUNCTION("""COMPUTED_VALUE"""),42463.0)</f>
        <v>42463</v>
      </c>
      <c r="D67" s="2">
        <f>IFERROR(__xludf.DUMMYFUNCTION("""COMPUTED_VALUE"""),7.0)</f>
        <v>7</v>
      </c>
      <c r="E67" s="2">
        <f>IFERROR(__xludf.DUMMYFUNCTION("""COMPUTED_VALUE"""),13.0)</f>
        <v>13</v>
      </c>
      <c r="F67" s="2">
        <f>IFERROR(__xludf.DUMMYFUNCTION("""COMPUTED_VALUE"""),13411.0)</f>
        <v>13411</v>
      </c>
      <c r="G67" s="2">
        <f>IFERROR(__xludf.DUMMYFUNCTION("""COMPUTED_VALUE"""),0.0)</f>
        <v>0</v>
      </c>
    </row>
    <row r="68">
      <c r="A68" s="2" t="str">
        <f>IFERROR(__xludf.DUMMYFUNCTION("""COMPUTED_VALUE"""),"Mexico")</f>
        <v>Mexico</v>
      </c>
      <c r="B68" s="3">
        <f>IFERROR(__xludf.DUMMYFUNCTION("""COMPUTED_VALUE"""),42464.0)</f>
        <v>42464</v>
      </c>
      <c r="C68" s="3">
        <f>IFERROR(__xludf.DUMMYFUNCTION("""COMPUTED_VALUE"""),42470.0)</f>
        <v>42470</v>
      </c>
      <c r="D68" s="2">
        <f>IFERROR(__xludf.DUMMYFUNCTION("""COMPUTED_VALUE"""),7.0)</f>
        <v>7</v>
      </c>
      <c r="E68" s="2">
        <f>IFERROR(__xludf.DUMMYFUNCTION("""COMPUTED_VALUE"""),14.0)</f>
        <v>14</v>
      </c>
      <c r="F68" s="2">
        <f>IFERROR(__xludf.DUMMYFUNCTION("""COMPUTED_VALUE"""),12710.0)</f>
        <v>12710</v>
      </c>
      <c r="G68" s="2">
        <f>IFERROR(__xludf.DUMMYFUNCTION("""COMPUTED_VALUE"""),0.0)</f>
        <v>0</v>
      </c>
    </row>
    <row r="69">
      <c r="A69" s="2" t="str">
        <f>IFERROR(__xludf.DUMMYFUNCTION("""COMPUTED_VALUE"""),"Mexico")</f>
        <v>Mexico</v>
      </c>
      <c r="B69" s="3">
        <f>IFERROR(__xludf.DUMMYFUNCTION("""COMPUTED_VALUE"""),42471.0)</f>
        <v>42471</v>
      </c>
      <c r="C69" s="3">
        <f>IFERROR(__xludf.DUMMYFUNCTION("""COMPUTED_VALUE"""),42477.0)</f>
        <v>42477</v>
      </c>
      <c r="D69" s="2">
        <f>IFERROR(__xludf.DUMMYFUNCTION("""COMPUTED_VALUE"""),7.0)</f>
        <v>7</v>
      </c>
      <c r="E69" s="2">
        <f>IFERROR(__xludf.DUMMYFUNCTION("""COMPUTED_VALUE"""),15.0)</f>
        <v>15</v>
      </c>
      <c r="F69" s="2">
        <f>IFERROR(__xludf.DUMMYFUNCTION("""COMPUTED_VALUE"""),12422.0)</f>
        <v>12422</v>
      </c>
      <c r="G69" s="2">
        <f>IFERROR(__xludf.DUMMYFUNCTION("""COMPUTED_VALUE"""),0.0)</f>
        <v>0</v>
      </c>
    </row>
    <row r="70">
      <c r="A70" s="2" t="str">
        <f>IFERROR(__xludf.DUMMYFUNCTION("""COMPUTED_VALUE"""),"Mexico")</f>
        <v>Mexico</v>
      </c>
      <c r="B70" s="3">
        <f>IFERROR(__xludf.DUMMYFUNCTION("""COMPUTED_VALUE"""),42478.0)</f>
        <v>42478</v>
      </c>
      <c r="C70" s="3">
        <f>IFERROR(__xludf.DUMMYFUNCTION("""COMPUTED_VALUE"""),42484.0)</f>
        <v>42484</v>
      </c>
      <c r="D70" s="2">
        <f>IFERROR(__xludf.DUMMYFUNCTION("""COMPUTED_VALUE"""),7.0)</f>
        <v>7</v>
      </c>
      <c r="E70" s="2">
        <f>IFERROR(__xludf.DUMMYFUNCTION("""COMPUTED_VALUE"""),16.0)</f>
        <v>16</v>
      </c>
      <c r="F70" s="2">
        <f>IFERROR(__xludf.DUMMYFUNCTION("""COMPUTED_VALUE"""),11939.0)</f>
        <v>11939</v>
      </c>
      <c r="G70" s="2">
        <f>IFERROR(__xludf.DUMMYFUNCTION("""COMPUTED_VALUE"""),0.0)</f>
        <v>0</v>
      </c>
    </row>
    <row r="71">
      <c r="A71" s="2" t="str">
        <f>IFERROR(__xludf.DUMMYFUNCTION("""COMPUTED_VALUE"""),"Mexico")</f>
        <v>Mexico</v>
      </c>
      <c r="B71" s="3">
        <f>IFERROR(__xludf.DUMMYFUNCTION("""COMPUTED_VALUE"""),42485.0)</f>
        <v>42485</v>
      </c>
      <c r="C71" s="3">
        <f>IFERROR(__xludf.DUMMYFUNCTION("""COMPUTED_VALUE"""),42491.0)</f>
        <v>42491</v>
      </c>
      <c r="D71" s="2">
        <f>IFERROR(__xludf.DUMMYFUNCTION("""COMPUTED_VALUE"""),7.0)</f>
        <v>7</v>
      </c>
      <c r="E71" s="2">
        <f>IFERROR(__xludf.DUMMYFUNCTION("""COMPUTED_VALUE"""),17.0)</f>
        <v>17</v>
      </c>
      <c r="F71" s="2">
        <f>IFERROR(__xludf.DUMMYFUNCTION("""COMPUTED_VALUE"""),12481.0)</f>
        <v>12481</v>
      </c>
      <c r="G71" s="2">
        <f>IFERROR(__xludf.DUMMYFUNCTION("""COMPUTED_VALUE"""),0.0)</f>
        <v>0</v>
      </c>
    </row>
    <row r="72">
      <c r="A72" s="2" t="str">
        <f>IFERROR(__xludf.DUMMYFUNCTION("""COMPUTED_VALUE"""),"Mexico")</f>
        <v>Mexico</v>
      </c>
      <c r="B72" s="3">
        <f>IFERROR(__xludf.DUMMYFUNCTION("""COMPUTED_VALUE"""),42492.0)</f>
        <v>42492</v>
      </c>
      <c r="C72" s="3">
        <f>IFERROR(__xludf.DUMMYFUNCTION("""COMPUTED_VALUE"""),42498.0)</f>
        <v>42498</v>
      </c>
      <c r="D72" s="2">
        <f>IFERROR(__xludf.DUMMYFUNCTION("""COMPUTED_VALUE"""),7.0)</f>
        <v>7</v>
      </c>
      <c r="E72" s="2">
        <f>IFERROR(__xludf.DUMMYFUNCTION("""COMPUTED_VALUE"""),18.0)</f>
        <v>18</v>
      </c>
      <c r="F72" s="2">
        <f>IFERROR(__xludf.DUMMYFUNCTION("""COMPUTED_VALUE"""),12723.0)</f>
        <v>12723</v>
      </c>
      <c r="G72" s="2">
        <f>IFERROR(__xludf.DUMMYFUNCTION("""COMPUTED_VALUE"""),0.0)</f>
        <v>0</v>
      </c>
    </row>
    <row r="73">
      <c r="A73" s="2" t="str">
        <f>IFERROR(__xludf.DUMMYFUNCTION("""COMPUTED_VALUE"""),"Mexico")</f>
        <v>Mexico</v>
      </c>
      <c r="B73" s="3">
        <f>IFERROR(__xludf.DUMMYFUNCTION("""COMPUTED_VALUE"""),42499.0)</f>
        <v>42499</v>
      </c>
      <c r="C73" s="3">
        <f>IFERROR(__xludf.DUMMYFUNCTION("""COMPUTED_VALUE"""),42505.0)</f>
        <v>42505</v>
      </c>
      <c r="D73" s="2">
        <f>IFERROR(__xludf.DUMMYFUNCTION("""COMPUTED_VALUE"""),7.0)</f>
        <v>7</v>
      </c>
      <c r="E73" s="2">
        <f>IFERROR(__xludf.DUMMYFUNCTION("""COMPUTED_VALUE"""),19.0)</f>
        <v>19</v>
      </c>
      <c r="F73" s="2">
        <f>IFERROR(__xludf.DUMMYFUNCTION("""COMPUTED_VALUE"""),12478.0)</f>
        <v>12478</v>
      </c>
      <c r="G73" s="2">
        <f>IFERROR(__xludf.DUMMYFUNCTION("""COMPUTED_VALUE"""),0.0)</f>
        <v>0</v>
      </c>
    </row>
    <row r="74">
      <c r="A74" s="2" t="str">
        <f>IFERROR(__xludf.DUMMYFUNCTION("""COMPUTED_VALUE"""),"Mexico")</f>
        <v>Mexico</v>
      </c>
      <c r="B74" s="3">
        <f>IFERROR(__xludf.DUMMYFUNCTION("""COMPUTED_VALUE"""),42506.0)</f>
        <v>42506</v>
      </c>
      <c r="C74" s="3">
        <f>IFERROR(__xludf.DUMMYFUNCTION("""COMPUTED_VALUE"""),42512.0)</f>
        <v>42512</v>
      </c>
      <c r="D74" s="2">
        <f>IFERROR(__xludf.DUMMYFUNCTION("""COMPUTED_VALUE"""),7.0)</f>
        <v>7</v>
      </c>
      <c r="E74" s="2">
        <f>IFERROR(__xludf.DUMMYFUNCTION("""COMPUTED_VALUE"""),20.0)</f>
        <v>20</v>
      </c>
      <c r="F74" s="2">
        <f>IFERROR(__xludf.DUMMYFUNCTION("""COMPUTED_VALUE"""),12483.0)</f>
        <v>12483</v>
      </c>
      <c r="G74" s="2">
        <f>IFERROR(__xludf.DUMMYFUNCTION("""COMPUTED_VALUE"""),0.0)</f>
        <v>0</v>
      </c>
    </row>
    <row r="75">
      <c r="A75" s="2" t="str">
        <f>IFERROR(__xludf.DUMMYFUNCTION("""COMPUTED_VALUE"""),"Mexico")</f>
        <v>Mexico</v>
      </c>
      <c r="B75" s="3">
        <f>IFERROR(__xludf.DUMMYFUNCTION("""COMPUTED_VALUE"""),42513.0)</f>
        <v>42513</v>
      </c>
      <c r="C75" s="3">
        <f>IFERROR(__xludf.DUMMYFUNCTION("""COMPUTED_VALUE"""),42519.0)</f>
        <v>42519</v>
      </c>
      <c r="D75" s="2">
        <f>IFERROR(__xludf.DUMMYFUNCTION("""COMPUTED_VALUE"""),7.0)</f>
        <v>7</v>
      </c>
      <c r="E75" s="2">
        <f>IFERROR(__xludf.DUMMYFUNCTION("""COMPUTED_VALUE"""),21.0)</f>
        <v>21</v>
      </c>
      <c r="F75" s="2">
        <f>IFERROR(__xludf.DUMMYFUNCTION("""COMPUTED_VALUE"""),13019.0)</f>
        <v>13019</v>
      </c>
      <c r="G75" s="2">
        <f>IFERROR(__xludf.DUMMYFUNCTION("""COMPUTED_VALUE"""),0.0)</f>
        <v>0</v>
      </c>
    </row>
    <row r="76">
      <c r="A76" s="2" t="str">
        <f>IFERROR(__xludf.DUMMYFUNCTION("""COMPUTED_VALUE"""),"Mexico")</f>
        <v>Mexico</v>
      </c>
      <c r="B76" s="3">
        <f>IFERROR(__xludf.DUMMYFUNCTION("""COMPUTED_VALUE"""),42520.0)</f>
        <v>42520</v>
      </c>
      <c r="C76" s="3">
        <f>IFERROR(__xludf.DUMMYFUNCTION("""COMPUTED_VALUE"""),42526.0)</f>
        <v>42526</v>
      </c>
      <c r="D76" s="2">
        <f>IFERROR(__xludf.DUMMYFUNCTION("""COMPUTED_VALUE"""),7.0)</f>
        <v>7</v>
      </c>
      <c r="E76" s="2">
        <f>IFERROR(__xludf.DUMMYFUNCTION("""COMPUTED_VALUE"""),22.0)</f>
        <v>22</v>
      </c>
      <c r="F76" s="2">
        <f>IFERROR(__xludf.DUMMYFUNCTION("""COMPUTED_VALUE"""),12222.0)</f>
        <v>12222</v>
      </c>
      <c r="G76" s="2">
        <f>IFERROR(__xludf.DUMMYFUNCTION("""COMPUTED_VALUE"""),0.0)</f>
        <v>0</v>
      </c>
    </row>
    <row r="77">
      <c r="A77" s="2" t="str">
        <f>IFERROR(__xludf.DUMMYFUNCTION("""COMPUTED_VALUE"""),"Mexico")</f>
        <v>Mexico</v>
      </c>
      <c r="B77" s="3">
        <f>IFERROR(__xludf.DUMMYFUNCTION("""COMPUTED_VALUE"""),42527.0)</f>
        <v>42527</v>
      </c>
      <c r="C77" s="3">
        <f>IFERROR(__xludf.DUMMYFUNCTION("""COMPUTED_VALUE"""),42533.0)</f>
        <v>42533</v>
      </c>
      <c r="D77" s="2">
        <f>IFERROR(__xludf.DUMMYFUNCTION("""COMPUTED_VALUE"""),7.0)</f>
        <v>7</v>
      </c>
      <c r="E77" s="2">
        <f>IFERROR(__xludf.DUMMYFUNCTION("""COMPUTED_VALUE"""),23.0)</f>
        <v>23</v>
      </c>
      <c r="F77" s="2">
        <f>IFERROR(__xludf.DUMMYFUNCTION("""COMPUTED_VALUE"""),12011.0)</f>
        <v>12011</v>
      </c>
      <c r="G77" s="2">
        <f>IFERROR(__xludf.DUMMYFUNCTION("""COMPUTED_VALUE"""),0.0)</f>
        <v>0</v>
      </c>
    </row>
    <row r="78">
      <c r="A78" s="2" t="str">
        <f>IFERROR(__xludf.DUMMYFUNCTION("""COMPUTED_VALUE"""),"Mexico")</f>
        <v>Mexico</v>
      </c>
      <c r="B78" s="3">
        <f>IFERROR(__xludf.DUMMYFUNCTION("""COMPUTED_VALUE"""),42534.0)</f>
        <v>42534</v>
      </c>
      <c r="C78" s="3">
        <f>IFERROR(__xludf.DUMMYFUNCTION("""COMPUTED_VALUE"""),42540.0)</f>
        <v>42540</v>
      </c>
      <c r="D78" s="2">
        <f>IFERROR(__xludf.DUMMYFUNCTION("""COMPUTED_VALUE"""),7.0)</f>
        <v>7</v>
      </c>
      <c r="E78" s="2">
        <f>IFERROR(__xludf.DUMMYFUNCTION("""COMPUTED_VALUE"""),24.0)</f>
        <v>24</v>
      </c>
      <c r="F78" s="2">
        <f>IFERROR(__xludf.DUMMYFUNCTION("""COMPUTED_VALUE"""),11994.0)</f>
        <v>11994</v>
      </c>
      <c r="G78" s="2">
        <f>IFERROR(__xludf.DUMMYFUNCTION("""COMPUTED_VALUE"""),0.0)</f>
        <v>0</v>
      </c>
    </row>
    <row r="79">
      <c r="A79" s="2" t="str">
        <f>IFERROR(__xludf.DUMMYFUNCTION("""COMPUTED_VALUE"""),"Mexico")</f>
        <v>Mexico</v>
      </c>
      <c r="B79" s="3">
        <f>IFERROR(__xludf.DUMMYFUNCTION("""COMPUTED_VALUE"""),42541.0)</f>
        <v>42541</v>
      </c>
      <c r="C79" s="3">
        <f>IFERROR(__xludf.DUMMYFUNCTION("""COMPUTED_VALUE"""),42547.0)</f>
        <v>42547</v>
      </c>
      <c r="D79" s="2">
        <f>IFERROR(__xludf.DUMMYFUNCTION("""COMPUTED_VALUE"""),7.0)</f>
        <v>7</v>
      </c>
      <c r="E79" s="2">
        <f>IFERROR(__xludf.DUMMYFUNCTION("""COMPUTED_VALUE"""),25.0)</f>
        <v>25</v>
      </c>
      <c r="F79" s="2">
        <f>IFERROR(__xludf.DUMMYFUNCTION("""COMPUTED_VALUE"""),12117.0)</f>
        <v>12117</v>
      </c>
      <c r="G79" s="2">
        <f>IFERROR(__xludf.DUMMYFUNCTION("""COMPUTED_VALUE"""),0.0)</f>
        <v>0</v>
      </c>
    </row>
    <row r="80">
      <c r="A80" s="2" t="str">
        <f>IFERROR(__xludf.DUMMYFUNCTION("""COMPUTED_VALUE"""),"Mexico")</f>
        <v>Mexico</v>
      </c>
      <c r="B80" s="3">
        <f>IFERROR(__xludf.DUMMYFUNCTION("""COMPUTED_VALUE"""),42548.0)</f>
        <v>42548</v>
      </c>
      <c r="C80" s="3">
        <f>IFERROR(__xludf.DUMMYFUNCTION("""COMPUTED_VALUE"""),42554.0)</f>
        <v>42554</v>
      </c>
      <c r="D80" s="2">
        <f>IFERROR(__xludf.DUMMYFUNCTION("""COMPUTED_VALUE"""),7.0)</f>
        <v>7</v>
      </c>
      <c r="E80" s="2">
        <f>IFERROR(__xludf.DUMMYFUNCTION("""COMPUTED_VALUE"""),26.0)</f>
        <v>26</v>
      </c>
      <c r="F80" s="2">
        <f>IFERROR(__xludf.DUMMYFUNCTION("""COMPUTED_VALUE"""),12203.0)</f>
        <v>12203</v>
      </c>
      <c r="G80" s="2">
        <f>IFERROR(__xludf.DUMMYFUNCTION("""COMPUTED_VALUE"""),0.0)</f>
        <v>0</v>
      </c>
    </row>
    <row r="81">
      <c r="A81" s="2" t="str">
        <f>IFERROR(__xludf.DUMMYFUNCTION("""COMPUTED_VALUE"""),"Mexico")</f>
        <v>Mexico</v>
      </c>
      <c r="B81" s="3">
        <f>IFERROR(__xludf.DUMMYFUNCTION("""COMPUTED_VALUE"""),42555.0)</f>
        <v>42555</v>
      </c>
      <c r="C81" s="3">
        <f>IFERROR(__xludf.DUMMYFUNCTION("""COMPUTED_VALUE"""),42561.0)</f>
        <v>42561</v>
      </c>
      <c r="D81" s="2">
        <f>IFERROR(__xludf.DUMMYFUNCTION("""COMPUTED_VALUE"""),7.0)</f>
        <v>7</v>
      </c>
      <c r="E81" s="2">
        <f>IFERROR(__xludf.DUMMYFUNCTION("""COMPUTED_VALUE"""),27.0)</f>
        <v>27</v>
      </c>
      <c r="F81" s="2">
        <f>IFERROR(__xludf.DUMMYFUNCTION("""COMPUTED_VALUE"""),12439.0)</f>
        <v>12439</v>
      </c>
      <c r="G81" s="2">
        <f>IFERROR(__xludf.DUMMYFUNCTION("""COMPUTED_VALUE"""),0.0)</f>
        <v>0</v>
      </c>
    </row>
    <row r="82">
      <c r="A82" s="2" t="str">
        <f>IFERROR(__xludf.DUMMYFUNCTION("""COMPUTED_VALUE"""),"Mexico")</f>
        <v>Mexico</v>
      </c>
      <c r="B82" s="3">
        <f>IFERROR(__xludf.DUMMYFUNCTION("""COMPUTED_VALUE"""),42562.0)</f>
        <v>42562</v>
      </c>
      <c r="C82" s="3">
        <f>IFERROR(__xludf.DUMMYFUNCTION("""COMPUTED_VALUE"""),42568.0)</f>
        <v>42568</v>
      </c>
      <c r="D82" s="2">
        <f>IFERROR(__xludf.DUMMYFUNCTION("""COMPUTED_VALUE"""),7.0)</f>
        <v>7</v>
      </c>
      <c r="E82" s="2">
        <f>IFERROR(__xludf.DUMMYFUNCTION("""COMPUTED_VALUE"""),28.0)</f>
        <v>28</v>
      </c>
      <c r="F82" s="2">
        <f>IFERROR(__xludf.DUMMYFUNCTION("""COMPUTED_VALUE"""),12241.0)</f>
        <v>12241</v>
      </c>
      <c r="G82" s="2">
        <f>IFERROR(__xludf.DUMMYFUNCTION("""COMPUTED_VALUE"""),0.0)</f>
        <v>0</v>
      </c>
    </row>
    <row r="83">
      <c r="A83" s="2" t="str">
        <f>IFERROR(__xludf.DUMMYFUNCTION("""COMPUTED_VALUE"""),"Mexico")</f>
        <v>Mexico</v>
      </c>
      <c r="B83" s="3">
        <f>IFERROR(__xludf.DUMMYFUNCTION("""COMPUTED_VALUE"""),42569.0)</f>
        <v>42569</v>
      </c>
      <c r="C83" s="3">
        <f>IFERROR(__xludf.DUMMYFUNCTION("""COMPUTED_VALUE"""),42575.0)</f>
        <v>42575</v>
      </c>
      <c r="D83" s="2">
        <f>IFERROR(__xludf.DUMMYFUNCTION("""COMPUTED_VALUE"""),7.0)</f>
        <v>7</v>
      </c>
      <c r="E83" s="2">
        <f>IFERROR(__xludf.DUMMYFUNCTION("""COMPUTED_VALUE"""),29.0)</f>
        <v>29</v>
      </c>
      <c r="F83" s="2">
        <f>IFERROR(__xludf.DUMMYFUNCTION("""COMPUTED_VALUE"""),12316.0)</f>
        <v>12316</v>
      </c>
      <c r="G83" s="2">
        <f>IFERROR(__xludf.DUMMYFUNCTION("""COMPUTED_VALUE"""),0.0)</f>
        <v>0</v>
      </c>
    </row>
    <row r="84">
      <c r="A84" s="2" t="str">
        <f>IFERROR(__xludf.DUMMYFUNCTION("""COMPUTED_VALUE"""),"Mexico")</f>
        <v>Mexico</v>
      </c>
      <c r="B84" s="3">
        <f>IFERROR(__xludf.DUMMYFUNCTION("""COMPUTED_VALUE"""),42576.0)</f>
        <v>42576</v>
      </c>
      <c r="C84" s="3">
        <f>IFERROR(__xludf.DUMMYFUNCTION("""COMPUTED_VALUE"""),42582.0)</f>
        <v>42582</v>
      </c>
      <c r="D84" s="2">
        <f>IFERROR(__xludf.DUMMYFUNCTION("""COMPUTED_VALUE"""),7.0)</f>
        <v>7</v>
      </c>
      <c r="E84" s="2">
        <f>IFERROR(__xludf.DUMMYFUNCTION("""COMPUTED_VALUE"""),30.0)</f>
        <v>30</v>
      </c>
      <c r="F84" s="2">
        <f>IFERROR(__xludf.DUMMYFUNCTION("""COMPUTED_VALUE"""),12141.0)</f>
        <v>12141</v>
      </c>
      <c r="G84" s="2">
        <f>IFERROR(__xludf.DUMMYFUNCTION("""COMPUTED_VALUE"""),0.0)</f>
        <v>0</v>
      </c>
    </row>
    <row r="85">
      <c r="A85" s="2" t="str">
        <f>IFERROR(__xludf.DUMMYFUNCTION("""COMPUTED_VALUE"""),"Mexico")</f>
        <v>Mexico</v>
      </c>
      <c r="B85" s="3">
        <f>IFERROR(__xludf.DUMMYFUNCTION("""COMPUTED_VALUE"""),42583.0)</f>
        <v>42583</v>
      </c>
      <c r="C85" s="3">
        <f>IFERROR(__xludf.DUMMYFUNCTION("""COMPUTED_VALUE"""),42589.0)</f>
        <v>42589</v>
      </c>
      <c r="D85" s="2">
        <f>IFERROR(__xludf.DUMMYFUNCTION("""COMPUTED_VALUE"""),7.0)</f>
        <v>7</v>
      </c>
      <c r="E85" s="2">
        <f>IFERROR(__xludf.DUMMYFUNCTION("""COMPUTED_VALUE"""),31.0)</f>
        <v>31</v>
      </c>
      <c r="F85" s="2">
        <f>IFERROR(__xludf.DUMMYFUNCTION("""COMPUTED_VALUE"""),12456.0)</f>
        <v>12456</v>
      </c>
      <c r="G85" s="2">
        <f>IFERROR(__xludf.DUMMYFUNCTION("""COMPUTED_VALUE"""),0.0)</f>
        <v>0</v>
      </c>
    </row>
    <row r="86">
      <c r="A86" s="2" t="str">
        <f>IFERROR(__xludf.DUMMYFUNCTION("""COMPUTED_VALUE"""),"Mexico")</f>
        <v>Mexico</v>
      </c>
      <c r="B86" s="3">
        <f>IFERROR(__xludf.DUMMYFUNCTION("""COMPUTED_VALUE"""),42590.0)</f>
        <v>42590</v>
      </c>
      <c r="C86" s="3">
        <f>IFERROR(__xludf.DUMMYFUNCTION("""COMPUTED_VALUE"""),42596.0)</f>
        <v>42596</v>
      </c>
      <c r="D86" s="2">
        <f>IFERROR(__xludf.DUMMYFUNCTION("""COMPUTED_VALUE"""),7.0)</f>
        <v>7</v>
      </c>
      <c r="E86" s="2">
        <f>IFERROR(__xludf.DUMMYFUNCTION("""COMPUTED_VALUE"""),32.0)</f>
        <v>32</v>
      </c>
      <c r="F86" s="2">
        <f>IFERROR(__xludf.DUMMYFUNCTION("""COMPUTED_VALUE"""),12173.0)</f>
        <v>12173</v>
      </c>
      <c r="G86" s="2">
        <f>IFERROR(__xludf.DUMMYFUNCTION("""COMPUTED_VALUE"""),0.0)</f>
        <v>0</v>
      </c>
    </row>
    <row r="87">
      <c r="A87" s="2" t="str">
        <f>IFERROR(__xludf.DUMMYFUNCTION("""COMPUTED_VALUE"""),"Mexico")</f>
        <v>Mexico</v>
      </c>
      <c r="B87" s="3">
        <f>IFERROR(__xludf.DUMMYFUNCTION("""COMPUTED_VALUE"""),42597.0)</f>
        <v>42597</v>
      </c>
      <c r="C87" s="3">
        <f>IFERROR(__xludf.DUMMYFUNCTION("""COMPUTED_VALUE"""),42603.0)</f>
        <v>42603</v>
      </c>
      <c r="D87" s="2">
        <f>IFERROR(__xludf.DUMMYFUNCTION("""COMPUTED_VALUE"""),7.0)</f>
        <v>7</v>
      </c>
      <c r="E87" s="2">
        <f>IFERROR(__xludf.DUMMYFUNCTION("""COMPUTED_VALUE"""),33.0)</f>
        <v>33</v>
      </c>
      <c r="F87" s="2">
        <f>IFERROR(__xludf.DUMMYFUNCTION("""COMPUTED_VALUE"""),12261.0)</f>
        <v>12261</v>
      </c>
      <c r="G87" s="2">
        <f>IFERROR(__xludf.DUMMYFUNCTION("""COMPUTED_VALUE"""),0.0)</f>
        <v>0</v>
      </c>
    </row>
    <row r="88">
      <c r="A88" s="2" t="str">
        <f>IFERROR(__xludf.DUMMYFUNCTION("""COMPUTED_VALUE"""),"Mexico")</f>
        <v>Mexico</v>
      </c>
      <c r="B88" s="3">
        <f>IFERROR(__xludf.DUMMYFUNCTION("""COMPUTED_VALUE"""),42604.0)</f>
        <v>42604</v>
      </c>
      <c r="C88" s="3">
        <f>IFERROR(__xludf.DUMMYFUNCTION("""COMPUTED_VALUE"""),42610.0)</f>
        <v>42610</v>
      </c>
      <c r="D88" s="2">
        <f>IFERROR(__xludf.DUMMYFUNCTION("""COMPUTED_VALUE"""),7.0)</f>
        <v>7</v>
      </c>
      <c r="E88" s="2">
        <f>IFERROR(__xludf.DUMMYFUNCTION("""COMPUTED_VALUE"""),34.0)</f>
        <v>34</v>
      </c>
      <c r="F88" s="2">
        <f>IFERROR(__xludf.DUMMYFUNCTION("""COMPUTED_VALUE"""),12245.0)</f>
        <v>12245</v>
      </c>
      <c r="G88" s="2">
        <f>IFERROR(__xludf.DUMMYFUNCTION("""COMPUTED_VALUE"""),0.0)</f>
        <v>0</v>
      </c>
    </row>
    <row r="89">
      <c r="A89" s="2" t="str">
        <f>IFERROR(__xludf.DUMMYFUNCTION("""COMPUTED_VALUE"""),"Mexico")</f>
        <v>Mexico</v>
      </c>
      <c r="B89" s="3">
        <f>IFERROR(__xludf.DUMMYFUNCTION("""COMPUTED_VALUE"""),42611.0)</f>
        <v>42611</v>
      </c>
      <c r="C89" s="3">
        <f>IFERROR(__xludf.DUMMYFUNCTION("""COMPUTED_VALUE"""),42617.0)</f>
        <v>42617</v>
      </c>
      <c r="D89" s="2">
        <f>IFERROR(__xludf.DUMMYFUNCTION("""COMPUTED_VALUE"""),7.0)</f>
        <v>7</v>
      </c>
      <c r="E89" s="2">
        <f>IFERROR(__xludf.DUMMYFUNCTION("""COMPUTED_VALUE"""),35.0)</f>
        <v>35</v>
      </c>
      <c r="F89" s="2">
        <f>IFERROR(__xludf.DUMMYFUNCTION("""COMPUTED_VALUE"""),12137.0)</f>
        <v>12137</v>
      </c>
      <c r="G89" s="2">
        <f>IFERROR(__xludf.DUMMYFUNCTION("""COMPUTED_VALUE"""),0.0)</f>
        <v>0</v>
      </c>
    </row>
    <row r="90">
      <c r="A90" s="2" t="str">
        <f>IFERROR(__xludf.DUMMYFUNCTION("""COMPUTED_VALUE"""),"Mexico")</f>
        <v>Mexico</v>
      </c>
      <c r="B90" s="3">
        <f>IFERROR(__xludf.DUMMYFUNCTION("""COMPUTED_VALUE"""),42618.0)</f>
        <v>42618</v>
      </c>
      <c r="C90" s="3">
        <f>IFERROR(__xludf.DUMMYFUNCTION("""COMPUTED_VALUE"""),42624.0)</f>
        <v>42624</v>
      </c>
      <c r="D90" s="2">
        <f>IFERROR(__xludf.DUMMYFUNCTION("""COMPUTED_VALUE"""),7.0)</f>
        <v>7</v>
      </c>
      <c r="E90" s="2">
        <f>IFERROR(__xludf.DUMMYFUNCTION("""COMPUTED_VALUE"""),36.0)</f>
        <v>36</v>
      </c>
      <c r="F90" s="2">
        <f>IFERROR(__xludf.DUMMYFUNCTION("""COMPUTED_VALUE"""),12285.0)</f>
        <v>12285</v>
      </c>
      <c r="G90" s="2">
        <f>IFERROR(__xludf.DUMMYFUNCTION("""COMPUTED_VALUE"""),0.0)</f>
        <v>0</v>
      </c>
    </row>
    <row r="91">
      <c r="A91" s="2" t="str">
        <f>IFERROR(__xludf.DUMMYFUNCTION("""COMPUTED_VALUE"""),"Mexico")</f>
        <v>Mexico</v>
      </c>
      <c r="B91" s="3">
        <f>IFERROR(__xludf.DUMMYFUNCTION("""COMPUTED_VALUE"""),42625.0)</f>
        <v>42625</v>
      </c>
      <c r="C91" s="3">
        <f>IFERROR(__xludf.DUMMYFUNCTION("""COMPUTED_VALUE"""),42631.0)</f>
        <v>42631</v>
      </c>
      <c r="D91" s="2">
        <f>IFERROR(__xludf.DUMMYFUNCTION("""COMPUTED_VALUE"""),7.0)</f>
        <v>7</v>
      </c>
      <c r="E91" s="2">
        <f>IFERROR(__xludf.DUMMYFUNCTION("""COMPUTED_VALUE"""),37.0)</f>
        <v>37</v>
      </c>
      <c r="F91" s="2">
        <f>IFERROR(__xludf.DUMMYFUNCTION("""COMPUTED_VALUE"""),12491.0)</f>
        <v>12491</v>
      </c>
      <c r="G91" s="2">
        <f>IFERROR(__xludf.DUMMYFUNCTION("""COMPUTED_VALUE"""),0.0)</f>
        <v>0</v>
      </c>
    </row>
    <row r="92">
      <c r="A92" s="2" t="str">
        <f>IFERROR(__xludf.DUMMYFUNCTION("""COMPUTED_VALUE"""),"Mexico")</f>
        <v>Mexico</v>
      </c>
      <c r="B92" s="3">
        <f>IFERROR(__xludf.DUMMYFUNCTION("""COMPUTED_VALUE"""),42632.0)</f>
        <v>42632</v>
      </c>
      <c r="C92" s="3">
        <f>IFERROR(__xludf.DUMMYFUNCTION("""COMPUTED_VALUE"""),42638.0)</f>
        <v>42638</v>
      </c>
      <c r="D92" s="2">
        <f>IFERROR(__xludf.DUMMYFUNCTION("""COMPUTED_VALUE"""),7.0)</f>
        <v>7</v>
      </c>
      <c r="E92" s="2">
        <f>IFERROR(__xludf.DUMMYFUNCTION("""COMPUTED_VALUE"""),38.0)</f>
        <v>38</v>
      </c>
      <c r="F92" s="2">
        <f>IFERROR(__xludf.DUMMYFUNCTION("""COMPUTED_VALUE"""),12203.0)</f>
        <v>12203</v>
      </c>
      <c r="G92" s="2">
        <f>IFERROR(__xludf.DUMMYFUNCTION("""COMPUTED_VALUE"""),0.0)</f>
        <v>0</v>
      </c>
    </row>
    <row r="93">
      <c r="A93" s="2" t="str">
        <f>IFERROR(__xludf.DUMMYFUNCTION("""COMPUTED_VALUE"""),"Mexico")</f>
        <v>Mexico</v>
      </c>
      <c r="B93" s="3">
        <f>IFERROR(__xludf.DUMMYFUNCTION("""COMPUTED_VALUE"""),42639.0)</f>
        <v>42639</v>
      </c>
      <c r="C93" s="3">
        <f>IFERROR(__xludf.DUMMYFUNCTION("""COMPUTED_VALUE"""),42645.0)</f>
        <v>42645</v>
      </c>
      <c r="D93" s="2">
        <f>IFERROR(__xludf.DUMMYFUNCTION("""COMPUTED_VALUE"""),7.0)</f>
        <v>7</v>
      </c>
      <c r="E93" s="2">
        <f>IFERROR(__xludf.DUMMYFUNCTION("""COMPUTED_VALUE"""),39.0)</f>
        <v>39</v>
      </c>
      <c r="F93" s="2">
        <f>IFERROR(__xludf.DUMMYFUNCTION("""COMPUTED_VALUE"""),12300.0)</f>
        <v>12300</v>
      </c>
      <c r="G93" s="2">
        <f>IFERROR(__xludf.DUMMYFUNCTION("""COMPUTED_VALUE"""),0.0)</f>
        <v>0</v>
      </c>
    </row>
    <row r="94">
      <c r="A94" s="2" t="str">
        <f>IFERROR(__xludf.DUMMYFUNCTION("""COMPUTED_VALUE"""),"Mexico")</f>
        <v>Mexico</v>
      </c>
      <c r="B94" s="3">
        <f>IFERROR(__xludf.DUMMYFUNCTION("""COMPUTED_VALUE"""),42646.0)</f>
        <v>42646</v>
      </c>
      <c r="C94" s="3">
        <f>IFERROR(__xludf.DUMMYFUNCTION("""COMPUTED_VALUE"""),42652.0)</f>
        <v>42652</v>
      </c>
      <c r="D94" s="2">
        <f>IFERROR(__xludf.DUMMYFUNCTION("""COMPUTED_VALUE"""),7.0)</f>
        <v>7</v>
      </c>
      <c r="E94" s="2">
        <f>IFERROR(__xludf.DUMMYFUNCTION("""COMPUTED_VALUE"""),40.0)</f>
        <v>40</v>
      </c>
      <c r="F94" s="2">
        <f>IFERROR(__xludf.DUMMYFUNCTION("""COMPUTED_VALUE"""),12500.0)</f>
        <v>12500</v>
      </c>
      <c r="G94" s="2">
        <f>IFERROR(__xludf.DUMMYFUNCTION("""COMPUTED_VALUE"""),0.0)</f>
        <v>0</v>
      </c>
    </row>
    <row r="95">
      <c r="A95" s="2" t="str">
        <f>IFERROR(__xludf.DUMMYFUNCTION("""COMPUTED_VALUE"""),"Mexico")</f>
        <v>Mexico</v>
      </c>
      <c r="B95" s="3">
        <f>IFERROR(__xludf.DUMMYFUNCTION("""COMPUTED_VALUE"""),42653.0)</f>
        <v>42653</v>
      </c>
      <c r="C95" s="3">
        <f>IFERROR(__xludf.DUMMYFUNCTION("""COMPUTED_VALUE"""),42659.0)</f>
        <v>42659</v>
      </c>
      <c r="D95" s="2">
        <f>IFERROR(__xludf.DUMMYFUNCTION("""COMPUTED_VALUE"""),7.0)</f>
        <v>7</v>
      </c>
      <c r="E95" s="2">
        <f>IFERROR(__xludf.DUMMYFUNCTION("""COMPUTED_VALUE"""),41.0)</f>
        <v>41</v>
      </c>
      <c r="F95" s="2">
        <f>IFERROR(__xludf.DUMMYFUNCTION("""COMPUTED_VALUE"""),12201.0)</f>
        <v>12201</v>
      </c>
      <c r="G95" s="2">
        <f>IFERROR(__xludf.DUMMYFUNCTION("""COMPUTED_VALUE"""),0.0)</f>
        <v>0</v>
      </c>
    </row>
    <row r="96">
      <c r="A96" s="2" t="str">
        <f>IFERROR(__xludf.DUMMYFUNCTION("""COMPUTED_VALUE"""),"Mexico")</f>
        <v>Mexico</v>
      </c>
      <c r="B96" s="3">
        <f>IFERROR(__xludf.DUMMYFUNCTION("""COMPUTED_VALUE"""),42660.0)</f>
        <v>42660</v>
      </c>
      <c r="C96" s="3">
        <f>IFERROR(__xludf.DUMMYFUNCTION("""COMPUTED_VALUE"""),42666.0)</f>
        <v>42666</v>
      </c>
      <c r="D96" s="2">
        <f>IFERROR(__xludf.DUMMYFUNCTION("""COMPUTED_VALUE"""),7.0)</f>
        <v>7</v>
      </c>
      <c r="E96" s="2">
        <f>IFERROR(__xludf.DUMMYFUNCTION("""COMPUTED_VALUE"""),42.0)</f>
        <v>42</v>
      </c>
      <c r="F96" s="2">
        <f>IFERROR(__xludf.DUMMYFUNCTION("""COMPUTED_VALUE"""),12365.0)</f>
        <v>12365</v>
      </c>
      <c r="G96" s="2">
        <f>IFERROR(__xludf.DUMMYFUNCTION("""COMPUTED_VALUE"""),0.0)</f>
        <v>0</v>
      </c>
    </row>
    <row r="97">
      <c r="A97" s="2" t="str">
        <f>IFERROR(__xludf.DUMMYFUNCTION("""COMPUTED_VALUE"""),"Mexico")</f>
        <v>Mexico</v>
      </c>
      <c r="B97" s="3">
        <f>IFERROR(__xludf.DUMMYFUNCTION("""COMPUTED_VALUE"""),42667.0)</f>
        <v>42667</v>
      </c>
      <c r="C97" s="3">
        <f>IFERROR(__xludf.DUMMYFUNCTION("""COMPUTED_VALUE"""),42673.0)</f>
        <v>42673</v>
      </c>
      <c r="D97" s="2">
        <f>IFERROR(__xludf.DUMMYFUNCTION("""COMPUTED_VALUE"""),7.0)</f>
        <v>7</v>
      </c>
      <c r="E97" s="2">
        <f>IFERROR(__xludf.DUMMYFUNCTION("""COMPUTED_VALUE"""),43.0)</f>
        <v>43</v>
      </c>
      <c r="F97" s="2">
        <f>IFERROR(__xludf.DUMMYFUNCTION("""COMPUTED_VALUE"""),12506.0)</f>
        <v>12506</v>
      </c>
      <c r="G97" s="2">
        <f>IFERROR(__xludf.DUMMYFUNCTION("""COMPUTED_VALUE"""),0.0)</f>
        <v>0</v>
      </c>
    </row>
    <row r="98">
      <c r="A98" s="2" t="str">
        <f>IFERROR(__xludf.DUMMYFUNCTION("""COMPUTED_VALUE"""),"Mexico")</f>
        <v>Mexico</v>
      </c>
      <c r="B98" s="3">
        <f>IFERROR(__xludf.DUMMYFUNCTION("""COMPUTED_VALUE"""),42674.0)</f>
        <v>42674</v>
      </c>
      <c r="C98" s="3">
        <f>IFERROR(__xludf.DUMMYFUNCTION("""COMPUTED_VALUE"""),42680.0)</f>
        <v>42680</v>
      </c>
      <c r="D98" s="2">
        <f>IFERROR(__xludf.DUMMYFUNCTION("""COMPUTED_VALUE"""),7.0)</f>
        <v>7</v>
      </c>
      <c r="E98" s="2">
        <f>IFERROR(__xludf.DUMMYFUNCTION("""COMPUTED_VALUE"""),44.0)</f>
        <v>44</v>
      </c>
      <c r="F98" s="2">
        <f>IFERROR(__xludf.DUMMYFUNCTION("""COMPUTED_VALUE"""),12735.0)</f>
        <v>12735</v>
      </c>
      <c r="G98" s="2">
        <f>IFERROR(__xludf.DUMMYFUNCTION("""COMPUTED_VALUE"""),0.0)</f>
        <v>0</v>
      </c>
    </row>
    <row r="99">
      <c r="A99" s="2" t="str">
        <f>IFERROR(__xludf.DUMMYFUNCTION("""COMPUTED_VALUE"""),"Mexico")</f>
        <v>Mexico</v>
      </c>
      <c r="B99" s="3">
        <f>IFERROR(__xludf.DUMMYFUNCTION("""COMPUTED_VALUE"""),42681.0)</f>
        <v>42681</v>
      </c>
      <c r="C99" s="3">
        <f>IFERROR(__xludf.DUMMYFUNCTION("""COMPUTED_VALUE"""),42687.0)</f>
        <v>42687</v>
      </c>
      <c r="D99" s="2">
        <f>IFERROR(__xludf.DUMMYFUNCTION("""COMPUTED_VALUE"""),7.0)</f>
        <v>7</v>
      </c>
      <c r="E99" s="2">
        <f>IFERROR(__xludf.DUMMYFUNCTION("""COMPUTED_VALUE"""),45.0)</f>
        <v>45</v>
      </c>
      <c r="F99" s="2">
        <f>IFERROR(__xludf.DUMMYFUNCTION("""COMPUTED_VALUE"""),12478.0)</f>
        <v>12478</v>
      </c>
      <c r="G99" s="2">
        <f>IFERROR(__xludf.DUMMYFUNCTION("""COMPUTED_VALUE"""),0.0)</f>
        <v>0</v>
      </c>
    </row>
    <row r="100">
      <c r="A100" s="2" t="str">
        <f>IFERROR(__xludf.DUMMYFUNCTION("""COMPUTED_VALUE"""),"Mexico")</f>
        <v>Mexico</v>
      </c>
      <c r="B100" s="3">
        <f>IFERROR(__xludf.DUMMYFUNCTION("""COMPUTED_VALUE"""),42688.0)</f>
        <v>42688</v>
      </c>
      <c r="C100" s="3">
        <f>IFERROR(__xludf.DUMMYFUNCTION("""COMPUTED_VALUE"""),42694.0)</f>
        <v>42694</v>
      </c>
      <c r="D100" s="2">
        <f>IFERROR(__xludf.DUMMYFUNCTION("""COMPUTED_VALUE"""),7.0)</f>
        <v>7</v>
      </c>
      <c r="E100" s="2">
        <f>IFERROR(__xludf.DUMMYFUNCTION("""COMPUTED_VALUE"""),46.0)</f>
        <v>46</v>
      </c>
      <c r="F100" s="2">
        <f>IFERROR(__xludf.DUMMYFUNCTION("""COMPUTED_VALUE"""),12837.0)</f>
        <v>12837</v>
      </c>
      <c r="G100" s="2">
        <f>IFERROR(__xludf.DUMMYFUNCTION("""COMPUTED_VALUE"""),0.0)</f>
        <v>0</v>
      </c>
    </row>
    <row r="101">
      <c r="A101" s="2" t="str">
        <f>IFERROR(__xludf.DUMMYFUNCTION("""COMPUTED_VALUE"""),"Mexico")</f>
        <v>Mexico</v>
      </c>
      <c r="B101" s="3">
        <f>IFERROR(__xludf.DUMMYFUNCTION("""COMPUTED_VALUE"""),42695.0)</f>
        <v>42695</v>
      </c>
      <c r="C101" s="3">
        <f>IFERROR(__xludf.DUMMYFUNCTION("""COMPUTED_VALUE"""),42701.0)</f>
        <v>42701</v>
      </c>
      <c r="D101" s="2">
        <f>IFERROR(__xludf.DUMMYFUNCTION("""COMPUTED_VALUE"""),7.0)</f>
        <v>7</v>
      </c>
      <c r="E101" s="2">
        <f>IFERROR(__xludf.DUMMYFUNCTION("""COMPUTED_VALUE"""),47.0)</f>
        <v>47</v>
      </c>
      <c r="F101" s="2">
        <f>IFERROR(__xludf.DUMMYFUNCTION("""COMPUTED_VALUE"""),13616.0)</f>
        <v>13616</v>
      </c>
      <c r="G101" s="2">
        <f>IFERROR(__xludf.DUMMYFUNCTION("""COMPUTED_VALUE"""),0.0)</f>
        <v>0</v>
      </c>
    </row>
    <row r="102">
      <c r="A102" s="2" t="str">
        <f>IFERROR(__xludf.DUMMYFUNCTION("""COMPUTED_VALUE"""),"Mexico")</f>
        <v>Mexico</v>
      </c>
      <c r="B102" s="3">
        <f>IFERROR(__xludf.DUMMYFUNCTION("""COMPUTED_VALUE"""),42702.0)</f>
        <v>42702</v>
      </c>
      <c r="C102" s="3">
        <f>IFERROR(__xludf.DUMMYFUNCTION("""COMPUTED_VALUE"""),42708.0)</f>
        <v>42708</v>
      </c>
      <c r="D102" s="2">
        <f>IFERROR(__xludf.DUMMYFUNCTION("""COMPUTED_VALUE"""),7.0)</f>
        <v>7</v>
      </c>
      <c r="E102" s="2">
        <f>IFERROR(__xludf.DUMMYFUNCTION("""COMPUTED_VALUE"""),48.0)</f>
        <v>48</v>
      </c>
      <c r="F102" s="2">
        <f>IFERROR(__xludf.DUMMYFUNCTION("""COMPUTED_VALUE"""),13678.0)</f>
        <v>13678</v>
      </c>
      <c r="G102" s="2">
        <f>IFERROR(__xludf.DUMMYFUNCTION("""COMPUTED_VALUE"""),0.0)</f>
        <v>0</v>
      </c>
    </row>
    <row r="103">
      <c r="A103" s="2" t="str">
        <f>IFERROR(__xludf.DUMMYFUNCTION("""COMPUTED_VALUE"""),"Mexico")</f>
        <v>Mexico</v>
      </c>
      <c r="B103" s="3">
        <f>IFERROR(__xludf.DUMMYFUNCTION("""COMPUTED_VALUE"""),42709.0)</f>
        <v>42709</v>
      </c>
      <c r="C103" s="3">
        <f>IFERROR(__xludf.DUMMYFUNCTION("""COMPUTED_VALUE"""),42715.0)</f>
        <v>42715</v>
      </c>
      <c r="D103" s="2">
        <f>IFERROR(__xludf.DUMMYFUNCTION("""COMPUTED_VALUE"""),7.0)</f>
        <v>7</v>
      </c>
      <c r="E103" s="2">
        <f>IFERROR(__xludf.DUMMYFUNCTION("""COMPUTED_VALUE"""),49.0)</f>
        <v>49</v>
      </c>
      <c r="F103" s="2">
        <f>IFERROR(__xludf.DUMMYFUNCTION("""COMPUTED_VALUE"""),13396.0)</f>
        <v>13396</v>
      </c>
      <c r="G103" s="2">
        <f>IFERROR(__xludf.DUMMYFUNCTION("""COMPUTED_VALUE"""),0.0)</f>
        <v>0</v>
      </c>
    </row>
    <row r="104">
      <c r="A104" s="2" t="str">
        <f>IFERROR(__xludf.DUMMYFUNCTION("""COMPUTED_VALUE"""),"Mexico")</f>
        <v>Mexico</v>
      </c>
      <c r="B104" s="3">
        <f>IFERROR(__xludf.DUMMYFUNCTION("""COMPUTED_VALUE"""),42716.0)</f>
        <v>42716</v>
      </c>
      <c r="C104" s="3">
        <f>IFERROR(__xludf.DUMMYFUNCTION("""COMPUTED_VALUE"""),42722.0)</f>
        <v>42722</v>
      </c>
      <c r="D104" s="2">
        <f>IFERROR(__xludf.DUMMYFUNCTION("""COMPUTED_VALUE"""),7.0)</f>
        <v>7</v>
      </c>
      <c r="E104" s="2">
        <f>IFERROR(__xludf.DUMMYFUNCTION("""COMPUTED_VALUE"""),50.0)</f>
        <v>50</v>
      </c>
      <c r="F104" s="2">
        <f>IFERROR(__xludf.DUMMYFUNCTION("""COMPUTED_VALUE"""),13697.0)</f>
        <v>13697</v>
      </c>
      <c r="G104" s="2">
        <f>IFERROR(__xludf.DUMMYFUNCTION("""COMPUTED_VALUE"""),0.0)</f>
        <v>0</v>
      </c>
    </row>
    <row r="105">
      <c r="A105" s="2" t="str">
        <f>IFERROR(__xludf.DUMMYFUNCTION("""COMPUTED_VALUE"""),"Mexico")</f>
        <v>Mexico</v>
      </c>
      <c r="B105" s="3">
        <f>IFERROR(__xludf.DUMMYFUNCTION("""COMPUTED_VALUE"""),42723.0)</f>
        <v>42723</v>
      </c>
      <c r="C105" s="3">
        <f>IFERROR(__xludf.DUMMYFUNCTION("""COMPUTED_VALUE"""),42729.0)</f>
        <v>42729</v>
      </c>
      <c r="D105" s="2">
        <f>IFERROR(__xludf.DUMMYFUNCTION("""COMPUTED_VALUE"""),7.0)</f>
        <v>7</v>
      </c>
      <c r="E105" s="2">
        <f>IFERROR(__xludf.DUMMYFUNCTION("""COMPUTED_VALUE"""),51.0)</f>
        <v>51</v>
      </c>
      <c r="F105" s="2">
        <f>IFERROR(__xludf.DUMMYFUNCTION("""COMPUTED_VALUE"""),13784.0)</f>
        <v>13784</v>
      </c>
      <c r="G105" s="2">
        <f>IFERROR(__xludf.DUMMYFUNCTION("""COMPUTED_VALUE"""),0.0)</f>
        <v>0</v>
      </c>
    </row>
    <row r="106">
      <c r="A106" s="2" t="str">
        <f>IFERROR(__xludf.DUMMYFUNCTION("""COMPUTED_VALUE"""),"Mexico")</f>
        <v>Mexico</v>
      </c>
      <c r="B106" s="3">
        <f>IFERROR(__xludf.DUMMYFUNCTION("""COMPUTED_VALUE"""),42730.0)</f>
        <v>42730</v>
      </c>
      <c r="C106" s="3">
        <f>IFERROR(__xludf.DUMMYFUNCTION("""COMPUTED_VALUE"""),42736.0)</f>
        <v>42736</v>
      </c>
      <c r="D106" s="2">
        <f>IFERROR(__xludf.DUMMYFUNCTION("""COMPUTED_VALUE"""),7.0)</f>
        <v>7</v>
      </c>
      <c r="E106" s="2">
        <f>IFERROR(__xludf.DUMMYFUNCTION("""COMPUTED_VALUE"""),52.0)</f>
        <v>52</v>
      </c>
      <c r="F106" s="2">
        <f>IFERROR(__xludf.DUMMYFUNCTION("""COMPUTED_VALUE"""),14313.0)</f>
        <v>14313</v>
      </c>
      <c r="G106" s="2">
        <f>IFERROR(__xludf.DUMMYFUNCTION("""COMPUTED_VALUE"""),0.0)</f>
        <v>0</v>
      </c>
    </row>
    <row r="107">
      <c r="A107" s="2" t="str">
        <f>IFERROR(__xludf.DUMMYFUNCTION("""COMPUTED_VALUE"""),"Mexico")</f>
        <v>Mexico</v>
      </c>
      <c r="B107" s="3">
        <f>IFERROR(__xludf.DUMMYFUNCTION("""COMPUTED_VALUE"""),42737.0)</f>
        <v>42737</v>
      </c>
      <c r="C107" s="3">
        <f>IFERROR(__xludf.DUMMYFUNCTION("""COMPUTED_VALUE"""),42743.0)</f>
        <v>42743</v>
      </c>
      <c r="D107" s="2">
        <f>IFERROR(__xludf.DUMMYFUNCTION("""COMPUTED_VALUE"""),7.0)</f>
        <v>7</v>
      </c>
      <c r="E107" s="2">
        <f>IFERROR(__xludf.DUMMYFUNCTION("""COMPUTED_VALUE"""),1.0)</f>
        <v>1</v>
      </c>
      <c r="F107" s="2">
        <f>IFERROR(__xludf.DUMMYFUNCTION("""COMPUTED_VALUE"""),14312.0)</f>
        <v>14312</v>
      </c>
      <c r="G107" s="2">
        <f>IFERROR(__xludf.DUMMYFUNCTION("""COMPUTED_VALUE"""),0.0)</f>
        <v>0</v>
      </c>
    </row>
    <row r="108">
      <c r="A108" s="2" t="str">
        <f>IFERROR(__xludf.DUMMYFUNCTION("""COMPUTED_VALUE"""),"Mexico")</f>
        <v>Mexico</v>
      </c>
      <c r="B108" s="3">
        <f>IFERROR(__xludf.DUMMYFUNCTION("""COMPUTED_VALUE"""),42744.0)</f>
        <v>42744</v>
      </c>
      <c r="C108" s="3">
        <f>IFERROR(__xludf.DUMMYFUNCTION("""COMPUTED_VALUE"""),42750.0)</f>
        <v>42750</v>
      </c>
      <c r="D108" s="2">
        <f>IFERROR(__xludf.DUMMYFUNCTION("""COMPUTED_VALUE"""),7.0)</f>
        <v>7</v>
      </c>
      <c r="E108" s="2">
        <f>IFERROR(__xludf.DUMMYFUNCTION("""COMPUTED_VALUE"""),2.0)</f>
        <v>2</v>
      </c>
      <c r="F108" s="2">
        <f>IFERROR(__xludf.DUMMYFUNCTION("""COMPUTED_VALUE"""),14583.0)</f>
        <v>14583</v>
      </c>
      <c r="G108" s="2">
        <f>IFERROR(__xludf.DUMMYFUNCTION("""COMPUTED_VALUE"""),0.0)</f>
        <v>0</v>
      </c>
    </row>
    <row r="109">
      <c r="A109" s="2" t="str">
        <f>IFERROR(__xludf.DUMMYFUNCTION("""COMPUTED_VALUE"""),"Mexico")</f>
        <v>Mexico</v>
      </c>
      <c r="B109" s="3">
        <f>IFERROR(__xludf.DUMMYFUNCTION("""COMPUTED_VALUE"""),42751.0)</f>
        <v>42751</v>
      </c>
      <c r="C109" s="3">
        <f>IFERROR(__xludf.DUMMYFUNCTION("""COMPUTED_VALUE"""),42757.0)</f>
        <v>42757</v>
      </c>
      <c r="D109" s="2">
        <f>IFERROR(__xludf.DUMMYFUNCTION("""COMPUTED_VALUE"""),7.0)</f>
        <v>7</v>
      </c>
      <c r="E109" s="2">
        <f>IFERROR(__xludf.DUMMYFUNCTION("""COMPUTED_VALUE"""),3.0)</f>
        <v>3</v>
      </c>
      <c r="F109" s="2">
        <f>IFERROR(__xludf.DUMMYFUNCTION("""COMPUTED_VALUE"""),14163.0)</f>
        <v>14163</v>
      </c>
      <c r="G109" s="2">
        <f>IFERROR(__xludf.DUMMYFUNCTION("""COMPUTED_VALUE"""),0.0)</f>
        <v>0</v>
      </c>
    </row>
    <row r="110">
      <c r="A110" s="2" t="str">
        <f>IFERROR(__xludf.DUMMYFUNCTION("""COMPUTED_VALUE"""),"Mexico")</f>
        <v>Mexico</v>
      </c>
      <c r="B110" s="3">
        <f>IFERROR(__xludf.DUMMYFUNCTION("""COMPUTED_VALUE"""),42758.0)</f>
        <v>42758</v>
      </c>
      <c r="C110" s="3">
        <f>IFERROR(__xludf.DUMMYFUNCTION("""COMPUTED_VALUE"""),42764.0)</f>
        <v>42764</v>
      </c>
      <c r="D110" s="2">
        <f>IFERROR(__xludf.DUMMYFUNCTION("""COMPUTED_VALUE"""),7.0)</f>
        <v>7</v>
      </c>
      <c r="E110" s="2">
        <f>IFERROR(__xludf.DUMMYFUNCTION("""COMPUTED_VALUE"""),4.0)</f>
        <v>4</v>
      </c>
      <c r="F110" s="2">
        <f>IFERROR(__xludf.DUMMYFUNCTION("""COMPUTED_VALUE"""),14118.0)</f>
        <v>14118</v>
      </c>
      <c r="G110" s="2">
        <f>IFERROR(__xludf.DUMMYFUNCTION("""COMPUTED_VALUE"""),0.0)</f>
        <v>0</v>
      </c>
    </row>
    <row r="111">
      <c r="A111" s="2" t="str">
        <f>IFERROR(__xludf.DUMMYFUNCTION("""COMPUTED_VALUE"""),"Mexico")</f>
        <v>Mexico</v>
      </c>
      <c r="B111" s="3">
        <f>IFERROR(__xludf.DUMMYFUNCTION("""COMPUTED_VALUE"""),42765.0)</f>
        <v>42765</v>
      </c>
      <c r="C111" s="3">
        <f>IFERROR(__xludf.DUMMYFUNCTION("""COMPUTED_VALUE"""),42771.0)</f>
        <v>42771</v>
      </c>
      <c r="D111" s="2">
        <f>IFERROR(__xludf.DUMMYFUNCTION("""COMPUTED_VALUE"""),7.0)</f>
        <v>7</v>
      </c>
      <c r="E111" s="2">
        <f>IFERROR(__xludf.DUMMYFUNCTION("""COMPUTED_VALUE"""),5.0)</f>
        <v>5</v>
      </c>
      <c r="F111" s="2">
        <f>IFERROR(__xludf.DUMMYFUNCTION("""COMPUTED_VALUE"""),14444.0)</f>
        <v>14444</v>
      </c>
      <c r="G111" s="2">
        <f>IFERROR(__xludf.DUMMYFUNCTION("""COMPUTED_VALUE"""),0.0)</f>
        <v>0</v>
      </c>
    </row>
    <row r="112">
      <c r="A112" s="2" t="str">
        <f>IFERROR(__xludf.DUMMYFUNCTION("""COMPUTED_VALUE"""),"Mexico")</f>
        <v>Mexico</v>
      </c>
      <c r="B112" s="3">
        <f>IFERROR(__xludf.DUMMYFUNCTION("""COMPUTED_VALUE"""),42772.0)</f>
        <v>42772</v>
      </c>
      <c r="C112" s="3">
        <f>IFERROR(__xludf.DUMMYFUNCTION("""COMPUTED_VALUE"""),42778.0)</f>
        <v>42778</v>
      </c>
      <c r="D112" s="2">
        <f>IFERROR(__xludf.DUMMYFUNCTION("""COMPUTED_VALUE"""),7.0)</f>
        <v>7</v>
      </c>
      <c r="E112" s="2">
        <f>IFERROR(__xludf.DUMMYFUNCTION("""COMPUTED_VALUE"""),6.0)</f>
        <v>6</v>
      </c>
      <c r="F112" s="2">
        <f>IFERROR(__xludf.DUMMYFUNCTION("""COMPUTED_VALUE"""),14330.0)</f>
        <v>14330</v>
      </c>
      <c r="G112" s="2">
        <f>IFERROR(__xludf.DUMMYFUNCTION("""COMPUTED_VALUE"""),0.0)</f>
        <v>0</v>
      </c>
    </row>
    <row r="113">
      <c r="A113" s="2" t="str">
        <f>IFERROR(__xludf.DUMMYFUNCTION("""COMPUTED_VALUE"""),"Mexico")</f>
        <v>Mexico</v>
      </c>
      <c r="B113" s="3">
        <f>IFERROR(__xludf.DUMMYFUNCTION("""COMPUTED_VALUE"""),42779.0)</f>
        <v>42779</v>
      </c>
      <c r="C113" s="3">
        <f>IFERROR(__xludf.DUMMYFUNCTION("""COMPUTED_VALUE"""),42785.0)</f>
        <v>42785</v>
      </c>
      <c r="D113" s="2">
        <f>IFERROR(__xludf.DUMMYFUNCTION("""COMPUTED_VALUE"""),7.0)</f>
        <v>7</v>
      </c>
      <c r="E113" s="2">
        <f>IFERROR(__xludf.DUMMYFUNCTION("""COMPUTED_VALUE"""),7.0)</f>
        <v>7</v>
      </c>
      <c r="F113" s="2">
        <f>IFERROR(__xludf.DUMMYFUNCTION("""COMPUTED_VALUE"""),14165.0)</f>
        <v>14165</v>
      </c>
      <c r="G113" s="2">
        <f>IFERROR(__xludf.DUMMYFUNCTION("""COMPUTED_VALUE"""),0.0)</f>
        <v>0</v>
      </c>
    </row>
    <row r="114">
      <c r="A114" s="2" t="str">
        <f>IFERROR(__xludf.DUMMYFUNCTION("""COMPUTED_VALUE"""),"Mexico")</f>
        <v>Mexico</v>
      </c>
      <c r="B114" s="3">
        <f>IFERROR(__xludf.DUMMYFUNCTION("""COMPUTED_VALUE"""),42786.0)</f>
        <v>42786</v>
      </c>
      <c r="C114" s="3">
        <f>IFERROR(__xludf.DUMMYFUNCTION("""COMPUTED_VALUE"""),42792.0)</f>
        <v>42792</v>
      </c>
      <c r="D114" s="2">
        <f>IFERROR(__xludf.DUMMYFUNCTION("""COMPUTED_VALUE"""),7.0)</f>
        <v>7</v>
      </c>
      <c r="E114" s="2">
        <f>IFERROR(__xludf.DUMMYFUNCTION("""COMPUTED_VALUE"""),8.0)</f>
        <v>8</v>
      </c>
      <c r="F114" s="2">
        <f>IFERROR(__xludf.DUMMYFUNCTION("""COMPUTED_VALUE"""),14278.0)</f>
        <v>14278</v>
      </c>
      <c r="G114" s="2">
        <f>IFERROR(__xludf.DUMMYFUNCTION("""COMPUTED_VALUE"""),0.0)</f>
        <v>0</v>
      </c>
    </row>
    <row r="115">
      <c r="A115" s="2" t="str">
        <f>IFERROR(__xludf.DUMMYFUNCTION("""COMPUTED_VALUE"""),"Mexico")</f>
        <v>Mexico</v>
      </c>
      <c r="B115" s="3">
        <f>IFERROR(__xludf.DUMMYFUNCTION("""COMPUTED_VALUE"""),42793.0)</f>
        <v>42793</v>
      </c>
      <c r="C115" s="3">
        <f>IFERROR(__xludf.DUMMYFUNCTION("""COMPUTED_VALUE"""),42799.0)</f>
        <v>42799</v>
      </c>
      <c r="D115" s="2">
        <f>IFERROR(__xludf.DUMMYFUNCTION("""COMPUTED_VALUE"""),7.0)</f>
        <v>7</v>
      </c>
      <c r="E115" s="2">
        <f>IFERROR(__xludf.DUMMYFUNCTION("""COMPUTED_VALUE"""),9.0)</f>
        <v>9</v>
      </c>
      <c r="F115" s="2">
        <f>IFERROR(__xludf.DUMMYFUNCTION("""COMPUTED_VALUE"""),14456.0)</f>
        <v>14456</v>
      </c>
      <c r="G115" s="2">
        <f>IFERROR(__xludf.DUMMYFUNCTION("""COMPUTED_VALUE"""),0.0)</f>
        <v>0</v>
      </c>
    </row>
    <row r="116">
      <c r="A116" s="2" t="str">
        <f>IFERROR(__xludf.DUMMYFUNCTION("""COMPUTED_VALUE"""),"Mexico")</f>
        <v>Mexico</v>
      </c>
      <c r="B116" s="3">
        <f>IFERROR(__xludf.DUMMYFUNCTION("""COMPUTED_VALUE"""),42800.0)</f>
        <v>42800</v>
      </c>
      <c r="C116" s="3">
        <f>IFERROR(__xludf.DUMMYFUNCTION("""COMPUTED_VALUE"""),42806.0)</f>
        <v>42806</v>
      </c>
      <c r="D116" s="2">
        <f>IFERROR(__xludf.DUMMYFUNCTION("""COMPUTED_VALUE"""),7.0)</f>
        <v>7</v>
      </c>
      <c r="E116" s="2">
        <f>IFERROR(__xludf.DUMMYFUNCTION("""COMPUTED_VALUE"""),10.0)</f>
        <v>10</v>
      </c>
      <c r="F116" s="2">
        <f>IFERROR(__xludf.DUMMYFUNCTION("""COMPUTED_VALUE"""),13844.0)</f>
        <v>13844</v>
      </c>
      <c r="G116" s="2">
        <f>IFERROR(__xludf.DUMMYFUNCTION("""COMPUTED_VALUE"""),0.0)</f>
        <v>0</v>
      </c>
    </row>
    <row r="117">
      <c r="A117" s="2" t="str">
        <f>IFERROR(__xludf.DUMMYFUNCTION("""COMPUTED_VALUE"""),"Mexico")</f>
        <v>Mexico</v>
      </c>
      <c r="B117" s="3">
        <f>IFERROR(__xludf.DUMMYFUNCTION("""COMPUTED_VALUE"""),42807.0)</f>
        <v>42807</v>
      </c>
      <c r="C117" s="3">
        <f>IFERROR(__xludf.DUMMYFUNCTION("""COMPUTED_VALUE"""),42813.0)</f>
        <v>42813</v>
      </c>
      <c r="D117" s="2">
        <f>IFERROR(__xludf.DUMMYFUNCTION("""COMPUTED_VALUE"""),7.0)</f>
        <v>7</v>
      </c>
      <c r="E117" s="2">
        <f>IFERROR(__xludf.DUMMYFUNCTION("""COMPUTED_VALUE"""),11.0)</f>
        <v>11</v>
      </c>
      <c r="F117" s="2">
        <f>IFERROR(__xludf.DUMMYFUNCTION("""COMPUTED_VALUE"""),13948.0)</f>
        <v>13948</v>
      </c>
      <c r="G117" s="2">
        <f>IFERROR(__xludf.DUMMYFUNCTION("""COMPUTED_VALUE"""),0.0)</f>
        <v>0</v>
      </c>
    </row>
    <row r="118">
      <c r="A118" s="2" t="str">
        <f>IFERROR(__xludf.DUMMYFUNCTION("""COMPUTED_VALUE"""),"Mexico")</f>
        <v>Mexico</v>
      </c>
      <c r="B118" s="3">
        <f>IFERROR(__xludf.DUMMYFUNCTION("""COMPUTED_VALUE"""),42814.0)</f>
        <v>42814</v>
      </c>
      <c r="C118" s="3">
        <f>IFERROR(__xludf.DUMMYFUNCTION("""COMPUTED_VALUE"""),42820.0)</f>
        <v>42820</v>
      </c>
      <c r="D118" s="2">
        <f>IFERROR(__xludf.DUMMYFUNCTION("""COMPUTED_VALUE"""),7.0)</f>
        <v>7</v>
      </c>
      <c r="E118" s="2">
        <f>IFERROR(__xludf.DUMMYFUNCTION("""COMPUTED_VALUE"""),12.0)</f>
        <v>12</v>
      </c>
      <c r="F118" s="2">
        <f>IFERROR(__xludf.DUMMYFUNCTION("""COMPUTED_VALUE"""),13878.0)</f>
        <v>13878</v>
      </c>
      <c r="G118" s="2">
        <f>IFERROR(__xludf.DUMMYFUNCTION("""COMPUTED_VALUE"""),0.0)</f>
        <v>0</v>
      </c>
    </row>
    <row r="119">
      <c r="A119" s="2" t="str">
        <f>IFERROR(__xludf.DUMMYFUNCTION("""COMPUTED_VALUE"""),"Mexico")</f>
        <v>Mexico</v>
      </c>
      <c r="B119" s="3">
        <f>IFERROR(__xludf.DUMMYFUNCTION("""COMPUTED_VALUE"""),42821.0)</f>
        <v>42821</v>
      </c>
      <c r="C119" s="3">
        <f>IFERROR(__xludf.DUMMYFUNCTION("""COMPUTED_VALUE"""),42827.0)</f>
        <v>42827</v>
      </c>
      <c r="D119" s="2">
        <f>IFERROR(__xludf.DUMMYFUNCTION("""COMPUTED_VALUE"""),7.0)</f>
        <v>7</v>
      </c>
      <c r="E119" s="2">
        <f>IFERROR(__xludf.DUMMYFUNCTION("""COMPUTED_VALUE"""),13.0)</f>
        <v>13</v>
      </c>
      <c r="F119" s="2">
        <f>IFERROR(__xludf.DUMMYFUNCTION("""COMPUTED_VALUE"""),13307.0)</f>
        <v>13307</v>
      </c>
      <c r="G119" s="2">
        <f>IFERROR(__xludf.DUMMYFUNCTION("""COMPUTED_VALUE"""),0.0)</f>
        <v>0</v>
      </c>
    </row>
    <row r="120">
      <c r="A120" s="2" t="str">
        <f>IFERROR(__xludf.DUMMYFUNCTION("""COMPUTED_VALUE"""),"Mexico")</f>
        <v>Mexico</v>
      </c>
      <c r="B120" s="3">
        <f>IFERROR(__xludf.DUMMYFUNCTION("""COMPUTED_VALUE"""),42828.0)</f>
        <v>42828</v>
      </c>
      <c r="C120" s="3">
        <f>IFERROR(__xludf.DUMMYFUNCTION("""COMPUTED_VALUE"""),42834.0)</f>
        <v>42834</v>
      </c>
      <c r="D120" s="2">
        <f>IFERROR(__xludf.DUMMYFUNCTION("""COMPUTED_VALUE"""),7.0)</f>
        <v>7</v>
      </c>
      <c r="E120" s="2">
        <f>IFERROR(__xludf.DUMMYFUNCTION("""COMPUTED_VALUE"""),14.0)</f>
        <v>14</v>
      </c>
      <c r="F120" s="2">
        <f>IFERROR(__xludf.DUMMYFUNCTION("""COMPUTED_VALUE"""),13470.0)</f>
        <v>13470</v>
      </c>
      <c r="G120" s="2">
        <f>IFERROR(__xludf.DUMMYFUNCTION("""COMPUTED_VALUE"""),0.0)</f>
        <v>0</v>
      </c>
    </row>
    <row r="121">
      <c r="A121" s="2" t="str">
        <f>IFERROR(__xludf.DUMMYFUNCTION("""COMPUTED_VALUE"""),"Mexico")</f>
        <v>Mexico</v>
      </c>
      <c r="B121" s="3">
        <f>IFERROR(__xludf.DUMMYFUNCTION("""COMPUTED_VALUE"""),42835.0)</f>
        <v>42835</v>
      </c>
      <c r="C121" s="3">
        <f>IFERROR(__xludf.DUMMYFUNCTION("""COMPUTED_VALUE"""),42841.0)</f>
        <v>42841</v>
      </c>
      <c r="D121" s="2">
        <f>IFERROR(__xludf.DUMMYFUNCTION("""COMPUTED_VALUE"""),7.0)</f>
        <v>7</v>
      </c>
      <c r="E121" s="2">
        <f>IFERROR(__xludf.DUMMYFUNCTION("""COMPUTED_VALUE"""),15.0)</f>
        <v>15</v>
      </c>
      <c r="F121" s="2">
        <f>IFERROR(__xludf.DUMMYFUNCTION("""COMPUTED_VALUE"""),13210.0)</f>
        <v>13210</v>
      </c>
      <c r="G121" s="2">
        <f>IFERROR(__xludf.DUMMYFUNCTION("""COMPUTED_VALUE"""),0.0)</f>
        <v>0</v>
      </c>
    </row>
    <row r="122">
      <c r="A122" s="2" t="str">
        <f>IFERROR(__xludf.DUMMYFUNCTION("""COMPUTED_VALUE"""),"Mexico")</f>
        <v>Mexico</v>
      </c>
      <c r="B122" s="3">
        <f>IFERROR(__xludf.DUMMYFUNCTION("""COMPUTED_VALUE"""),42842.0)</f>
        <v>42842</v>
      </c>
      <c r="C122" s="3">
        <f>IFERROR(__xludf.DUMMYFUNCTION("""COMPUTED_VALUE"""),42848.0)</f>
        <v>42848</v>
      </c>
      <c r="D122" s="2">
        <f>IFERROR(__xludf.DUMMYFUNCTION("""COMPUTED_VALUE"""),7.0)</f>
        <v>7</v>
      </c>
      <c r="E122" s="2">
        <f>IFERROR(__xludf.DUMMYFUNCTION("""COMPUTED_VALUE"""),16.0)</f>
        <v>16</v>
      </c>
      <c r="F122" s="2">
        <f>IFERROR(__xludf.DUMMYFUNCTION("""COMPUTED_VALUE"""),13212.0)</f>
        <v>13212</v>
      </c>
      <c r="G122" s="2">
        <f>IFERROR(__xludf.DUMMYFUNCTION("""COMPUTED_VALUE"""),0.0)</f>
        <v>0</v>
      </c>
    </row>
    <row r="123">
      <c r="A123" s="2" t="str">
        <f>IFERROR(__xludf.DUMMYFUNCTION("""COMPUTED_VALUE"""),"Mexico")</f>
        <v>Mexico</v>
      </c>
      <c r="B123" s="3">
        <f>IFERROR(__xludf.DUMMYFUNCTION("""COMPUTED_VALUE"""),42849.0)</f>
        <v>42849</v>
      </c>
      <c r="C123" s="3">
        <f>IFERROR(__xludf.DUMMYFUNCTION("""COMPUTED_VALUE"""),42855.0)</f>
        <v>42855</v>
      </c>
      <c r="D123" s="2">
        <f>IFERROR(__xludf.DUMMYFUNCTION("""COMPUTED_VALUE"""),7.0)</f>
        <v>7</v>
      </c>
      <c r="E123" s="2">
        <f>IFERROR(__xludf.DUMMYFUNCTION("""COMPUTED_VALUE"""),17.0)</f>
        <v>17</v>
      </c>
      <c r="F123" s="2">
        <f>IFERROR(__xludf.DUMMYFUNCTION("""COMPUTED_VALUE"""),13363.0)</f>
        <v>13363</v>
      </c>
      <c r="G123" s="2">
        <f>IFERROR(__xludf.DUMMYFUNCTION("""COMPUTED_VALUE"""),0.0)</f>
        <v>0</v>
      </c>
    </row>
    <row r="124">
      <c r="A124" s="2" t="str">
        <f>IFERROR(__xludf.DUMMYFUNCTION("""COMPUTED_VALUE"""),"Mexico")</f>
        <v>Mexico</v>
      </c>
      <c r="B124" s="3">
        <f>IFERROR(__xludf.DUMMYFUNCTION("""COMPUTED_VALUE"""),42856.0)</f>
        <v>42856</v>
      </c>
      <c r="C124" s="3">
        <f>IFERROR(__xludf.DUMMYFUNCTION("""COMPUTED_VALUE"""),42862.0)</f>
        <v>42862</v>
      </c>
      <c r="D124" s="2">
        <f>IFERROR(__xludf.DUMMYFUNCTION("""COMPUTED_VALUE"""),7.0)</f>
        <v>7</v>
      </c>
      <c r="E124" s="2">
        <f>IFERROR(__xludf.DUMMYFUNCTION("""COMPUTED_VALUE"""),18.0)</f>
        <v>18</v>
      </c>
      <c r="F124" s="2">
        <f>IFERROR(__xludf.DUMMYFUNCTION("""COMPUTED_VALUE"""),13016.0)</f>
        <v>13016</v>
      </c>
      <c r="G124" s="2">
        <f>IFERROR(__xludf.DUMMYFUNCTION("""COMPUTED_VALUE"""),0.0)</f>
        <v>0</v>
      </c>
    </row>
    <row r="125">
      <c r="A125" s="2" t="str">
        <f>IFERROR(__xludf.DUMMYFUNCTION("""COMPUTED_VALUE"""),"Mexico")</f>
        <v>Mexico</v>
      </c>
      <c r="B125" s="3">
        <f>IFERROR(__xludf.DUMMYFUNCTION("""COMPUTED_VALUE"""),42863.0)</f>
        <v>42863</v>
      </c>
      <c r="C125" s="3">
        <f>IFERROR(__xludf.DUMMYFUNCTION("""COMPUTED_VALUE"""),42869.0)</f>
        <v>42869</v>
      </c>
      <c r="D125" s="2">
        <f>IFERROR(__xludf.DUMMYFUNCTION("""COMPUTED_VALUE"""),7.0)</f>
        <v>7</v>
      </c>
      <c r="E125" s="2">
        <f>IFERROR(__xludf.DUMMYFUNCTION("""COMPUTED_VALUE"""),19.0)</f>
        <v>19</v>
      </c>
      <c r="F125" s="2">
        <f>IFERROR(__xludf.DUMMYFUNCTION("""COMPUTED_VALUE"""),12868.0)</f>
        <v>12868</v>
      </c>
      <c r="G125" s="2">
        <f>IFERROR(__xludf.DUMMYFUNCTION("""COMPUTED_VALUE"""),0.0)</f>
        <v>0</v>
      </c>
    </row>
    <row r="126">
      <c r="A126" s="2" t="str">
        <f>IFERROR(__xludf.DUMMYFUNCTION("""COMPUTED_VALUE"""),"Mexico")</f>
        <v>Mexico</v>
      </c>
      <c r="B126" s="3">
        <f>IFERROR(__xludf.DUMMYFUNCTION("""COMPUTED_VALUE"""),42870.0)</f>
        <v>42870</v>
      </c>
      <c r="C126" s="3">
        <f>IFERROR(__xludf.DUMMYFUNCTION("""COMPUTED_VALUE"""),42876.0)</f>
        <v>42876</v>
      </c>
      <c r="D126" s="2">
        <f>IFERROR(__xludf.DUMMYFUNCTION("""COMPUTED_VALUE"""),7.0)</f>
        <v>7</v>
      </c>
      <c r="E126" s="2">
        <f>IFERROR(__xludf.DUMMYFUNCTION("""COMPUTED_VALUE"""),20.0)</f>
        <v>20</v>
      </c>
      <c r="F126" s="2">
        <f>IFERROR(__xludf.DUMMYFUNCTION("""COMPUTED_VALUE"""),13361.0)</f>
        <v>13361</v>
      </c>
      <c r="G126" s="2">
        <f>IFERROR(__xludf.DUMMYFUNCTION("""COMPUTED_VALUE"""),0.0)</f>
        <v>0</v>
      </c>
    </row>
    <row r="127">
      <c r="A127" s="2" t="str">
        <f>IFERROR(__xludf.DUMMYFUNCTION("""COMPUTED_VALUE"""),"Mexico")</f>
        <v>Mexico</v>
      </c>
      <c r="B127" s="3">
        <f>IFERROR(__xludf.DUMMYFUNCTION("""COMPUTED_VALUE"""),42877.0)</f>
        <v>42877</v>
      </c>
      <c r="C127" s="3">
        <f>IFERROR(__xludf.DUMMYFUNCTION("""COMPUTED_VALUE"""),42883.0)</f>
        <v>42883</v>
      </c>
      <c r="D127" s="2">
        <f>IFERROR(__xludf.DUMMYFUNCTION("""COMPUTED_VALUE"""),7.0)</f>
        <v>7</v>
      </c>
      <c r="E127" s="2">
        <f>IFERROR(__xludf.DUMMYFUNCTION("""COMPUTED_VALUE"""),21.0)</f>
        <v>21</v>
      </c>
      <c r="F127" s="2">
        <f>IFERROR(__xludf.DUMMYFUNCTION("""COMPUTED_VALUE"""),13165.0)</f>
        <v>13165</v>
      </c>
      <c r="G127" s="2">
        <f>IFERROR(__xludf.DUMMYFUNCTION("""COMPUTED_VALUE"""),0.0)</f>
        <v>0</v>
      </c>
    </row>
    <row r="128">
      <c r="A128" s="2" t="str">
        <f>IFERROR(__xludf.DUMMYFUNCTION("""COMPUTED_VALUE"""),"Mexico")</f>
        <v>Mexico</v>
      </c>
      <c r="B128" s="3">
        <f>IFERROR(__xludf.DUMMYFUNCTION("""COMPUTED_VALUE"""),42884.0)</f>
        <v>42884</v>
      </c>
      <c r="C128" s="3">
        <f>IFERROR(__xludf.DUMMYFUNCTION("""COMPUTED_VALUE"""),42890.0)</f>
        <v>42890</v>
      </c>
      <c r="D128" s="2">
        <f>IFERROR(__xludf.DUMMYFUNCTION("""COMPUTED_VALUE"""),7.0)</f>
        <v>7</v>
      </c>
      <c r="E128" s="2">
        <f>IFERROR(__xludf.DUMMYFUNCTION("""COMPUTED_VALUE"""),22.0)</f>
        <v>22</v>
      </c>
      <c r="F128" s="2">
        <f>IFERROR(__xludf.DUMMYFUNCTION("""COMPUTED_VALUE"""),12510.0)</f>
        <v>12510</v>
      </c>
      <c r="G128" s="2">
        <f>IFERROR(__xludf.DUMMYFUNCTION("""COMPUTED_VALUE"""),0.0)</f>
        <v>0</v>
      </c>
    </row>
    <row r="129">
      <c r="A129" s="2" t="str">
        <f>IFERROR(__xludf.DUMMYFUNCTION("""COMPUTED_VALUE"""),"Mexico")</f>
        <v>Mexico</v>
      </c>
      <c r="B129" s="3">
        <f>IFERROR(__xludf.DUMMYFUNCTION("""COMPUTED_VALUE"""),42891.0)</f>
        <v>42891</v>
      </c>
      <c r="C129" s="3">
        <f>IFERROR(__xludf.DUMMYFUNCTION("""COMPUTED_VALUE"""),42897.0)</f>
        <v>42897</v>
      </c>
      <c r="D129" s="2">
        <f>IFERROR(__xludf.DUMMYFUNCTION("""COMPUTED_VALUE"""),7.0)</f>
        <v>7</v>
      </c>
      <c r="E129" s="2">
        <f>IFERROR(__xludf.DUMMYFUNCTION("""COMPUTED_VALUE"""),23.0)</f>
        <v>23</v>
      </c>
      <c r="F129" s="2">
        <f>IFERROR(__xludf.DUMMYFUNCTION("""COMPUTED_VALUE"""),12753.0)</f>
        <v>12753</v>
      </c>
      <c r="G129" s="2">
        <f>IFERROR(__xludf.DUMMYFUNCTION("""COMPUTED_VALUE"""),0.0)</f>
        <v>0</v>
      </c>
    </row>
    <row r="130">
      <c r="A130" s="2" t="str">
        <f>IFERROR(__xludf.DUMMYFUNCTION("""COMPUTED_VALUE"""),"Mexico")</f>
        <v>Mexico</v>
      </c>
      <c r="B130" s="3">
        <f>IFERROR(__xludf.DUMMYFUNCTION("""COMPUTED_VALUE"""),42898.0)</f>
        <v>42898</v>
      </c>
      <c r="C130" s="3">
        <f>IFERROR(__xludf.DUMMYFUNCTION("""COMPUTED_VALUE"""),42904.0)</f>
        <v>42904</v>
      </c>
      <c r="D130" s="2">
        <f>IFERROR(__xludf.DUMMYFUNCTION("""COMPUTED_VALUE"""),7.0)</f>
        <v>7</v>
      </c>
      <c r="E130" s="2">
        <f>IFERROR(__xludf.DUMMYFUNCTION("""COMPUTED_VALUE"""),24.0)</f>
        <v>24</v>
      </c>
      <c r="F130" s="2">
        <f>IFERROR(__xludf.DUMMYFUNCTION("""COMPUTED_VALUE"""),12724.0)</f>
        <v>12724</v>
      </c>
      <c r="G130" s="2">
        <f>IFERROR(__xludf.DUMMYFUNCTION("""COMPUTED_VALUE"""),0.0)</f>
        <v>0</v>
      </c>
    </row>
    <row r="131">
      <c r="A131" s="2" t="str">
        <f>IFERROR(__xludf.DUMMYFUNCTION("""COMPUTED_VALUE"""),"Mexico")</f>
        <v>Mexico</v>
      </c>
      <c r="B131" s="3">
        <f>IFERROR(__xludf.DUMMYFUNCTION("""COMPUTED_VALUE"""),42905.0)</f>
        <v>42905</v>
      </c>
      <c r="C131" s="3">
        <f>IFERROR(__xludf.DUMMYFUNCTION("""COMPUTED_VALUE"""),42911.0)</f>
        <v>42911</v>
      </c>
      <c r="D131" s="2">
        <f>IFERROR(__xludf.DUMMYFUNCTION("""COMPUTED_VALUE"""),7.0)</f>
        <v>7</v>
      </c>
      <c r="E131" s="2">
        <f>IFERROR(__xludf.DUMMYFUNCTION("""COMPUTED_VALUE"""),25.0)</f>
        <v>25</v>
      </c>
      <c r="F131" s="2">
        <f>IFERROR(__xludf.DUMMYFUNCTION("""COMPUTED_VALUE"""),13154.0)</f>
        <v>13154</v>
      </c>
      <c r="G131" s="2">
        <f>IFERROR(__xludf.DUMMYFUNCTION("""COMPUTED_VALUE"""),0.0)</f>
        <v>0</v>
      </c>
    </row>
    <row r="132">
      <c r="A132" s="2" t="str">
        <f>IFERROR(__xludf.DUMMYFUNCTION("""COMPUTED_VALUE"""),"Mexico")</f>
        <v>Mexico</v>
      </c>
      <c r="B132" s="3">
        <f>IFERROR(__xludf.DUMMYFUNCTION("""COMPUTED_VALUE"""),42912.0)</f>
        <v>42912</v>
      </c>
      <c r="C132" s="3">
        <f>IFERROR(__xludf.DUMMYFUNCTION("""COMPUTED_VALUE"""),42918.0)</f>
        <v>42918</v>
      </c>
      <c r="D132" s="2">
        <f>IFERROR(__xludf.DUMMYFUNCTION("""COMPUTED_VALUE"""),7.0)</f>
        <v>7</v>
      </c>
      <c r="E132" s="2">
        <f>IFERROR(__xludf.DUMMYFUNCTION("""COMPUTED_VALUE"""),26.0)</f>
        <v>26</v>
      </c>
      <c r="F132" s="2">
        <f>IFERROR(__xludf.DUMMYFUNCTION("""COMPUTED_VALUE"""),12736.0)</f>
        <v>12736</v>
      </c>
      <c r="G132" s="2">
        <f>IFERROR(__xludf.DUMMYFUNCTION("""COMPUTED_VALUE"""),0.0)</f>
        <v>0</v>
      </c>
    </row>
    <row r="133">
      <c r="A133" s="2" t="str">
        <f>IFERROR(__xludf.DUMMYFUNCTION("""COMPUTED_VALUE"""),"Mexico")</f>
        <v>Mexico</v>
      </c>
      <c r="B133" s="3">
        <f>IFERROR(__xludf.DUMMYFUNCTION("""COMPUTED_VALUE"""),42919.0)</f>
        <v>42919</v>
      </c>
      <c r="C133" s="3">
        <f>IFERROR(__xludf.DUMMYFUNCTION("""COMPUTED_VALUE"""),42925.0)</f>
        <v>42925</v>
      </c>
      <c r="D133" s="2">
        <f>IFERROR(__xludf.DUMMYFUNCTION("""COMPUTED_VALUE"""),7.0)</f>
        <v>7</v>
      </c>
      <c r="E133" s="2">
        <f>IFERROR(__xludf.DUMMYFUNCTION("""COMPUTED_VALUE"""),27.0)</f>
        <v>27</v>
      </c>
      <c r="F133" s="2">
        <f>IFERROR(__xludf.DUMMYFUNCTION("""COMPUTED_VALUE"""),12502.0)</f>
        <v>12502</v>
      </c>
      <c r="G133" s="2">
        <f>IFERROR(__xludf.DUMMYFUNCTION("""COMPUTED_VALUE"""),0.0)</f>
        <v>0</v>
      </c>
    </row>
    <row r="134">
      <c r="A134" s="2" t="str">
        <f>IFERROR(__xludf.DUMMYFUNCTION("""COMPUTED_VALUE"""),"Mexico")</f>
        <v>Mexico</v>
      </c>
      <c r="B134" s="3">
        <f>IFERROR(__xludf.DUMMYFUNCTION("""COMPUTED_VALUE"""),42926.0)</f>
        <v>42926</v>
      </c>
      <c r="C134" s="3">
        <f>IFERROR(__xludf.DUMMYFUNCTION("""COMPUTED_VALUE"""),42932.0)</f>
        <v>42932</v>
      </c>
      <c r="D134" s="2">
        <f>IFERROR(__xludf.DUMMYFUNCTION("""COMPUTED_VALUE"""),7.0)</f>
        <v>7</v>
      </c>
      <c r="E134" s="2">
        <f>IFERROR(__xludf.DUMMYFUNCTION("""COMPUTED_VALUE"""),28.0)</f>
        <v>28</v>
      </c>
      <c r="F134" s="2">
        <f>IFERROR(__xludf.DUMMYFUNCTION("""COMPUTED_VALUE"""),12822.0)</f>
        <v>12822</v>
      </c>
      <c r="G134" s="2">
        <f>IFERROR(__xludf.DUMMYFUNCTION("""COMPUTED_VALUE"""),0.0)</f>
        <v>0</v>
      </c>
    </row>
    <row r="135">
      <c r="A135" s="2" t="str">
        <f>IFERROR(__xludf.DUMMYFUNCTION("""COMPUTED_VALUE"""),"Mexico")</f>
        <v>Mexico</v>
      </c>
      <c r="B135" s="3">
        <f>IFERROR(__xludf.DUMMYFUNCTION("""COMPUTED_VALUE"""),42933.0)</f>
        <v>42933</v>
      </c>
      <c r="C135" s="3">
        <f>IFERROR(__xludf.DUMMYFUNCTION("""COMPUTED_VALUE"""),42939.0)</f>
        <v>42939</v>
      </c>
      <c r="D135" s="2">
        <f>IFERROR(__xludf.DUMMYFUNCTION("""COMPUTED_VALUE"""),7.0)</f>
        <v>7</v>
      </c>
      <c r="E135" s="2">
        <f>IFERROR(__xludf.DUMMYFUNCTION("""COMPUTED_VALUE"""),29.0)</f>
        <v>29</v>
      </c>
      <c r="F135" s="2">
        <f>IFERROR(__xludf.DUMMYFUNCTION("""COMPUTED_VALUE"""),12512.0)</f>
        <v>12512</v>
      </c>
      <c r="G135" s="2">
        <f>IFERROR(__xludf.DUMMYFUNCTION("""COMPUTED_VALUE"""),0.0)</f>
        <v>0</v>
      </c>
    </row>
    <row r="136">
      <c r="A136" s="2" t="str">
        <f>IFERROR(__xludf.DUMMYFUNCTION("""COMPUTED_VALUE"""),"Mexico")</f>
        <v>Mexico</v>
      </c>
      <c r="B136" s="3">
        <f>IFERROR(__xludf.DUMMYFUNCTION("""COMPUTED_VALUE"""),42940.0)</f>
        <v>42940</v>
      </c>
      <c r="C136" s="3">
        <f>IFERROR(__xludf.DUMMYFUNCTION("""COMPUTED_VALUE"""),42946.0)</f>
        <v>42946</v>
      </c>
      <c r="D136" s="2">
        <f>IFERROR(__xludf.DUMMYFUNCTION("""COMPUTED_VALUE"""),7.0)</f>
        <v>7</v>
      </c>
      <c r="E136" s="2">
        <f>IFERROR(__xludf.DUMMYFUNCTION("""COMPUTED_VALUE"""),30.0)</f>
        <v>30</v>
      </c>
      <c r="F136" s="2">
        <f>IFERROR(__xludf.DUMMYFUNCTION("""COMPUTED_VALUE"""),12923.0)</f>
        <v>12923</v>
      </c>
      <c r="G136" s="2">
        <f>IFERROR(__xludf.DUMMYFUNCTION("""COMPUTED_VALUE"""),0.0)</f>
        <v>0</v>
      </c>
    </row>
    <row r="137">
      <c r="A137" s="2" t="str">
        <f>IFERROR(__xludf.DUMMYFUNCTION("""COMPUTED_VALUE"""),"Mexico")</f>
        <v>Mexico</v>
      </c>
      <c r="B137" s="3">
        <f>IFERROR(__xludf.DUMMYFUNCTION("""COMPUTED_VALUE"""),42947.0)</f>
        <v>42947</v>
      </c>
      <c r="C137" s="3">
        <f>IFERROR(__xludf.DUMMYFUNCTION("""COMPUTED_VALUE"""),42953.0)</f>
        <v>42953</v>
      </c>
      <c r="D137" s="2">
        <f>IFERROR(__xludf.DUMMYFUNCTION("""COMPUTED_VALUE"""),7.0)</f>
        <v>7</v>
      </c>
      <c r="E137" s="2">
        <f>IFERROR(__xludf.DUMMYFUNCTION("""COMPUTED_VALUE"""),31.0)</f>
        <v>31</v>
      </c>
      <c r="F137" s="2">
        <f>IFERROR(__xludf.DUMMYFUNCTION("""COMPUTED_VALUE"""),12967.0)</f>
        <v>12967</v>
      </c>
      <c r="G137" s="2">
        <f>IFERROR(__xludf.DUMMYFUNCTION("""COMPUTED_VALUE"""),0.0)</f>
        <v>0</v>
      </c>
    </row>
    <row r="138">
      <c r="A138" s="2" t="str">
        <f>IFERROR(__xludf.DUMMYFUNCTION("""COMPUTED_VALUE"""),"Mexico")</f>
        <v>Mexico</v>
      </c>
      <c r="B138" s="3">
        <f>IFERROR(__xludf.DUMMYFUNCTION("""COMPUTED_VALUE"""),42954.0)</f>
        <v>42954</v>
      </c>
      <c r="C138" s="3">
        <f>IFERROR(__xludf.DUMMYFUNCTION("""COMPUTED_VALUE"""),42960.0)</f>
        <v>42960</v>
      </c>
      <c r="D138" s="2">
        <f>IFERROR(__xludf.DUMMYFUNCTION("""COMPUTED_VALUE"""),7.0)</f>
        <v>7</v>
      </c>
      <c r="E138" s="2">
        <f>IFERROR(__xludf.DUMMYFUNCTION("""COMPUTED_VALUE"""),32.0)</f>
        <v>32</v>
      </c>
      <c r="F138" s="2">
        <f>IFERROR(__xludf.DUMMYFUNCTION("""COMPUTED_VALUE"""),12464.0)</f>
        <v>12464</v>
      </c>
      <c r="G138" s="2">
        <f>IFERROR(__xludf.DUMMYFUNCTION("""COMPUTED_VALUE"""),0.0)</f>
        <v>0</v>
      </c>
    </row>
    <row r="139">
      <c r="A139" s="2" t="str">
        <f>IFERROR(__xludf.DUMMYFUNCTION("""COMPUTED_VALUE"""),"Mexico")</f>
        <v>Mexico</v>
      </c>
      <c r="B139" s="3">
        <f>IFERROR(__xludf.DUMMYFUNCTION("""COMPUTED_VALUE"""),42961.0)</f>
        <v>42961</v>
      </c>
      <c r="C139" s="3">
        <f>IFERROR(__xludf.DUMMYFUNCTION("""COMPUTED_VALUE"""),42967.0)</f>
        <v>42967</v>
      </c>
      <c r="D139" s="2">
        <f>IFERROR(__xludf.DUMMYFUNCTION("""COMPUTED_VALUE"""),7.0)</f>
        <v>7</v>
      </c>
      <c r="E139" s="2">
        <f>IFERROR(__xludf.DUMMYFUNCTION("""COMPUTED_VALUE"""),33.0)</f>
        <v>33</v>
      </c>
      <c r="F139" s="2">
        <f>IFERROR(__xludf.DUMMYFUNCTION("""COMPUTED_VALUE"""),12638.0)</f>
        <v>12638</v>
      </c>
      <c r="G139" s="2">
        <f>IFERROR(__xludf.DUMMYFUNCTION("""COMPUTED_VALUE"""),0.0)</f>
        <v>0</v>
      </c>
    </row>
    <row r="140">
      <c r="A140" s="2" t="str">
        <f>IFERROR(__xludf.DUMMYFUNCTION("""COMPUTED_VALUE"""),"Mexico")</f>
        <v>Mexico</v>
      </c>
      <c r="B140" s="3">
        <f>IFERROR(__xludf.DUMMYFUNCTION("""COMPUTED_VALUE"""),42968.0)</f>
        <v>42968</v>
      </c>
      <c r="C140" s="3">
        <f>IFERROR(__xludf.DUMMYFUNCTION("""COMPUTED_VALUE"""),42974.0)</f>
        <v>42974</v>
      </c>
      <c r="D140" s="2">
        <f>IFERROR(__xludf.DUMMYFUNCTION("""COMPUTED_VALUE"""),7.0)</f>
        <v>7</v>
      </c>
      <c r="E140" s="2">
        <f>IFERROR(__xludf.DUMMYFUNCTION("""COMPUTED_VALUE"""),34.0)</f>
        <v>34</v>
      </c>
      <c r="F140" s="2">
        <f>IFERROR(__xludf.DUMMYFUNCTION("""COMPUTED_VALUE"""),12432.0)</f>
        <v>12432</v>
      </c>
      <c r="G140" s="2">
        <f>IFERROR(__xludf.DUMMYFUNCTION("""COMPUTED_VALUE"""),0.0)</f>
        <v>0</v>
      </c>
    </row>
    <row r="141">
      <c r="A141" s="2" t="str">
        <f>IFERROR(__xludf.DUMMYFUNCTION("""COMPUTED_VALUE"""),"Mexico")</f>
        <v>Mexico</v>
      </c>
      <c r="B141" s="3">
        <f>IFERROR(__xludf.DUMMYFUNCTION("""COMPUTED_VALUE"""),42975.0)</f>
        <v>42975</v>
      </c>
      <c r="C141" s="3">
        <f>IFERROR(__xludf.DUMMYFUNCTION("""COMPUTED_VALUE"""),42981.0)</f>
        <v>42981</v>
      </c>
      <c r="D141" s="2">
        <f>IFERROR(__xludf.DUMMYFUNCTION("""COMPUTED_VALUE"""),7.0)</f>
        <v>7</v>
      </c>
      <c r="E141" s="2">
        <f>IFERROR(__xludf.DUMMYFUNCTION("""COMPUTED_VALUE"""),35.0)</f>
        <v>35</v>
      </c>
      <c r="F141" s="2">
        <f>IFERROR(__xludf.DUMMYFUNCTION("""COMPUTED_VALUE"""),12172.0)</f>
        <v>12172</v>
      </c>
      <c r="G141" s="2">
        <f>IFERROR(__xludf.DUMMYFUNCTION("""COMPUTED_VALUE"""),0.0)</f>
        <v>0</v>
      </c>
    </row>
    <row r="142">
      <c r="A142" s="2" t="str">
        <f>IFERROR(__xludf.DUMMYFUNCTION("""COMPUTED_VALUE"""),"Mexico")</f>
        <v>Mexico</v>
      </c>
      <c r="B142" s="3">
        <f>IFERROR(__xludf.DUMMYFUNCTION("""COMPUTED_VALUE"""),42982.0)</f>
        <v>42982</v>
      </c>
      <c r="C142" s="3">
        <f>IFERROR(__xludf.DUMMYFUNCTION("""COMPUTED_VALUE"""),42988.0)</f>
        <v>42988</v>
      </c>
      <c r="D142" s="2">
        <f>IFERROR(__xludf.DUMMYFUNCTION("""COMPUTED_VALUE"""),7.0)</f>
        <v>7</v>
      </c>
      <c r="E142" s="2">
        <f>IFERROR(__xludf.DUMMYFUNCTION("""COMPUTED_VALUE"""),36.0)</f>
        <v>36</v>
      </c>
      <c r="F142" s="2">
        <f>IFERROR(__xludf.DUMMYFUNCTION("""COMPUTED_VALUE"""),12933.0)</f>
        <v>12933</v>
      </c>
      <c r="G142" s="2">
        <f>IFERROR(__xludf.DUMMYFUNCTION("""COMPUTED_VALUE"""),0.0)</f>
        <v>0</v>
      </c>
    </row>
    <row r="143">
      <c r="A143" s="2" t="str">
        <f>IFERROR(__xludf.DUMMYFUNCTION("""COMPUTED_VALUE"""),"Mexico")</f>
        <v>Mexico</v>
      </c>
      <c r="B143" s="3">
        <f>IFERROR(__xludf.DUMMYFUNCTION("""COMPUTED_VALUE"""),42989.0)</f>
        <v>42989</v>
      </c>
      <c r="C143" s="3">
        <f>IFERROR(__xludf.DUMMYFUNCTION("""COMPUTED_VALUE"""),42995.0)</f>
        <v>42995</v>
      </c>
      <c r="D143" s="2">
        <f>IFERROR(__xludf.DUMMYFUNCTION("""COMPUTED_VALUE"""),7.0)</f>
        <v>7</v>
      </c>
      <c r="E143" s="2">
        <f>IFERROR(__xludf.DUMMYFUNCTION("""COMPUTED_VALUE"""),37.0)</f>
        <v>37</v>
      </c>
      <c r="F143" s="2">
        <f>IFERROR(__xludf.DUMMYFUNCTION("""COMPUTED_VALUE"""),13333.0)</f>
        <v>13333</v>
      </c>
      <c r="G143" s="2">
        <f>IFERROR(__xludf.DUMMYFUNCTION("""COMPUTED_VALUE"""),0.0)</f>
        <v>0</v>
      </c>
    </row>
    <row r="144">
      <c r="A144" s="2" t="str">
        <f>IFERROR(__xludf.DUMMYFUNCTION("""COMPUTED_VALUE"""),"Mexico")</f>
        <v>Mexico</v>
      </c>
      <c r="B144" s="3">
        <f>IFERROR(__xludf.DUMMYFUNCTION("""COMPUTED_VALUE"""),42996.0)</f>
        <v>42996</v>
      </c>
      <c r="C144" s="3">
        <f>IFERROR(__xludf.DUMMYFUNCTION("""COMPUTED_VALUE"""),43002.0)</f>
        <v>43002</v>
      </c>
      <c r="D144" s="2">
        <f>IFERROR(__xludf.DUMMYFUNCTION("""COMPUTED_VALUE"""),7.0)</f>
        <v>7</v>
      </c>
      <c r="E144" s="2">
        <f>IFERROR(__xludf.DUMMYFUNCTION("""COMPUTED_VALUE"""),38.0)</f>
        <v>38</v>
      </c>
      <c r="F144" s="2">
        <f>IFERROR(__xludf.DUMMYFUNCTION("""COMPUTED_VALUE"""),13164.0)</f>
        <v>13164</v>
      </c>
      <c r="G144" s="2">
        <f>IFERROR(__xludf.DUMMYFUNCTION("""COMPUTED_VALUE"""),0.0)</f>
        <v>0</v>
      </c>
    </row>
    <row r="145">
      <c r="A145" s="2" t="str">
        <f>IFERROR(__xludf.DUMMYFUNCTION("""COMPUTED_VALUE"""),"Mexico")</f>
        <v>Mexico</v>
      </c>
      <c r="B145" s="3">
        <f>IFERROR(__xludf.DUMMYFUNCTION("""COMPUTED_VALUE"""),43003.0)</f>
        <v>43003</v>
      </c>
      <c r="C145" s="3">
        <f>IFERROR(__xludf.DUMMYFUNCTION("""COMPUTED_VALUE"""),43009.0)</f>
        <v>43009</v>
      </c>
      <c r="D145" s="2">
        <f>IFERROR(__xludf.DUMMYFUNCTION("""COMPUTED_VALUE"""),7.0)</f>
        <v>7</v>
      </c>
      <c r="E145" s="2">
        <f>IFERROR(__xludf.DUMMYFUNCTION("""COMPUTED_VALUE"""),39.0)</f>
        <v>39</v>
      </c>
      <c r="F145" s="2">
        <f>IFERROR(__xludf.DUMMYFUNCTION("""COMPUTED_VALUE"""),12604.0)</f>
        <v>12604</v>
      </c>
      <c r="G145" s="2">
        <f>IFERROR(__xludf.DUMMYFUNCTION("""COMPUTED_VALUE"""),0.0)</f>
        <v>0</v>
      </c>
    </row>
    <row r="146">
      <c r="A146" s="2" t="str">
        <f>IFERROR(__xludf.DUMMYFUNCTION("""COMPUTED_VALUE"""),"Mexico")</f>
        <v>Mexico</v>
      </c>
      <c r="B146" s="3">
        <f>IFERROR(__xludf.DUMMYFUNCTION("""COMPUTED_VALUE"""),43010.0)</f>
        <v>43010</v>
      </c>
      <c r="C146" s="3">
        <f>IFERROR(__xludf.DUMMYFUNCTION("""COMPUTED_VALUE"""),43016.0)</f>
        <v>43016</v>
      </c>
      <c r="D146" s="2">
        <f>IFERROR(__xludf.DUMMYFUNCTION("""COMPUTED_VALUE"""),7.0)</f>
        <v>7</v>
      </c>
      <c r="E146" s="2">
        <f>IFERROR(__xludf.DUMMYFUNCTION("""COMPUTED_VALUE"""),40.0)</f>
        <v>40</v>
      </c>
      <c r="F146" s="2">
        <f>IFERROR(__xludf.DUMMYFUNCTION("""COMPUTED_VALUE"""),13026.0)</f>
        <v>13026</v>
      </c>
      <c r="G146" s="2">
        <f>IFERROR(__xludf.DUMMYFUNCTION("""COMPUTED_VALUE"""),0.0)</f>
        <v>0</v>
      </c>
    </row>
    <row r="147">
      <c r="A147" s="2" t="str">
        <f>IFERROR(__xludf.DUMMYFUNCTION("""COMPUTED_VALUE"""),"Mexico")</f>
        <v>Mexico</v>
      </c>
      <c r="B147" s="3">
        <f>IFERROR(__xludf.DUMMYFUNCTION("""COMPUTED_VALUE"""),43017.0)</f>
        <v>43017</v>
      </c>
      <c r="C147" s="3">
        <f>IFERROR(__xludf.DUMMYFUNCTION("""COMPUTED_VALUE"""),43023.0)</f>
        <v>43023</v>
      </c>
      <c r="D147" s="2">
        <f>IFERROR(__xludf.DUMMYFUNCTION("""COMPUTED_VALUE"""),7.0)</f>
        <v>7</v>
      </c>
      <c r="E147" s="2">
        <f>IFERROR(__xludf.DUMMYFUNCTION("""COMPUTED_VALUE"""),41.0)</f>
        <v>41</v>
      </c>
      <c r="F147" s="2">
        <f>IFERROR(__xludf.DUMMYFUNCTION("""COMPUTED_VALUE"""),13031.0)</f>
        <v>13031</v>
      </c>
      <c r="G147" s="2">
        <f>IFERROR(__xludf.DUMMYFUNCTION("""COMPUTED_VALUE"""),0.0)</f>
        <v>0</v>
      </c>
    </row>
    <row r="148">
      <c r="A148" s="2" t="str">
        <f>IFERROR(__xludf.DUMMYFUNCTION("""COMPUTED_VALUE"""),"Mexico")</f>
        <v>Mexico</v>
      </c>
      <c r="B148" s="3">
        <f>IFERROR(__xludf.DUMMYFUNCTION("""COMPUTED_VALUE"""),43024.0)</f>
        <v>43024</v>
      </c>
      <c r="C148" s="3">
        <f>IFERROR(__xludf.DUMMYFUNCTION("""COMPUTED_VALUE"""),43030.0)</f>
        <v>43030</v>
      </c>
      <c r="D148" s="2">
        <f>IFERROR(__xludf.DUMMYFUNCTION("""COMPUTED_VALUE"""),7.0)</f>
        <v>7</v>
      </c>
      <c r="E148" s="2">
        <f>IFERROR(__xludf.DUMMYFUNCTION("""COMPUTED_VALUE"""),42.0)</f>
        <v>42</v>
      </c>
      <c r="F148" s="2">
        <f>IFERROR(__xludf.DUMMYFUNCTION("""COMPUTED_VALUE"""),13390.0)</f>
        <v>13390</v>
      </c>
      <c r="G148" s="2">
        <f>IFERROR(__xludf.DUMMYFUNCTION("""COMPUTED_VALUE"""),0.0)</f>
        <v>0</v>
      </c>
    </row>
    <row r="149">
      <c r="A149" s="2" t="str">
        <f>IFERROR(__xludf.DUMMYFUNCTION("""COMPUTED_VALUE"""),"Mexico")</f>
        <v>Mexico</v>
      </c>
      <c r="B149" s="3">
        <f>IFERROR(__xludf.DUMMYFUNCTION("""COMPUTED_VALUE"""),43031.0)</f>
        <v>43031</v>
      </c>
      <c r="C149" s="3">
        <f>IFERROR(__xludf.DUMMYFUNCTION("""COMPUTED_VALUE"""),43037.0)</f>
        <v>43037</v>
      </c>
      <c r="D149" s="2">
        <f>IFERROR(__xludf.DUMMYFUNCTION("""COMPUTED_VALUE"""),7.0)</f>
        <v>7</v>
      </c>
      <c r="E149" s="2">
        <f>IFERROR(__xludf.DUMMYFUNCTION("""COMPUTED_VALUE"""),43.0)</f>
        <v>43</v>
      </c>
      <c r="F149" s="2">
        <f>IFERROR(__xludf.DUMMYFUNCTION("""COMPUTED_VALUE"""),13216.0)</f>
        <v>13216</v>
      </c>
      <c r="G149" s="2">
        <f>IFERROR(__xludf.DUMMYFUNCTION("""COMPUTED_VALUE"""),0.0)</f>
        <v>0</v>
      </c>
    </row>
    <row r="150">
      <c r="A150" s="2" t="str">
        <f>IFERROR(__xludf.DUMMYFUNCTION("""COMPUTED_VALUE"""),"Mexico")</f>
        <v>Mexico</v>
      </c>
      <c r="B150" s="3">
        <f>IFERROR(__xludf.DUMMYFUNCTION("""COMPUTED_VALUE"""),43038.0)</f>
        <v>43038</v>
      </c>
      <c r="C150" s="3">
        <f>IFERROR(__xludf.DUMMYFUNCTION("""COMPUTED_VALUE"""),43044.0)</f>
        <v>43044</v>
      </c>
      <c r="D150" s="2">
        <f>IFERROR(__xludf.DUMMYFUNCTION("""COMPUTED_VALUE"""),7.0)</f>
        <v>7</v>
      </c>
      <c r="E150" s="2">
        <f>IFERROR(__xludf.DUMMYFUNCTION("""COMPUTED_VALUE"""),44.0)</f>
        <v>44</v>
      </c>
      <c r="F150" s="2">
        <f>IFERROR(__xludf.DUMMYFUNCTION("""COMPUTED_VALUE"""),13538.0)</f>
        <v>13538</v>
      </c>
      <c r="G150" s="2">
        <f>IFERROR(__xludf.DUMMYFUNCTION("""COMPUTED_VALUE"""),0.0)</f>
        <v>0</v>
      </c>
    </row>
    <row r="151">
      <c r="A151" s="2" t="str">
        <f>IFERROR(__xludf.DUMMYFUNCTION("""COMPUTED_VALUE"""),"Mexico")</f>
        <v>Mexico</v>
      </c>
      <c r="B151" s="3">
        <f>IFERROR(__xludf.DUMMYFUNCTION("""COMPUTED_VALUE"""),43045.0)</f>
        <v>43045</v>
      </c>
      <c r="C151" s="3">
        <f>IFERROR(__xludf.DUMMYFUNCTION("""COMPUTED_VALUE"""),43051.0)</f>
        <v>43051</v>
      </c>
      <c r="D151" s="2">
        <f>IFERROR(__xludf.DUMMYFUNCTION("""COMPUTED_VALUE"""),7.0)</f>
        <v>7</v>
      </c>
      <c r="E151" s="2">
        <f>IFERROR(__xludf.DUMMYFUNCTION("""COMPUTED_VALUE"""),45.0)</f>
        <v>45</v>
      </c>
      <c r="F151" s="2">
        <f>IFERROR(__xludf.DUMMYFUNCTION("""COMPUTED_VALUE"""),13258.0)</f>
        <v>13258</v>
      </c>
      <c r="G151" s="2">
        <f>IFERROR(__xludf.DUMMYFUNCTION("""COMPUTED_VALUE"""),0.0)</f>
        <v>0</v>
      </c>
    </row>
    <row r="152">
      <c r="A152" s="2" t="str">
        <f>IFERROR(__xludf.DUMMYFUNCTION("""COMPUTED_VALUE"""),"Mexico")</f>
        <v>Mexico</v>
      </c>
      <c r="B152" s="3">
        <f>IFERROR(__xludf.DUMMYFUNCTION("""COMPUTED_VALUE"""),43052.0)</f>
        <v>43052</v>
      </c>
      <c r="C152" s="3">
        <f>IFERROR(__xludf.DUMMYFUNCTION("""COMPUTED_VALUE"""),43058.0)</f>
        <v>43058</v>
      </c>
      <c r="D152" s="2">
        <f>IFERROR(__xludf.DUMMYFUNCTION("""COMPUTED_VALUE"""),7.0)</f>
        <v>7</v>
      </c>
      <c r="E152" s="2">
        <f>IFERROR(__xludf.DUMMYFUNCTION("""COMPUTED_VALUE"""),46.0)</f>
        <v>46</v>
      </c>
      <c r="F152" s="2">
        <f>IFERROR(__xludf.DUMMYFUNCTION("""COMPUTED_VALUE"""),13197.0)</f>
        <v>13197</v>
      </c>
      <c r="G152" s="2">
        <f>IFERROR(__xludf.DUMMYFUNCTION("""COMPUTED_VALUE"""),0.0)</f>
        <v>0</v>
      </c>
    </row>
    <row r="153">
      <c r="A153" s="2" t="str">
        <f>IFERROR(__xludf.DUMMYFUNCTION("""COMPUTED_VALUE"""),"Mexico")</f>
        <v>Mexico</v>
      </c>
      <c r="B153" s="3">
        <f>IFERROR(__xludf.DUMMYFUNCTION("""COMPUTED_VALUE"""),43059.0)</f>
        <v>43059</v>
      </c>
      <c r="C153" s="3">
        <f>IFERROR(__xludf.DUMMYFUNCTION("""COMPUTED_VALUE"""),43065.0)</f>
        <v>43065</v>
      </c>
      <c r="D153" s="2">
        <f>IFERROR(__xludf.DUMMYFUNCTION("""COMPUTED_VALUE"""),7.0)</f>
        <v>7</v>
      </c>
      <c r="E153" s="2">
        <f>IFERROR(__xludf.DUMMYFUNCTION("""COMPUTED_VALUE"""),47.0)</f>
        <v>47</v>
      </c>
      <c r="F153" s="2">
        <f>IFERROR(__xludf.DUMMYFUNCTION("""COMPUTED_VALUE"""),13584.0)</f>
        <v>13584</v>
      </c>
      <c r="G153" s="2">
        <f>IFERROR(__xludf.DUMMYFUNCTION("""COMPUTED_VALUE"""),0.0)</f>
        <v>0</v>
      </c>
    </row>
    <row r="154">
      <c r="A154" s="2" t="str">
        <f>IFERROR(__xludf.DUMMYFUNCTION("""COMPUTED_VALUE"""),"Mexico")</f>
        <v>Mexico</v>
      </c>
      <c r="B154" s="3">
        <f>IFERROR(__xludf.DUMMYFUNCTION("""COMPUTED_VALUE"""),43066.0)</f>
        <v>43066</v>
      </c>
      <c r="C154" s="3">
        <f>IFERROR(__xludf.DUMMYFUNCTION("""COMPUTED_VALUE"""),43072.0)</f>
        <v>43072</v>
      </c>
      <c r="D154" s="2">
        <f>IFERROR(__xludf.DUMMYFUNCTION("""COMPUTED_VALUE"""),7.0)</f>
        <v>7</v>
      </c>
      <c r="E154" s="2">
        <f>IFERROR(__xludf.DUMMYFUNCTION("""COMPUTED_VALUE"""),48.0)</f>
        <v>48</v>
      </c>
      <c r="F154" s="2">
        <f>IFERROR(__xludf.DUMMYFUNCTION("""COMPUTED_VALUE"""),14233.0)</f>
        <v>14233</v>
      </c>
      <c r="G154" s="2">
        <f>IFERROR(__xludf.DUMMYFUNCTION("""COMPUTED_VALUE"""),0.0)</f>
        <v>0</v>
      </c>
    </row>
    <row r="155">
      <c r="A155" s="2" t="str">
        <f>IFERROR(__xludf.DUMMYFUNCTION("""COMPUTED_VALUE"""),"Mexico")</f>
        <v>Mexico</v>
      </c>
      <c r="B155" s="3">
        <f>IFERROR(__xludf.DUMMYFUNCTION("""COMPUTED_VALUE"""),43073.0)</f>
        <v>43073</v>
      </c>
      <c r="C155" s="3">
        <f>IFERROR(__xludf.DUMMYFUNCTION("""COMPUTED_VALUE"""),43079.0)</f>
        <v>43079</v>
      </c>
      <c r="D155" s="2">
        <f>IFERROR(__xludf.DUMMYFUNCTION("""COMPUTED_VALUE"""),7.0)</f>
        <v>7</v>
      </c>
      <c r="E155" s="2">
        <f>IFERROR(__xludf.DUMMYFUNCTION("""COMPUTED_VALUE"""),49.0)</f>
        <v>49</v>
      </c>
      <c r="F155" s="2">
        <f>IFERROR(__xludf.DUMMYFUNCTION("""COMPUTED_VALUE"""),14470.0)</f>
        <v>14470</v>
      </c>
      <c r="G155" s="2">
        <f>IFERROR(__xludf.DUMMYFUNCTION("""COMPUTED_VALUE"""),0.0)</f>
        <v>0</v>
      </c>
    </row>
    <row r="156">
      <c r="A156" s="2" t="str">
        <f>IFERROR(__xludf.DUMMYFUNCTION("""COMPUTED_VALUE"""),"Mexico")</f>
        <v>Mexico</v>
      </c>
      <c r="B156" s="3">
        <f>IFERROR(__xludf.DUMMYFUNCTION("""COMPUTED_VALUE"""),43080.0)</f>
        <v>43080</v>
      </c>
      <c r="C156" s="3">
        <f>IFERROR(__xludf.DUMMYFUNCTION("""COMPUTED_VALUE"""),43086.0)</f>
        <v>43086</v>
      </c>
      <c r="D156" s="2">
        <f>IFERROR(__xludf.DUMMYFUNCTION("""COMPUTED_VALUE"""),7.0)</f>
        <v>7</v>
      </c>
      <c r="E156" s="2">
        <f>IFERROR(__xludf.DUMMYFUNCTION("""COMPUTED_VALUE"""),50.0)</f>
        <v>50</v>
      </c>
      <c r="F156" s="2">
        <f>IFERROR(__xludf.DUMMYFUNCTION("""COMPUTED_VALUE"""),16334.0)</f>
        <v>16334</v>
      </c>
      <c r="G156" s="2">
        <f>IFERROR(__xludf.DUMMYFUNCTION("""COMPUTED_VALUE"""),0.0)</f>
        <v>0</v>
      </c>
    </row>
    <row r="157">
      <c r="A157" s="2" t="str">
        <f>IFERROR(__xludf.DUMMYFUNCTION("""COMPUTED_VALUE"""),"Mexico")</f>
        <v>Mexico</v>
      </c>
      <c r="B157" s="3">
        <f>IFERROR(__xludf.DUMMYFUNCTION("""COMPUTED_VALUE"""),43087.0)</f>
        <v>43087</v>
      </c>
      <c r="C157" s="3">
        <f>IFERROR(__xludf.DUMMYFUNCTION("""COMPUTED_VALUE"""),43093.0)</f>
        <v>43093</v>
      </c>
      <c r="D157" s="2">
        <f>IFERROR(__xludf.DUMMYFUNCTION("""COMPUTED_VALUE"""),7.0)</f>
        <v>7</v>
      </c>
      <c r="E157" s="2">
        <f>IFERROR(__xludf.DUMMYFUNCTION("""COMPUTED_VALUE"""),51.0)</f>
        <v>51</v>
      </c>
      <c r="F157" s="2">
        <f>IFERROR(__xludf.DUMMYFUNCTION("""COMPUTED_VALUE"""),15557.0)</f>
        <v>15557</v>
      </c>
      <c r="G157" s="2">
        <f>IFERROR(__xludf.DUMMYFUNCTION("""COMPUTED_VALUE"""),0.0)</f>
        <v>0</v>
      </c>
    </row>
    <row r="158">
      <c r="A158" s="2" t="str">
        <f>IFERROR(__xludf.DUMMYFUNCTION("""COMPUTED_VALUE"""),"Mexico")</f>
        <v>Mexico</v>
      </c>
      <c r="B158" s="3">
        <f>IFERROR(__xludf.DUMMYFUNCTION("""COMPUTED_VALUE"""),43094.0)</f>
        <v>43094</v>
      </c>
      <c r="C158" s="3">
        <f>IFERROR(__xludf.DUMMYFUNCTION("""COMPUTED_VALUE"""),43100.0)</f>
        <v>43100</v>
      </c>
      <c r="D158" s="2">
        <f>IFERROR(__xludf.DUMMYFUNCTION("""COMPUTED_VALUE"""),7.0)</f>
        <v>7</v>
      </c>
      <c r="E158" s="2">
        <f>IFERROR(__xludf.DUMMYFUNCTION("""COMPUTED_VALUE"""),52.0)</f>
        <v>52</v>
      </c>
      <c r="F158" s="2">
        <f>IFERROR(__xludf.DUMMYFUNCTION("""COMPUTED_VALUE"""),15492.0)</f>
        <v>15492</v>
      </c>
      <c r="G158" s="2">
        <f>IFERROR(__xludf.DUMMYFUNCTION("""COMPUTED_VALUE"""),0.0)</f>
        <v>0</v>
      </c>
    </row>
    <row r="159">
      <c r="A159" s="2" t="str">
        <f>IFERROR(__xludf.DUMMYFUNCTION("""COMPUTED_VALUE"""),"Mexico")</f>
        <v>Mexico</v>
      </c>
      <c r="B159" s="3">
        <f>IFERROR(__xludf.DUMMYFUNCTION("""COMPUTED_VALUE"""),43101.0)</f>
        <v>43101</v>
      </c>
      <c r="C159" s="3">
        <f>IFERROR(__xludf.DUMMYFUNCTION("""COMPUTED_VALUE"""),43107.0)</f>
        <v>43107</v>
      </c>
      <c r="D159" s="2">
        <f>IFERROR(__xludf.DUMMYFUNCTION("""COMPUTED_VALUE"""),7.0)</f>
        <v>7</v>
      </c>
      <c r="E159" s="2">
        <f>IFERROR(__xludf.DUMMYFUNCTION("""COMPUTED_VALUE"""),1.0)</f>
        <v>1</v>
      </c>
      <c r="F159" s="2">
        <f>IFERROR(__xludf.DUMMYFUNCTION("""COMPUTED_VALUE"""),16721.0)</f>
        <v>16721</v>
      </c>
      <c r="G159" s="2">
        <f>IFERROR(__xludf.DUMMYFUNCTION("""COMPUTED_VALUE"""),0.0)</f>
        <v>0</v>
      </c>
    </row>
    <row r="160">
      <c r="A160" s="2" t="str">
        <f>IFERROR(__xludf.DUMMYFUNCTION("""COMPUTED_VALUE"""),"Mexico")</f>
        <v>Mexico</v>
      </c>
      <c r="B160" s="3">
        <f>IFERROR(__xludf.DUMMYFUNCTION("""COMPUTED_VALUE"""),43108.0)</f>
        <v>43108</v>
      </c>
      <c r="C160" s="3">
        <f>IFERROR(__xludf.DUMMYFUNCTION("""COMPUTED_VALUE"""),43114.0)</f>
        <v>43114</v>
      </c>
      <c r="D160" s="2">
        <f>IFERROR(__xludf.DUMMYFUNCTION("""COMPUTED_VALUE"""),7.0)</f>
        <v>7</v>
      </c>
      <c r="E160" s="2">
        <f>IFERROR(__xludf.DUMMYFUNCTION("""COMPUTED_VALUE"""),2.0)</f>
        <v>2</v>
      </c>
      <c r="F160" s="2">
        <f>IFERROR(__xludf.DUMMYFUNCTION("""COMPUTED_VALUE"""),16170.0)</f>
        <v>16170</v>
      </c>
      <c r="G160" s="2">
        <f>IFERROR(__xludf.DUMMYFUNCTION("""COMPUTED_VALUE"""),0.0)</f>
        <v>0</v>
      </c>
    </row>
    <row r="161">
      <c r="A161" s="2" t="str">
        <f>IFERROR(__xludf.DUMMYFUNCTION("""COMPUTED_VALUE"""),"Mexico")</f>
        <v>Mexico</v>
      </c>
      <c r="B161" s="3">
        <f>IFERROR(__xludf.DUMMYFUNCTION("""COMPUTED_VALUE"""),43115.0)</f>
        <v>43115</v>
      </c>
      <c r="C161" s="3">
        <f>IFERROR(__xludf.DUMMYFUNCTION("""COMPUTED_VALUE"""),43121.0)</f>
        <v>43121</v>
      </c>
      <c r="D161" s="2">
        <f>IFERROR(__xludf.DUMMYFUNCTION("""COMPUTED_VALUE"""),7.0)</f>
        <v>7</v>
      </c>
      <c r="E161" s="2">
        <f>IFERROR(__xludf.DUMMYFUNCTION("""COMPUTED_VALUE"""),3.0)</f>
        <v>3</v>
      </c>
      <c r="F161" s="2">
        <f>IFERROR(__xludf.DUMMYFUNCTION("""COMPUTED_VALUE"""),16738.0)</f>
        <v>16738</v>
      </c>
      <c r="G161" s="2">
        <f>IFERROR(__xludf.DUMMYFUNCTION("""COMPUTED_VALUE"""),0.0)</f>
        <v>0</v>
      </c>
    </row>
    <row r="162">
      <c r="A162" s="2" t="str">
        <f>IFERROR(__xludf.DUMMYFUNCTION("""COMPUTED_VALUE"""),"Mexico")</f>
        <v>Mexico</v>
      </c>
      <c r="B162" s="3">
        <f>IFERROR(__xludf.DUMMYFUNCTION("""COMPUTED_VALUE"""),43122.0)</f>
        <v>43122</v>
      </c>
      <c r="C162" s="3">
        <f>IFERROR(__xludf.DUMMYFUNCTION("""COMPUTED_VALUE"""),43128.0)</f>
        <v>43128</v>
      </c>
      <c r="D162" s="2">
        <f>IFERROR(__xludf.DUMMYFUNCTION("""COMPUTED_VALUE"""),7.0)</f>
        <v>7</v>
      </c>
      <c r="E162" s="2">
        <f>IFERROR(__xludf.DUMMYFUNCTION("""COMPUTED_VALUE"""),4.0)</f>
        <v>4</v>
      </c>
      <c r="F162" s="2">
        <f>IFERROR(__xludf.DUMMYFUNCTION("""COMPUTED_VALUE"""),16041.0)</f>
        <v>16041</v>
      </c>
      <c r="G162" s="2">
        <f>IFERROR(__xludf.DUMMYFUNCTION("""COMPUTED_VALUE"""),0.0)</f>
        <v>0</v>
      </c>
    </row>
    <row r="163">
      <c r="A163" s="2" t="str">
        <f>IFERROR(__xludf.DUMMYFUNCTION("""COMPUTED_VALUE"""),"Mexico")</f>
        <v>Mexico</v>
      </c>
      <c r="B163" s="3">
        <f>IFERROR(__xludf.DUMMYFUNCTION("""COMPUTED_VALUE"""),43129.0)</f>
        <v>43129</v>
      </c>
      <c r="C163" s="3">
        <f>IFERROR(__xludf.DUMMYFUNCTION("""COMPUTED_VALUE"""),43135.0)</f>
        <v>43135</v>
      </c>
      <c r="D163" s="2">
        <f>IFERROR(__xludf.DUMMYFUNCTION("""COMPUTED_VALUE"""),7.0)</f>
        <v>7</v>
      </c>
      <c r="E163" s="2">
        <f>IFERROR(__xludf.DUMMYFUNCTION("""COMPUTED_VALUE"""),5.0)</f>
        <v>5</v>
      </c>
      <c r="F163" s="2">
        <f>IFERROR(__xludf.DUMMYFUNCTION("""COMPUTED_VALUE"""),15770.0)</f>
        <v>15770</v>
      </c>
      <c r="G163" s="2">
        <f>IFERROR(__xludf.DUMMYFUNCTION("""COMPUTED_VALUE"""),0.0)</f>
        <v>0</v>
      </c>
    </row>
    <row r="164">
      <c r="A164" s="2" t="str">
        <f>IFERROR(__xludf.DUMMYFUNCTION("""COMPUTED_VALUE"""),"Mexico")</f>
        <v>Mexico</v>
      </c>
      <c r="B164" s="3">
        <f>IFERROR(__xludf.DUMMYFUNCTION("""COMPUTED_VALUE"""),43136.0)</f>
        <v>43136</v>
      </c>
      <c r="C164" s="3">
        <f>IFERROR(__xludf.DUMMYFUNCTION("""COMPUTED_VALUE"""),43142.0)</f>
        <v>43142</v>
      </c>
      <c r="D164" s="2">
        <f>IFERROR(__xludf.DUMMYFUNCTION("""COMPUTED_VALUE"""),7.0)</f>
        <v>7</v>
      </c>
      <c r="E164" s="2">
        <f>IFERROR(__xludf.DUMMYFUNCTION("""COMPUTED_VALUE"""),6.0)</f>
        <v>6</v>
      </c>
      <c r="F164" s="2">
        <f>IFERROR(__xludf.DUMMYFUNCTION("""COMPUTED_VALUE"""),15306.0)</f>
        <v>15306</v>
      </c>
      <c r="G164" s="2">
        <f>IFERROR(__xludf.DUMMYFUNCTION("""COMPUTED_VALUE"""),0.0)</f>
        <v>0</v>
      </c>
    </row>
    <row r="165">
      <c r="A165" s="2" t="str">
        <f>IFERROR(__xludf.DUMMYFUNCTION("""COMPUTED_VALUE"""),"Mexico")</f>
        <v>Mexico</v>
      </c>
      <c r="B165" s="3">
        <f>IFERROR(__xludf.DUMMYFUNCTION("""COMPUTED_VALUE"""),43143.0)</f>
        <v>43143</v>
      </c>
      <c r="C165" s="3">
        <f>IFERROR(__xludf.DUMMYFUNCTION("""COMPUTED_VALUE"""),43149.0)</f>
        <v>43149</v>
      </c>
      <c r="D165" s="2">
        <f>IFERROR(__xludf.DUMMYFUNCTION("""COMPUTED_VALUE"""),7.0)</f>
        <v>7</v>
      </c>
      <c r="E165" s="2">
        <f>IFERROR(__xludf.DUMMYFUNCTION("""COMPUTED_VALUE"""),7.0)</f>
        <v>7</v>
      </c>
      <c r="F165" s="2">
        <f>IFERROR(__xludf.DUMMYFUNCTION("""COMPUTED_VALUE"""),14588.0)</f>
        <v>14588</v>
      </c>
      <c r="G165" s="2">
        <f>IFERROR(__xludf.DUMMYFUNCTION("""COMPUTED_VALUE"""),0.0)</f>
        <v>0</v>
      </c>
    </row>
    <row r="166">
      <c r="A166" s="2" t="str">
        <f>IFERROR(__xludf.DUMMYFUNCTION("""COMPUTED_VALUE"""),"Mexico")</f>
        <v>Mexico</v>
      </c>
      <c r="B166" s="3">
        <f>IFERROR(__xludf.DUMMYFUNCTION("""COMPUTED_VALUE"""),43150.0)</f>
        <v>43150</v>
      </c>
      <c r="C166" s="3">
        <f>IFERROR(__xludf.DUMMYFUNCTION("""COMPUTED_VALUE"""),43156.0)</f>
        <v>43156</v>
      </c>
      <c r="D166" s="2">
        <f>IFERROR(__xludf.DUMMYFUNCTION("""COMPUTED_VALUE"""),7.0)</f>
        <v>7</v>
      </c>
      <c r="E166" s="2">
        <f>IFERROR(__xludf.DUMMYFUNCTION("""COMPUTED_VALUE"""),8.0)</f>
        <v>8</v>
      </c>
      <c r="F166" s="2">
        <f>IFERROR(__xludf.DUMMYFUNCTION("""COMPUTED_VALUE"""),14199.0)</f>
        <v>14199</v>
      </c>
      <c r="G166" s="2">
        <f>IFERROR(__xludf.DUMMYFUNCTION("""COMPUTED_VALUE"""),0.0)</f>
        <v>0</v>
      </c>
    </row>
    <row r="167">
      <c r="A167" s="2" t="str">
        <f>IFERROR(__xludf.DUMMYFUNCTION("""COMPUTED_VALUE"""),"Mexico")</f>
        <v>Mexico</v>
      </c>
      <c r="B167" s="3">
        <f>IFERROR(__xludf.DUMMYFUNCTION("""COMPUTED_VALUE"""),43157.0)</f>
        <v>43157</v>
      </c>
      <c r="C167" s="3">
        <f>IFERROR(__xludf.DUMMYFUNCTION("""COMPUTED_VALUE"""),43163.0)</f>
        <v>43163</v>
      </c>
      <c r="D167" s="2">
        <f>IFERROR(__xludf.DUMMYFUNCTION("""COMPUTED_VALUE"""),7.0)</f>
        <v>7</v>
      </c>
      <c r="E167" s="2">
        <f>IFERROR(__xludf.DUMMYFUNCTION("""COMPUTED_VALUE"""),9.0)</f>
        <v>9</v>
      </c>
      <c r="F167" s="2">
        <f>IFERROR(__xludf.DUMMYFUNCTION("""COMPUTED_VALUE"""),14001.0)</f>
        <v>14001</v>
      </c>
      <c r="G167" s="2">
        <f>IFERROR(__xludf.DUMMYFUNCTION("""COMPUTED_VALUE"""),0.0)</f>
        <v>0</v>
      </c>
    </row>
    <row r="168">
      <c r="A168" s="2" t="str">
        <f>IFERROR(__xludf.DUMMYFUNCTION("""COMPUTED_VALUE"""),"Mexico")</f>
        <v>Mexico</v>
      </c>
      <c r="B168" s="3">
        <f>IFERROR(__xludf.DUMMYFUNCTION("""COMPUTED_VALUE"""),43164.0)</f>
        <v>43164</v>
      </c>
      <c r="C168" s="3">
        <f>IFERROR(__xludf.DUMMYFUNCTION("""COMPUTED_VALUE"""),43170.0)</f>
        <v>43170</v>
      </c>
      <c r="D168" s="2">
        <f>IFERROR(__xludf.DUMMYFUNCTION("""COMPUTED_VALUE"""),7.0)</f>
        <v>7</v>
      </c>
      <c r="E168" s="2">
        <f>IFERROR(__xludf.DUMMYFUNCTION("""COMPUTED_VALUE"""),10.0)</f>
        <v>10</v>
      </c>
      <c r="F168" s="2">
        <f>IFERROR(__xludf.DUMMYFUNCTION("""COMPUTED_VALUE"""),13552.0)</f>
        <v>13552</v>
      </c>
      <c r="G168" s="2">
        <f>IFERROR(__xludf.DUMMYFUNCTION("""COMPUTED_VALUE"""),0.0)</f>
        <v>0</v>
      </c>
    </row>
    <row r="169">
      <c r="A169" s="2" t="str">
        <f>IFERROR(__xludf.DUMMYFUNCTION("""COMPUTED_VALUE"""),"Mexico")</f>
        <v>Mexico</v>
      </c>
      <c r="B169" s="3">
        <f>IFERROR(__xludf.DUMMYFUNCTION("""COMPUTED_VALUE"""),43171.0)</f>
        <v>43171</v>
      </c>
      <c r="C169" s="3">
        <f>IFERROR(__xludf.DUMMYFUNCTION("""COMPUTED_VALUE"""),43177.0)</f>
        <v>43177</v>
      </c>
      <c r="D169" s="2">
        <f>IFERROR(__xludf.DUMMYFUNCTION("""COMPUTED_VALUE"""),7.0)</f>
        <v>7</v>
      </c>
      <c r="E169" s="2">
        <f>IFERROR(__xludf.DUMMYFUNCTION("""COMPUTED_VALUE"""),11.0)</f>
        <v>11</v>
      </c>
      <c r="F169" s="2">
        <f>IFERROR(__xludf.DUMMYFUNCTION("""COMPUTED_VALUE"""),13497.0)</f>
        <v>13497</v>
      </c>
      <c r="G169" s="2">
        <f>IFERROR(__xludf.DUMMYFUNCTION("""COMPUTED_VALUE"""),0.0)</f>
        <v>0</v>
      </c>
    </row>
    <row r="170">
      <c r="A170" s="2" t="str">
        <f>IFERROR(__xludf.DUMMYFUNCTION("""COMPUTED_VALUE"""),"Mexico")</f>
        <v>Mexico</v>
      </c>
      <c r="B170" s="3">
        <f>IFERROR(__xludf.DUMMYFUNCTION("""COMPUTED_VALUE"""),43178.0)</f>
        <v>43178</v>
      </c>
      <c r="C170" s="3">
        <f>IFERROR(__xludf.DUMMYFUNCTION("""COMPUTED_VALUE"""),43184.0)</f>
        <v>43184</v>
      </c>
      <c r="D170" s="2">
        <f>IFERROR(__xludf.DUMMYFUNCTION("""COMPUTED_VALUE"""),7.0)</f>
        <v>7</v>
      </c>
      <c r="E170" s="2">
        <f>IFERROR(__xludf.DUMMYFUNCTION("""COMPUTED_VALUE"""),12.0)</f>
        <v>12</v>
      </c>
      <c r="F170" s="2">
        <f>IFERROR(__xludf.DUMMYFUNCTION("""COMPUTED_VALUE"""),13254.0)</f>
        <v>13254</v>
      </c>
      <c r="G170" s="2">
        <f>IFERROR(__xludf.DUMMYFUNCTION("""COMPUTED_VALUE"""),0.0)</f>
        <v>0</v>
      </c>
    </row>
    <row r="171">
      <c r="A171" s="2" t="str">
        <f>IFERROR(__xludf.DUMMYFUNCTION("""COMPUTED_VALUE"""),"Mexico")</f>
        <v>Mexico</v>
      </c>
      <c r="B171" s="3">
        <f>IFERROR(__xludf.DUMMYFUNCTION("""COMPUTED_VALUE"""),43185.0)</f>
        <v>43185</v>
      </c>
      <c r="C171" s="3">
        <f>IFERROR(__xludf.DUMMYFUNCTION("""COMPUTED_VALUE"""),43191.0)</f>
        <v>43191</v>
      </c>
      <c r="D171" s="2">
        <f>IFERROR(__xludf.DUMMYFUNCTION("""COMPUTED_VALUE"""),7.0)</f>
        <v>7</v>
      </c>
      <c r="E171" s="2">
        <f>IFERROR(__xludf.DUMMYFUNCTION("""COMPUTED_VALUE"""),13.0)</f>
        <v>13</v>
      </c>
      <c r="F171" s="2">
        <f>IFERROR(__xludf.DUMMYFUNCTION("""COMPUTED_VALUE"""),13191.0)</f>
        <v>13191</v>
      </c>
      <c r="G171" s="2">
        <f>IFERROR(__xludf.DUMMYFUNCTION("""COMPUTED_VALUE"""),0.0)</f>
        <v>0</v>
      </c>
    </row>
    <row r="172">
      <c r="A172" s="2" t="str">
        <f>IFERROR(__xludf.DUMMYFUNCTION("""COMPUTED_VALUE"""),"Mexico")</f>
        <v>Mexico</v>
      </c>
      <c r="B172" s="3">
        <f>IFERROR(__xludf.DUMMYFUNCTION("""COMPUTED_VALUE"""),43192.0)</f>
        <v>43192</v>
      </c>
      <c r="C172" s="3">
        <f>IFERROR(__xludf.DUMMYFUNCTION("""COMPUTED_VALUE"""),43198.0)</f>
        <v>43198</v>
      </c>
      <c r="D172" s="2">
        <f>IFERROR(__xludf.DUMMYFUNCTION("""COMPUTED_VALUE"""),7.0)</f>
        <v>7</v>
      </c>
      <c r="E172" s="2">
        <f>IFERROR(__xludf.DUMMYFUNCTION("""COMPUTED_VALUE"""),14.0)</f>
        <v>14</v>
      </c>
      <c r="F172" s="2">
        <f>IFERROR(__xludf.DUMMYFUNCTION("""COMPUTED_VALUE"""),13577.0)</f>
        <v>13577</v>
      </c>
      <c r="G172" s="2">
        <f>IFERROR(__xludf.DUMMYFUNCTION("""COMPUTED_VALUE"""),0.0)</f>
        <v>0</v>
      </c>
    </row>
    <row r="173">
      <c r="A173" s="2" t="str">
        <f>IFERROR(__xludf.DUMMYFUNCTION("""COMPUTED_VALUE"""),"Mexico")</f>
        <v>Mexico</v>
      </c>
      <c r="B173" s="3">
        <f>IFERROR(__xludf.DUMMYFUNCTION("""COMPUTED_VALUE"""),43199.0)</f>
        <v>43199</v>
      </c>
      <c r="C173" s="3">
        <f>IFERROR(__xludf.DUMMYFUNCTION("""COMPUTED_VALUE"""),43205.0)</f>
        <v>43205</v>
      </c>
      <c r="D173" s="2">
        <f>IFERROR(__xludf.DUMMYFUNCTION("""COMPUTED_VALUE"""),7.0)</f>
        <v>7</v>
      </c>
      <c r="E173" s="2">
        <f>IFERROR(__xludf.DUMMYFUNCTION("""COMPUTED_VALUE"""),15.0)</f>
        <v>15</v>
      </c>
      <c r="F173" s="2">
        <f>IFERROR(__xludf.DUMMYFUNCTION("""COMPUTED_VALUE"""),12888.0)</f>
        <v>12888</v>
      </c>
      <c r="G173" s="2">
        <f>IFERROR(__xludf.DUMMYFUNCTION("""COMPUTED_VALUE"""),0.0)</f>
        <v>0</v>
      </c>
    </row>
    <row r="174">
      <c r="A174" s="2" t="str">
        <f>IFERROR(__xludf.DUMMYFUNCTION("""COMPUTED_VALUE"""),"Mexico")</f>
        <v>Mexico</v>
      </c>
      <c r="B174" s="3">
        <f>IFERROR(__xludf.DUMMYFUNCTION("""COMPUTED_VALUE"""),43206.0)</f>
        <v>43206</v>
      </c>
      <c r="C174" s="3">
        <f>IFERROR(__xludf.DUMMYFUNCTION("""COMPUTED_VALUE"""),43212.0)</f>
        <v>43212</v>
      </c>
      <c r="D174" s="2">
        <f>IFERROR(__xludf.DUMMYFUNCTION("""COMPUTED_VALUE"""),7.0)</f>
        <v>7</v>
      </c>
      <c r="E174" s="2">
        <f>IFERROR(__xludf.DUMMYFUNCTION("""COMPUTED_VALUE"""),16.0)</f>
        <v>16</v>
      </c>
      <c r="F174" s="2">
        <f>IFERROR(__xludf.DUMMYFUNCTION("""COMPUTED_VALUE"""),13080.0)</f>
        <v>13080</v>
      </c>
      <c r="G174" s="2">
        <f>IFERROR(__xludf.DUMMYFUNCTION("""COMPUTED_VALUE"""),0.0)</f>
        <v>0</v>
      </c>
    </row>
    <row r="175">
      <c r="A175" s="2" t="str">
        <f>IFERROR(__xludf.DUMMYFUNCTION("""COMPUTED_VALUE"""),"Mexico")</f>
        <v>Mexico</v>
      </c>
      <c r="B175" s="3">
        <f>IFERROR(__xludf.DUMMYFUNCTION("""COMPUTED_VALUE"""),43213.0)</f>
        <v>43213</v>
      </c>
      <c r="C175" s="3">
        <f>IFERROR(__xludf.DUMMYFUNCTION("""COMPUTED_VALUE"""),43219.0)</f>
        <v>43219</v>
      </c>
      <c r="D175" s="2">
        <f>IFERROR(__xludf.DUMMYFUNCTION("""COMPUTED_VALUE"""),7.0)</f>
        <v>7</v>
      </c>
      <c r="E175" s="2">
        <f>IFERROR(__xludf.DUMMYFUNCTION("""COMPUTED_VALUE"""),17.0)</f>
        <v>17</v>
      </c>
      <c r="F175" s="2">
        <f>IFERROR(__xludf.DUMMYFUNCTION("""COMPUTED_VALUE"""),12657.0)</f>
        <v>12657</v>
      </c>
      <c r="G175" s="2">
        <f>IFERROR(__xludf.DUMMYFUNCTION("""COMPUTED_VALUE"""),0.0)</f>
        <v>0</v>
      </c>
    </row>
    <row r="176">
      <c r="A176" s="2" t="str">
        <f>IFERROR(__xludf.DUMMYFUNCTION("""COMPUTED_VALUE"""),"Mexico")</f>
        <v>Mexico</v>
      </c>
      <c r="B176" s="3">
        <f>IFERROR(__xludf.DUMMYFUNCTION("""COMPUTED_VALUE"""),43220.0)</f>
        <v>43220</v>
      </c>
      <c r="C176" s="3">
        <f>IFERROR(__xludf.DUMMYFUNCTION("""COMPUTED_VALUE"""),43226.0)</f>
        <v>43226</v>
      </c>
      <c r="D176" s="2">
        <f>IFERROR(__xludf.DUMMYFUNCTION("""COMPUTED_VALUE"""),7.0)</f>
        <v>7</v>
      </c>
      <c r="E176" s="2">
        <f>IFERROR(__xludf.DUMMYFUNCTION("""COMPUTED_VALUE"""),18.0)</f>
        <v>18</v>
      </c>
      <c r="F176" s="2">
        <f>IFERROR(__xludf.DUMMYFUNCTION("""COMPUTED_VALUE"""),13040.0)</f>
        <v>13040</v>
      </c>
      <c r="G176" s="2">
        <f>IFERROR(__xludf.DUMMYFUNCTION("""COMPUTED_VALUE"""),0.0)</f>
        <v>0</v>
      </c>
    </row>
    <row r="177">
      <c r="A177" s="2" t="str">
        <f>IFERROR(__xludf.DUMMYFUNCTION("""COMPUTED_VALUE"""),"Mexico")</f>
        <v>Mexico</v>
      </c>
      <c r="B177" s="3">
        <f>IFERROR(__xludf.DUMMYFUNCTION("""COMPUTED_VALUE"""),43227.0)</f>
        <v>43227</v>
      </c>
      <c r="C177" s="3">
        <f>IFERROR(__xludf.DUMMYFUNCTION("""COMPUTED_VALUE"""),43233.0)</f>
        <v>43233</v>
      </c>
      <c r="D177" s="2">
        <f>IFERROR(__xludf.DUMMYFUNCTION("""COMPUTED_VALUE"""),7.0)</f>
        <v>7</v>
      </c>
      <c r="E177" s="2">
        <f>IFERROR(__xludf.DUMMYFUNCTION("""COMPUTED_VALUE"""),19.0)</f>
        <v>19</v>
      </c>
      <c r="F177" s="2">
        <f>IFERROR(__xludf.DUMMYFUNCTION("""COMPUTED_VALUE"""),12784.0)</f>
        <v>12784</v>
      </c>
      <c r="G177" s="2">
        <f>IFERROR(__xludf.DUMMYFUNCTION("""COMPUTED_VALUE"""),0.0)</f>
        <v>0</v>
      </c>
    </row>
    <row r="178">
      <c r="A178" s="2" t="str">
        <f>IFERROR(__xludf.DUMMYFUNCTION("""COMPUTED_VALUE"""),"Mexico")</f>
        <v>Mexico</v>
      </c>
      <c r="B178" s="3">
        <f>IFERROR(__xludf.DUMMYFUNCTION("""COMPUTED_VALUE"""),43234.0)</f>
        <v>43234</v>
      </c>
      <c r="C178" s="3">
        <f>IFERROR(__xludf.DUMMYFUNCTION("""COMPUTED_VALUE"""),43240.0)</f>
        <v>43240</v>
      </c>
      <c r="D178" s="2">
        <f>IFERROR(__xludf.DUMMYFUNCTION("""COMPUTED_VALUE"""),7.0)</f>
        <v>7</v>
      </c>
      <c r="E178" s="2">
        <f>IFERROR(__xludf.DUMMYFUNCTION("""COMPUTED_VALUE"""),20.0)</f>
        <v>20</v>
      </c>
      <c r="F178" s="2">
        <f>IFERROR(__xludf.DUMMYFUNCTION("""COMPUTED_VALUE"""),13172.0)</f>
        <v>13172</v>
      </c>
      <c r="G178" s="2">
        <f>IFERROR(__xludf.DUMMYFUNCTION("""COMPUTED_VALUE"""),0.0)</f>
        <v>0</v>
      </c>
    </row>
    <row r="179">
      <c r="A179" s="2" t="str">
        <f>IFERROR(__xludf.DUMMYFUNCTION("""COMPUTED_VALUE"""),"Mexico")</f>
        <v>Mexico</v>
      </c>
      <c r="B179" s="3">
        <f>IFERROR(__xludf.DUMMYFUNCTION("""COMPUTED_VALUE"""),43241.0)</f>
        <v>43241</v>
      </c>
      <c r="C179" s="3">
        <f>IFERROR(__xludf.DUMMYFUNCTION("""COMPUTED_VALUE"""),43247.0)</f>
        <v>43247</v>
      </c>
      <c r="D179" s="2">
        <f>IFERROR(__xludf.DUMMYFUNCTION("""COMPUTED_VALUE"""),7.0)</f>
        <v>7</v>
      </c>
      <c r="E179" s="2">
        <f>IFERROR(__xludf.DUMMYFUNCTION("""COMPUTED_VALUE"""),21.0)</f>
        <v>21</v>
      </c>
      <c r="F179" s="2">
        <f>IFERROR(__xludf.DUMMYFUNCTION("""COMPUTED_VALUE"""),13125.0)</f>
        <v>13125</v>
      </c>
      <c r="G179" s="2">
        <f>IFERROR(__xludf.DUMMYFUNCTION("""COMPUTED_VALUE"""),0.0)</f>
        <v>0</v>
      </c>
    </row>
    <row r="180">
      <c r="A180" s="2" t="str">
        <f>IFERROR(__xludf.DUMMYFUNCTION("""COMPUTED_VALUE"""),"Mexico")</f>
        <v>Mexico</v>
      </c>
      <c r="B180" s="3">
        <f>IFERROR(__xludf.DUMMYFUNCTION("""COMPUTED_VALUE"""),43248.0)</f>
        <v>43248</v>
      </c>
      <c r="C180" s="3">
        <f>IFERROR(__xludf.DUMMYFUNCTION("""COMPUTED_VALUE"""),43254.0)</f>
        <v>43254</v>
      </c>
      <c r="D180" s="2">
        <f>IFERROR(__xludf.DUMMYFUNCTION("""COMPUTED_VALUE"""),7.0)</f>
        <v>7</v>
      </c>
      <c r="E180" s="2">
        <f>IFERROR(__xludf.DUMMYFUNCTION("""COMPUTED_VALUE"""),22.0)</f>
        <v>22</v>
      </c>
      <c r="F180" s="2">
        <f>IFERROR(__xludf.DUMMYFUNCTION("""COMPUTED_VALUE"""),13567.0)</f>
        <v>13567</v>
      </c>
      <c r="G180" s="2">
        <f>IFERROR(__xludf.DUMMYFUNCTION("""COMPUTED_VALUE"""),0.0)</f>
        <v>0</v>
      </c>
    </row>
    <row r="181">
      <c r="A181" s="2" t="str">
        <f>IFERROR(__xludf.DUMMYFUNCTION("""COMPUTED_VALUE"""),"Mexico")</f>
        <v>Mexico</v>
      </c>
      <c r="B181" s="3">
        <f>IFERROR(__xludf.DUMMYFUNCTION("""COMPUTED_VALUE"""),43255.0)</f>
        <v>43255</v>
      </c>
      <c r="C181" s="3">
        <f>IFERROR(__xludf.DUMMYFUNCTION("""COMPUTED_VALUE"""),43261.0)</f>
        <v>43261</v>
      </c>
      <c r="D181" s="2">
        <f>IFERROR(__xludf.DUMMYFUNCTION("""COMPUTED_VALUE"""),7.0)</f>
        <v>7</v>
      </c>
      <c r="E181" s="2">
        <f>IFERROR(__xludf.DUMMYFUNCTION("""COMPUTED_VALUE"""),23.0)</f>
        <v>23</v>
      </c>
      <c r="F181" s="2">
        <f>IFERROR(__xludf.DUMMYFUNCTION("""COMPUTED_VALUE"""),13025.0)</f>
        <v>13025</v>
      </c>
      <c r="G181" s="2">
        <f>IFERROR(__xludf.DUMMYFUNCTION("""COMPUTED_VALUE"""),0.0)</f>
        <v>0</v>
      </c>
    </row>
    <row r="182">
      <c r="A182" s="2" t="str">
        <f>IFERROR(__xludf.DUMMYFUNCTION("""COMPUTED_VALUE"""),"Mexico")</f>
        <v>Mexico</v>
      </c>
      <c r="B182" s="3">
        <f>IFERROR(__xludf.DUMMYFUNCTION("""COMPUTED_VALUE"""),43262.0)</f>
        <v>43262</v>
      </c>
      <c r="C182" s="3">
        <f>IFERROR(__xludf.DUMMYFUNCTION("""COMPUTED_VALUE"""),43268.0)</f>
        <v>43268</v>
      </c>
      <c r="D182" s="2">
        <f>IFERROR(__xludf.DUMMYFUNCTION("""COMPUTED_VALUE"""),7.0)</f>
        <v>7</v>
      </c>
      <c r="E182" s="2">
        <f>IFERROR(__xludf.DUMMYFUNCTION("""COMPUTED_VALUE"""),24.0)</f>
        <v>24</v>
      </c>
      <c r="F182" s="2">
        <f>IFERROR(__xludf.DUMMYFUNCTION("""COMPUTED_VALUE"""),12451.0)</f>
        <v>12451</v>
      </c>
      <c r="G182" s="2">
        <f>IFERROR(__xludf.DUMMYFUNCTION("""COMPUTED_VALUE"""),0.0)</f>
        <v>0</v>
      </c>
    </row>
    <row r="183">
      <c r="A183" s="2" t="str">
        <f>IFERROR(__xludf.DUMMYFUNCTION("""COMPUTED_VALUE"""),"Mexico")</f>
        <v>Mexico</v>
      </c>
      <c r="B183" s="3">
        <f>IFERROR(__xludf.DUMMYFUNCTION("""COMPUTED_VALUE"""),43269.0)</f>
        <v>43269</v>
      </c>
      <c r="C183" s="3">
        <f>IFERROR(__xludf.DUMMYFUNCTION("""COMPUTED_VALUE"""),43275.0)</f>
        <v>43275</v>
      </c>
      <c r="D183" s="2">
        <f>IFERROR(__xludf.DUMMYFUNCTION("""COMPUTED_VALUE"""),7.0)</f>
        <v>7</v>
      </c>
      <c r="E183" s="2">
        <f>IFERROR(__xludf.DUMMYFUNCTION("""COMPUTED_VALUE"""),25.0)</f>
        <v>25</v>
      </c>
      <c r="F183" s="2">
        <f>IFERROR(__xludf.DUMMYFUNCTION("""COMPUTED_VALUE"""),12932.0)</f>
        <v>12932</v>
      </c>
      <c r="G183" s="2">
        <f>IFERROR(__xludf.DUMMYFUNCTION("""COMPUTED_VALUE"""),0.0)</f>
        <v>0</v>
      </c>
    </row>
    <row r="184">
      <c r="A184" s="2" t="str">
        <f>IFERROR(__xludf.DUMMYFUNCTION("""COMPUTED_VALUE"""),"Mexico")</f>
        <v>Mexico</v>
      </c>
      <c r="B184" s="3">
        <f>IFERROR(__xludf.DUMMYFUNCTION("""COMPUTED_VALUE"""),43276.0)</f>
        <v>43276</v>
      </c>
      <c r="C184" s="3">
        <f>IFERROR(__xludf.DUMMYFUNCTION("""COMPUTED_VALUE"""),43282.0)</f>
        <v>43282</v>
      </c>
      <c r="D184" s="2">
        <f>IFERROR(__xludf.DUMMYFUNCTION("""COMPUTED_VALUE"""),7.0)</f>
        <v>7</v>
      </c>
      <c r="E184" s="2">
        <f>IFERROR(__xludf.DUMMYFUNCTION("""COMPUTED_VALUE"""),26.0)</f>
        <v>26</v>
      </c>
      <c r="F184" s="2">
        <f>IFERROR(__xludf.DUMMYFUNCTION("""COMPUTED_VALUE"""),12610.0)</f>
        <v>12610</v>
      </c>
      <c r="G184" s="2">
        <f>IFERROR(__xludf.DUMMYFUNCTION("""COMPUTED_VALUE"""),0.0)</f>
        <v>0</v>
      </c>
    </row>
    <row r="185">
      <c r="A185" s="2" t="str">
        <f>IFERROR(__xludf.DUMMYFUNCTION("""COMPUTED_VALUE"""),"Mexico")</f>
        <v>Mexico</v>
      </c>
      <c r="B185" s="3">
        <f>IFERROR(__xludf.DUMMYFUNCTION("""COMPUTED_VALUE"""),43283.0)</f>
        <v>43283</v>
      </c>
      <c r="C185" s="3">
        <f>IFERROR(__xludf.DUMMYFUNCTION("""COMPUTED_VALUE"""),43289.0)</f>
        <v>43289</v>
      </c>
      <c r="D185" s="2">
        <f>IFERROR(__xludf.DUMMYFUNCTION("""COMPUTED_VALUE"""),7.0)</f>
        <v>7</v>
      </c>
      <c r="E185" s="2">
        <f>IFERROR(__xludf.DUMMYFUNCTION("""COMPUTED_VALUE"""),27.0)</f>
        <v>27</v>
      </c>
      <c r="F185" s="2">
        <f>IFERROR(__xludf.DUMMYFUNCTION("""COMPUTED_VALUE"""),12845.0)</f>
        <v>12845</v>
      </c>
      <c r="G185" s="2">
        <f>IFERROR(__xludf.DUMMYFUNCTION("""COMPUTED_VALUE"""),0.0)</f>
        <v>0</v>
      </c>
    </row>
    <row r="186">
      <c r="A186" s="2" t="str">
        <f>IFERROR(__xludf.DUMMYFUNCTION("""COMPUTED_VALUE"""),"Mexico")</f>
        <v>Mexico</v>
      </c>
      <c r="B186" s="3">
        <f>IFERROR(__xludf.DUMMYFUNCTION("""COMPUTED_VALUE"""),43290.0)</f>
        <v>43290</v>
      </c>
      <c r="C186" s="3">
        <f>IFERROR(__xludf.DUMMYFUNCTION("""COMPUTED_VALUE"""),43296.0)</f>
        <v>43296</v>
      </c>
      <c r="D186" s="2">
        <f>IFERROR(__xludf.DUMMYFUNCTION("""COMPUTED_VALUE"""),7.0)</f>
        <v>7</v>
      </c>
      <c r="E186" s="2">
        <f>IFERROR(__xludf.DUMMYFUNCTION("""COMPUTED_VALUE"""),28.0)</f>
        <v>28</v>
      </c>
      <c r="F186" s="2">
        <f>IFERROR(__xludf.DUMMYFUNCTION("""COMPUTED_VALUE"""),13114.0)</f>
        <v>13114</v>
      </c>
      <c r="G186" s="2">
        <f>IFERROR(__xludf.DUMMYFUNCTION("""COMPUTED_VALUE"""),0.0)</f>
        <v>0</v>
      </c>
    </row>
    <row r="187">
      <c r="A187" s="2" t="str">
        <f>IFERROR(__xludf.DUMMYFUNCTION("""COMPUTED_VALUE"""),"Mexico")</f>
        <v>Mexico</v>
      </c>
      <c r="B187" s="3">
        <f>IFERROR(__xludf.DUMMYFUNCTION("""COMPUTED_VALUE"""),43297.0)</f>
        <v>43297</v>
      </c>
      <c r="C187" s="3">
        <f>IFERROR(__xludf.DUMMYFUNCTION("""COMPUTED_VALUE"""),43303.0)</f>
        <v>43303</v>
      </c>
      <c r="D187" s="2">
        <f>IFERROR(__xludf.DUMMYFUNCTION("""COMPUTED_VALUE"""),7.0)</f>
        <v>7</v>
      </c>
      <c r="E187" s="2">
        <f>IFERROR(__xludf.DUMMYFUNCTION("""COMPUTED_VALUE"""),29.0)</f>
        <v>29</v>
      </c>
      <c r="F187" s="2">
        <f>IFERROR(__xludf.DUMMYFUNCTION("""COMPUTED_VALUE"""),13334.0)</f>
        <v>13334</v>
      </c>
      <c r="G187" s="2">
        <f>IFERROR(__xludf.DUMMYFUNCTION("""COMPUTED_VALUE"""),0.0)</f>
        <v>0</v>
      </c>
    </row>
    <row r="188">
      <c r="A188" s="2" t="str">
        <f>IFERROR(__xludf.DUMMYFUNCTION("""COMPUTED_VALUE"""),"Mexico")</f>
        <v>Mexico</v>
      </c>
      <c r="B188" s="3">
        <f>IFERROR(__xludf.DUMMYFUNCTION("""COMPUTED_VALUE"""),43304.0)</f>
        <v>43304</v>
      </c>
      <c r="C188" s="3">
        <f>IFERROR(__xludf.DUMMYFUNCTION("""COMPUTED_VALUE"""),43310.0)</f>
        <v>43310</v>
      </c>
      <c r="D188" s="2">
        <f>IFERROR(__xludf.DUMMYFUNCTION("""COMPUTED_VALUE"""),7.0)</f>
        <v>7</v>
      </c>
      <c r="E188" s="2">
        <f>IFERROR(__xludf.DUMMYFUNCTION("""COMPUTED_VALUE"""),30.0)</f>
        <v>30</v>
      </c>
      <c r="F188" s="2">
        <f>IFERROR(__xludf.DUMMYFUNCTION("""COMPUTED_VALUE"""),13455.0)</f>
        <v>13455</v>
      </c>
      <c r="G188" s="2">
        <f>IFERROR(__xludf.DUMMYFUNCTION("""COMPUTED_VALUE"""),0.0)</f>
        <v>0</v>
      </c>
    </row>
    <row r="189">
      <c r="A189" s="2" t="str">
        <f>IFERROR(__xludf.DUMMYFUNCTION("""COMPUTED_VALUE"""),"Mexico")</f>
        <v>Mexico</v>
      </c>
      <c r="B189" s="3">
        <f>IFERROR(__xludf.DUMMYFUNCTION("""COMPUTED_VALUE"""),43311.0)</f>
        <v>43311</v>
      </c>
      <c r="C189" s="3">
        <f>IFERROR(__xludf.DUMMYFUNCTION("""COMPUTED_VALUE"""),43317.0)</f>
        <v>43317</v>
      </c>
      <c r="D189" s="2">
        <f>IFERROR(__xludf.DUMMYFUNCTION("""COMPUTED_VALUE"""),7.0)</f>
        <v>7</v>
      </c>
      <c r="E189" s="2">
        <f>IFERROR(__xludf.DUMMYFUNCTION("""COMPUTED_VALUE"""),31.0)</f>
        <v>31</v>
      </c>
      <c r="F189" s="2">
        <f>IFERROR(__xludf.DUMMYFUNCTION("""COMPUTED_VALUE"""),12997.0)</f>
        <v>12997</v>
      </c>
      <c r="G189" s="2">
        <f>IFERROR(__xludf.DUMMYFUNCTION("""COMPUTED_VALUE"""),0.0)</f>
        <v>0</v>
      </c>
    </row>
    <row r="190">
      <c r="A190" s="2" t="str">
        <f>IFERROR(__xludf.DUMMYFUNCTION("""COMPUTED_VALUE"""),"Mexico")</f>
        <v>Mexico</v>
      </c>
      <c r="B190" s="3">
        <f>IFERROR(__xludf.DUMMYFUNCTION("""COMPUTED_VALUE"""),43318.0)</f>
        <v>43318</v>
      </c>
      <c r="C190" s="3">
        <f>IFERROR(__xludf.DUMMYFUNCTION("""COMPUTED_VALUE"""),43324.0)</f>
        <v>43324</v>
      </c>
      <c r="D190" s="2">
        <f>IFERROR(__xludf.DUMMYFUNCTION("""COMPUTED_VALUE"""),7.0)</f>
        <v>7</v>
      </c>
      <c r="E190" s="2">
        <f>IFERROR(__xludf.DUMMYFUNCTION("""COMPUTED_VALUE"""),32.0)</f>
        <v>32</v>
      </c>
      <c r="F190" s="2">
        <f>IFERROR(__xludf.DUMMYFUNCTION("""COMPUTED_VALUE"""),12602.0)</f>
        <v>12602</v>
      </c>
      <c r="G190" s="2">
        <f>IFERROR(__xludf.DUMMYFUNCTION("""COMPUTED_VALUE"""),0.0)</f>
        <v>0</v>
      </c>
    </row>
    <row r="191">
      <c r="A191" s="2" t="str">
        <f>IFERROR(__xludf.DUMMYFUNCTION("""COMPUTED_VALUE"""),"Mexico")</f>
        <v>Mexico</v>
      </c>
      <c r="B191" s="3">
        <f>IFERROR(__xludf.DUMMYFUNCTION("""COMPUTED_VALUE"""),43325.0)</f>
        <v>43325</v>
      </c>
      <c r="C191" s="3">
        <f>IFERROR(__xludf.DUMMYFUNCTION("""COMPUTED_VALUE"""),43331.0)</f>
        <v>43331</v>
      </c>
      <c r="D191" s="2">
        <f>IFERROR(__xludf.DUMMYFUNCTION("""COMPUTED_VALUE"""),7.0)</f>
        <v>7</v>
      </c>
      <c r="E191" s="2">
        <f>IFERROR(__xludf.DUMMYFUNCTION("""COMPUTED_VALUE"""),33.0)</f>
        <v>33</v>
      </c>
      <c r="F191" s="2">
        <f>IFERROR(__xludf.DUMMYFUNCTION("""COMPUTED_VALUE"""),12767.0)</f>
        <v>12767</v>
      </c>
      <c r="G191" s="2">
        <f>IFERROR(__xludf.DUMMYFUNCTION("""COMPUTED_VALUE"""),0.0)</f>
        <v>0</v>
      </c>
    </row>
    <row r="192">
      <c r="A192" s="2" t="str">
        <f>IFERROR(__xludf.DUMMYFUNCTION("""COMPUTED_VALUE"""),"Mexico")</f>
        <v>Mexico</v>
      </c>
      <c r="B192" s="3">
        <f>IFERROR(__xludf.DUMMYFUNCTION("""COMPUTED_VALUE"""),43332.0)</f>
        <v>43332</v>
      </c>
      <c r="C192" s="3">
        <f>IFERROR(__xludf.DUMMYFUNCTION("""COMPUTED_VALUE"""),43338.0)</f>
        <v>43338</v>
      </c>
      <c r="D192" s="2">
        <f>IFERROR(__xludf.DUMMYFUNCTION("""COMPUTED_VALUE"""),7.0)</f>
        <v>7</v>
      </c>
      <c r="E192" s="2">
        <f>IFERROR(__xludf.DUMMYFUNCTION("""COMPUTED_VALUE"""),34.0)</f>
        <v>34</v>
      </c>
      <c r="F192" s="2">
        <f>IFERROR(__xludf.DUMMYFUNCTION("""COMPUTED_VALUE"""),12503.0)</f>
        <v>12503</v>
      </c>
      <c r="G192" s="2">
        <f>IFERROR(__xludf.DUMMYFUNCTION("""COMPUTED_VALUE"""),0.0)</f>
        <v>0</v>
      </c>
    </row>
    <row r="193">
      <c r="A193" s="2" t="str">
        <f>IFERROR(__xludf.DUMMYFUNCTION("""COMPUTED_VALUE"""),"Mexico")</f>
        <v>Mexico</v>
      </c>
      <c r="B193" s="3">
        <f>IFERROR(__xludf.DUMMYFUNCTION("""COMPUTED_VALUE"""),43339.0)</f>
        <v>43339</v>
      </c>
      <c r="C193" s="3">
        <f>IFERROR(__xludf.DUMMYFUNCTION("""COMPUTED_VALUE"""),43345.0)</f>
        <v>43345</v>
      </c>
      <c r="D193" s="2">
        <f>IFERROR(__xludf.DUMMYFUNCTION("""COMPUTED_VALUE"""),7.0)</f>
        <v>7</v>
      </c>
      <c r="E193" s="2">
        <f>IFERROR(__xludf.DUMMYFUNCTION("""COMPUTED_VALUE"""),35.0)</f>
        <v>35</v>
      </c>
      <c r="F193" s="2">
        <f>IFERROR(__xludf.DUMMYFUNCTION("""COMPUTED_VALUE"""),12811.0)</f>
        <v>12811</v>
      </c>
      <c r="G193" s="2">
        <f>IFERROR(__xludf.DUMMYFUNCTION("""COMPUTED_VALUE"""),0.0)</f>
        <v>0</v>
      </c>
    </row>
    <row r="194">
      <c r="A194" s="2" t="str">
        <f>IFERROR(__xludf.DUMMYFUNCTION("""COMPUTED_VALUE"""),"Mexico")</f>
        <v>Mexico</v>
      </c>
      <c r="B194" s="3">
        <f>IFERROR(__xludf.DUMMYFUNCTION("""COMPUTED_VALUE"""),43346.0)</f>
        <v>43346</v>
      </c>
      <c r="C194" s="3">
        <f>IFERROR(__xludf.DUMMYFUNCTION("""COMPUTED_VALUE"""),43352.0)</f>
        <v>43352</v>
      </c>
      <c r="D194" s="2">
        <f>IFERROR(__xludf.DUMMYFUNCTION("""COMPUTED_VALUE"""),7.0)</f>
        <v>7</v>
      </c>
      <c r="E194" s="2">
        <f>IFERROR(__xludf.DUMMYFUNCTION("""COMPUTED_VALUE"""),36.0)</f>
        <v>36</v>
      </c>
      <c r="F194" s="2">
        <f>IFERROR(__xludf.DUMMYFUNCTION("""COMPUTED_VALUE"""),12556.0)</f>
        <v>12556</v>
      </c>
      <c r="G194" s="2">
        <f>IFERROR(__xludf.DUMMYFUNCTION("""COMPUTED_VALUE"""),0.0)</f>
        <v>0</v>
      </c>
    </row>
    <row r="195">
      <c r="A195" s="2" t="str">
        <f>IFERROR(__xludf.DUMMYFUNCTION("""COMPUTED_VALUE"""),"Mexico")</f>
        <v>Mexico</v>
      </c>
      <c r="B195" s="3">
        <f>IFERROR(__xludf.DUMMYFUNCTION("""COMPUTED_VALUE"""),43353.0)</f>
        <v>43353</v>
      </c>
      <c r="C195" s="3">
        <f>IFERROR(__xludf.DUMMYFUNCTION("""COMPUTED_VALUE"""),43359.0)</f>
        <v>43359</v>
      </c>
      <c r="D195" s="2">
        <f>IFERROR(__xludf.DUMMYFUNCTION("""COMPUTED_VALUE"""),7.0)</f>
        <v>7</v>
      </c>
      <c r="E195" s="2">
        <f>IFERROR(__xludf.DUMMYFUNCTION("""COMPUTED_VALUE"""),37.0)</f>
        <v>37</v>
      </c>
      <c r="F195" s="2">
        <f>IFERROR(__xludf.DUMMYFUNCTION("""COMPUTED_VALUE"""),12780.0)</f>
        <v>12780</v>
      </c>
      <c r="G195" s="2">
        <f>IFERROR(__xludf.DUMMYFUNCTION("""COMPUTED_VALUE"""),0.0)</f>
        <v>0</v>
      </c>
    </row>
    <row r="196">
      <c r="A196" s="2" t="str">
        <f>IFERROR(__xludf.DUMMYFUNCTION("""COMPUTED_VALUE"""),"Mexico")</f>
        <v>Mexico</v>
      </c>
      <c r="B196" s="3">
        <f>IFERROR(__xludf.DUMMYFUNCTION("""COMPUTED_VALUE"""),43360.0)</f>
        <v>43360</v>
      </c>
      <c r="C196" s="3">
        <f>IFERROR(__xludf.DUMMYFUNCTION("""COMPUTED_VALUE"""),43366.0)</f>
        <v>43366</v>
      </c>
      <c r="D196" s="2">
        <f>IFERROR(__xludf.DUMMYFUNCTION("""COMPUTED_VALUE"""),7.0)</f>
        <v>7</v>
      </c>
      <c r="E196" s="2">
        <f>IFERROR(__xludf.DUMMYFUNCTION("""COMPUTED_VALUE"""),38.0)</f>
        <v>38</v>
      </c>
      <c r="F196" s="2">
        <f>IFERROR(__xludf.DUMMYFUNCTION("""COMPUTED_VALUE"""),12994.0)</f>
        <v>12994</v>
      </c>
      <c r="G196" s="2">
        <f>IFERROR(__xludf.DUMMYFUNCTION("""COMPUTED_VALUE"""),0.0)</f>
        <v>0</v>
      </c>
    </row>
    <row r="197">
      <c r="A197" s="2" t="str">
        <f>IFERROR(__xludf.DUMMYFUNCTION("""COMPUTED_VALUE"""),"Mexico")</f>
        <v>Mexico</v>
      </c>
      <c r="B197" s="3">
        <f>IFERROR(__xludf.DUMMYFUNCTION("""COMPUTED_VALUE"""),43367.0)</f>
        <v>43367</v>
      </c>
      <c r="C197" s="3">
        <f>IFERROR(__xludf.DUMMYFUNCTION("""COMPUTED_VALUE"""),43373.0)</f>
        <v>43373</v>
      </c>
      <c r="D197" s="2">
        <f>IFERROR(__xludf.DUMMYFUNCTION("""COMPUTED_VALUE"""),7.0)</f>
        <v>7</v>
      </c>
      <c r="E197" s="2">
        <f>IFERROR(__xludf.DUMMYFUNCTION("""COMPUTED_VALUE"""),39.0)</f>
        <v>39</v>
      </c>
      <c r="F197" s="2">
        <f>IFERROR(__xludf.DUMMYFUNCTION("""COMPUTED_VALUE"""),12807.0)</f>
        <v>12807</v>
      </c>
      <c r="G197" s="2">
        <f>IFERROR(__xludf.DUMMYFUNCTION("""COMPUTED_VALUE"""),0.0)</f>
        <v>0</v>
      </c>
    </row>
    <row r="198">
      <c r="A198" s="2" t="str">
        <f>IFERROR(__xludf.DUMMYFUNCTION("""COMPUTED_VALUE"""),"Mexico")</f>
        <v>Mexico</v>
      </c>
      <c r="B198" s="3">
        <f>IFERROR(__xludf.DUMMYFUNCTION("""COMPUTED_VALUE"""),43374.0)</f>
        <v>43374</v>
      </c>
      <c r="C198" s="3">
        <f>IFERROR(__xludf.DUMMYFUNCTION("""COMPUTED_VALUE"""),43380.0)</f>
        <v>43380</v>
      </c>
      <c r="D198" s="2">
        <f>IFERROR(__xludf.DUMMYFUNCTION("""COMPUTED_VALUE"""),7.0)</f>
        <v>7</v>
      </c>
      <c r="E198" s="2">
        <f>IFERROR(__xludf.DUMMYFUNCTION("""COMPUTED_VALUE"""),40.0)</f>
        <v>40</v>
      </c>
      <c r="F198" s="2">
        <f>IFERROR(__xludf.DUMMYFUNCTION("""COMPUTED_VALUE"""),12931.0)</f>
        <v>12931</v>
      </c>
      <c r="G198" s="2">
        <f>IFERROR(__xludf.DUMMYFUNCTION("""COMPUTED_VALUE"""),0.0)</f>
        <v>0</v>
      </c>
    </row>
    <row r="199">
      <c r="A199" s="2" t="str">
        <f>IFERROR(__xludf.DUMMYFUNCTION("""COMPUTED_VALUE"""),"Mexico")</f>
        <v>Mexico</v>
      </c>
      <c r="B199" s="3">
        <f>IFERROR(__xludf.DUMMYFUNCTION("""COMPUTED_VALUE"""),43381.0)</f>
        <v>43381</v>
      </c>
      <c r="C199" s="3">
        <f>IFERROR(__xludf.DUMMYFUNCTION("""COMPUTED_VALUE"""),43387.0)</f>
        <v>43387</v>
      </c>
      <c r="D199" s="2">
        <f>IFERROR(__xludf.DUMMYFUNCTION("""COMPUTED_VALUE"""),7.0)</f>
        <v>7</v>
      </c>
      <c r="E199" s="2">
        <f>IFERROR(__xludf.DUMMYFUNCTION("""COMPUTED_VALUE"""),41.0)</f>
        <v>41</v>
      </c>
      <c r="F199" s="2">
        <f>IFERROR(__xludf.DUMMYFUNCTION("""COMPUTED_VALUE"""),13232.0)</f>
        <v>13232</v>
      </c>
      <c r="G199" s="2">
        <f>IFERROR(__xludf.DUMMYFUNCTION("""COMPUTED_VALUE"""),0.0)</f>
        <v>0</v>
      </c>
    </row>
    <row r="200">
      <c r="A200" s="2" t="str">
        <f>IFERROR(__xludf.DUMMYFUNCTION("""COMPUTED_VALUE"""),"Mexico")</f>
        <v>Mexico</v>
      </c>
      <c r="B200" s="3">
        <f>IFERROR(__xludf.DUMMYFUNCTION("""COMPUTED_VALUE"""),43388.0)</f>
        <v>43388</v>
      </c>
      <c r="C200" s="3">
        <f>IFERROR(__xludf.DUMMYFUNCTION("""COMPUTED_VALUE"""),43394.0)</f>
        <v>43394</v>
      </c>
      <c r="D200" s="2">
        <f>IFERROR(__xludf.DUMMYFUNCTION("""COMPUTED_VALUE"""),7.0)</f>
        <v>7</v>
      </c>
      <c r="E200" s="2">
        <f>IFERROR(__xludf.DUMMYFUNCTION("""COMPUTED_VALUE"""),42.0)</f>
        <v>42</v>
      </c>
      <c r="F200" s="2">
        <f>IFERROR(__xludf.DUMMYFUNCTION("""COMPUTED_VALUE"""),13115.0)</f>
        <v>13115</v>
      </c>
      <c r="G200" s="2">
        <f>IFERROR(__xludf.DUMMYFUNCTION("""COMPUTED_VALUE"""),0.0)</f>
        <v>0</v>
      </c>
    </row>
    <row r="201">
      <c r="A201" s="2" t="str">
        <f>IFERROR(__xludf.DUMMYFUNCTION("""COMPUTED_VALUE"""),"Mexico")</f>
        <v>Mexico</v>
      </c>
      <c r="B201" s="3">
        <f>IFERROR(__xludf.DUMMYFUNCTION("""COMPUTED_VALUE"""),43395.0)</f>
        <v>43395</v>
      </c>
      <c r="C201" s="3">
        <f>IFERROR(__xludf.DUMMYFUNCTION("""COMPUTED_VALUE"""),43401.0)</f>
        <v>43401</v>
      </c>
      <c r="D201" s="2">
        <f>IFERROR(__xludf.DUMMYFUNCTION("""COMPUTED_VALUE"""),7.0)</f>
        <v>7</v>
      </c>
      <c r="E201" s="2">
        <f>IFERROR(__xludf.DUMMYFUNCTION("""COMPUTED_VALUE"""),43.0)</f>
        <v>43</v>
      </c>
      <c r="F201" s="2">
        <f>IFERROR(__xludf.DUMMYFUNCTION("""COMPUTED_VALUE"""),13435.0)</f>
        <v>13435</v>
      </c>
      <c r="G201" s="2">
        <f>IFERROR(__xludf.DUMMYFUNCTION("""COMPUTED_VALUE"""),0.0)</f>
        <v>0</v>
      </c>
    </row>
    <row r="202">
      <c r="A202" s="2" t="str">
        <f>IFERROR(__xludf.DUMMYFUNCTION("""COMPUTED_VALUE"""),"Mexico")</f>
        <v>Mexico</v>
      </c>
      <c r="B202" s="3">
        <f>IFERROR(__xludf.DUMMYFUNCTION("""COMPUTED_VALUE"""),43402.0)</f>
        <v>43402</v>
      </c>
      <c r="C202" s="3">
        <f>IFERROR(__xludf.DUMMYFUNCTION("""COMPUTED_VALUE"""),43408.0)</f>
        <v>43408</v>
      </c>
      <c r="D202" s="2">
        <f>IFERROR(__xludf.DUMMYFUNCTION("""COMPUTED_VALUE"""),7.0)</f>
        <v>7</v>
      </c>
      <c r="E202" s="2">
        <f>IFERROR(__xludf.DUMMYFUNCTION("""COMPUTED_VALUE"""),44.0)</f>
        <v>44</v>
      </c>
      <c r="F202" s="2">
        <f>IFERROR(__xludf.DUMMYFUNCTION("""COMPUTED_VALUE"""),13772.0)</f>
        <v>13772</v>
      </c>
      <c r="G202" s="2">
        <f>IFERROR(__xludf.DUMMYFUNCTION("""COMPUTED_VALUE"""),0.0)</f>
        <v>0</v>
      </c>
    </row>
    <row r="203">
      <c r="A203" s="2" t="str">
        <f>IFERROR(__xludf.DUMMYFUNCTION("""COMPUTED_VALUE"""),"Mexico")</f>
        <v>Mexico</v>
      </c>
      <c r="B203" s="3">
        <f>IFERROR(__xludf.DUMMYFUNCTION("""COMPUTED_VALUE"""),43409.0)</f>
        <v>43409</v>
      </c>
      <c r="C203" s="3">
        <f>IFERROR(__xludf.DUMMYFUNCTION("""COMPUTED_VALUE"""),43415.0)</f>
        <v>43415</v>
      </c>
      <c r="D203" s="2">
        <f>IFERROR(__xludf.DUMMYFUNCTION("""COMPUTED_VALUE"""),7.0)</f>
        <v>7</v>
      </c>
      <c r="E203" s="2">
        <f>IFERROR(__xludf.DUMMYFUNCTION("""COMPUTED_VALUE"""),45.0)</f>
        <v>45</v>
      </c>
      <c r="F203" s="2">
        <f>IFERROR(__xludf.DUMMYFUNCTION("""COMPUTED_VALUE"""),13897.0)</f>
        <v>13897</v>
      </c>
      <c r="G203" s="2">
        <f>IFERROR(__xludf.DUMMYFUNCTION("""COMPUTED_VALUE"""),0.0)</f>
        <v>0</v>
      </c>
    </row>
    <row r="204">
      <c r="A204" s="2" t="str">
        <f>IFERROR(__xludf.DUMMYFUNCTION("""COMPUTED_VALUE"""),"Mexico")</f>
        <v>Mexico</v>
      </c>
      <c r="B204" s="3">
        <f>IFERROR(__xludf.DUMMYFUNCTION("""COMPUTED_VALUE"""),43416.0)</f>
        <v>43416</v>
      </c>
      <c r="C204" s="3">
        <f>IFERROR(__xludf.DUMMYFUNCTION("""COMPUTED_VALUE"""),43422.0)</f>
        <v>43422</v>
      </c>
      <c r="D204" s="2">
        <f>IFERROR(__xludf.DUMMYFUNCTION("""COMPUTED_VALUE"""),7.0)</f>
        <v>7</v>
      </c>
      <c r="E204" s="2">
        <f>IFERROR(__xludf.DUMMYFUNCTION("""COMPUTED_VALUE"""),46.0)</f>
        <v>46</v>
      </c>
      <c r="F204" s="2">
        <f>IFERROR(__xludf.DUMMYFUNCTION("""COMPUTED_VALUE"""),14612.0)</f>
        <v>14612</v>
      </c>
      <c r="G204" s="2">
        <f>IFERROR(__xludf.DUMMYFUNCTION("""COMPUTED_VALUE"""),0.0)</f>
        <v>0</v>
      </c>
    </row>
    <row r="205">
      <c r="A205" s="2" t="str">
        <f>IFERROR(__xludf.DUMMYFUNCTION("""COMPUTED_VALUE"""),"Mexico")</f>
        <v>Mexico</v>
      </c>
      <c r="B205" s="3">
        <f>IFERROR(__xludf.DUMMYFUNCTION("""COMPUTED_VALUE"""),43423.0)</f>
        <v>43423</v>
      </c>
      <c r="C205" s="3">
        <f>IFERROR(__xludf.DUMMYFUNCTION("""COMPUTED_VALUE"""),43429.0)</f>
        <v>43429</v>
      </c>
      <c r="D205" s="2">
        <f>IFERROR(__xludf.DUMMYFUNCTION("""COMPUTED_VALUE"""),7.0)</f>
        <v>7</v>
      </c>
      <c r="E205" s="2">
        <f>IFERROR(__xludf.DUMMYFUNCTION("""COMPUTED_VALUE"""),47.0)</f>
        <v>47</v>
      </c>
      <c r="F205" s="2">
        <f>IFERROR(__xludf.DUMMYFUNCTION("""COMPUTED_VALUE"""),15202.0)</f>
        <v>15202</v>
      </c>
      <c r="G205" s="2">
        <f>IFERROR(__xludf.DUMMYFUNCTION("""COMPUTED_VALUE"""),0.0)</f>
        <v>0</v>
      </c>
    </row>
    <row r="206">
      <c r="A206" s="2" t="str">
        <f>IFERROR(__xludf.DUMMYFUNCTION("""COMPUTED_VALUE"""),"Mexico")</f>
        <v>Mexico</v>
      </c>
      <c r="B206" s="3">
        <f>IFERROR(__xludf.DUMMYFUNCTION("""COMPUTED_VALUE"""),43430.0)</f>
        <v>43430</v>
      </c>
      <c r="C206" s="3">
        <f>IFERROR(__xludf.DUMMYFUNCTION("""COMPUTED_VALUE"""),43436.0)</f>
        <v>43436</v>
      </c>
      <c r="D206" s="2">
        <f>IFERROR(__xludf.DUMMYFUNCTION("""COMPUTED_VALUE"""),7.0)</f>
        <v>7</v>
      </c>
      <c r="E206" s="2">
        <f>IFERROR(__xludf.DUMMYFUNCTION("""COMPUTED_VALUE"""),48.0)</f>
        <v>48</v>
      </c>
      <c r="F206" s="2">
        <f>IFERROR(__xludf.DUMMYFUNCTION("""COMPUTED_VALUE"""),14647.0)</f>
        <v>14647</v>
      </c>
      <c r="G206" s="2">
        <f>IFERROR(__xludf.DUMMYFUNCTION("""COMPUTED_VALUE"""),0.0)</f>
        <v>0</v>
      </c>
    </row>
    <row r="207">
      <c r="A207" s="2" t="str">
        <f>IFERROR(__xludf.DUMMYFUNCTION("""COMPUTED_VALUE"""),"Mexico")</f>
        <v>Mexico</v>
      </c>
      <c r="B207" s="3">
        <f>IFERROR(__xludf.DUMMYFUNCTION("""COMPUTED_VALUE"""),43437.0)</f>
        <v>43437</v>
      </c>
      <c r="C207" s="3">
        <f>IFERROR(__xludf.DUMMYFUNCTION("""COMPUTED_VALUE"""),43443.0)</f>
        <v>43443</v>
      </c>
      <c r="D207" s="2">
        <f>IFERROR(__xludf.DUMMYFUNCTION("""COMPUTED_VALUE"""),7.0)</f>
        <v>7</v>
      </c>
      <c r="E207" s="2">
        <f>IFERROR(__xludf.DUMMYFUNCTION("""COMPUTED_VALUE"""),49.0)</f>
        <v>49</v>
      </c>
      <c r="F207" s="2">
        <f>IFERROR(__xludf.DUMMYFUNCTION("""COMPUTED_VALUE"""),14833.0)</f>
        <v>14833</v>
      </c>
      <c r="G207" s="2">
        <f>IFERROR(__xludf.DUMMYFUNCTION("""COMPUTED_VALUE"""),0.0)</f>
        <v>0</v>
      </c>
    </row>
    <row r="208">
      <c r="A208" s="2" t="str">
        <f>IFERROR(__xludf.DUMMYFUNCTION("""COMPUTED_VALUE"""),"Mexico")</f>
        <v>Mexico</v>
      </c>
      <c r="B208" s="3">
        <f>IFERROR(__xludf.DUMMYFUNCTION("""COMPUTED_VALUE"""),43444.0)</f>
        <v>43444</v>
      </c>
      <c r="C208" s="3">
        <f>IFERROR(__xludf.DUMMYFUNCTION("""COMPUTED_VALUE"""),43450.0)</f>
        <v>43450</v>
      </c>
      <c r="D208" s="2">
        <f>IFERROR(__xludf.DUMMYFUNCTION("""COMPUTED_VALUE"""),7.0)</f>
        <v>7</v>
      </c>
      <c r="E208" s="2">
        <f>IFERROR(__xludf.DUMMYFUNCTION("""COMPUTED_VALUE"""),50.0)</f>
        <v>50</v>
      </c>
      <c r="F208" s="2">
        <f>IFERROR(__xludf.DUMMYFUNCTION("""COMPUTED_VALUE"""),15216.0)</f>
        <v>15216</v>
      </c>
      <c r="G208" s="2">
        <f>IFERROR(__xludf.DUMMYFUNCTION("""COMPUTED_VALUE"""),0.0)</f>
        <v>0</v>
      </c>
    </row>
    <row r="209">
      <c r="A209" s="2" t="str">
        <f>IFERROR(__xludf.DUMMYFUNCTION("""COMPUTED_VALUE"""),"Mexico")</f>
        <v>Mexico</v>
      </c>
      <c r="B209" s="3">
        <f>IFERROR(__xludf.DUMMYFUNCTION("""COMPUTED_VALUE"""),43451.0)</f>
        <v>43451</v>
      </c>
      <c r="C209" s="3">
        <f>IFERROR(__xludf.DUMMYFUNCTION("""COMPUTED_VALUE"""),43457.0)</f>
        <v>43457</v>
      </c>
      <c r="D209" s="2">
        <f>IFERROR(__xludf.DUMMYFUNCTION("""COMPUTED_VALUE"""),7.0)</f>
        <v>7</v>
      </c>
      <c r="E209" s="2">
        <f>IFERROR(__xludf.DUMMYFUNCTION("""COMPUTED_VALUE"""),51.0)</f>
        <v>51</v>
      </c>
      <c r="F209" s="2">
        <f>IFERROR(__xludf.DUMMYFUNCTION("""COMPUTED_VALUE"""),16440.0)</f>
        <v>16440</v>
      </c>
      <c r="G209" s="2">
        <f>IFERROR(__xludf.DUMMYFUNCTION("""COMPUTED_VALUE"""),0.0)</f>
        <v>0</v>
      </c>
    </row>
    <row r="210">
      <c r="A210" s="2" t="str">
        <f>IFERROR(__xludf.DUMMYFUNCTION("""COMPUTED_VALUE"""),"Mexico")</f>
        <v>Mexico</v>
      </c>
      <c r="B210" s="3">
        <f>IFERROR(__xludf.DUMMYFUNCTION("""COMPUTED_VALUE"""),43458.0)</f>
        <v>43458</v>
      </c>
      <c r="C210" s="3">
        <f>IFERROR(__xludf.DUMMYFUNCTION("""COMPUTED_VALUE"""),43464.0)</f>
        <v>43464</v>
      </c>
      <c r="D210" s="2">
        <f>IFERROR(__xludf.DUMMYFUNCTION("""COMPUTED_VALUE"""),7.0)</f>
        <v>7</v>
      </c>
      <c r="E210" s="2">
        <f>IFERROR(__xludf.DUMMYFUNCTION("""COMPUTED_VALUE"""),52.0)</f>
        <v>52</v>
      </c>
      <c r="F210" s="2">
        <f>IFERROR(__xludf.DUMMYFUNCTION("""COMPUTED_VALUE"""),17373.0)</f>
        <v>17373</v>
      </c>
      <c r="G210" s="2">
        <f>IFERROR(__xludf.DUMMYFUNCTION("""COMPUTED_VALUE"""),0.0)</f>
        <v>0</v>
      </c>
    </row>
    <row r="211">
      <c r="A211" s="2" t="str">
        <f>IFERROR(__xludf.DUMMYFUNCTION("""COMPUTED_VALUE"""),"Mexico")</f>
        <v>Mexico</v>
      </c>
      <c r="B211" s="3">
        <f>IFERROR(__xludf.DUMMYFUNCTION("""COMPUTED_VALUE"""),43465.0)</f>
        <v>43465</v>
      </c>
      <c r="C211" s="3">
        <f>IFERROR(__xludf.DUMMYFUNCTION("""COMPUTED_VALUE"""),43471.0)</f>
        <v>43471</v>
      </c>
      <c r="D211" s="2">
        <f>IFERROR(__xludf.DUMMYFUNCTION("""COMPUTED_VALUE"""),7.0)</f>
        <v>7</v>
      </c>
      <c r="E211" s="2">
        <f>IFERROR(__xludf.DUMMYFUNCTION("""COMPUTED_VALUE"""),1.0)</f>
        <v>1</v>
      </c>
      <c r="F211" s="2">
        <f>IFERROR(__xludf.DUMMYFUNCTION("""COMPUTED_VALUE"""),17723.0)</f>
        <v>17723</v>
      </c>
      <c r="G211" s="2">
        <f>IFERROR(__xludf.DUMMYFUNCTION("""COMPUTED_VALUE"""),0.0)</f>
        <v>0</v>
      </c>
    </row>
    <row r="212">
      <c r="A212" s="2" t="str">
        <f>IFERROR(__xludf.DUMMYFUNCTION("""COMPUTED_VALUE"""),"Mexico")</f>
        <v>Mexico</v>
      </c>
      <c r="B212" s="3">
        <f>IFERROR(__xludf.DUMMYFUNCTION("""COMPUTED_VALUE"""),43472.0)</f>
        <v>43472</v>
      </c>
      <c r="C212" s="3">
        <f>IFERROR(__xludf.DUMMYFUNCTION("""COMPUTED_VALUE"""),43478.0)</f>
        <v>43478</v>
      </c>
      <c r="D212" s="2">
        <f>IFERROR(__xludf.DUMMYFUNCTION("""COMPUTED_VALUE"""),7.0)</f>
        <v>7</v>
      </c>
      <c r="E212" s="2">
        <f>IFERROR(__xludf.DUMMYFUNCTION("""COMPUTED_VALUE"""),2.0)</f>
        <v>2</v>
      </c>
      <c r="F212" s="2">
        <f>IFERROR(__xludf.DUMMYFUNCTION("""COMPUTED_VALUE"""),16602.0)</f>
        <v>16602</v>
      </c>
      <c r="G212" s="2">
        <f>IFERROR(__xludf.DUMMYFUNCTION("""COMPUTED_VALUE"""),0.0)</f>
        <v>0</v>
      </c>
    </row>
    <row r="213">
      <c r="A213" s="2" t="str">
        <f>IFERROR(__xludf.DUMMYFUNCTION("""COMPUTED_VALUE"""),"Mexico")</f>
        <v>Mexico</v>
      </c>
      <c r="B213" s="3">
        <f>IFERROR(__xludf.DUMMYFUNCTION("""COMPUTED_VALUE"""),43479.0)</f>
        <v>43479</v>
      </c>
      <c r="C213" s="3">
        <f>IFERROR(__xludf.DUMMYFUNCTION("""COMPUTED_VALUE"""),43485.0)</f>
        <v>43485</v>
      </c>
      <c r="D213" s="2">
        <f>IFERROR(__xludf.DUMMYFUNCTION("""COMPUTED_VALUE"""),7.0)</f>
        <v>7</v>
      </c>
      <c r="E213" s="2">
        <f>IFERROR(__xludf.DUMMYFUNCTION("""COMPUTED_VALUE"""),3.0)</f>
        <v>3</v>
      </c>
      <c r="F213" s="2">
        <f>IFERROR(__xludf.DUMMYFUNCTION("""COMPUTED_VALUE"""),16252.0)</f>
        <v>16252</v>
      </c>
      <c r="G213" s="2">
        <f>IFERROR(__xludf.DUMMYFUNCTION("""COMPUTED_VALUE"""),0.0)</f>
        <v>0</v>
      </c>
    </row>
    <row r="214">
      <c r="A214" s="2" t="str">
        <f>IFERROR(__xludf.DUMMYFUNCTION("""COMPUTED_VALUE"""),"Mexico")</f>
        <v>Mexico</v>
      </c>
      <c r="B214" s="3">
        <f>IFERROR(__xludf.DUMMYFUNCTION("""COMPUTED_VALUE"""),43486.0)</f>
        <v>43486</v>
      </c>
      <c r="C214" s="3">
        <f>IFERROR(__xludf.DUMMYFUNCTION("""COMPUTED_VALUE"""),43492.0)</f>
        <v>43492</v>
      </c>
      <c r="D214" s="2">
        <f>IFERROR(__xludf.DUMMYFUNCTION("""COMPUTED_VALUE"""),7.0)</f>
        <v>7</v>
      </c>
      <c r="E214" s="2">
        <f>IFERROR(__xludf.DUMMYFUNCTION("""COMPUTED_VALUE"""),4.0)</f>
        <v>4</v>
      </c>
      <c r="F214" s="2">
        <f>IFERROR(__xludf.DUMMYFUNCTION("""COMPUTED_VALUE"""),15864.0)</f>
        <v>15864</v>
      </c>
      <c r="G214" s="2">
        <f>IFERROR(__xludf.DUMMYFUNCTION("""COMPUTED_VALUE"""),0.0)</f>
        <v>0</v>
      </c>
    </row>
    <row r="215">
      <c r="A215" s="2" t="str">
        <f>IFERROR(__xludf.DUMMYFUNCTION("""COMPUTED_VALUE"""),"Mexico")</f>
        <v>Mexico</v>
      </c>
      <c r="B215" s="3">
        <f>IFERROR(__xludf.DUMMYFUNCTION("""COMPUTED_VALUE"""),43493.0)</f>
        <v>43493</v>
      </c>
      <c r="C215" s="3">
        <f>IFERROR(__xludf.DUMMYFUNCTION("""COMPUTED_VALUE"""),43499.0)</f>
        <v>43499</v>
      </c>
      <c r="D215" s="2">
        <f>IFERROR(__xludf.DUMMYFUNCTION("""COMPUTED_VALUE"""),7.0)</f>
        <v>7</v>
      </c>
      <c r="E215" s="2">
        <f>IFERROR(__xludf.DUMMYFUNCTION("""COMPUTED_VALUE"""),5.0)</f>
        <v>5</v>
      </c>
      <c r="F215" s="2">
        <f>IFERROR(__xludf.DUMMYFUNCTION("""COMPUTED_VALUE"""),15862.0)</f>
        <v>15862</v>
      </c>
      <c r="G215" s="2">
        <f>IFERROR(__xludf.DUMMYFUNCTION("""COMPUTED_VALUE"""),0.0)</f>
        <v>0</v>
      </c>
    </row>
    <row r="216">
      <c r="A216" s="2" t="str">
        <f>IFERROR(__xludf.DUMMYFUNCTION("""COMPUTED_VALUE"""),"Mexico")</f>
        <v>Mexico</v>
      </c>
      <c r="B216" s="3">
        <f>IFERROR(__xludf.DUMMYFUNCTION("""COMPUTED_VALUE"""),43500.0)</f>
        <v>43500</v>
      </c>
      <c r="C216" s="3">
        <f>IFERROR(__xludf.DUMMYFUNCTION("""COMPUTED_VALUE"""),43506.0)</f>
        <v>43506</v>
      </c>
      <c r="D216" s="2">
        <f>IFERROR(__xludf.DUMMYFUNCTION("""COMPUTED_VALUE"""),7.0)</f>
        <v>7</v>
      </c>
      <c r="E216" s="2">
        <f>IFERROR(__xludf.DUMMYFUNCTION("""COMPUTED_VALUE"""),6.0)</f>
        <v>6</v>
      </c>
      <c r="F216" s="2">
        <f>IFERROR(__xludf.DUMMYFUNCTION("""COMPUTED_VALUE"""),15689.0)</f>
        <v>15689</v>
      </c>
      <c r="G216" s="2">
        <f>IFERROR(__xludf.DUMMYFUNCTION("""COMPUTED_VALUE"""),0.0)</f>
        <v>0</v>
      </c>
    </row>
    <row r="217">
      <c r="A217" s="2" t="str">
        <f>IFERROR(__xludf.DUMMYFUNCTION("""COMPUTED_VALUE"""),"Mexico")</f>
        <v>Mexico</v>
      </c>
      <c r="B217" s="3">
        <f>IFERROR(__xludf.DUMMYFUNCTION("""COMPUTED_VALUE"""),43507.0)</f>
        <v>43507</v>
      </c>
      <c r="C217" s="3">
        <f>IFERROR(__xludf.DUMMYFUNCTION("""COMPUTED_VALUE"""),43513.0)</f>
        <v>43513</v>
      </c>
      <c r="D217" s="2">
        <f>IFERROR(__xludf.DUMMYFUNCTION("""COMPUTED_VALUE"""),7.0)</f>
        <v>7</v>
      </c>
      <c r="E217" s="2">
        <f>IFERROR(__xludf.DUMMYFUNCTION("""COMPUTED_VALUE"""),7.0)</f>
        <v>7</v>
      </c>
      <c r="F217" s="2">
        <f>IFERROR(__xludf.DUMMYFUNCTION("""COMPUTED_VALUE"""),15445.0)</f>
        <v>15445</v>
      </c>
      <c r="G217" s="2">
        <f>IFERROR(__xludf.DUMMYFUNCTION("""COMPUTED_VALUE"""),0.0)</f>
        <v>0</v>
      </c>
    </row>
    <row r="218">
      <c r="A218" s="2" t="str">
        <f>IFERROR(__xludf.DUMMYFUNCTION("""COMPUTED_VALUE"""),"Mexico")</f>
        <v>Mexico</v>
      </c>
      <c r="B218" s="3">
        <f>IFERROR(__xludf.DUMMYFUNCTION("""COMPUTED_VALUE"""),43514.0)</f>
        <v>43514</v>
      </c>
      <c r="C218" s="3">
        <f>IFERROR(__xludf.DUMMYFUNCTION("""COMPUTED_VALUE"""),43520.0)</f>
        <v>43520</v>
      </c>
      <c r="D218" s="2">
        <f>IFERROR(__xludf.DUMMYFUNCTION("""COMPUTED_VALUE"""),7.0)</f>
        <v>7</v>
      </c>
      <c r="E218" s="2">
        <f>IFERROR(__xludf.DUMMYFUNCTION("""COMPUTED_VALUE"""),8.0)</f>
        <v>8</v>
      </c>
      <c r="F218" s="2">
        <f>IFERROR(__xludf.DUMMYFUNCTION("""COMPUTED_VALUE"""),14755.0)</f>
        <v>14755</v>
      </c>
      <c r="G218" s="2">
        <f>IFERROR(__xludf.DUMMYFUNCTION("""COMPUTED_VALUE"""),0.0)</f>
        <v>0</v>
      </c>
    </row>
    <row r="219">
      <c r="A219" s="2" t="str">
        <f>IFERROR(__xludf.DUMMYFUNCTION("""COMPUTED_VALUE"""),"Mexico")</f>
        <v>Mexico</v>
      </c>
      <c r="B219" s="3">
        <f>IFERROR(__xludf.DUMMYFUNCTION("""COMPUTED_VALUE"""),43521.0)</f>
        <v>43521</v>
      </c>
      <c r="C219" s="3">
        <f>IFERROR(__xludf.DUMMYFUNCTION("""COMPUTED_VALUE"""),43527.0)</f>
        <v>43527</v>
      </c>
      <c r="D219" s="2">
        <f>IFERROR(__xludf.DUMMYFUNCTION("""COMPUTED_VALUE"""),7.0)</f>
        <v>7</v>
      </c>
      <c r="E219" s="2">
        <f>IFERROR(__xludf.DUMMYFUNCTION("""COMPUTED_VALUE"""),9.0)</f>
        <v>9</v>
      </c>
      <c r="F219" s="2">
        <f>IFERROR(__xludf.DUMMYFUNCTION("""COMPUTED_VALUE"""),14639.0)</f>
        <v>14639</v>
      </c>
      <c r="G219" s="2">
        <f>IFERROR(__xludf.DUMMYFUNCTION("""COMPUTED_VALUE"""),0.0)</f>
        <v>0</v>
      </c>
    </row>
    <row r="220">
      <c r="A220" s="2" t="str">
        <f>IFERROR(__xludf.DUMMYFUNCTION("""COMPUTED_VALUE"""),"Mexico")</f>
        <v>Mexico</v>
      </c>
      <c r="B220" s="3">
        <f>IFERROR(__xludf.DUMMYFUNCTION("""COMPUTED_VALUE"""),43528.0)</f>
        <v>43528</v>
      </c>
      <c r="C220" s="3">
        <f>IFERROR(__xludf.DUMMYFUNCTION("""COMPUTED_VALUE"""),43534.0)</f>
        <v>43534</v>
      </c>
      <c r="D220" s="2">
        <f>IFERROR(__xludf.DUMMYFUNCTION("""COMPUTED_VALUE"""),7.0)</f>
        <v>7</v>
      </c>
      <c r="E220" s="2">
        <f>IFERROR(__xludf.DUMMYFUNCTION("""COMPUTED_VALUE"""),10.0)</f>
        <v>10</v>
      </c>
      <c r="F220" s="2">
        <f>IFERROR(__xludf.DUMMYFUNCTION("""COMPUTED_VALUE"""),14391.0)</f>
        <v>14391</v>
      </c>
      <c r="G220" s="2">
        <f>IFERROR(__xludf.DUMMYFUNCTION("""COMPUTED_VALUE"""),0.0)</f>
        <v>0</v>
      </c>
    </row>
    <row r="221">
      <c r="A221" s="2" t="str">
        <f>IFERROR(__xludf.DUMMYFUNCTION("""COMPUTED_VALUE"""),"Mexico")</f>
        <v>Mexico</v>
      </c>
      <c r="B221" s="3">
        <f>IFERROR(__xludf.DUMMYFUNCTION("""COMPUTED_VALUE"""),43535.0)</f>
        <v>43535</v>
      </c>
      <c r="C221" s="3">
        <f>IFERROR(__xludf.DUMMYFUNCTION("""COMPUTED_VALUE"""),43541.0)</f>
        <v>43541</v>
      </c>
      <c r="D221" s="2">
        <f>IFERROR(__xludf.DUMMYFUNCTION("""COMPUTED_VALUE"""),7.0)</f>
        <v>7</v>
      </c>
      <c r="E221" s="2">
        <f>IFERROR(__xludf.DUMMYFUNCTION("""COMPUTED_VALUE"""),11.0)</f>
        <v>11</v>
      </c>
      <c r="F221" s="2">
        <f>IFERROR(__xludf.DUMMYFUNCTION("""COMPUTED_VALUE"""),13749.0)</f>
        <v>13749</v>
      </c>
      <c r="G221" s="2">
        <f>IFERROR(__xludf.DUMMYFUNCTION("""COMPUTED_VALUE"""),0.0)</f>
        <v>0</v>
      </c>
    </row>
    <row r="222">
      <c r="A222" s="2" t="str">
        <f>IFERROR(__xludf.DUMMYFUNCTION("""COMPUTED_VALUE"""),"Mexico")</f>
        <v>Mexico</v>
      </c>
      <c r="B222" s="3">
        <f>IFERROR(__xludf.DUMMYFUNCTION("""COMPUTED_VALUE"""),43542.0)</f>
        <v>43542</v>
      </c>
      <c r="C222" s="3">
        <f>IFERROR(__xludf.DUMMYFUNCTION("""COMPUTED_VALUE"""),43548.0)</f>
        <v>43548</v>
      </c>
      <c r="D222" s="2">
        <f>IFERROR(__xludf.DUMMYFUNCTION("""COMPUTED_VALUE"""),7.0)</f>
        <v>7</v>
      </c>
      <c r="E222" s="2">
        <f>IFERROR(__xludf.DUMMYFUNCTION("""COMPUTED_VALUE"""),12.0)</f>
        <v>12</v>
      </c>
      <c r="F222" s="2">
        <f>IFERROR(__xludf.DUMMYFUNCTION("""COMPUTED_VALUE"""),13660.0)</f>
        <v>13660</v>
      </c>
      <c r="G222" s="2">
        <f>IFERROR(__xludf.DUMMYFUNCTION("""COMPUTED_VALUE"""),0.0)</f>
        <v>0</v>
      </c>
    </row>
    <row r="223">
      <c r="A223" s="2" t="str">
        <f>IFERROR(__xludf.DUMMYFUNCTION("""COMPUTED_VALUE"""),"Mexico")</f>
        <v>Mexico</v>
      </c>
      <c r="B223" s="3">
        <f>IFERROR(__xludf.DUMMYFUNCTION("""COMPUTED_VALUE"""),43549.0)</f>
        <v>43549</v>
      </c>
      <c r="C223" s="3">
        <f>IFERROR(__xludf.DUMMYFUNCTION("""COMPUTED_VALUE"""),43555.0)</f>
        <v>43555</v>
      </c>
      <c r="D223" s="2">
        <f>IFERROR(__xludf.DUMMYFUNCTION("""COMPUTED_VALUE"""),7.0)</f>
        <v>7</v>
      </c>
      <c r="E223" s="2">
        <f>IFERROR(__xludf.DUMMYFUNCTION("""COMPUTED_VALUE"""),13.0)</f>
        <v>13</v>
      </c>
      <c r="F223" s="2">
        <f>IFERROR(__xludf.DUMMYFUNCTION("""COMPUTED_VALUE"""),13903.0)</f>
        <v>13903</v>
      </c>
      <c r="G223" s="2">
        <f>IFERROR(__xludf.DUMMYFUNCTION("""COMPUTED_VALUE"""),0.0)</f>
        <v>0</v>
      </c>
    </row>
    <row r="224">
      <c r="A224" s="2" t="str">
        <f>IFERROR(__xludf.DUMMYFUNCTION("""COMPUTED_VALUE"""),"Mexico")</f>
        <v>Mexico</v>
      </c>
      <c r="B224" s="3">
        <f>IFERROR(__xludf.DUMMYFUNCTION("""COMPUTED_VALUE"""),43556.0)</f>
        <v>43556</v>
      </c>
      <c r="C224" s="3">
        <f>IFERROR(__xludf.DUMMYFUNCTION("""COMPUTED_VALUE"""),43562.0)</f>
        <v>43562</v>
      </c>
      <c r="D224" s="2">
        <f>IFERROR(__xludf.DUMMYFUNCTION("""COMPUTED_VALUE"""),7.0)</f>
        <v>7</v>
      </c>
      <c r="E224" s="2">
        <f>IFERROR(__xludf.DUMMYFUNCTION("""COMPUTED_VALUE"""),14.0)</f>
        <v>14</v>
      </c>
      <c r="F224" s="2">
        <f>IFERROR(__xludf.DUMMYFUNCTION("""COMPUTED_VALUE"""),14049.0)</f>
        <v>14049</v>
      </c>
      <c r="G224" s="2">
        <f>IFERROR(__xludf.DUMMYFUNCTION("""COMPUTED_VALUE"""),0.0)</f>
        <v>0</v>
      </c>
    </row>
    <row r="225">
      <c r="A225" s="2" t="str">
        <f>IFERROR(__xludf.DUMMYFUNCTION("""COMPUTED_VALUE"""),"Mexico")</f>
        <v>Mexico</v>
      </c>
      <c r="B225" s="3">
        <f>IFERROR(__xludf.DUMMYFUNCTION("""COMPUTED_VALUE"""),43563.0)</f>
        <v>43563</v>
      </c>
      <c r="C225" s="3">
        <f>IFERROR(__xludf.DUMMYFUNCTION("""COMPUTED_VALUE"""),43569.0)</f>
        <v>43569</v>
      </c>
      <c r="D225" s="2">
        <f>IFERROR(__xludf.DUMMYFUNCTION("""COMPUTED_VALUE"""),7.0)</f>
        <v>7</v>
      </c>
      <c r="E225" s="2">
        <f>IFERROR(__xludf.DUMMYFUNCTION("""COMPUTED_VALUE"""),15.0)</f>
        <v>15</v>
      </c>
      <c r="F225" s="2">
        <f>IFERROR(__xludf.DUMMYFUNCTION("""COMPUTED_VALUE"""),13718.0)</f>
        <v>13718</v>
      </c>
      <c r="G225" s="2">
        <f>IFERROR(__xludf.DUMMYFUNCTION("""COMPUTED_VALUE"""),0.0)</f>
        <v>0</v>
      </c>
    </row>
    <row r="226">
      <c r="A226" s="2" t="str">
        <f>IFERROR(__xludf.DUMMYFUNCTION("""COMPUTED_VALUE"""),"Mexico")</f>
        <v>Mexico</v>
      </c>
      <c r="B226" s="3">
        <f>IFERROR(__xludf.DUMMYFUNCTION("""COMPUTED_VALUE"""),43570.0)</f>
        <v>43570</v>
      </c>
      <c r="C226" s="3">
        <f>IFERROR(__xludf.DUMMYFUNCTION("""COMPUTED_VALUE"""),43576.0)</f>
        <v>43576</v>
      </c>
      <c r="D226" s="2">
        <f>IFERROR(__xludf.DUMMYFUNCTION("""COMPUTED_VALUE"""),7.0)</f>
        <v>7</v>
      </c>
      <c r="E226" s="2">
        <f>IFERROR(__xludf.DUMMYFUNCTION("""COMPUTED_VALUE"""),16.0)</f>
        <v>16</v>
      </c>
      <c r="F226" s="2">
        <f>IFERROR(__xludf.DUMMYFUNCTION("""COMPUTED_VALUE"""),13743.0)</f>
        <v>13743</v>
      </c>
      <c r="G226" s="2">
        <f>IFERROR(__xludf.DUMMYFUNCTION("""COMPUTED_VALUE"""),0.0)</f>
        <v>0</v>
      </c>
    </row>
    <row r="227">
      <c r="A227" s="2" t="str">
        <f>IFERROR(__xludf.DUMMYFUNCTION("""COMPUTED_VALUE"""),"Mexico")</f>
        <v>Mexico</v>
      </c>
      <c r="B227" s="3">
        <f>IFERROR(__xludf.DUMMYFUNCTION("""COMPUTED_VALUE"""),43577.0)</f>
        <v>43577</v>
      </c>
      <c r="C227" s="3">
        <f>IFERROR(__xludf.DUMMYFUNCTION("""COMPUTED_VALUE"""),43583.0)</f>
        <v>43583</v>
      </c>
      <c r="D227" s="2">
        <f>IFERROR(__xludf.DUMMYFUNCTION("""COMPUTED_VALUE"""),7.0)</f>
        <v>7</v>
      </c>
      <c r="E227" s="2">
        <f>IFERROR(__xludf.DUMMYFUNCTION("""COMPUTED_VALUE"""),17.0)</f>
        <v>17</v>
      </c>
      <c r="F227" s="2">
        <f>IFERROR(__xludf.DUMMYFUNCTION("""COMPUTED_VALUE"""),13718.0)</f>
        <v>13718</v>
      </c>
      <c r="G227" s="2">
        <f>IFERROR(__xludf.DUMMYFUNCTION("""COMPUTED_VALUE"""),0.0)</f>
        <v>0</v>
      </c>
    </row>
    <row r="228">
      <c r="A228" s="2" t="str">
        <f>IFERROR(__xludf.DUMMYFUNCTION("""COMPUTED_VALUE"""),"Mexico")</f>
        <v>Mexico</v>
      </c>
      <c r="B228" s="3">
        <f>IFERROR(__xludf.DUMMYFUNCTION("""COMPUTED_VALUE"""),43584.0)</f>
        <v>43584</v>
      </c>
      <c r="C228" s="3">
        <f>IFERROR(__xludf.DUMMYFUNCTION("""COMPUTED_VALUE"""),43590.0)</f>
        <v>43590</v>
      </c>
      <c r="D228" s="2">
        <f>IFERROR(__xludf.DUMMYFUNCTION("""COMPUTED_VALUE"""),7.0)</f>
        <v>7</v>
      </c>
      <c r="E228" s="2">
        <f>IFERROR(__xludf.DUMMYFUNCTION("""COMPUTED_VALUE"""),18.0)</f>
        <v>18</v>
      </c>
      <c r="F228" s="2">
        <f>IFERROR(__xludf.DUMMYFUNCTION("""COMPUTED_VALUE"""),13698.0)</f>
        <v>13698</v>
      </c>
      <c r="G228" s="2">
        <f>IFERROR(__xludf.DUMMYFUNCTION("""COMPUTED_VALUE"""),0.0)</f>
        <v>0</v>
      </c>
    </row>
    <row r="229">
      <c r="A229" s="2" t="str">
        <f>IFERROR(__xludf.DUMMYFUNCTION("""COMPUTED_VALUE"""),"Mexico")</f>
        <v>Mexico</v>
      </c>
      <c r="B229" s="3">
        <f>IFERROR(__xludf.DUMMYFUNCTION("""COMPUTED_VALUE"""),43591.0)</f>
        <v>43591</v>
      </c>
      <c r="C229" s="3">
        <f>IFERROR(__xludf.DUMMYFUNCTION("""COMPUTED_VALUE"""),43597.0)</f>
        <v>43597</v>
      </c>
      <c r="D229" s="2">
        <f>IFERROR(__xludf.DUMMYFUNCTION("""COMPUTED_VALUE"""),7.0)</f>
        <v>7</v>
      </c>
      <c r="E229" s="2">
        <f>IFERROR(__xludf.DUMMYFUNCTION("""COMPUTED_VALUE"""),19.0)</f>
        <v>19</v>
      </c>
      <c r="F229" s="2">
        <f>IFERROR(__xludf.DUMMYFUNCTION("""COMPUTED_VALUE"""),13792.0)</f>
        <v>13792</v>
      </c>
      <c r="G229" s="2">
        <f>IFERROR(__xludf.DUMMYFUNCTION("""COMPUTED_VALUE"""),0.0)</f>
        <v>0</v>
      </c>
    </row>
    <row r="230">
      <c r="A230" s="2" t="str">
        <f>IFERROR(__xludf.DUMMYFUNCTION("""COMPUTED_VALUE"""),"Mexico")</f>
        <v>Mexico</v>
      </c>
      <c r="B230" s="3">
        <f>IFERROR(__xludf.DUMMYFUNCTION("""COMPUTED_VALUE"""),43598.0)</f>
        <v>43598</v>
      </c>
      <c r="C230" s="3">
        <f>IFERROR(__xludf.DUMMYFUNCTION("""COMPUTED_VALUE"""),43604.0)</f>
        <v>43604</v>
      </c>
      <c r="D230" s="2">
        <f>IFERROR(__xludf.DUMMYFUNCTION("""COMPUTED_VALUE"""),7.0)</f>
        <v>7</v>
      </c>
      <c r="E230" s="2">
        <f>IFERROR(__xludf.DUMMYFUNCTION("""COMPUTED_VALUE"""),20.0)</f>
        <v>20</v>
      </c>
      <c r="F230" s="2">
        <f>IFERROR(__xludf.DUMMYFUNCTION("""COMPUTED_VALUE"""),13590.0)</f>
        <v>13590</v>
      </c>
      <c r="G230" s="2">
        <f>IFERROR(__xludf.DUMMYFUNCTION("""COMPUTED_VALUE"""),0.0)</f>
        <v>0</v>
      </c>
    </row>
    <row r="231">
      <c r="A231" s="2" t="str">
        <f>IFERROR(__xludf.DUMMYFUNCTION("""COMPUTED_VALUE"""),"Mexico")</f>
        <v>Mexico</v>
      </c>
      <c r="B231" s="3">
        <f>IFERROR(__xludf.DUMMYFUNCTION("""COMPUTED_VALUE"""),43605.0)</f>
        <v>43605</v>
      </c>
      <c r="C231" s="3">
        <f>IFERROR(__xludf.DUMMYFUNCTION("""COMPUTED_VALUE"""),43611.0)</f>
        <v>43611</v>
      </c>
      <c r="D231" s="2">
        <f>IFERROR(__xludf.DUMMYFUNCTION("""COMPUTED_VALUE"""),7.0)</f>
        <v>7</v>
      </c>
      <c r="E231" s="2">
        <f>IFERROR(__xludf.DUMMYFUNCTION("""COMPUTED_VALUE"""),21.0)</f>
        <v>21</v>
      </c>
      <c r="F231" s="2">
        <f>IFERROR(__xludf.DUMMYFUNCTION("""COMPUTED_VALUE"""),14160.0)</f>
        <v>14160</v>
      </c>
      <c r="G231" s="2">
        <f>IFERROR(__xludf.DUMMYFUNCTION("""COMPUTED_VALUE"""),0.0)</f>
        <v>0</v>
      </c>
    </row>
    <row r="232">
      <c r="A232" s="2" t="str">
        <f>IFERROR(__xludf.DUMMYFUNCTION("""COMPUTED_VALUE"""),"Mexico")</f>
        <v>Mexico</v>
      </c>
      <c r="B232" s="3">
        <f>IFERROR(__xludf.DUMMYFUNCTION("""COMPUTED_VALUE"""),43612.0)</f>
        <v>43612</v>
      </c>
      <c r="C232" s="3">
        <f>IFERROR(__xludf.DUMMYFUNCTION("""COMPUTED_VALUE"""),43618.0)</f>
        <v>43618</v>
      </c>
      <c r="D232" s="2">
        <f>IFERROR(__xludf.DUMMYFUNCTION("""COMPUTED_VALUE"""),7.0)</f>
        <v>7</v>
      </c>
      <c r="E232" s="2">
        <f>IFERROR(__xludf.DUMMYFUNCTION("""COMPUTED_VALUE"""),22.0)</f>
        <v>22</v>
      </c>
      <c r="F232" s="2">
        <f>IFERROR(__xludf.DUMMYFUNCTION("""COMPUTED_VALUE"""),13438.0)</f>
        <v>13438</v>
      </c>
      <c r="G232" s="2">
        <f>IFERROR(__xludf.DUMMYFUNCTION("""COMPUTED_VALUE"""),0.0)</f>
        <v>0</v>
      </c>
    </row>
    <row r="233">
      <c r="A233" s="2" t="str">
        <f>IFERROR(__xludf.DUMMYFUNCTION("""COMPUTED_VALUE"""),"Mexico")</f>
        <v>Mexico</v>
      </c>
      <c r="B233" s="3">
        <f>IFERROR(__xludf.DUMMYFUNCTION("""COMPUTED_VALUE"""),43619.0)</f>
        <v>43619</v>
      </c>
      <c r="C233" s="3">
        <f>IFERROR(__xludf.DUMMYFUNCTION("""COMPUTED_VALUE"""),43625.0)</f>
        <v>43625</v>
      </c>
      <c r="D233" s="2">
        <f>IFERROR(__xludf.DUMMYFUNCTION("""COMPUTED_VALUE"""),7.0)</f>
        <v>7</v>
      </c>
      <c r="E233" s="2">
        <f>IFERROR(__xludf.DUMMYFUNCTION("""COMPUTED_VALUE"""),23.0)</f>
        <v>23</v>
      </c>
      <c r="F233" s="2">
        <f>IFERROR(__xludf.DUMMYFUNCTION("""COMPUTED_VALUE"""),13382.0)</f>
        <v>13382</v>
      </c>
      <c r="G233" s="2">
        <f>IFERROR(__xludf.DUMMYFUNCTION("""COMPUTED_VALUE"""),0.0)</f>
        <v>0</v>
      </c>
    </row>
    <row r="234">
      <c r="A234" s="2" t="str">
        <f>IFERROR(__xludf.DUMMYFUNCTION("""COMPUTED_VALUE"""),"Mexico")</f>
        <v>Mexico</v>
      </c>
      <c r="B234" s="3">
        <f>IFERROR(__xludf.DUMMYFUNCTION("""COMPUTED_VALUE"""),43626.0)</f>
        <v>43626</v>
      </c>
      <c r="C234" s="3">
        <f>IFERROR(__xludf.DUMMYFUNCTION("""COMPUTED_VALUE"""),43632.0)</f>
        <v>43632</v>
      </c>
      <c r="D234" s="2">
        <f>IFERROR(__xludf.DUMMYFUNCTION("""COMPUTED_VALUE"""),7.0)</f>
        <v>7</v>
      </c>
      <c r="E234" s="2">
        <f>IFERROR(__xludf.DUMMYFUNCTION("""COMPUTED_VALUE"""),24.0)</f>
        <v>24</v>
      </c>
      <c r="F234" s="2">
        <f>IFERROR(__xludf.DUMMYFUNCTION("""COMPUTED_VALUE"""),13398.0)</f>
        <v>13398</v>
      </c>
      <c r="G234" s="2">
        <f>IFERROR(__xludf.DUMMYFUNCTION("""COMPUTED_VALUE"""),0.0)</f>
        <v>0</v>
      </c>
    </row>
    <row r="235">
      <c r="A235" s="2" t="str">
        <f>IFERROR(__xludf.DUMMYFUNCTION("""COMPUTED_VALUE"""),"Mexico")</f>
        <v>Mexico</v>
      </c>
      <c r="B235" s="3">
        <f>IFERROR(__xludf.DUMMYFUNCTION("""COMPUTED_VALUE"""),43633.0)</f>
        <v>43633</v>
      </c>
      <c r="C235" s="3">
        <f>IFERROR(__xludf.DUMMYFUNCTION("""COMPUTED_VALUE"""),43639.0)</f>
        <v>43639</v>
      </c>
      <c r="D235" s="2">
        <f>IFERROR(__xludf.DUMMYFUNCTION("""COMPUTED_VALUE"""),7.0)</f>
        <v>7</v>
      </c>
      <c r="E235" s="2">
        <f>IFERROR(__xludf.DUMMYFUNCTION("""COMPUTED_VALUE"""),25.0)</f>
        <v>25</v>
      </c>
      <c r="F235" s="2">
        <f>IFERROR(__xludf.DUMMYFUNCTION("""COMPUTED_VALUE"""),13562.0)</f>
        <v>13562</v>
      </c>
      <c r="G235" s="2">
        <f>IFERROR(__xludf.DUMMYFUNCTION("""COMPUTED_VALUE"""),0.0)</f>
        <v>0</v>
      </c>
    </row>
    <row r="236">
      <c r="A236" s="2" t="str">
        <f>IFERROR(__xludf.DUMMYFUNCTION("""COMPUTED_VALUE"""),"Mexico")</f>
        <v>Mexico</v>
      </c>
      <c r="B236" s="3">
        <f>IFERROR(__xludf.DUMMYFUNCTION("""COMPUTED_VALUE"""),43640.0)</f>
        <v>43640</v>
      </c>
      <c r="C236" s="3">
        <f>IFERROR(__xludf.DUMMYFUNCTION("""COMPUTED_VALUE"""),43646.0)</f>
        <v>43646</v>
      </c>
      <c r="D236" s="2">
        <f>IFERROR(__xludf.DUMMYFUNCTION("""COMPUTED_VALUE"""),7.0)</f>
        <v>7</v>
      </c>
      <c r="E236" s="2">
        <f>IFERROR(__xludf.DUMMYFUNCTION("""COMPUTED_VALUE"""),26.0)</f>
        <v>26</v>
      </c>
      <c r="F236" s="2">
        <f>IFERROR(__xludf.DUMMYFUNCTION("""COMPUTED_VALUE"""),13111.0)</f>
        <v>13111</v>
      </c>
      <c r="G236" s="2">
        <f>IFERROR(__xludf.DUMMYFUNCTION("""COMPUTED_VALUE"""),0.0)</f>
        <v>0</v>
      </c>
    </row>
    <row r="237">
      <c r="A237" s="2" t="str">
        <f>IFERROR(__xludf.DUMMYFUNCTION("""COMPUTED_VALUE"""),"Mexico")</f>
        <v>Mexico</v>
      </c>
      <c r="B237" s="3">
        <f>IFERROR(__xludf.DUMMYFUNCTION("""COMPUTED_VALUE"""),43647.0)</f>
        <v>43647</v>
      </c>
      <c r="C237" s="3">
        <f>IFERROR(__xludf.DUMMYFUNCTION("""COMPUTED_VALUE"""),43653.0)</f>
        <v>43653</v>
      </c>
      <c r="D237" s="2">
        <f>IFERROR(__xludf.DUMMYFUNCTION("""COMPUTED_VALUE"""),7.0)</f>
        <v>7</v>
      </c>
      <c r="E237" s="2">
        <f>IFERROR(__xludf.DUMMYFUNCTION("""COMPUTED_VALUE"""),27.0)</f>
        <v>27</v>
      </c>
      <c r="F237" s="2">
        <f>IFERROR(__xludf.DUMMYFUNCTION("""COMPUTED_VALUE"""),13496.0)</f>
        <v>13496</v>
      </c>
      <c r="G237" s="2">
        <f>IFERROR(__xludf.DUMMYFUNCTION("""COMPUTED_VALUE"""),0.0)</f>
        <v>0</v>
      </c>
    </row>
    <row r="238">
      <c r="A238" s="2" t="str">
        <f>IFERROR(__xludf.DUMMYFUNCTION("""COMPUTED_VALUE"""),"Mexico")</f>
        <v>Mexico</v>
      </c>
      <c r="B238" s="3">
        <f>IFERROR(__xludf.DUMMYFUNCTION("""COMPUTED_VALUE"""),43654.0)</f>
        <v>43654</v>
      </c>
      <c r="C238" s="3">
        <f>IFERROR(__xludf.DUMMYFUNCTION("""COMPUTED_VALUE"""),43660.0)</f>
        <v>43660</v>
      </c>
      <c r="D238" s="2">
        <f>IFERROR(__xludf.DUMMYFUNCTION("""COMPUTED_VALUE"""),7.0)</f>
        <v>7</v>
      </c>
      <c r="E238" s="2">
        <f>IFERROR(__xludf.DUMMYFUNCTION("""COMPUTED_VALUE"""),28.0)</f>
        <v>28</v>
      </c>
      <c r="F238" s="2">
        <f>IFERROR(__xludf.DUMMYFUNCTION("""COMPUTED_VALUE"""),13146.0)</f>
        <v>13146</v>
      </c>
      <c r="G238" s="2">
        <f>IFERROR(__xludf.DUMMYFUNCTION("""COMPUTED_VALUE"""),0.0)</f>
        <v>0</v>
      </c>
    </row>
    <row r="239">
      <c r="A239" s="2" t="str">
        <f>IFERROR(__xludf.DUMMYFUNCTION("""COMPUTED_VALUE"""),"Mexico")</f>
        <v>Mexico</v>
      </c>
      <c r="B239" s="3">
        <f>IFERROR(__xludf.DUMMYFUNCTION("""COMPUTED_VALUE"""),43661.0)</f>
        <v>43661</v>
      </c>
      <c r="C239" s="3">
        <f>IFERROR(__xludf.DUMMYFUNCTION("""COMPUTED_VALUE"""),43667.0)</f>
        <v>43667</v>
      </c>
      <c r="D239" s="2">
        <f>IFERROR(__xludf.DUMMYFUNCTION("""COMPUTED_VALUE"""),7.0)</f>
        <v>7</v>
      </c>
      <c r="E239" s="2">
        <f>IFERROR(__xludf.DUMMYFUNCTION("""COMPUTED_VALUE"""),29.0)</f>
        <v>29</v>
      </c>
      <c r="F239" s="2">
        <f>IFERROR(__xludf.DUMMYFUNCTION("""COMPUTED_VALUE"""),13276.0)</f>
        <v>13276</v>
      </c>
      <c r="G239" s="2">
        <f>IFERROR(__xludf.DUMMYFUNCTION("""COMPUTED_VALUE"""),0.0)</f>
        <v>0</v>
      </c>
    </row>
    <row r="240">
      <c r="A240" s="2" t="str">
        <f>IFERROR(__xludf.DUMMYFUNCTION("""COMPUTED_VALUE"""),"Mexico")</f>
        <v>Mexico</v>
      </c>
      <c r="B240" s="3">
        <f>IFERROR(__xludf.DUMMYFUNCTION("""COMPUTED_VALUE"""),43668.0)</f>
        <v>43668</v>
      </c>
      <c r="C240" s="3">
        <f>IFERROR(__xludf.DUMMYFUNCTION("""COMPUTED_VALUE"""),43674.0)</f>
        <v>43674</v>
      </c>
      <c r="D240" s="2">
        <f>IFERROR(__xludf.DUMMYFUNCTION("""COMPUTED_VALUE"""),7.0)</f>
        <v>7</v>
      </c>
      <c r="E240" s="2">
        <f>IFERROR(__xludf.DUMMYFUNCTION("""COMPUTED_VALUE"""),30.0)</f>
        <v>30</v>
      </c>
      <c r="F240" s="2">
        <f>IFERROR(__xludf.DUMMYFUNCTION("""COMPUTED_VALUE"""),13256.0)</f>
        <v>13256</v>
      </c>
      <c r="G240" s="2">
        <f>IFERROR(__xludf.DUMMYFUNCTION("""COMPUTED_VALUE"""),0.0)</f>
        <v>0</v>
      </c>
    </row>
    <row r="241">
      <c r="A241" s="2" t="str">
        <f>IFERROR(__xludf.DUMMYFUNCTION("""COMPUTED_VALUE"""),"Mexico")</f>
        <v>Mexico</v>
      </c>
      <c r="B241" s="3">
        <f>IFERROR(__xludf.DUMMYFUNCTION("""COMPUTED_VALUE"""),43675.0)</f>
        <v>43675</v>
      </c>
      <c r="C241" s="3">
        <f>IFERROR(__xludf.DUMMYFUNCTION("""COMPUTED_VALUE"""),43681.0)</f>
        <v>43681</v>
      </c>
      <c r="D241" s="2">
        <f>IFERROR(__xludf.DUMMYFUNCTION("""COMPUTED_VALUE"""),7.0)</f>
        <v>7</v>
      </c>
      <c r="E241" s="2">
        <f>IFERROR(__xludf.DUMMYFUNCTION("""COMPUTED_VALUE"""),31.0)</f>
        <v>31</v>
      </c>
      <c r="F241" s="2">
        <f>IFERROR(__xludf.DUMMYFUNCTION("""COMPUTED_VALUE"""),13596.0)</f>
        <v>13596</v>
      </c>
      <c r="G241" s="2">
        <f>IFERROR(__xludf.DUMMYFUNCTION("""COMPUTED_VALUE"""),0.0)</f>
        <v>0</v>
      </c>
    </row>
    <row r="242">
      <c r="A242" s="2" t="str">
        <f>IFERROR(__xludf.DUMMYFUNCTION("""COMPUTED_VALUE"""),"Mexico")</f>
        <v>Mexico</v>
      </c>
      <c r="B242" s="3">
        <f>IFERROR(__xludf.DUMMYFUNCTION("""COMPUTED_VALUE"""),43682.0)</f>
        <v>43682</v>
      </c>
      <c r="C242" s="3">
        <f>IFERROR(__xludf.DUMMYFUNCTION("""COMPUTED_VALUE"""),43688.0)</f>
        <v>43688</v>
      </c>
      <c r="D242" s="2">
        <f>IFERROR(__xludf.DUMMYFUNCTION("""COMPUTED_VALUE"""),7.0)</f>
        <v>7</v>
      </c>
      <c r="E242" s="2">
        <f>IFERROR(__xludf.DUMMYFUNCTION("""COMPUTED_VALUE"""),32.0)</f>
        <v>32</v>
      </c>
      <c r="F242" s="2">
        <f>IFERROR(__xludf.DUMMYFUNCTION("""COMPUTED_VALUE"""),13242.0)</f>
        <v>13242</v>
      </c>
      <c r="G242" s="2">
        <f>IFERROR(__xludf.DUMMYFUNCTION("""COMPUTED_VALUE"""),0.0)</f>
        <v>0</v>
      </c>
    </row>
    <row r="243">
      <c r="A243" s="2" t="str">
        <f>IFERROR(__xludf.DUMMYFUNCTION("""COMPUTED_VALUE"""),"Mexico")</f>
        <v>Mexico</v>
      </c>
      <c r="B243" s="3">
        <f>IFERROR(__xludf.DUMMYFUNCTION("""COMPUTED_VALUE"""),43689.0)</f>
        <v>43689</v>
      </c>
      <c r="C243" s="3">
        <f>IFERROR(__xludf.DUMMYFUNCTION("""COMPUTED_VALUE"""),43695.0)</f>
        <v>43695</v>
      </c>
      <c r="D243" s="2">
        <f>IFERROR(__xludf.DUMMYFUNCTION("""COMPUTED_VALUE"""),7.0)</f>
        <v>7</v>
      </c>
      <c r="E243" s="2">
        <f>IFERROR(__xludf.DUMMYFUNCTION("""COMPUTED_VALUE"""),33.0)</f>
        <v>33</v>
      </c>
      <c r="F243" s="2">
        <f>IFERROR(__xludf.DUMMYFUNCTION("""COMPUTED_VALUE"""),13610.0)</f>
        <v>13610</v>
      </c>
      <c r="G243" s="2">
        <f>IFERROR(__xludf.DUMMYFUNCTION("""COMPUTED_VALUE"""),0.0)</f>
        <v>0</v>
      </c>
    </row>
    <row r="244">
      <c r="A244" s="2" t="str">
        <f>IFERROR(__xludf.DUMMYFUNCTION("""COMPUTED_VALUE"""),"Mexico")</f>
        <v>Mexico</v>
      </c>
      <c r="B244" s="3">
        <f>IFERROR(__xludf.DUMMYFUNCTION("""COMPUTED_VALUE"""),43696.0)</f>
        <v>43696</v>
      </c>
      <c r="C244" s="3">
        <f>IFERROR(__xludf.DUMMYFUNCTION("""COMPUTED_VALUE"""),43702.0)</f>
        <v>43702</v>
      </c>
      <c r="D244" s="2">
        <f>IFERROR(__xludf.DUMMYFUNCTION("""COMPUTED_VALUE"""),7.0)</f>
        <v>7</v>
      </c>
      <c r="E244" s="2">
        <f>IFERROR(__xludf.DUMMYFUNCTION("""COMPUTED_VALUE"""),34.0)</f>
        <v>34</v>
      </c>
      <c r="F244" s="2">
        <f>IFERROR(__xludf.DUMMYFUNCTION("""COMPUTED_VALUE"""),13293.0)</f>
        <v>13293</v>
      </c>
      <c r="G244" s="2">
        <f>IFERROR(__xludf.DUMMYFUNCTION("""COMPUTED_VALUE"""),0.0)</f>
        <v>0</v>
      </c>
    </row>
    <row r="245">
      <c r="A245" s="2" t="str">
        <f>IFERROR(__xludf.DUMMYFUNCTION("""COMPUTED_VALUE"""),"Mexico")</f>
        <v>Mexico</v>
      </c>
      <c r="B245" s="3">
        <f>IFERROR(__xludf.DUMMYFUNCTION("""COMPUTED_VALUE"""),43703.0)</f>
        <v>43703</v>
      </c>
      <c r="C245" s="3">
        <f>IFERROR(__xludf.DUMMYFUNCTION("""COMPUTED_VALUE"""),43709.0)</f>
        <v>43709</v>
      </c>
      <c r="D245" s="2">
        <f>IFERROR(__xludf.DUMMYFUNCTION("""COMPUTED_VALUE"""),7.0)</f>
        <v>7</v>
      </c>
      <c r="E245" s="2">
        <f>IFERROR(__xludf.DUMMYFUNCTION("""COMPUTED_VALUE"""),35.0)</f>
        <v>35</v>
      </c>
      <c r="F245" s="2">
        <f>IFERROR(__xludf.DUMMYFUNCTION("""COMPUTED_VALUE"""),13023.0)</f>
        <v>13023</v>
      </c>
      <c r="G245" s="2">
        <f>IFERROR(__xludf.DUMMYFUNCTION("""COMPUTED_VALUE"""),0.0)</f>
        <v>0</v>
      </c>
    </row>
    <row r="246">
      <c r="A246" s="2" t="str">
        <f>IFERROR(__xludf.DUMMYFUNCTION("""COMPUTED_VALUE"""),"Mexico")</f>
        <v>Mexico</v>
      </c>
      <c r="B246" s="3">
        <f>IFERROR(__xludf.DUMMYFUNCTION("""COMPUTED_VALUE"""),43710.0)</f>
        <v>43710</v>
      </c>
      <c r="C246" s="3">
        <f>IFERROR(__xludf.DUMMYFUNCTION("""COMPUTED_VALUE"""),43716.0)</f>
        <v>43716</v>
      </c>
      <c r="D246" s="2">
        <f>IFERROR(__xludf.DUMMYFUNCTION("""COMPUTED_VALUE"""),7.0)</f>
        <v>7</v>
      </c>
      <c r="E246" s="2">
        <f>IFERROR(__xludf.DUMMYFUNCTION("""COMPUTED_VALUE"""),36.0)</f>
        <v>36</v>
      </c>
      <c r="F246" s="2">
        <f>IFERROR(__xludf.DUMMYFUNCTION("""COMPUTED_VALUE"""),12986.0)</f>
        <v>12986</v>
      </c>
      <c r="G246" s="2">
        <f>IFERROR(__xludf.DUMMYFUNCTION("""COMPUTED_VALUE"""),0.0)</f>
        <v>0</v>
      </c>
    </row>
    <row r="247">
      <c r="A247" s="2" t="str">
        <f>IFERROR(__xludf.DUMMYFUNCTION("""COMPUTED_VALUE"""),"Mexico")</f>
        <v>Mexico</v>
      </c>
      <c r="B247" s="3">
        <f>IFERROR(__xludf.DUMMYFUNCTION("""COMPUTED_VALUE"""),43717.0)</f>
        <v>43717</v>
      </c>
      <c r="C247" s="3">
        <f>IFERROR(__xludf.DUMMYFUNCTION("""COMPUTED_VALUE"""),43723.0)</f>
        <v>43723</v>
      </c>
      <c r="D247" s="2">
        <f>IFERROR(__xludf.DUMMYFUNCTION("""COMPUTED_VALUE"""),7.0)</f>
        <v>7</v>
      </c>
      <c r="E247" s="2">
        <f>IFERROR(__xludf.DUMMYFUNCTION("""COMPUTED_VALUE"""),37.0)</f>
        <v>37</v>
      </c>
      <c r="F247" s="2">
        <f>IFERROR(__xludf.DUMMYFUNCTION("""COMPUTED_VALUE"""),12943.0)</f>
        <v>12943</v>
      </c>
      <c r="G247" s="2">
        <f>IFERROR(__xludf.DUMMYFUNCTION("""COMPUTED_VALUE"""),0.0)</f>
        <v>0</v>
      </c>
    </row>
    <row r="248">
      <c r="A248" s="2" t="str">
        <f>IFERROR(__xludf.DUMMYFUNCTION("""COMPUTED_VALUE"""),"Mexico")</f>
        <v>Mexico</v>
      </c>
      <c r="B248" s="3">
        <f>IFERROR(__xludf.DUMMYFUNCTION("""COMPUTED_VALUE"""),43724.0)</f>
        <v>43724</v>
      </c>
      <c r="C248" s="3">
        <f>IFERROR(__xludf.DUMMYFUNCTION("""COMPUTED_VALUE"""),43730.0)</f>
        <v>43730</v>
      </c>
      <c r="D248" s="2">
        <f>IFERROR(__xludf.DUMMYFUNCTION("""COMPUTED_VALUE"""),7.0)</f>
        <v>7</v>
      </c>
      <c r="E248" s="2">
        <f>IFERROR(__xludf.DUMMYFUNCTION("""COMPUTED_VALUE"""),38.0)</f>
        <v>38</v>
      </c>
      <c r="F248" s="2">
        <f>IFERROR(__xludf.DUMMYFUNCTION("""COMPUTED_VALUE"""),13838.0)</f>
        <v>13838</v>
      </c>
      <c r="G248" s="2">
        <f>IFERROR(__xludf.DUMMYFUNCTION("""COMPUTED_VALUE"""),0.0)</f>
        <v>0</v>
      </c>
    </row>
    <row r="249">
      <c r="A249" s="2" t="str">
        <f>IFERROR(__xludf.DUMMYFUNCTION("""COMPUTED_VALUE"""),"Mexico")</f>
        <v>Mexico</v>
      </c>
      <c r="B249" s="3">
        <f>IFERROR(__xludf.DUMMYFUNCTION("""COMPUTED_VALUE"""),43731.0)</f>
        <v>43731</v>
      </c>
      <c r="C249" s="3">
        <f>IFERROR(__xludf.DUMMYFUNCTION("""COMPUTED_VALUE"""),43737.0)</f>
        <v>43737</v>
      </c>
      <c r="D249" s="2">
        <f>IFERROR(__xludf.DUMMYFUNCTION("""COMPUTED_VALUE"""),7.0)</f>
        <v>7</v>
      </c>
      <c r="E249" s="2">
        <f>IFERROR(__xludf.DUMMYFUNCTION("""COMPUTED_VALUE"""),39.0)</f>
        <v>39</v>
      </c>
      <c r="F249" s="2">
        <f>IFERROR(__xludf.DUMMYFUNCTION("""COMPUTED_VALUE"""),13521.0)</f>
        <v>13521</v>
      </c>
      <c r="G249" s="2">
        <f>IFERROR(__xludf.DUMMYFUNCTION("""COMPUTED_VALUE"""),0.0)</f>
        <v>0</v>
      </c>
    </row>
    <row r="250">
      <c r="A250" s="2" t="str">
        <f>IFERROR(__xludf.DUMMYFUNCTION("""COMPUTED_VALUE"""),"Mexico")</f>
        <v>Mexico</v>
      </c>
      <c r="B250" s="3">
        <f>IFERROR(__xludf.DUMMYFUNCTION("""COMPUTED_VALUE"""),43738.0)</f>
        <v>43738</v>
      </c>
      <c r="C250" s="3">
        <f>IFERROR(__xludf.DUMMYFUNCTION("""COMPUTED_VALUE"""),43744.0)</f>
        <v>43744</v>
      </c>
      <c r="D250" s="2">
        <f>IFERROR(__xludf.DUMMYFUNCTION("""COMPUTED_VALUE"""),7.0)</f>
        <v>7</v>
      </c>
      <c r="E250" s="2">
        <f>IFERROR(__xludf.DUMMYFUNCTION("""COMPUTED_VALUE"""),40.0)</f>
        <v>40</v>
      </c>
      <c r="F250" s="2">
        <f>IFERROR(__xludf.DUMMYFUNCTION("""COMPUTED_VALUE"""),13433.0)</f>
        <v>13433</v>
      </c>
      <c r="G250" s="2">
        <f>IFERROR(__xludf.DUMMYFUNCTION("""COMPUTED_VALUE"""),0.0)</f>
        <v>0</v>
      </c>
    </row>
    <row r="251">
      <c r="A251" s="2" t="str">
        <f>IFERROR(__xludf.DUMMYFUNCTION("""COMPUTED_VALUE"""),"Mexico")</f>
        <v>Mexico</v>
      </c>
      <c r="B251" s="3">
        <f>IFERROR(__xludf.DUMMYFUNCTION("""COMPUTED_VALUE"""),43745.0)</f>
        <v>43745</v>
      </c>
      <c r="C251" s="3">
        <f>IFERROR(__xludf.DUMMYFUNCTION("""COMPUTED_VALUE"""),43751.0)</f>
        <v>43751</v>
      </c>
      <c r="D251" s="2">
        <f>IFERROR(__xludf.DUMMYFUNCTION("""COMPUTED_VALUE"""),7.0)</f>
        <v>7</v>
      </c>
      <c r="E251" s="2">
        <f>IFERROR(__xludf.DUMMYFUNCTION("""COMPUTED_VALUE"""),41.0)</f>
        <v>41</v>
      </c>
      <c r="F251" s="2">
        <f>IFERROR(__xludf.DUMMYFUNCTION("""COMPUTED_VALUE"""),13438.0)</f>
        <v>13438</v>
      </c>
      <c r="G251" s="2">
        <f>IFERROR(__xludf.DUMMYFUNCTION("""COMPUTED_VALUE"""),0.0)</f>
        <v>0</v>
      </c>
    </row>
    <row r="252">
      <c r="A252" s="2" t="str">
        <f>IFERROR(__xludf.DUMMYFUNCTION("""COMPUTED_VALUE"""),"Mexico")</f>
        <v>Mexico</v>
      </c>
      <c r="B252" s="3">
        <f>IFERROR(__xludf.DUMMYFUNCTION("""COMPUTED_VALUE"""),43752.0)</f>
        <v>43752</v>
      </c>
      <c r="C252" s="3">
        <f>IFERROR(__xludf.DUMMYFUNCTION("""COMPUTED_VALUE"""),43758.0)</f>
        <v>43758</v>
      </c>
      <c r="D252" s="2">
        <f>IFERROR(__xludf.DUMMYFUNCTION("""COMPUTED_VALUE"""),7.0)</f>
        <v>7</v>
      </c>
      <c r="E252" s="2">
        <f>IFERROR(__xludf.DUMMYFUNCTION("""COMPUTED_VALUE"""),42.0)</f>
        <v>42</v>
      </c>
      <c r="F252" s="2">
        <f>IFERROR(__xludf.DUMMYFUNCTION("""COMPUTED_VALUE"""),13736.0)</f>
        <v>13736</v>
      </c>
      <c r="G252" s="2">
        <f>IFERROR(__xludf.DUMMYFUNCTION("""COMPUTED_VALUE"""),0.0)</f>
        <v>0</v>
      </c>
    </row>
    <row r="253">
      <c r="A253" s="2" t="str">
        <f>IFERROR(__xludf.DUMMYFUNCTION("""COMPUTED_VALUE"""),"Mexico")</f>
        <v>Mexico</v>
      </c>
      <c r="B253" s="3">
        <f>IFERROR(__xludf.DUMMYFUNCTION("""COMPUTED_VALUE"""),43759.0)</f>
        <v>43759</v>
      </c>
      <c r="C253" s="3">
        <f>IFERROR(__xludf.DUMMYFUNCTION("""COMPUTED_VALUE"""),43765.0)</f>
        <v>43765</v>
      </c>
      <c r="D253" s="2">
        <f>IFERROR(__xludf.DUMMYFUNCTION("""COMPUTED_VALUE"""),7.0)</f>
        <v>7</v>
      </c>
      <c r="E253" s="2">
        <f>IFERROR(__xludf.DUMMYFUNCTION("""COMPUTED_VALUE"""),43.0)</f>
        <v>43</v>
      </c>
      <c r="F253" s="2">
        <f>IFERROR(__xludf.DUMMYFUNCTION("""COMPUTED_VALUE"""),13611.0)</f>
        <v>13611</v>
      </c>
      <c r="G253" s="2">
        <f>IFERROR(__xludf.DUMMYFUNCTION("""COMPUTED_VALUE"""),0.0)</f>
        <v>0</v>
      </c>
    </row>
    <row r="254">
      <c r="A254" s="2" t="str">
        <f>IFERROR(__xludf.DUMMYFUNCTION("""COMPUTED_VALUE"""),"Mexico")</f>
        <v>Mexico</v>
      </c>
      <c r="B254" s="3">
        <f>IFERROR(__xludf.DUMMYFUNCTION("""COMPUTED_VALUE"""),43766.0)</f>
        <v>43766</v>
      </c>
      <c r="C254" s="3">
        <f>IFERROR(__xludf.DUMMYFUNCTION("""COMPUTED_VALUE"""),43772.0)</f>
        <v>43772</v>
      </c>
      <c r="D254" s="2">
        <f>IFERROR(__xludf.DUMMYFUNCTION("""COMPUTED_VALUE"""),7.0)</f>
        <v>7</v>
      </c>
      <c r="E254" s="2">
        <f>IFERROR(__xludf.DUMMYFUNCTION("""COMPUTED_VALUE"""),44.0)</f>
        <v>44</v>
      </c>
      <c r="F254" s="2">
        <f>IFERROR(__xludf.DUMMYFUNCTION("""COMPUTED_VALUE"""),13959.0)</f>
        <v>13959</v>
      </c>
      <c r="G254" s="2">
        <f>IFERROR(__xludf.DUMMYFUNCTION("""COMPUTED_VALUE"""),0.0)</f>
        <v>0</v>
      </c>
    </row>
    <row r="255">
      <c r="A255" s="2" t="str">
        <f>IFERROR(__xludf.DUMMYFUNCTION("""COMPUTED_VALUE"""),"Mexico")</f>
        <v>Mexico</v>
      </c>
      <c r="B255" s="3">
        <f>IFERROR(__xludf.DUMMYFUNCTION("""COMPUTED_VALUE"""),43773.0)</f>
        <v>43773</v>
      </c>
      <c r="C255" s="3">
        <f>IFERROR(__xludf.DUMMYFUNCTION("""COMPUTED_VALUE"""),43779.0)</f>
        <v>43779</v>
      </c>
      <c r="D255" s="2">
        <f>IFERROR(__xludf.DUMMYFUNCTION("""COMPUTED_VALUE"""),7.0)</f>
        <v>7</v>
      </c>
      <c r="E255" s="2">
        <f>IFERROR(__xludf.DUMMYFUNCTION("""COMPUTED_VALUE"""),45.0)</f>
        <v>45</v>
      </c>
      <c r="F255" s="2">
        <f>IFERROR(__xludf.DUMMYFUNCTION("""COMPUTED_VALUE"""),14035.0)</f>
        <v>14035</v>
      </c>
      <c r="G255" s="2">
        <f>IFERROR(__xludf.DUMMYFUNCTION("""COMPUTED_VALUE"""),0.0)</f>
        <v>0</v>
      </c>
    </row>
    <row r="256">
      <c r="A256" s="2" t="str">
        <f>IFERROR(__xludf.DUMMYFUNCTION("""COMPUTED_VALUE"""),"Mexico")</f>
        <v>Mexico</v>
      </c>
      <c r="B256" s="3">
        <f>IFERROR(__xludf.DUMMYFUNCTION("""COMPUTED_VALUE"""),43780.0)</f>
        <v>43780</v>
      </c>
      <c r="C256" s="3">
        <f>IFERROR(__xludf.DUMMYFUNCTION("""COMPUTED_VALUE"""),43786.0)</f>
        <v>43786</v>
      </c>
      <c r="D256" s="2">
        <f>IFERROR(__xludf.DUMMYFUNCTION("""COMPUTED_VALUE"""),7.0)</f>
        <v>7</v>
      </c>
      <c r="E256" s="2">
        <f>IFERROR(__xludf.DUMMYFUNCTION("""COMPUTED_VALUE"""),46.0)</f>
        <v>46</v>
      </c>
      <c r="F256" s="2">
        <f>IFERROR(__xludf.DUMMYFUNCTION("""COMPUTED_VALUE"""),14238.0)</f>
        <v>14238</v>
      </c>
      <c r="G256" s="2">
        <f>IFERROR(__xludf.DUMMYFUNCTION("""COMPUTED_VALUE"""),0.0)</f>
        <v>0</v>
      </c>
    </row>
    <row r="257">
      <c r="A257" s="2" t="str">
        <f>IFERROR(__xludf.DUMMYFUNCTION("""COMPUTED_VALUE"""),"Mexico")</f>
        <v>Mexico</v>
      </c>
      <c r="B257" s="3">
        <f>IFERROR(__xludf.DUMMYFUNCTION("""COMPUTED_VALUE"""),43787.0)</f>
        <v>43787</v>
      </c>
      <c r="C257" s="3">
        <f>IFERROR(__xludf.DUMMYFUNCTION("""COMPUTED_VALUE"""),43793.0)</f>
        <v>43793</v>
      </c>
      <c r="D257" s="2">
        <f>IFERROR(__xludf.DUMMYFUNCTION("""COMPUTED_VALUE"""),7.0)</f>
        <v>7</v>
      </c>
      <c r="E257" s="2">
        <f>IFERROR(__xludf.DUMMYFUNCTION("""COMPUTED_VALUE"""),47.0)</f>
        <v>47</v>
      </c>
      <c r="F257" s="2">
        <f>IFERROR(__xludf.DUMMYFUNCTION("""COMPUTED_VALUE"""),14855.0)</f>
        <v>14855</v>
      </c>
      <c r="G257" s="2">
        <f>IFERROR(__xludf.DUMMYFUNCTION("""COMPUTED_VALUE"""),0.0)</f>
        <v>0</v>
      </c>
    </row>
    <row r="258">
      <c r="A258" s="2" t="str">
        <f>IFERROR(__xludf.DUMMYFUNCTION("""COMPUTED_VALUE"""),"Mexico")</f>
        <v>Mexico</v>
      </c>
      <c r="B258" s="3">
        <f>IFERROR(__xludf.DUMMYFUNCTION("""COMPUTED_VALUE"""),43794.0)</f>
        <v>43794</v>
      </c>
      <c r="C258" s="3">
        <f>IFERROR(__xludf.DUMMYFUNCTION("""COMPUTED_VALUE"""),43800.0)</f>
        <v>43800</v>
      </c>
      <c r="D258" s="2">
        <f>IFERROR(__xludf.DUMMYFUNCTION("""COMPUTED_VALUE"""),7.0)</f>
        <v>7</v>
      </c>
      <c r="E258" s="2">
        <f>IFERROR(__xludf.DUMMYFUNCTION("""COMPUTED_VALUE"""),48.0)</f>
        <v>48</v>
      </c>
      <c r="F258" s="2">
        <f>IFERROR(__xludf.DUMMYFUNCTION("""COMPUTED_VALUE"""),13793.0)</f>
        <v>13793</v>
      </c>
      <c r="G258" s="2">
        <f>IFERROR(__xludf.DUMMYFUNCTION("""COMPUTED_VALUE"""),0.0)</f>
        <v>0</v>
      </c>
    </row>
    <row r="259">
      <c r="A259" s="2" t="str">
        <f>IFERROR(__xludf.DUMMYFUNCTION("""COMPUTED_VALUE"""),"Mexico")</f>
        <v>Mexico</v>
      </c>
      <c r="B259" s="3">
        <f>IFERROR(__xludf.DUMMYFUNCTION("""COMPUTED_VALUE"""),43801.0)</f>
        <v>43801</v>
      </c>
      <c r="C259" s="3">
        <f>IFERROR(__xludf.DUMMYFUNCTION("""COMPUTED_VALUE"""),43807.0)</f>
        <v>43807</v>
      </c>
      <c r="D259" s="2">
        <f>IFERROR(__xludf.DUMMYFUNCTION("""COMPUTED_VALUE"""),7.0)</f>
        <v>7</v>
      </c>
      <c r="E259" s="2">
        <f>IFERROR(__xludf.DUMMYFUNCTION("""COMPUTED_VALUE"""),49.0)</f>
        <v>49</v>
      </c>
      <c r="F259" s="2">
        <f>IFERROR(__xludf.DUMMYFUNCTION("""COMPUTED_VALUE"""),13894.0)</f>
        <v>13894</v>
      </c>
      <c r="G259" s="2">
        <f>IFERROR(__xludf.DUMMYFUNCTION("""COMPUTED_VALUE"""),0.0)</f>
        <v>0</v>
      </c>
    </row>
    <row r="260">
      <c r="A260" s="2" t="str">
        <f>IFERROR(__xludf.DUMMYFUNCTION("""COMPUTED_VALUE"""),"Mexico")</f>
        <v>Mexico</v>
      </c>
      <c r="B260" s="3">
        <f>IFERROR(__xludf.DUMMYFUNCTION("""COMPUTED_VALUE"""),43808.0)</f>
        <v>43808</v>
      </c>
      <c r="C260" s="3">
        <f>IFERROR(__xludf.DUMMYFUNCTION("""COMPUTED_VALUE"""),43814.0)</f>
        <v>43814</v>
      </c>
      <c r="D260" s="2">
        <f>IFERROR(__xludf.DUMMYFUNCTION("""COMPUTED_VALUE"""),7.0)</f>
        <v>7</v>
      </c>
      <c r="E260" s="2">
        <f>IFERROR(__xludf.DUMMYFUNCTION("""COMPUTED_VALUE"""),50.0)</f>
        <v>50</v>
      </c>
      <c r="F260" s="2">
        <f>IFERROR(__xludf.DUMMYFUNCTION("""COMPUTED_VALUE"""),13926.0)</f>
        <v>13926</v>
      </c>
      <c r="G260" s="2">
        <f>IFERROR(__xludf.DUMMYFUNCTION("""COMPUTED_VALUE"""),0.0)</f>
        <v>0</v>
      </c>
    </row>
    <row r="261">
      <c r="A261" s="2" t="str">
        <f>IFERROR(__xludf.DUMMYFUNCTION("""COMPUTED_VALUE"""),"Mexico")</f>
        <v>Mexico</v>
      </c>
      <c r="B261" s="3">
        <f>IFERROR(__xludf.DUMMYFUNCTION("""COMPUTED_VALUE"""),43815.0)</f>
        <v>43815</v>
      </c>
      <c r="C261" s="3">
        <f>IFERROR(__xludf.DUMMYFUNCTION("""COMPUTED_VALUE"""),43821.0)</f>
        <v>43821</v>
      </c>
      <c r="D261" s="2">
        <f>IFERROR(__xludf.DUMMYFUNCTION("""COMPUTED_VALUE"""),7.0)</f>
        <v>7</v>
      </c>
      <c r="E261" s="2">
        <f>IFERROR(__xludf.DUMMYFUNCTION("""COMPUTED_VALUE"""),51.0)</f>
        <v>51</v>
      </c>
      <c r="F261" s="2">
        <f>IFERROR(__xludf.DUMMYFUNCTION("""COMPUTED_VALUE"""),13545.0)</f>
        <v>13545</v>
      </c>
      <c r="G261" s="2">
        <f>IFERROR(__xludf.DUMMYFUNCTION("""COMPUTED_VALUE"""),0.0)</f>
        <v>0</v>
      </c>
    </row>
    <row r="262">
      <c r="A262" s="2" t="str">
        <f>IFERROR(__xludf.DUMMYFUNCTION("""COMPUTED_VALUE"""),"Mexico")</f>
        <v>Mexico</v>
      </c>
      <c r="B262" s="3">
        <f>IFERROR(__xludf.DUMMYFUNCTION("""COMPUTED_VALUE"""),43822.0)</f>
        <v>43822</v>
      </c>
      <c r="C262" s="3">
        <f>IFERROR(__xludf.DUMMYFUNCTION("""COMPUTED_VALUE"""),43828.0)</f>
        <v>43828</v>
      </c>
      <c r="D262" s="2">
        <f>IFERROR(__xludf.DUMMYFUNCTION("""COMPUTED_VALUE"""),7.0)</f>
        <v>7</v>
      </c>
      <c r="E262" s="2">
        <f>IFERROR(__xludf.DUMMYFUNCTION("""COMPUTED_VALUE"""),52.0)</f>
        <v>52</v>
      </c>
      <c r="F262" s="2">
        <f>IFERROR(__xludf.DUMMYFUNCTION("""COMPUTED_VALUE"""),15621.0)</f>
        <v>15621</v>
      </c>
      <c r="G262" s="2">
        <f>IFERROR(__xludf.DUMMYFUNCTION("""COMPUTED_VALUE"""),0.0)</f>
        <v>0</v>
      </c>
    </row>
    <row r="263">
      <c r="A263" s="2" t="str">
        <f>IFERROR(__xludf.DUMMYFUNCTION("""COMPUTED_VALUE"""),"Mexico")</f>
        <v>Mexico</v>
      </c>
      <c r="B263" s="3">
        <f>IFERROR(__xludf.DUMMYFUNCTION("""COMPUTED_VALUE"""),43829.0)</f>
        <v>43829</v>
      </c>
      <c r="C263" s="3">
        <f>IFERROR(__xludf.DUMMYFUNCTION("""COMPUTED_VALUE"""),43835.0)</f>
        <v>43835</v>
      </c>
      <c r="D263" s="2">
        <f>IFERROR(__xludf.DUMMYFUNCTION("""COMPUTED_VALUE"""),7.0)</f>
        <v>7</v>
      </c>
      <c r="E263" s="2">
        <f>IFERROR(__xludf.DUMMYFUNCTION("""COMPUTED_VALUE"""),1.0)</f>
        <v>1</v>
      </c>
      <c r="F263" s="2">
        <f>IFERROR(__xludf.DUMMYFUNCTION("""COMPUTED_VALUE"""),16518.0)</f>
        <v>16518</v>
      </c>
      <c r="G263" s="2">
        <f>IFERROR(__xludf.DUMMYFUNCTION("""COMPUTED_VALUE"""),0.0)</f>
        <v>0</v>
      </c>
    </row>
    <row r="264">
      <c r="A264" s="2" t="str">
        <f>IFERROR(__xludf.DUMMYFUNCTION("""COMPUTED_VALUE"""),"Mexico")</f>
        <v>Mexico</v>
      </c>
      <c r="B264" s="3">
        <f>IFERROR(__xludf.DUMMYFUNCTION("""COMPUTED_VALUE"""),43836.0)</f>
        <v>43836</v>
      </c>
      <c r="C264" s="3">
        <f>IFERROR(__xludf.DUMMYFUNCTION("""COMPUTED_VALUE"""),43842.0)</f>
        <v>43842</v>
      </c>
      <c r="D264" s="2">
        <f>IFERROR(__xludf.DUMMYFUNCTION("""COMPUTED_VALUE"""),7.0)</f>
        <v>7</v>
      </c>
      <c r="E264" s="2">
        <f>IFERROR(__xludf.DUMMYFUNCTION("""COMPUTED_VALUE"""),2.0)</f>
        <v>2</v>
      </c>
      <c r="F264" s="2">
        <f>IFERROR(__xludf.DUMMYFUNCTION("""COMPUTED_VALUE"""),16736.0)</f>
        <v>16736</v>
      </c>
      <c r="G264" s="2">
        <f>IFERROR(__xludf.DUMMYFUNCTION("""COMPUTED_VALUE"""),0.0)</f>
        <v>0</v>
      </c>
    </row>
    <row r="265">
      <c r="A265" s="2" t="str">
        <f>IFERROR(__xludf.DUMMYFUNCTION("""COMPUTED_VALUE"""),"Mexico")</f>
        <v>Mexico</v>
      </c>
      <c r="B265" s="3">
        <f>IFERROR(__xludf.DUMMYFUNCTION("""COMPUTED_VALUE"""),43843.0)</f>
        <v>43843</v>
      </c>
      <c r="C265" s="3">
        <f>IFERROR(__xludf.DUMMYFUNCTION("""COMPUTED_VALUE"""),43849.0)</f>
        <v>43849</v>
      </c>
      <c r="D265" s="2">
        <f>IFERROR(__xludf.DUMMYFUNCTION("""COMPUTED_VALUE"""),7.0)</f>
        <v>7</v>
      </c>
      <c r="E265" s="2">
        <f>IFERROR(__xludf.DUMMYFUNCTION("""COMPUTED_VALUE"""),3.0)</f>
        <v>3</v>
      </c>
      <c r="F265" s="2">
        <f>IFERROR(__xludf.DUMMYFUNCTION("""COMPUTED_VALUE"""),16195.0)</f>
        <v>16195</v>
      </c>
      <c r="G265" s="2">
        <f>IFERROR(__xludf.DUMMYFUNCTION("""COMPUTED_VALUE"""),0.0)</f>
        <v>0</v>
      </c>
    </row>
    <row r="266">
      <c r="A266" s="2" t="str">
        <f>IFERROR(__xludf.DUMMYFUNCTION("""COMPUTED_VALUE"""),"Mexico")</f>
        <v>Mexico</v>
      </c>
      <c r="B266" s="3">
        <f>IFERROR(__xludf.DUMMYFUNCTION("""COMPUTED_VALUE"""),43850.0)</f>
        <v>43850</v>
      </c>
      <c r="C266" s="3">
        <f>IFERROR(__xludf.DUMMYFUNCTION("""COMPUTED_VALUE"""),43856.0)</f>
        <v>43856</v>
      </c>
      <c r="D266" s="2">
        <f>IFERROR(__xludf.DUMMYFUNCTION("""COMPUTED_VALUE"""),7.0)</f>
        <v>7</v>
      </c>
      <c r="E266" s="2">
        <f>IFERROR(__xludf.DUMMYFUNCTION("""COMPUTED_VALUE"""),4.0)</f>
        <v>4</v>
      </c>
      <c r="F266" s="2">
        <f>IFERROR(__xludf.DUMMYFUNCTION("""COMPUTED_VALUE"""),15601.0)</f>
        <v>15601</v>
      </c>
      <c r="G266" s="2">
        <f>IFERROR(__xludf.DUMMYFUNCTION("""COMPUTED_VALUE"""),0.0)</f>
        <v>0</v>
      </c>
    </row>
    <row r="267">
      <c r="A267" s="2" t="str">
        <f>IFERROR(__xludf.DUMMYFUNCTION("""COMPUTED_VALUE"""),"Mexico")</f>
        <v>Mexico</v>
      </c>
      <c r="B267" s="3">
        <f>IFERROR(__xludf.DUMMYFUNCTION("""COMPUTED_VALUE"""),43857.0)</f>
        <v>43857</v>
      </c>
      <c r="C267" s="3">
        <f>IFERROR(__xludf.DUMMYFUNCTION("""COMPUTED_VALUE"""),43863.0)</f>
        <v>43863</v>
      </c>
      <c r="D267" s="2">
        <f>IFERROR(__xludf.DUMMYFUNCTION("""COMPUTED_VALUE"""),7.0)</f>
        <v>7</v>
      </c>
      <c r="E267" s="2">
        <f>IFERROR(__xludf.DUMMYFUNCTION("""COMPUTED_VALUE"""),5.0)</f>
        <v>5</v>
      </c>
      <c r="F267" s="2">
        <f>IFERROR(__xludf.DUMMYFUNCTION("""COMPUTED_VALUE"""),15217.0)</f>
        <v>15217</v>
      </c>
      <c r="G267" s="2">
        <f>IFERROR(__xludf.DUMMYFUNCTION("""COMPUTED_VALUE"""),0.0)</f>
        <v>0</v>
      </c>
    </row>
    <row r="268">
      <c r="A268" s="2" t="str">
        <f>IFERROR(__xludf.DUMMYFUNCTION("""COMPUTED_VALUE"""),"Mexico")</f>
        <v>Mexico</v>
      </c>
      <c r="B268" s="3">
        <f>IFERROR(__xludf.DUMMYFUNCTION("""COMPUTED_VALUE"""),43864.0)</f>
        <v>43864</v>
      </c>
      <c r="C268" s="3">
        <f>IFERROR(__xludf.DUMMYFUNCTION("""COMPUTED_VALUE"""),43870.0)</f>
        <v>43870</v>
      </c>
      <c r="D268" s="2">
        <f>IFERROR(__xludf.DUMMYFUNCTION("""COMPUTED_VALUE"""),7.0)</f>
        <v>7</v>
      </c>
      <c r="E268" s="2">
        <f>IFERROR(__xludf.DUMMYFUNCTION("""COMPUTED_VALUE"""),6.0)</f>
        <v>6</v>
      </c>
      <c r="F268" s="2">
        <f>IFERROR(__xludf.DUMMYFUNCTION("""COMPUTED_VALUE"""),15711.0)</f>
        <v>15711</v>
      </c>
      <c r="G268" s="2">
        <f>IFERROR(__xludf.DUMMYFUNCTION("""COMPUTED_VALUE"""),0.0)</f>
        <v>0</v>
      </c>
    </row>
    <row r="269">
      <c r="A269" s="2" t="str">
        <f>IFERROR(__xludf.DUMMYFUNCTION("""COMPUTED_VALUE"""),"Mexico")</f>
        <v>Mexico</v>
      </c>
      <c r="B269" s="3">
        <f>IFERROR(__xludf.DUMMYFUNCTION("""COMPUTED_VALUE"""),43871.0)</f>
        <v>43871</v>
      </c>
      <c r="C269" s="3">
        <f>IFERROR(__xludf.DUMMYFUNCTION("""COMPUTED_VALUE"""),43877.0)</f>
        <v>43877</v>
      </c>
      <c r="D269" s="2">
        <f>IFERROR(__xludf.DUMMYFUNCTION("""COMPUTED_VALUE"""),7.0)</f>
        <v>7</v>
      </c>
      <c r="E269" s="2">
        <f>IFERROR(__xludf.DUMMYFUNCTION("""COMPUTED_VALUE"""),7.0)</f>
        <v>7</v>
      </c>
      <c r="F269" s="2">
        <f>IFERROR(__xludf.DUMMYFUNCTION("""COMPUTED_VALUE"""),14875.0)</f>
        <v>14875</v>
      </c>
      <c r="G269" s="2">
        <f>IFERROR(__xludf.DUMMYFUNCTION("""COMPUTED_VALUE"""),0.0)</f>
        <v>0</v>
      </c>
    </row>
    <row r="270">
      <c r="A270" s="2" t="str">
        <f>IFERROR(__xludf.DUMMYFUNCTION("""COMPUTED_VALUE"""),"Mexico")</f>
        <v>Mexico</v>
      </c>
      <c r="B270" s="3">
        <f>IFERROR(__xludf.DUMMYFUNCTION("""COMPUTED_VALUE"""),43878.0)</f>
        <v>43878</v>
      </c>
      <c r="C270" s="3">
        <f>IFERROR(__xludf.DUMMYFUNCTION("""COMPUTED_VALUE"""),43884.0)</f>
        <v>43884</v>
      </c>
      <c r="D270" s="2">
        <f>IFERROR(__xludf.DUMMYFUNCTION("""COMPUTED_VALUE"""),7.0)</f>
        <v>7</v>
      </c>
      <c r="E270" s="2">
        <f>IFERROR(__xludf.DUMMYFUNCTION("""COMPUTED_VALUE"""),8.0)</f>
        <v>8</v>
      </c>
      <c r="F270" s="2">
        <f>IFERROR(__xludf.DUMMYFUNCTION("""COMPUTED_VALUE"""),14501.0)</f>
        <v>14501</v>
      </c>
      <c r="G270" s="2">
        <f>IFERROR(__xludf.DUMMYFUNCTION("""COMPUTED_VALUE"""),0.0)</f>
        <v>0</v>
      </c>
    </row>
    <row r="271">
      <c r="A271" s="2" t="str">
        <f>IFERROR(__xludf.DUMMYFUNCTION("""COMPUTED_VALUE"""),"Mexico")</f>
        <v>Mexico</v>
      </c>
      <c r="B271" s="3">
        <f>IFERROR(__xludf.DUMMYFUNCTION("""COMPUTED_VALUE"""),43885.0)</f>
        <v>43885</v>
      </c>
      <c r="C271" s="3">
        <f>IFERROR(__xludf.DUMMYFUNCTION("""COMPUTED_VALUE"""),43891.0)</f>
        <v>43891</v>
      </c>
      <c r="D271" s="2">
        <f>IFERROR(__xludf.DUMMYFUNCTION("""COMPUTED_VALUE"""),7.0)</f>
        <v>7</v>
      </c>
      <c r="E271" s="2">
        <f>IFERROR(__xludf.DUMMYFUNCTION("""COMPUTED_VALUE"""),9.0)</f>
        <v>9</v>
      </c>
      <c r="F271" s="2">
        <f>IFERROR(__xludf.DUMMYFUNCTION("""COMPUTED_VALUE"""),13916.0)</f>
        <v>13916</v>
      </c>
      <c r="G271" s="2">
        <f>IFERROR(__xludf.DUMMYFUNCTION("""COMPUTED_VALUE"""),0.0)</f>
        <v>0</v>
      </c>
    </row>
    <row r="272">
      <c r="A272" s="2" t="str">
        <f>IFERROR(__xludf.DUMMYFUNCTION("""COMPUTED_VALUE"""),"Mexico")</f>
        <v>Mexico</v>
      </c>
      <c r="B272" s="3">
        <f>IFERROR(__xludf.DUMMYFUNCTION("""COMPUTED_VALUE"""),43892.0)</f>
        <v>43892</v>
      </c>
      <c r="C272" s="3">
        <f>IFERROR(__xludf.DUMMYFUNCTION("""COMPUTED_VALUE"""),43898.0)</f>
        <v>43898</v>
      </c>
      <c r="D272" s="2">
        <f>IFERROR(__xludf.DUMMYFUNCTION("""COMPUTED_VALUE"""),7.0)</f>
        <v>7</v>
      </c>
      <c r="E272" s="2">
        <f>IFERROR(__xludf.DUMMYFUNCTION("""COMPUTED_VALUE"""),10.0)</f>
        <v>10</v>
      </c>
      <c r="F272" s="2">
        <f>IFERROR(__xludf.DUMMYFUNCTION("""COMPUTED_VALUE"""),14017.0)</f>
        <v>14017</v>
      </c>
      <c r="G272" s="2">
        <f>IFERROR(__xludf.DUMMYFUNCTION("""COMPUTED_VALUE"""),0.0)</f>
        <v>0</v>
      </c>
    </row>
    <row r="273">
      <c r="A273" s="2" t="str">
        <f>IFERROR(__xludf.DUMMYFUNCTION("""COMPUTED_VALUE"""),"Mexico")</f>
        <v>Mexico</v>
      </c>
      <c r="B273" s="3">
        <f>IFERROR(__xludf.DUMMYFUNCTION("""COMPUTED_VALUE"""),43899.0)</f>
        <v>43899</v>
      </c>
      <c r="C273" s="3">
        <f>IFERROR(__xludf.DUMMYFUNCTION("""COMPUTED_VALUE"""),43905.0)</f>
        <v>43905</v>
      </c>
      <c r="D273" s="2">
        <f>IFERROR(__xludf.DUMMYFUNCTION("""COMPUTED_VALUE"""),7.0)</f>
        <v>7</v>
      </c>
      <c r="E273" s="2">
        <f>IFERROR(__xludf.DUMMYFUNCTION("""COMPUTED_VALUE"""),11.0)</f>
        <v>11</v>
      </c>
      <c r="F273" s="2">
        <f>IFERROR(__xludf.DUMMYFUNCTION("""COMPUTED_VALUE"""),13857.0)</f>
        <v>13857</v>
      </c>
      <c r="G273" s="2">
        <f>IFERROR(__xludf.DUMMYFUNCTION("""COMPUTED_VALUE"""),0.0)</f>
        <v>0</v>
      </c>
    </row>
    <row r="274">
      <c r="A274" s="2" t="str">
        <f>IFERROR(__xludf.DUMMYFUNCTION("""COMPUTED_VALUE"""),"Mexico")</f>
        <v>Mexico</v>
      </c>
      <c r="B274" s="3">
        <f>IFERROR(__xludf.DUMMYFUNCTION("""COMPUTED_VALUE"""),43906.0)</f>
        <v>43906</v>
      </c>
      <c r="C274" s="3">
        <f>IFERROR(__xludf.DUMMYFUNCTION("""COMPUTED_VALUE"""),43912.0)</f>
        <v>43912</v>
      </c>
      <c r="D274" s="2">
        <f>IFERROR(__xludf.DUMMYFUNCTION("""COMPUTED_VALUE"""),7.0)</f>
        <v>7</v>
      </c>
      <c r="E274" s="2">
        <f>IFERROR(__xludf.DUMMYFUNCTION("""COMPUTED_VALUE"""),12.0)</f>
        <v>12</v>
      </c>
      <c r="F274" s="2">
        <f>IFERROR(__xludf.DUMMYFUNCTION("""COMPUTED_VALUE"""),13187.0)</f>
        <v>13187</v>
      </c>
      <c r="G274" s="2">
        <f>IFERROR(__xludf.DUMMYFUNCTION("""COMPUTED_VALUE"""),3.0)</f>
        <v>3</v>
      </c>
    </row>
    <row r="275">
      <c r="A275" s="2" t="str">
        <f>IFERROR(__xludf.DUMMYFUNCTION("""COMPUTED_VALUE"""),"Mexico")</f>
        <v>Mexico</v>
      </c>
      <c r="B275" s="3">
        <f>IFERROR(__xludf.DUMMYFUNCTION("""COMPUTED_VALUE"""),43913.0)</f>
        <v>43913</v>
      </c>
      <c r="C275" s="3">
        <f>IFERROR(__xludf.DUMMYFUNCTION("""COMPUTED_VALUE"""),43919.0)</f>
        <v>43919</v>
      </c>
      <c r="D275" s="2">
        <f>IFERROR(__xludf.DUMMYFUNCTION("""COMPUTED_VALUE"""),7.0)</f>
        <v>7</v>
      </c>
      <c r="E275" s="2">
        <f>IFERROR(__xludf.DUMMYFUNCTION("""COMPUTED_VALUE"""),13.0)</f>
        <v>13</v>
      </c>
      <c r="F275" s="2">
        <f>IFERROR(__xludf.DUMMYFUNCTION("""COMPUTED_VALUE"""),13698.0)</f>
        <v>13698</v>
      </c>
      <c r="G275" s="2">
        <f>IFERROR(__xludf.DUMMYFUNCTION("""COMPUTED_VALUE"""),17.0)</f>
        <v>17</v>
      </c>
    </row>
    <row r="276">
      <c r="A276" s="2" t="str">
        <f>IFERROR(__xludf.DUMMYFUNCTION("""COMPUTED_VALUE"""),"Mexico")</f>
        <v>Mexico</v>
      </c>
      <c r="B276" s="3">
        <f>IFERROR(__xludf.DUMMYFUNCTION("""COMPUTED_VALUE"""),43920.0)</f>
        <v>43920</v>
      </c>
      <c r="C276" s="3">
        <f>IFERROR(__xludf.DUMMYFUNCTION("""COMPUTED_VALUE"""),43926.0)</f>
        <v>43926</v>
      </c>
      <c r="D276" s="2">
        <f>IFERROR(__xludf.DUMMYFUNCTION("""COMPUTED_VALUE"""),7.0)</f>
        <v>7</v>
      </c>
      <c r="E276" s="2">
        <f>IFERROR(__xludf.DUMMYFUNCTION("""COMPUTED_VALUE"""),14.0)</f>
        <v>14</v>
      </c>
      <c r="F276" s="2">
        <f>IFERROR(__xludf.DUMMYFUNCTION("""COMPUTED_VALUE"""),13533.0)</f>
        <v>13533</v>
      </c>
      <c r="G276" s="2">
        <f>IFERROR(__xludf.DUMMYFUNCTION("""COMPUTED_VALUE"""),74.0)</f>
        <v>74</v>
      </c>
    </row>
    <row r="277">
      <c r="A277" s="2" t="str">
        <f>IFERROR(__xludf.DUMMYFUNCTION("""COMPUTED_VALUE"""),"Mexico")</f>
        <v>Mexico</v>
      </c>
      <c r="B277" s="3">
        <f>IFERROR(__xludf.DUMMYFUNCTION("""COMPUTED_VALUE"""),43927.0)</f>
        <v>43927</v>
      </c>
      <c r="C277" s="3">
        <f>IFERROR(__xludf.DUMMYFUNCTION("""COMPUTED_VALUE"""),43933.0)</f>
        <v>43933</v>
      </c>
      <c r="D277" s="2">
        <f>IFERROR(__xludf.DUMMYFUNCTION("""COMPUTED_VALUE"""),7.0)</f>
        <v>7</v>
      </c>
      <c r="E277" s="2">
        <f>IFERROR(__xludf.DUMMYFUNCTION("""COMPUTED_VALUE"""),15.0)</f>
        <v>15</v>
      </c>
      <c r="F277" s="2">
        <f>IFERROR(__xludf.DUMMYFUNCTION("""COMPUTED_VALUE"""),14030.0)</f>
        <v>14030</v>
      </c>
      <c r="G277" s="2">
        <f>IFERROR(__xludf.DUMMYFUNCTION("""COMPUTED_VALUE"""),202.0)</f>
        <v>202</v>
      </c>
    </row>
    <row r="278">
      <c r="A278" s="2" t="str">
        <f>IFERROR(__xludf.DUMMYFUNCTION("""COMPUTED_VALUE"""),"Mexico")</f>
        <v>Mexico</v>
      </c>
      <c r="B278" s="3">
        <f>IFERROR(__xludf.DUMMYFUNCTION("""COMPUTED_VALUE"""),43934.0)</f>
        <v>43934</v>
      </c>
      <c r="C278" s="3">
        <f>IFERROR(__xludf.DUMMYFUNCTION("""COMPUTED_VALUE"""),43940.0)</f>
        <v>43940</v>
      </c>
      <c r="D278" s="2">
        <f>IFERROR(__xludf.DUMMYFUNCTION("""COMPUTED_VALUE"""),7.0)</f>
        <v>7</v>
      </c>
      <c r="E278" s="2">
        <f>IFERROR(__xludf.DUMMYFUNCTION("""COMPUTED_VALUE"""),16.0)</f>
        <v>16</v>
      </c>
      <c r="F278" s="2">
        <f>IFERROR(__xludf.DUMMYFUNCTION("""COMPUTED_VALUE"""),14993.0)</f>
        <v>14993</v>
      </c>
      <c r="G278" s="2">
        <f>IFERROR(__xludf.DUMMYFUNCTION("""COMPUTED_VALUE"""),390.0)</f>
        <v>390</v>
      </c>
    </row>
    <row r="279">
      <c r="A279" s="2" t="str">
        <f>IFERROR(__xludf.DUMMYFUNCTION("""COMPUTED_VALUE"""),"Mexico")</f>
        <v>Mexico</v>
      </c>
      <c r="B279" s="3">
        <f>IFERROR(__xludf.DUMMYFUNCTION("""COMPUTED_VALUE"""),43941.0)</f>
        <v>43941</v>
      </c>
      <c r="C279" s="3">
        <f>IFERROR(__xludf.DUMMYFUNCTION("""COMPUTED_VALUE"""),43947.0)</f>
        <v>43947</v>
      </c>
      <c r="D279" s="2">
        <f>IFERROR(__xludf.DUMMYFUNCTION("""COMPUTED_VALUE"""),7.0)</f>
        <v>7</v>
      </c>
      <c r="E279" s="2">
        <f>IFERROR(__xludf.DUMMYFUNCTION("""COMPUTED_VALUE"""),17.0)</f>
        <v>17</v>
      </c>
      <c r="F279" s="2">
        <f>IFERROR(__xludf.DUMMYFUNCTION("""COMPUTED_VALUE"""),17068.0)</f>
        <v>17068</v>
      </c>
      <c r="G279" s="2">
        <f>IFERROR(__xludf.DUMMYFUNCTION("""COMPUTED_VALUE"""),665.0)</f>
        <v>665</v>
      </c>
    </row>
    <row r="280">
      <c r="A280" s="2" t="str">
        <f>IFERROR(__xludf.DUMMYFUNCTION("""COMPUTED_VALUE"""),"Mexico")</f>
        <v>Mexico</v>
      </c>
      <c r="B280" s="3">
        <f>IFERROR(__xludf.DUMMYFUNCTION("""COMPUTED_VALUE"""),43948.0)</f>
        <v>43948</v>
      </c>
      <c r="C280" s="3">
        <f>IFERROR(__xludf.DUMMYFUNCTION("""COMPUTED_VALUE"""),43954.0)</f>
        <v>43954</v>
      </c>
      <c r="D280" s="2">
        <f>IFERROR(__xludf.DUMMYFUNCTION("""COMPUTED_VALUE"""),7.0)</f>
        <v>7</v>
      </c>
      <c r="E280" s="2">
        <f>IFERROR(__xludf.DUMMYFUNCTION("""COMPUTED_VALUE"""),18.0)</f>
        <v>18</v>
      </c>
      <c r="F280" s="2">
        <f>IFERROR(__xludf.DUMMYFUNCTION("""COMPUTED_VALUE"""),18811.0)</f>
        <v>18811</v>
      </c>
      <c r="G280" s="2">
        <f>IFERROR(__xludf.DUMMYFUNCTION("""COMPUTED_VALUE"""),803.0)</f>
        <v>803</v>
      </c>
    </row>
    <row r="281">
      <c r="A281" s="2" t="str">
        <f>IFERROR(__xludf.DUMMYFUNCTION("""COMPUTED_VALUE"""),"Mexico")</f>
        <v>Mexico</v>
      </c>
      <c r="B281" s="3">
        <f>IFERROR(__xludf.DUMMYFUNCTION("""COMPUTED_VALUE"""),43955.0)</f>
        <v>43955</v>
      </c>
      <c r="C281" s="3">
        <f>IFERROR(__xludf.DUMMYFUNCTION("""COMPUTED_VALUE"""),43961.0)</f>
        <v>43961</v>
      </c>
      <c r="D281" s="2">
        <f>IFERROR(__xludf.DUMMYFUNCTION("""COMPUTED_VALUE"""),7.0)</f>
        <v>7</v>
      </c>
      <c r="E281" s="2">
        <f>IFERROR(__xludf.DUMMYFUNCTION("""COMPUTED_VALUE"""),19.0)</f>
        <v>19</v>
      </c>
      <c r="F281" s="2">
        <f>IFERROR(__xludf.DUMMYFUNCTION("""COMPUTED_VALUE"""),20622.0)</f>
        <v>20622</v>
      </c>
      <c r="G281" s="2">
        <f>IFERROR(__xludf.DUMMYFUNCTION("""COMPUTED_VALUE"""),1311.0)</f>
        <v>1311</v>
      </c>
    </row>
    <row r="282">
      <c r="A282" s="2" t="str">
        <f>IFERROR(__xludf.DUMMYFUNCTION("""COMPUTED_VALUE"""),"Mexico")</f>
        <v>Mexico</v>
      </c>
      <c r="B282" s="3">
        <f>IFERROR(__xludf.DUMMYFUNCTION("""COMPUTED_VALUE"""),43962.0)</f>
        <v>43962</v>
      </c>
      <c r="C282" s="3">
        <f>IFERROR(__xludf.DUMMYFUNCTION("""COMPUTED_VALUE"""),43968.0)</f>
        <v>43968</v>
      </c>
      <c r="D282" s="2">
        <f>IFERROR(__xludf.DUMMYFUNCTION("""COMPUTED_VALUE"""),7.0)</f>
        <v>7</v>
      </c>
      <c r="E282" s="2">
        <f>IFERROR(__xludf.DUMMYFUNCTION("""COMPUTED_VALUE"""),20.0)</f>
        <v>20</v>
      </c>
      <c r="F282" s="2">
        <f>IFERROR(__xludf.DUMMYFUNCTION("""COMPUTED_VALUE"""),22313.0)</f>
        <v>22313</v>
      </c>
      <c r="G282" s="2">
        <f>IFERROR(__xludf.DUMMYFUNCTION("""COMPUTED_VALUE"""),1712.0)</f>
        <v>1712</v>
      </c>
    </row>
    <row r="283">
      <c r="A283" s="2" t="str">
        <f>IFERROR(__xludf.DUMMYFUNCTION("""COMPUTED_VALUE"""),"Mexico")</f>
        <v>Mexico</v>
      </c>
      <c r="B283" s="3">
        <f>IFERROR(__xludf.DUMMYFUNCTION("""COMPUTED_VALUE"""),43969.0)</f>
        <v>43969</v>
      </c>
      <c r="C283" s="3">
        <f>IFERROR(__xludf.DUMMYFUNCTION("""COMPUTED_VALUE"""),43975.0)</f>
        <v>43975</v>
      </c>
      <c r="D283" s="2">
        <f>IFERROR(__xludf.DUMMYFUNCTION("""COMPUTED_VALUE"""),7.0)</f>
        <v>7</v>
      </c>
      <c r="E283" s="2">
        <f>IFERROR(__xludf.DUMMYFUNCTION("""COMPUTED_VALUE"""),21.0)</f>
        <v>21</v>
      </c>
      <c r="F283" s="2">
        <f>IFERROR(__xludf.DUMMYFUNCTION("""COMPUTED_VALUE"""),23231.0)</f>
        <v>23231</v>
      </c>
      <c r="G283" s="2">
        <f>IFERROR(__xludf.DUMMYFUNCTION("""COMPUTED_VALUE"""),2217.0)</f>
        <v>2217</v>
      </c>
    </row>
    <row r="284">
      <c r="A284" s="2" t="str">
        <f>IFERROR(__xludf.DUMMYFUNCTION("""COMPUTED_VALUE"""),"Mexico")</f>
        <v>Mexico</v>
      </c>
      <c r="B284" s="3">
        <f>IFERROR(__xludf.DUMMYFUNCTION("""COMPUTED_VALUE"""),43976.0)</f>
        <v>43976</v>
      </c>
      <c r="C284" s="3">
        <f>IFERROR(__xludf.DUMMYFUNCTION("""COMPUTED_VALUE"""),43982.0)</f>
        <v>43982</v>
      </c>
      <c r="D284" s="2">
        <f>IFERROR(__xludf.DUMMYFUNCTION("""COMPUTED_VALUE"""),7.0)</f>
        <v>7</v>
      </c>
      <c r="E284" s="2">
        <f>IFERROR(__xludf.DUMMYFUNCTION("""COMPUTED_VALUE"""),22.0)</f>
        <v>22</v>
      </c>
      <c r="F284" s="2">
        <f>IFERROR(__xludf.DUMMYFUNCTION("""COMPUTED_VALUE"""),23167.0)</f>
        <v>23167</v>
      </c>
      <c r="G284" s="2">
        <f>IFERROR(__xludf.DUMMYFUNCTION("""COMPUTED_VALUE"""),2536.0)</f>
        <v>2536</v>
      </c>
    </row>
    <row r="285">
      <c r="A285" s="2" t="str">
        <f>IFERROR(__xludf.DUMMYFUNCTION("""COMPUTED_VALUE"""),"Mexico")</f>
        <v>Mexico</v>
      </c>
      <c r="B285" s="3">
        <f>IFERROR(__xludf.DUMMYFUNCTION("""COMPUTED_VALUE"""),43983.0)</f>
        <v>43983</v>
      </c>
      <c r="C285" s="3">
        <f>IFERROR(__xludf.DUMMYFUNCTION("""COMPUTED_VALUE"""),43989.0)</f>
        <v>43989</v>
      </c>
      <c r="D285" s="2">
        <f>IFERROR(__xludf.DUMMYFUNCTION("""COMPUTED_VALUE"""),7.0)</f>
        <v>7</v>
      </c>
      <c r="E285" s="2">
        <f>IFERROR(__xludf.DUMMYFUNCTION("""COMPUTED_VALUE"""),23.0)</f>
        <v>23</v>
      </c>
      <c r="F285" s="2">
        <f>IFERROR(__xludf.DUMMYFUNCTION("""COMPUTED_VALUE"""),24121.0)</f>
        <v>24121</v>
      </c>
      <c r="G285" s="2">
        <f>IFERROR(__xludf.DUMMYFUNCTION("""COMPUTED_VALUE"""),3769.0)</f>
        <v>3769</v>
      </c>
    </row>
    <row r="286">
      <c r="A286" s="2" t="str">
        <f>IFERROR(__xludf.DUMMYFUNCTION("""COMPUTED_VALUE"""),"Mexico")</f>
        <v>Mexico</v>
      </c>
      <c r="B286" s="3">
        <f>IFERROR(__xludf.DUMMYFUNCTION("""COMPUTED_VALUE"""),43990.0)</f>
        <v>43990</v>
      </c>
      <c r="C286" s="3">
        <f>IFERROR(__xludf.DUMMYFUNCTION("""COMPUTED_VALUE"""),43996.0)</f>
        <v>43996</v>
      </c>
      <c r="D286" s="2">
        <f>IFERROR(__xludf.DUMMYFUNCTION("""COMPUTED_VALUE"""),7.0)</f>
        <v>7</v>
      </c>
      <c r="E286" s="2">
        <f>IFERROR(__xludf.DUMMYFUNCTION("""COMPUTED_VALUE"""),24.0)</f>
        <v>24</v>
      </c>
      <c r="F286" s="2">
        <f>IFERROR(__xludf.DUMMYFUNCTION("""COMPUTED_VALUE"""),24719.0)</f>
        <v>24719</v>
      </c>
      <c r="G286" s="2">
        <f>IFERROR(__xludf.DUMMYFUNCTION("""COMPUTED_VALUE"""),3442.0)</f>
        <v>3442</v>
      </c>
    </row>
    <row r="287">
      <c r="A287" s="2" t="str">
        <f>IFERROR(__xludf.DUMMYFUNCTION("""COMPUTED_VALUE"""),"Mexico")</f>
        <v>Mexico</v>
      </c>
      <c r="B287" s="3">
        <f>IFERROR(__xludf.DUMMYFUNCTION("""COMPUTED_VALUE"""),43997.0)</f>
        <v>43997</v>
      </c>
      <c r="C287" s="3">
        <f>IFERROR(__xludf.DUMMYFUNCTION("""COMPUTED_VALUE"""),44003.0)</f>
        <v>44003</v>
      </c>
      <c r="D287" s="2">
        <f>IFERROR(__xludf.DUMMYFUNCTION("""COMPUTED_VALUE"""),7.0)</f>
        <v>7</v>
      </c>
      <c r="E287" s="2">
        <f>IFERROR(__xludf.DUMMYFUNCTION("""COMPUTED_VALUE"""),25.0)</f>
        <v>25</v>
      </c>
      <c r="F287" s="2">
        <f>IFERROR(__xludf.DUMMYFUNCTION("""COMPUTED_VALUE"""),24945.0)</f>
        <v>24945</v>
      </c>
      <c r="G287" s="2">
        <f>IFERROR(__xludf.DUMMYFUNCTION("""COMPUTED_VALUE"""),4684.0)</f>
        <v>4684</v>
      </c>
    </row>
    <row r="288">
      <c r="A288" s="2" t="str">
        <f>IFERROR(__xludf.DUMMYFUNCTION("""COMPUTED_VALUE"""),"Mexico")</f>
        <v>Mexico</v>
      </c>
      <c r="B288" s="3">
        <f>IFERROR(__xludf.DUMMYFUNCTION("""COMPUTED_VALUE"""),44004.0)</f>
        <v>44004</v>
      </c>
      <c r="C288" s="3">
        <f>IFERROR(__xludf.DUMMYFUNCTION("""COMPUTED_VALUE"""),44010.0)</f>
        <v>44010</v>
      </c>
      <c r="D288" s="2">
        <f>IFERROR(__xludf.DUMMYFUNCTION("""COMPUTED_VALUE"""),7.0)</f>
        <v>7</v>
      </c>
      <c r="E288" s="2">
        <f>IFERROR(__xludf.DUMMYFUNCTION("""COMPUTED_VALUE"""),26.0)</f>
        <v>26</v>
      </c>
      <c r="F288" s="2">
        <f>IFERROR(__xludf.DUMMYFUNCTION("""COMPUTED_VALUE"""),24718.0)</f>
        <v>24718</v>
      </c>
      <c r="G288" s="2">
        <f>IFERROR(__xludf.DUMMYFUNCTION("""COMPUTED_VALUE"""),4823.0)</f>
        <v>4823</v>
      </c>
    </row>
    <row r="289">
      <c r="A289" s="2" t="str">
        <f>IFERROR(__xludf.DUMMYFUNCTION("""COMPUTED_VALUE"""),"Mexico")</f>
        <v>Mexico</v>
      </c>
      <c r="B289" s="3">
        <f>IFERROR(__xludf.DUMMYFUNCTION("""COMPUTED_VALUE"""),44011.0)</f>
        <v>44011</v>
      </c>
      <c r="C289" s="3">
        <f>IFERROR(__xludf.DUMMYFUNCTION("""COMPUTED_VALUE"""),44017.0)</f>
        <v>44017</v>
      </c>
      <c r="D289" s="2">
        <f>IFERROR(__xludf.DUMMYFUNCTION("""COMPUTED_VALUE"""),7.0)</f>
        <v>7</v>
      </c>
      <c r="E289" s="2">
        <f>IFERROR(__xludf.DUMMYFUNCTION("""COMPUTED_VALUE"""),27.0)</f>
        <v>27</v>
      </c>
      <c r="F289" s="2">
        <f>IFERROR(__xludf.DUMMYFUNCTION("""COMPUTED_VALUE"""),25495.0)</f>
        <v>25495</v>
      </c>
      <c r="G289" s="2">
        <f>IFERROR(__xludf.DUMMYFUNCTION("""COMPUTED_VALUE"""),3991.0)</f>
        <v>3991</v>
      </c>
    </row>
    <row r="290">
      <c r="A290" s="2" t="str">
        <f>IFERROR(__xludf.DUMMYFUNCTION("""COMPUTED_VALUE"""),"Mexico")</f>
        <v>Mexico</v>
      </c>
      <c r="B290" s="3">
        <f>IFERROR(__xludf.DUMMYFUNCTION("""COMPUTED_VALUE"""),44018.0)</f>
        <v>44018</v>
      </c>
      <c r="C290" s="3">
        <f>IFERROR(__xludf.DUMMYFUNCTION("""COMPUTED_VALUE"""),44024.0)</f>
        <v>44024</v>
      </c>
      <c r="D290" s="2">
        <f>IFERROR(__xludf.DUMMYFUNCTION("""COMPUTED_VALUE"""),7.0)</f>
        <v>7</v>
      </c>
      <c r="E290" s="2">
        <f>IFERROR(__xludf.DUMMYFUNCTION("""COMPUTED_VALUE"""),28.0)</f>
        <v>28</v>
      </c>
      <c r="F290" s="2">
        <f>IFERROR(__xludf.DUMMYFUNCTION("""COMPUTED_VALUE"""),26446.0)</f>
        <v>26446</v>
      </c>
      <c r="G290" s="2">
        <f>IFERROR(__xludf.DUMMYFUNCTION("""COMPUTED_VALUE"""),4367.0)</f>
        <v>4367</v>
      </c>
    </row>
    <row r="291">
      <c r="A291" s="2" t="str">
        <f>IFERROR(__xludf.DUMMYFUNCTION("""COMPUTED_VALUE"""),"Mexico")</f>
        <v>Mexico</v>
      </c>
      <c r="B291" s="3">
        <f>IFERROR(__xludf.DUMMYFUNCTION("""COMPUTED_VALUE"""),44025.0)</f>
        <v>44025</v>
      </c>
      <c r="C291" s="3">
        <f>IFERROR(__xludf.DUMMYFUNCTION("""COMPUTED_VALUE"""),44031.0)</f>
        <v>44031</v>
      </c>
      <c r="D291" s="2">
        <f>IFERROR(__xludf.DUMMYFUNCTION("""COMPUTED_VALUE"""),7.0)</f>
        <v>7</v>
      </c>
      <c r="E291" s="2">
        <f>IFERROR(__xludf.DUMMYFUNCTION("""COMPUTED_VALUE"""),29.0)</f>
        <v>29</v>
      </c>
      <c r="F291" s="2">
        <f>IFERROR(__xludf.DUMMYFUNCTION("""COMPUTED_VALUE"""),26446.0)</f>
        <v>26446</v>
      </c>
      <c r="G291" s="2">
        <f>IFERROR(__xludf.DUMMYFUNCTION("""COMPUTED_VALUE"""),4178.0)</f>
        <v>4178</v>
      </c>
    </row>
    <row r="292">
      <c r="A292" s="2" t="str">
        <f>IFERROR(__xludf.DUMMYFUNCTION("""COMPUTED_VALUE"""),"Mexico")</f>
        <v>Mexico</v>
      </c>
      <c r="B292" s="3">
        <f>IFERROR(__xludf.DUMMYFUNCTION("""COMPUTED_VALUE"""),44032.0)</f>
        <v>44032</v>
      </c>
      <c r="C292" s="3">
        <f>IFERROR(__xludf.DUMMYFUNCTION("""COMPUTED_VALUE"""),44038.0)</f>
        <v>44038</v>
      </c>
      <c r="D292" s="2">
        <f>IFERROR(__xludf.DUMMYFUNCTION("""COMPUTED_VALUE"""),7.0)</f>
        <v>7</v>
      </c>
      <c r="E292" s="2">
        <f>IFERROR(__xludf.DUMMYFUNCTION("""COMPUTED_VALUE"""),30.0)</f>
        <v>30</v>
      </c>
      <c r="F292" s="2">
        <f>IFERROR(__xludf.DUMMYFUNCTION("""COMPUTED_VALUE"""),25733.0)</f>
        <v>25733</v>
      </c>
      <c r="G292" s="2">
        <f>IFERROR(__xludf.DUMMYFUNCTION("""COMPUTED_VALUE"""),4496.0)</f>
        <v>4496</v>
      </c>
    </row>
    <row r="293">
      <c r="A293" s="2" t="str">
        <f>IFERROR(__xludf.DUMMYFUNCTION("""COMPUTED_VALUE"""),"Mexico")</f>
        <v>Mexico</v>
      </c>
      <c r="B293" s="3">
        <f>IFERROR(__xludf.DUMMYFUNCTION("""COMPUTED_VALUE"""),44039.0)</f>
        <v>44039</v>
      </c>
      <c r="C293" s="3">
        <f>IFERROR(__xludf.DUMMYFUNCTION("""COMPUTED_VALUE"""),44045.0)</f>
        <v>44045</v>
      </c>
      <c r="D293" s="2">
        <f>IFERROR(__xludf.DUMMYFUNCTION("""COMPUTED_VALUE"""),7.0)</f>
        <v>7</v>
      </c>
      <c r="E293" s="2">
        <f>IFERROR(__xludf.DUMMYFUNCTION("""COMPUTED_VALUE"""),31.0)</f>
        <v>31</v>
      </c>
      <c r="F293" s="2">
        <f>IFERROR(__xludf.DUMMYFUNCTION("""COMPUTED_VALUE"""),24795.0)</f>
        <v>24795</v>
      </c>
      <c r="G293" s="2">
        <f>IFERROR(__xludf.DUMMYFUNCTION("""COMPUTED_VALUE"""),4066.0)</f>
        <v>4066</v>
      </c>
    </row>
    <row r="294">
      <c r="A294" s="2" t="str">
        <f>IFERROR(__xludf.DUMMYFUNCTION("""COMPUTED_VALUE"""),"Mexico")</f>
        <v>Mexico</v>
      </c>
      <c r="B294" s="3">
        <f>IFERROR(__xludf.DUMMYFUNCTION("""COMPUTED_VALUE"""),44046.0)</f>
        <v>44046</v>
      </c>
      <c r="C294" s="3">
        <f>IFERROR(__xludf.DUMMYFUNCTION("""COMPUTED_VALUE"""),44052.0)</f>
        <v>44052</v>
      </c>
      <c r="D294" s="2">
        <f>IFERROR(__xludf.DUMMYFUNCTION("""COMPUTED_VALUE"""),7.0)</f>
        <v>7</v>
      </c>
      <c r="E294" s="2">
        <f>IFERROR(__xludf.DUMMYFUNCTION("""COMPUTED_VALUE"""),32.0)</f>
        <v>32</v>
      </c>
      <c r="F294" s="2">
        <f>IFERROR(__xludf.DUMMYFUNCTION("""COMPUTED_VALUE"""),23817.0)</f>
        <v>23817</v>
      </c>
      <c r="G294" s="2">
        <f>IFERROR(__xludf.DUMMYFUNCTION("""COMPUTED_VALUE"""),4552.0)</f>
        <v>4552</v>
      </c>
    </row>
    <row r="295">
      <c r="A295" s="2" t="str">
        <f>IFERROR(__xludf.DUMMYFUNCTION("""COMPUTED_VALUE"""),"Mexico")</f>
        <v>Mexico</v>
      </c>
      <c r="B295" s="3">
        <f>IFERROR(__xludf.DUMMYFUNCTION("""COMPUTED_VALUE"""),44053.0)</f>
        <v>44053</v>
      </c>
      <c r="C295" s="3">
        <f>IFERROR(__xludf.DUMMYFUNCTION("""COMPUTED_VALUE"""),44059.0)</f>
        <v>44059</v>
      </c>
      <c r="D295" s="2">
        <f>IFERROR(__xludf.DUMMYFUNCTION("""COMPUTED_VALUE"""),7.0)</f>
        <v>7</v>
      </c>
      <c r="E295" s="2">
        <f>IFERROR(__xludf.DUMMYFUNCTION("""COMPUTED_VALUE"""),33.0)</f>
        <v>33</v>
      </c>
      <c r="F295" s="2">
        <f>IFERROR(__xludf.DUMMYFUNCTION("""COMPUTED_VALUE"""),22666.0)</f>
        <v>22666</v>
      </c>
      <c r="G295" s="2">
        <f>IFERROR(__xludf.DUMMYFUNCTION("""COMPUTED_VALUE"""),4459.0)</f>
        <v>4459</v>
      </c>
    </row>
    <row r="296">
      <c r="A296" s="2" t="str">
        <f>IFERROR(__xludf.DUMMYFUNCTION("""COMPUTED_VALUE"""),"Mexico")</f>
        <v>Mexico</v>
      </c>
      <c r="B296" s="3">
        <f>IFERROR(__xludf.DUMMYFUNCTION("""COMPUTED_VALUE"""),44060.0)</f>
        <v>44060</v>
      </c>
      <c r="C296" s="3">
        <f>IFERROR(__xludf.DUMMYFUNCTION("""COMPUTED_VALUE"""),44066.0)</f>
        <v>44066</v>
      </c>
      <c r="D296" s="2">
        <f>IFERROR(__xludf.DUMMYFUNCTION("""COMPUTED_VALUE"""),7.0)</f>
        <v>7</v>
      </c>
      <c r="E296" s="2">
        <f>IFERROR(__xludf.DUMMYFUNCTION("""COMPUTED_VALUE"""),34.0)</f>
        <v>34</v>
      </c>
      <c r="F296" s="2">
        <f>IFERROR(__xludf.DUMMYFUNCTION("""COMPUTED_VALUE"""),21725.0)</f>
        <v>21725</v>
      </c>
      <c r="G296" s="2">
        <f>IFERROR(__xludf.DUMMYFUNCTION("""COMPUTED_VALUE"""),3723.0)</f>
        <v>3723</v>
      </c>
    </row>
    <row r="297">
      <c r="A297" s="2" t="str">
        <f>IFERROR(__xludf.DUMMYFUNCTION("""COMPUTED_VALUE"""),"Mexico")</f>
        <v>Mexico</v>
      </c>
      <c r="B297" s="3">
        <f>IFERROR(__xludf.DUMMYFUNCTION("""COMPUTED_VALUE"""),44067.0)</f>
        <v>44067</v>
      </c>
      <c r="C297" s="3">
        <f>IFERROR(__xludf.DUMMYFUNCTION("""COMPUTED_VALUE"""),44073.0)</f>
        <v>44073</v>
      </c>
      <c r="D297" s="2">
        <f>IFERROR(__xludf.DUMMYFUNCTION("""COMPUTED_VALUE"""),7.0)</f>
        <v>7</v>
      </c>
      <c r="E297" s="2">
        <f>IFERROR(__xludf.DUMMYFUNCTION("""COMPUTED_VALUE"""),35.0)</f>
        <v>35</v>
      </c>
      <c r="F297" s="2">
        <f>IFERROR(__xludf.DUMMYFUNCTION("""COMPUTED_VALUE"""),20837.0)</f>
        <v>20837</v>
      </c>
      <c r="G297" s="2">
        <f>IFERROR(__xludf.DUMMYFUNCTION("""COMPUTED_VALUE"""),3678.0)</f>
        <v>3678</v>
      </c>
    </row>
    <row r="298">
      <c r="A298" s="2" t="str">
        <f>IFERROR(__xludf.DUMMYFUNCTION("""COMPUTED_VALUE"""),"Mexico")</f>
        <v>Mexico</v>
      </c>
      <c r="B298" s="3">
        <f>IFERROR(__xludf.DUMMYFUNCTION("""COMPUTED_VALUE"""),44074.0)</f>
        <v>44074</v>
      </c>
      <c r="C298" s="3">
        <f>IFERROR(__xludf.DUMMYFUNCTION("""COMPUTED_VALUE"""),44080.0)</f>
        <v>44080</v>
      </c>
      <c r="D298" s="2">
        <f>IFERROR(__xludf.DUMMYFUNCTION("""COMPUTED_VALUE"""),7.0)</f>
        <v>7</v>
      </c>
      <c r="E298" s="2">
        <f>IFERROR(__xludf.DUMMYFUNCTION("""COMPUTED_VALUE"""),36.0)</f>
        <v>36</v>
      </c>
      <c r="F298" s="2">
        <f>IFERROR(__xludf.DUMMYFUNCTION("""COMPUTED_VALUE"""),20156.0)</f>
        <v>20156</v>
      </c>
      <c r="G298" s="2">
        <f>IFERROR(__xludf.DUMMYFUNCTION("""COMPUTED_VALUE"""),3400.0)</f>
        <v>3400</v>
      </c>
    </row>
    <row r="299">
      <c r="A299" s="2" t="str">
        <f>IFERROR(__xludf.DUMMYFUNCTION("""COMPUTED_VALUE"""),"Mexico")</f>
        <v>Mexico</v>
      </c>
      <c r="B299" s="3">
        <f>IFERROR(__xludf.DUMMYFUNCTION("""COMPUTED_VALUE"""),44081.0)</f>
        <v>44081</v>
      </c>
      <c r="C299" s="3">
        <f>IFERROR(__xludf.DUMMYFUNCTION("""COMPUTED_VALUE"""),44087.0)</f>
        <v>44087</v>
      </c>
      <c r="D299" s="2">
        <f>IFERROR(__xludf.DUMMYFUNCTION("""COMPUTED_VALUE"""),7.0)</f>
        <v>7</v>
      </c>
      <c r="E299" s="2">
        <f>IFERROR(__xludf.DUMMYFUNCTION("""COMPUTED_VALUE"""),37.0)</f>
        <v>37</v>
      </c>
      <c r="F299" s="2">
        <f>IFERROR(__xludf.DUMMYFUNCTION("""COMPUTED_VALUE"""),19490.0)</f>
        <v>19490</v>
      </c>
      <c r="G299" s="2">
        <f>IFERROR(__xludf.DUMMYFUNCTION("""COMPUTED_VALUE"""),3263.0)</f>
        <v>3263</v>
      </c>
    </row>
    <row r="300">
      <c r="A300" s="2" t="str">
        <f>IFERROR(__xludf.DUMMYFUNCTION("""COMPUTED_VALUE"""),"Mexico")</f>
        <v>Mexico</v>
      </c>
      <c r="B300" s="3">
        <f>IFERROR(__xludf.DUMMYFUNCTION("""COMPUTED_VALUE"""),44088.0)</f>
        <v>44088</v>
      </c>
      <c r="C300" s="3">
        <f>IFERROR(__xludf.DUMMYFUNCTION("""COMPUTED_VALUE"""),44094.0)</f>
        <v>44094</v>
      </c>
      <c r="D300" s="2">
        <f>IFERROR(__xludf.DUMMYFUNCTION("""COMPUTED_VALUE"""),7.0)</f>
        <v>7</v>
      </c>
      <c r="E300" s="2">
        <f>IFERROR(__xludf.DUMMYFUNCTION("""COMPUTED_VALUE"""),38.0)</f>
        <v>38</v>
      </c>
      <c r="F300" s="2">
        <f>IFERROR(__xludf.DUMMYFUNCTION("""COMPUTED_VALUE"""),18805.0)</f>
        <v>18805</v>
      </c>
      <c r="G300" s="2">
        <f>IFERROR(__xludf.DUMMYFUNCTION("""COMPUTED_VALUE"""),2672.0)</f>
        <v>2672</v>
      </c>
    </row>
    <row r="301">
      <c r="A301" s="2" t="str">
        <f>IFERROR(__xludf.DUMMYFUNCTION("""COMPUTED_VALUE"""),"Mexico")</f>
        <v>Mexico</v>
      </c>
      <c r="B301" s="3">
        <f>IFERROR(__xludf.DUMMYFUNCTION("""COMPUTED_VALUE"""),44095.0)</f>
        <v>44095</v>
      </c>
      <c r="C301" s="3">
        <f>IFERROR(__xludf.DUMMYFUNCTION("""COMPUTED_VALUE"""),44101.0)</f>
        <v>44101</v>
      </c>
      <c r="D301" s="2">
        <f>IFERROR(__xludf.DUMMYFUNCTION("""COMPUTED_VALUE"""),7.0)</f>
        <v>7</v>
      </c>
      <c r="E301" s="2">
        <f>IFERROR(__xludf.DUMMYFUNCTION("""COMPUTED_VALUE"""),39.0)</f>
        <v>39</v>
      </c>
      <c r="F301" s="2">
        <f>IFERROR(__xludf.DUMMYFUNCTION("""COMPUTED_VALUE"""),18933.0)</f>
        <v>18933</v>
      </c>
      <c r="G301" s="2">
        <f>IFERROR(__xludf.DUMMYFUNCTION("""COMPUTED_VALUE"""),2937.0)</f>
        <v>2937</v>
      </c>
    </row>
    <row r="302">
      <c r="A302" s="2" t="str">
        <f>IFERROR(__xludf.DUMMYFUNCTION("""COMPUTED_VALUE"""),"Mexico")</f>
        <v>Mexico</v>
      </c>
      <c r="B302" s="3">
        <f>IFERROR(__xludf.DUMMYFUNCTION("""COMPUTED_VALUE"""),44102.0)</f>
        <v>44102</v>
      </c>
      <c r="C302" s="3">
        <f>IFERROR(__xludf.DUMMYFUNCTION("""COMPUTED_VALUE"""),44108.0)</f>
        <v>44108</v>
      </c>
      <c r="D302" s="2">
        <f>IFERROR(__xludf.DUMMYFUNCTION("""COMPUTED_VALUE"""),7.0)</f>
        <v>7</v>
      </c>
      <c r="E302" s="2">
        <f>IFERROR(__xludf.DUMMYFUNCTION("""COMPUTED_VALUE"""),40.0)</f>
        <v>40</v>
      </c>
      <c r="F302" s="2">
        <f>IFERROR(__xludf.DUMMYFUNCTION("""COMPUTED_VALUE"""),18484.0)</f>
        <v>18484</v>
      </c>
      <c r="G302" s="2">
        <f>IFERROR(__xludf.DUMMYFUNCTION("""COMPUTED_VALUE"""),2658.0)</f>
        <v>2658</v>
      </c>
    </row>
    <row r="303">
      <c r="A303" s="2" t="str">
        <f>IFERROR(__xludf.DUMMYFUNCTION("""COMPUTED_VALUE"""),"Mexico")</f>
        <v>Mexico</v>
      </c>
      <c r="B303" s="3">
        <f>IFERROR(__xludf.DUMMYFUNCTION("""COMPUTED_VALUE"""),44109.0)</f>
        <v>44109</v>
      </c>
      <c r="C303" s="3">
        <f>IFERROR(__xludf.DUMMYFUNCTION("""COMPUTED_VALUE"""),44115.0)</f>
        <v>44115</v>
      </c>
      <c r="D303" s="2">
        <f>IFERROR(__xludf.DUMMYFUNCTION("""COMPUTED_VALUE"""),7.0)</f>
        <v>7</v>
      </c>
      <c r="E303" s="2">
        <f>IFERROR(__xludf.DUMMYFUNCTION("""COMPUTED_VALUE"""),41.0)</f>
        <v>41</v>
      </c>
      <c r="F303" s="2">
        <f>IFERROR(__xludf.DUMMYFUNCTION("""COMPUTED_VALUE"""),18834.0)</f>
        <v>18834</v>
      </c>
      <c r="G303" s="2">
        <f>IFERROR(__xludf.DUMMYFUNCTION("""COMPUTED_VALUE"""),4693.0)</f>
        <v>4693</v>
      </c>
    </row>
    <row r="304">
      <c r="A304" s="2" t="str">
        <f>IFERROR(__xludf.DUMMYFUNCTION("""COMPUTED_VALUE"""),"Mexico")</f>
        <v>Mexico</v>
      </c>
      <c r="B304" s="3">
        <f>IFERROR(__xludf.DUMMYFUNCTION("""COMPUTED_VALUE"""),44116.0)</f>
        <v>44116</v>
      </c>
      <c r="C304" s="3">
        <f>IFERROR(__xludf.DUMMYFUNCTION("""COMPUTED_VALUE"""),44122.0)</f>
        <v>44122</v>
      </c>
      <c r="D304" s="2">
        <f>IFERROR(__xludf.DUMMYFUNCTION("""COMPUTED_VALUE"""),7.0)</f>
        <v>7</v>
      </c>
      <c r="E304" s="2">
        <f>IFERROR(__xludf.DUMMYFUNCTION("""COMPUTED_VALUE"""),42.0)</f>
        <v>42</v>
      </c>
      <c r="F304" s="2">
        <f>IFERROR(__xludf.DUMMYFUNCTION("""COMPUTED_VALUE"""),18815.0)</f>
        <v>18815</v>
      </c>
      <c r="G304" s="2">
        <f>IFERROR(__xludf.DUMMYFUNCTION("""COMPUTED_VALUE"""),2386.0)</f>
        <v>2386</v>
      </c>
    </row>
    <row r="305">
      <c r="A305" s="2" t="str">
        <f>IFERROR(__xludf.DUMMYFUNCTION("""COMPUTED_VALUE"""),"Mexico")</f>
        <v>Mexico</v>
      </c>
      <c r="B305" s="3">
        <f>IFERROR(__xludf.DUMMYFUNCTION("""COMPUTED_VALUE"""),44123.0)</f>
        <v>44123</v>
      </c>
      <c r="C305" s="3">
        <f>IFERROR(__xludf.DUMMYFUNCTION("""COMPUTED_VALUE"""),44129.0)</f>
        <v>44129</v>
      </c>
      <c r="D305" s="2">
        <f>IFERROR(__xludf.DUMMYFUNCTION("""COMPUTED_VALUE"""),7.0)</f>
        <v>7</v>
      </c>
      <c r="E305" s="2">
        <f>IFERROR(__xludf.DUMMYFUNCTION("""COMPUTED_VALUE"""),43.0)</f>
        <v>43</v>
      </c>
      <c r="F305" s="2">
        <f>IFERROR(__xludf.DUMMYFUNCTION("""COMPUTED_VALUE"""),19567.0)</f>
        <v>19567</v>
      </c>
      <c r="G305" s="2">
        <f>IFERROR(__xludf.DUMMYFUNCTION("""COMPUTED_VALUE"""),2757.0)</f>
        <v>2757</v>
      </c>
    </row>
    <row r="306">
      <c r="A306" s="2" t="str">
        <f>IFERROR(__xludf.DUMMYFUNCTION("""COMPUTED_VALUE"""),"Mexico")</f>
        <v>Mexico</v>
      </c>
      <c r="B306" s="3">
        <f>IFERROR(__xludf.DUMMYFUNCTION("""COMPUTED_VALUE"""),44130.0)</f>
        <v>44130</v>
      </c>
      <c r="C306" s="3">
        <f>IFERROR(__xludf.DUMMYFUNCTION("""COMPUTED_VALUE"""),44136.0)</f>
        <v>44136</v>
      </c>
      <c r="D306" s="2">
        <f>IFERROR(__xludf.DUMMYFUNCTION("""COMPUTED_VALUE"""),7.0)</f>
        <v>7</v>
      </c>
      <c r="E306" s="2">
        <f>IFERROR(__xludf.DUMMYFUNCTION("""COMPUTED_VALUE"""),44.0)</f>
        <v>44</v>
      </c>
      <c r="F306" s="2">
        <f>IFERROR(__xludf.DUMMYFUNCTION("""COMPUTED_VALUE"""),20224.0)</f>
        <v>20224</v>
      </c>
      <c r="G306" s="2">
        <f>IFERROR(__xludf.DUMMYFUNCTION("""COMPUTED_VALUE"""),2971.0)</f>
        <v>2971</v>
      </c>
    </row>
    <row r="307">
      <c r="A307" s="2" t="str">
        <f>IFERROR(__xludf.DUMMYFUNCTION("""COMPUTED_VALUE"""),"Mexico")</f>
        <v>Mexico</v>
      </c>
      <c r="B307" s="3">
        <f>IFERROR(__xludf.DUMMYFUNCTION("""COMPUTED_VALUE"""),44137.0)</f>
        <v>44137</v>
      </c>
      <c r="C307" s="3">
        <f>IFERROR(__xludf.DUMMYFUNCTION("""COMPUTED_VALUE"""),44143.0)</f>
        <v>44143</v>
      </c>
      <c r="D307" s="2">
        <f>IFERROR(__xludf.DUMMYFUNCTION("""COMPUTED_VALUE"""),7.0)</f>
        <v>7</v>
      </c>
      <c r="E307" s="2">
        <f>IFERROR(__xludf.DUMMYFUNCTION("""COMPUTED_VALUE"""),45.0)</f>
        <v>45</v>
      </c>
      <c r="F307" s="2">
        <f>IFERROR(__xludf.DUMMYFUNCTION("""COMPUTED_VALUE"""),21326.0)</f>
        <v>21326</v>
      </c>
      <c r="G307" s="2">
        <f>IFERROR(__xludf.DUMMYFUNCTION("""COMPUTED_VALUE"""),3132.0)</f>
        <v>3132</v>
      </c>
    </row>
    <row r="308">
      <c r="A308" s="2" t="str">
        <f>IFERROR(__xludf.DUMMYFUNCTION("""COMPUTED_VALUE"""),"Mexico")</f>
        <v>Mexico</v>
      </c>
      <c r="B308" s="3">
        <f>IFERROR(__xludf.DUMMYFUNCTION("""COMPUTED_VALUE"""),44144.0)</f>
        <v>44144</v>
      </c>
      <c r="C308" s="3">
        <f>IFERROR(__xludf.DUMMYFUNCTION("""COMPUTED_VALUE"""),44150.0)</f>
        <v>44150</v>
      </c>
      <c r="D308" s="2">
        <f>IFERROR(__xludf.DUMMYFUNCTION("""COMPUTED_VALUE"""),7.0)</f>
        <v>7</v>
      </c>
      <c r="E308" s="2">
        <f>IFERROR(__xludf.DUMMYFUNCTION("""COMPUTED_VALUE"""),46.0)</f>
        <v>46</v>
      </c>
      <c r="F308" s="2">
        <f>IFERROR(__xludf.DUMMYFUNCTION("""COMPUTED_VALUE"""),21619.0)</f>
        <v>21619</v>
      </c>
      <c r="G308" s="2">
        <f>IFERROR(__xludf.DUMMYFUNCTION("""COMPUTED_VALUE"""),3515.0)</f>
        <v>3515</v>
      </c>
    </row>
    <row r="309">
      <c r="A309" s="2" t="str">
        <f>IFERROR(__xludf.DUMMYFUNCTION("""COMPUTED_VALUE"""),"Mexico")</f>
        <v>Mexico</v>
      </c>
      <c r="B309" s="3">
        <f>IFERROR(__xludf.DUMMYFUNCTION("""COMPUTED_VALUE"""),44151.0)</f>
        <v>44151</v>
      </c>
      <c r="C309" s="3">
        <f>IFERROR(__xludf.DUMMYFUNCTION("""COMPUTED_VALUE"""),44157.0)</f>
        <v>44157</v>
      </c>
      <c r="D309" s="2">
        <f>IFERROR(__xludf.DUMMYFUNCTION("""COMPUTED_VALUE"""),7.0)</f>
        <v>7</v>
      </c>
      <c r="E309" s="2">
        <f>IFERROR(__xludf.DUMMYFUNCTION("""COMPUTED_VALUE"""),47.0)</f>
        <v>47</v>
      </c>
      <c r="F309" s="2">
        <f>IFERROR(__xludf.DUMMYFUNCTION("""COMPUTED_VALUE"""),22294.0)</f>
        <v>22294</v>
      </c>
      <c r="G309" s="2">
        <f>IFERROR(__xludf.DUMMYFUNCTION("""COMPUTED_VALUE"""),3134.0)</f>
        <v>3134</v>
      </c>
    </row>
    <row r="310">
      <c r="A310" s="2" t="str">
        <f>IFERROR(__xludf.DUMMYFUNCTION("""COMPUTED_VALUE"""),"Mexico")</f>
        <v>Mexico</v>
      </c>
      <c r="B310" s="3">
        <f>IFERROR(__xludf.DUMMYFUNCTION("""COMPUTED_VALUE"""),44158.0)</f>
        <v>44158</v>
      </c>
      <c r="C310" s="3">
        <f>IFERROR(__xludf.DUMMYFUNCTION("""COMPUTED_VALUE"""),44164.0)</f>
        <v>44164</v>
      </c>
      <c r="D310" s="2">
        <f>IFERROR(__xludf.DUMMYFUNCTION("""COMPUTED_VALUE"""),7.0)</f>
        <v>7</v>
      </c>
      <c r="E310" s="2">
        <f>IFERROR(__xludf.DUMMYFUNCTION("""COMPUTED_VALUE"""),48.0)</f>
        <v>48</v>
      </c>
      <c r="F310" s="2">
        <f>IFERROR(__xludf.DUMMYFUNCTION("""COMPUTED_VALUE"""),22534.0)</f>
        <v>22534</v>
      </c>
      <c r="G310" s="2">
        <f>IFERROR(__xludf.DUMMYFUNCTION("""COMPUTED_VALUE"""),3979.0)</f>
        <v>3979</v>
      </c>
    </row>
    <row r="311">
      <c r="A311" s="2" t="str">
        <f>IFERROR(__xludf.DUMMYFUNCTION("""COMPUTED_VALUE"""),"Mexico")</f>
        <v>Mexico</v>
      </c>
      <c r="B311" s="3">
        <f>IFERROR(__xludf.DUMMYFUNCTION("""COMPUTED_VALUE"""),44165.0)</f>
        <v>44165</v>
      </c>
      <c r="C311" s="3">
        <f>IFERROR(__xludf.DUMMYFUNCTION("""COMPUTED_VALUE"""),44171.0)</f>
        <v>44171</v>
      </c>
      <c r="D311" s="2">
        <f>IFERROR(__xludf.DUMMYFUNCTION("""COMPUTED_VALUE"""),7.0)</f>
        <v>7</v>
      </c>
      <c r="E311" s="2">
        <f>IFERROR(__xludf.DUMMYFUNCTION("""COMPUTED_VALUE"""),49.0)</f>
        <v>49</v>
      </c>
      <c r="F311" s="2">
        <f>IFERROR(__xludf.DUMMYFUNCTION("""COMPUTED_VALUE"""),23495.0)</f>
        <v>23495</v>
      </c>
      <c r="G311" s="2">
        <f>IFERROR(__xludf.DUMMYFUNCTION("""COMPUTED_VALUE"""),4062.0)</f>
        <v>4062</v>
      </c>
    </row>
    <row r="312">
      <c r="A312" s="2" t="str">
        <f>IFERROR(__xludf.DUMMYFUNCTION("""COMPUTED_VALUE"""),"Mexico")</f>
        <v>Mexico</v>
      </c>
      <c r="B312" s="3">
        <f>IFERROR(__xludf.DUMMYFUNCTION("""COMPUTED_VALUE"""),44172.0)</f>
        <v>44172</v>
      </c>
      <c r="C312" s="3">
        <f>IFERROR(__xludf.DUMMYFUNCTION("""COMPUTED_VALUE"""),44178.0)</f>
        <v>44178</v>
      </c>
      <c r="D312" s="2">
        <f>IFERROR(__xludf.DUMMYFUNCTION("""COMPUTED_VALUE"""),7.0)</f>
        <v>7</v>
      </c>
      <c r="E312" s="2">
        <f>IFERROR(__xludf.DUMMYFUNCTION("""COMPUTED_VALUE"""),50.0)</f>
        <v>50</v>
      </c>
      <c r="F312" s="2">
        <f>IFERROR(__xludf.DUMMYFUNCTION("""COMPUTED_VALUE"""),25342.0)</f>
        <v>25342</v>
      </c>
      <c r="G312" s="2">
        <f>IFERROR(__xludf.DUMMYFUNCTION("""COMPUTED_VALUE"""),4236.0)</f>
        <v>4236</v>
      </c>
    </row>
    <row r="313">
      <c r="A313" s="2" t="str">
        <f>IFERROR(__xludf.DUMMYFUNCTION("""COMPUTED_VALUE"""),"Mexico")</f>
        <v>Mexico</v>
      </c>
      <c r="B313" s="3">
        <f>IFERROR(__xludf.DUMMYFUNCTION("""COMPUTED_VALUE"""),44179.0)</f>
        <v>44179</v>
      </c>
      <c r="C313" s="3">
        <f>IFERROR(__xludf.DUMMYFUNCTION("""COMPUTED_VALUE"""),44185.0)</f>
        <v>44185</v>
      </c>
      <c r="D313" s="2">
        <f>IFERROR(__xludf.DUMMYFUNCTION("""COMPUTED_VALUE"""),7.0)</f>
        <v>7</v>
      </c>
      <c r="E313" s="2">
        <f>IFERROR(__xludf.DUMMYFUNCTION("""COMPUTED_VALUE"""),51.0)</f>
        <v>51</v>
      </c>
      <c r="F313" s="2">
        <f>IFERROR(__xludf.DUMMYFUNCTION("""COMPUTED_VALUE"""),26560.0)</f>
        <v>26560</v>
      </c>
      <c r="G313" s="2">
        <f>IFERROR(__xludf.DUMMYFUNCTION("""COMPUTED_VALUE"""),4249.0)</f>
        <v>4249</v>
      </c>
    </row>
    <row r="314">
      <c r="A314" s="2" t="str">
        <f>IFERROR(__xludf.DUMMYFUNCTION("""COMPUTED_VALUE"""),"Mexico")</f>
        <v>Mexico</v>
      </c>
      <c r="B314" s="3">
        <f>IFERROR(__xludf.DUMMYFUNCTION("""COMPUTED_VALUE"""),44186.0)</f>
        <v>44186</v>
      </c>
      <c r="C314" s="3">
        <f>IFERROR(__xludf.DUMMYFUNCTION("""COMPUTED_VALUE"""),44192.0)</f>
        <v>44192</v>
      </c>
      <c r="D314" s="2">
        <f>IFERROR(__xludf.DUMMYFUNCTION("""COMPUTED_VALUE"""),7.0)</f>
        <v>7</v>
      </c>
      <c r="E314" s="2">
        <f>IFERROR(__xludf.DUMMYFUNCTION("""COMPUTED_VALUE"""),52.0)</f>
        <v>52</v>
      </c>
      <c r="F314" s="2">
        <f>IFERROR(__xludf.DUMMYFUNCTION("""COMPUTED_VALUE"""),29609.0)</f>
        <v>29609</v>
      </c>
      <c r="G314" s="2">
        <f>IFERROR(__xludf.DUMMYFUNCTION("""COMPUTED_VALUE"""),4224.0)</f>
        <v>4224</v>
      </c>
    </row>
    <row r="315">
      <c r="A315" s="2" t="str">
        <f>IFERROR(__xludf.DUMMYFUNCTION("""COMPUTED_VALUE"""),"Mexico")</f>
        <v>Mexico</v>
      </c>
      <c r="B315" s="3">
        <f>IFERROR(__xludf.DUMMYFUNCTION("""COMPUTED_VALUE"""),44193.0)</f>
        <v>44193</v>
      </c>
      <c r="C315" s="3">
        <f>IFERROR(__xludf.DUMMYFUNCTION("""COMPUTED_VALUE"""),44199.0)</f>
        <v>44199</v>
      </c>
      <c r="D315" s="2">
        <f>IFERROR(__xludf.DUMMYFUNCTION("""COMPUTED_VALUE"""),7.0)</f>
        <v>7</v>
      </c>
      <c r="E315" s="2">
        <f>IFERROR(__xludf.DUMMYFUNCTION("""COMPUTED_VALUE"""),53.0)</f>
        <v>53</v>
      </c>
      <c r="F315" s="2">
        <f>IFERROR(__xludf.DUMMYFUNCTION("""COMPUTED_VALUE"""),32637.0)</f>
        <v>32637</v>
      </c>
      <c r="G315" s="2">
        <f>IFERROR(__xludf.DUMMYFUNCTION("""COMPUTED_VALUE"""),4787.0)</f>
        <v>4787</v>
      </c>
    </row>
    <row r="316">
      <c r="A316" s="2" t="str">
        <f>IFERROR(__xludf.DUMMYFUNCTION("""COMPUTED_VALUE"""),"Mexico")</f>
        <v>Mexico</v>
      </c>
      <c r="B316" s="3">
        <f>IFERROR(__xludf.DUMMYFUNCTION("""COMPUTED_VALUE"""),44200.0)</f>
        <v>44200</v>
      </c>
      <c r="C316" s="3">
        <f>IFERROR(__xludf.DUMMYFUNCTION("""COMPUTED_VALUE"""),44206.0)</f>
        <v>44206</v>
      </c>
      <c r="D316" s="2">
        <f>IFERROR(__xludf.DUMMYFUNCTION("""COMPUTED_VALUE"""),7.0)</f>
        <v>7</v>
      </c>
      <c r="E316" s="2">
        <f>IFERROR(__xludf.DUMMYFUNCTION("""COMPUTED_VALUE"""),1.0)</f>
        <v>1</v>
      </c>
      <c r="F316" s="2">
        <f>IFERROR(__xludf.DUMMYFUNCTION("""COMPUTED_VALUE"""),36287.0)</f>
        <v>36287</v>
      </c>
      <c r="G316" s="2">
        <f>IFERROR(__xludf.DUMMYFUNCTION("""COMPUTED_VALUE"""),6493.0)</f>
        <v>6493</v>
      </c>
    </row>
    <row r="317">
      <c r="A317" s="2" t="str">
        <f>IFERROR(__xludf.DUMMYFUNCTION("""COMPUTED_VALUE"""),"Mexico")</f>
        <v>Mexico</v>
      </c>
      <c r="B317" s="3">
        <f>IFERROR(__xludf.DUMMYFUNCTION("""COMPUTED_VALUE"""),44207.0)</f>
        <v>44207</v>
      </c>
      <c r="C317" s="3">
        <f>IFERROR(__xludf.DUMMYFUNCTION("""COMPUTED_VALUE"""),44213.0)</f>
        <v>44213</v>
      </c>
      <c r="D317" s="2">
        <f>IFERROR(__xludf.DUMMYFUNCTION("""COMPUTED_VALUE"""),7.0)</f>
        <v>7</v>
      </c>
      <c r="E317" s="2">
        <f>IFERROR(__xludf.DUMMYFUNCTION("""COMPUTED_VALUE"""),2.0)</f>
        <v>2</v>
      </c>
      <c r="F317" s="2">
        <f>IFERROR(__xludf.DUMMYFUNCTION("""COMPUTED_VALUE"""),43427.0)</f>
        <v>43427</v>
      </c>
      <c r="G317" s="2">
        <f>IFERROR(__xludf.DUMMYFUNCTION("""COMPUTED_VALUE"""),6998.0)</f>
        <v>6998</v>
      </c>
    </row>
    <row r="318">
      <c r="A318" s="2" t="str">
        <f>IFERROR(__xludf.DUMMYFUNCTION("""COMPUTED_VALUE"""),"Mexico")</f>
        <v>Mexico</v>
      </c>
      <c r="B318" s="3">
        <f>IFERROR(__xludf.DUMMYFUNCTION("""COMPUTED_VALUE"""),44214.0)</f>
        <v>44214</v>
      </c>
      <c r="C318" s="3">
        <f>IFERROR(__xludf.DUMMYFUNCTION("""COMPUTED_VALUE"""),44220.0)</f>
        <v>44220</v>
      </c>
      <c r="D318" s="2">
        <f>IFERROR(__xludf.DUMMYFUNCTION("""COMPUTED_VALUE"""),7.0)</f>
        <v>7</v>
      </c>
      <c r="E318" s="2">
        <f>IFERROR(__xludf.DUMMYFUNCTION("""COMPUTED_VALUE"""),3.0)</f>
        <v>3</v>
      </c>
      <c r="F318" s="2">
        <f>IFERROR(__xludf.DUMMYFUNCTION("""COMPUTED_VALUE"""),44667.0)</f>
        <v>44667</v>
      </c>
      <c r="G318" s="2">
        <f>IFERROR(__xludf.DUMMYFUNCTION("""COMPUTED_VALUE"""),8910.0)</f>
        <v>8910</v>
      </c>
    </row>
    <row r="319">
      <c r="A319" s="2" t="str">
        <f>IFERROR(__xludf.DUMMYFUNCTION("""COMPUTED_VALUE"""),"Mexico")</f>
        <v>Mexico</v>
      </c>
      <c r="B319" s="3">
        <f>IFERROR(__xludf.DUMMYFUNCTION("""COMPUTED_VALUE"""),44221.0)</f>
        <v>44221</v>
      </c>
      <c r="C319" s="3">
        <f>IFERROR(__xludf.DUMMYFUNCTION("""COMPUTED_VALUE"""),44227.0)</f>
        <v>44227</v>
      </c>
      <c r="D319" s="2">
        <f>IFERROR(__xludf.DUMMYFUNCTION("""COMPUTED_VALUE"""),7.0)</f>
        <v>7</v>
      </c>
      <c r="E319" s="2">
        <f>IFERROR(__xludf.DUMMYFUNCTION("""COMPUTED_VALUE"""),4.0)</f>
        <v>4</v>
      </c>
      <c r="F319" s="2">
        <f>IFERROR(__xludf.DUMMYFUNCTION("""COMPUTED_VALUE"""),36617.0)</f>
        <v>36617</v>
      </c>
      <c r="G319" s="2">
        <f>IFERROR(__xludf.DUMMYFUNCTION("""COMPUTED_VALUE"""),8922.0)</f>
        <v>8922</v>
      </c>
    </row>
    <row r="320">
      <c r="A320" s="2" t="str">
        <f>IFERROR(__xludf.DUMMYFUNCTION("""COMPUTED_VALUE"""),"Mexico")</f>
        <v>Mexico</v>
      </c>
      <c r="B320" s="3">
        <f>IFERROR(__xludf.DUMMYFUNCTION("""COMPUTED_VALUE"""),44228.0)</f>
        <v>44228</v>
      </c>
      <c r="C320" s="3">
        <f>IFERROR(__xludf.DUMMYFUNCTION("""COMPUTED_VALUE"""),44234.0)</f>
        <v>44234</v>
      </c>
      <c r="D320" s="2">
        <f>IFERROR(__xludf.DUMMYFUNCTION("""COMPUTED_VALUE"""),7.0)</f>
        <v>7</v>
      </c>
      <c r="E320" s="2">
        <f>IFERROR(__xludf.DUMMYFUNCTION("""COMPUTED_VALUE"""),5.0)</f>
        <v>5</v>
      </c>
      <c r="F320" s="2">
        <f>IFERROR(__xludf.DUMMYFUNCTION("""COMPUTED_VALUE"""),31825.0)</f>
        <v>31825</v>
      </c>
      <c r="G320" s="2">
        <f>IFERROR(__xludf.DUMMYFUNCTION("""COMPUTED_VALUE"""),7664.0)</f>
        <v>7664</v>
      </c>
    </row>
    <row r="321">
      <c r="A321" s="2" t="str">
        <f>IFERROR(__xludf.DUMMYFUNCTION("""COMPUTED_VALUE"""),"Mexico")</f>
        <v>Mexico</v>
      </c>
      <c r="B321" s="3">
        <f>IFERROR(__xludf.DUMMYFUNCTION("""COMPUTED_VALUE"""),44235.0)</f>
        <v>44235</v>
      </c>
      <c r="C321" s="3">
        <f>IFERROR(__xludf.DUMMYFUNCTION("""COMPUTED_VALUE"""),44241.0)</f>
        <v>44241</v>
      </c>
      <c r="D321" s="2">
        <f>IFERROR(__xludf.DUMMYFUNCTION("""COMPUTED_VALUE"""),7.0)</f>
        <v>7</v>
      </c>
      <c r="E321" s="2">
        <f>IFERROR(__xludf.DUMMYFUNCTION("""COMPUTED_VALUE"""),6.0)</f>
        <v>6</v>
      </c>
      <c r="F321" s="2">
        <f>IFERROR(__xludf.DUMMYFUNCTION("""COMPUTED_VALUE"""),26858.0)</f>
        <v>26858</v>
      </c>
      <c r="G321" s="2">
        <f>IFERROR(__xludf.DUMMYFUNCTION("""COMPUTED_VALUE"""),8007.0)</f>
        <v>8007</v>
      </c>
    </row>
    <row r="322">
      <c r="A322" s="2" t="str">
        <f>IFERROR(__xludf.DUMMYFUNCTION("""COMPUTED_VALUE"""),"Mexico")</f>
        <v>Mexico</v>
      </c>
      <c r="B322" s="3">
        <f>IFERROR(__xludf.DUMMYFUNCTION("""COMPUTED_VALUE"""),44242.0)</f>
        <v>44242</v>
      </c>
      <c r="C322" s="3">
        <f>IFERROR(__xludf.DUMMYFUNCTION("""COMPUTED_VALUE"""),44248.0)</f>
        <v>44248</v>
      </c>
      <c r="D322" s="2">
        <f>IFERROR(__xludf.DUMMYFUNCTION("""COMPUTED_VALUE"""),7.0)</f>
        <v>7</v>
      </c>
      <c r="E322" s="2">
        <f>IFERROR(__xludf.DUMMYFUNCTION("""COMPUTED_VALUE"""),7.0)</f>
        <v>7</v>
      </c>
      <c r="F322" s="2">
        <f>IFERROR(__xludf.DUMMYFUNCTION("""COMPUTED_VALUE"""),25330.0)</f>
        <v>25330</v>
      </c>
      <c r="G322" s="2">
        <f>IFERROR(__xludf.DUMMYFUNCTION("""COMPUTED_VALUE"""),5900.0)</f>
        <v>5900</v>
      </c>
    </row>
    <row r="323">
      <c r="A323" s="2" t="str">
        <f>IFERROR(__xludf.DUMMYFUNCTION("""COMPUTED_VALUE"""),"Mexico")</f>
        <v>Mexico</v>
      </c>
      <c r="B323" s="3">
        <f>IFERROR(__xludf.DUMMYFUNCTION("""COMPUTED_VALUE"""),44249.0)</f>
        <v>44249</v>
      </c>
      <c r="C323" s="3">
        <f>IFERROR(__xludf.DUMMYFUNCTION("""COMPUTED_VALUE"""),44255.0)</f>
        <v>44255</v>
      </c>
      <c r="D323" s="2">
        <f>IFERROR(__xludf.DUMMYFUNCTION("""COMPUTED_VALUE"""),7.0)</f>
        <v>7</v>
      </c>
      <c r="E323" s="2">
        <f>IFERROR(__xludf.DUMMYFUNCTION("""COMPUTED_VALUE"""),8.0)</f>
        <v>8</v>
      </c>
      <c r="F323" s="2">
        <f>IFERROR(__xludf.DUMMYFUNCTION("""COMPUTED_VALUE"""),24010.0)</f>
        <v>24010</v>
      </c>
      <c r="G323" s="2">
        <f>IFERROR(__xludf.DUMMYFUNCTION("""COMPUTED_VALUE"""),5608.0)</f>
        <v>5608</v>
      </c>
    </row>
    <row r="324">
      <c r="A324" s="2" t="str">
        <f>IFERROR(__xludf.DUMMYFUNCTION("""COMPUTED_VALUE"""),"Mexico")</f>
        <v>Mexico</v>
      </c>
      <c r="B324" s="3">
        <f>IFERROR(__xludf.DUMMYFUNCTION("""COMPUTED_VALUE"""),44256.0)</f>
        <v>44256</v>
      </c>
      <c r="C324" s="3">
        <f>IFERROR(__xludf.DUMMYFUNCTION("""COMPUTED_VALUE"""),44262.0)</f>
        <v>44262</v>
      </c>
      <c r="D324" s="2">
        <f>IFERROR(__xludf.DUMMYFUNCTION("""COMPUTED_VALUE"""),7.0)</f>
        <v>7</v>
      </c>
      <c r="E324" s="2">
        <f>IFERROR(__xludf.DUMMYFUNCTION("""COMPUTED_VALUE"""),9.0)</f>
        <v>9</v>
      </c>
      <c r="F324" s="2">
        <f>IFERROR(__xludf.DUMMYFUNCTION("""COMPUTED_VALUE"""),20488.0)</f>
        <v>20488</v>
      </c>
      <c r="G324" s="2">
        <f>IFERROR(__xludf.DUMMYFUNCTION("""COMPUTED_VALUE"""),4889.0)</f>
        <v>4889</v>
      </c>
    </row>
    <row r="325">
      <c r="A325" s="2" t="str">
        <f>IFERROR(__xludf.DUMMYFUNCTION("""COMPUTED_VALUE"""),"Mexico")</f>
        <v>Mexico</v>
      </c>
      <c r="B325" s="3">
        <f>IFERROR(__xludf.DUMMYFUNCTION("""COMPUTED_VALUE"""),44263.0)</f>
        <v>44263</v>
      </c>
      <c r="C325" s="3">
        <f>IFERROR(__xludf.DUMMYFUNCTION("""COMPUTED_VALUE"""),44269.0)</f>
        <v>44269</v>
      </c>
      <c r="D325" s="2">
        <f>IFERROR(__xludf.DUMMYFUNCTION("""COMPUTED_VALUE"""),7.0)</f>
        <v>7</v>
      </c>
      <c r="E325" s="2">
        <f>IFERROR(__xludf.DUMMYFUNCTION("""COMPUTED_VALUE"""),10.0)</f>
        <v>10</v>
      </c>
      <c r="F325" s="2">
        <f>IFERROR(__xludf.DUMMYFUNCTION("""COMPUTED_VALUE"""),19752.0)</f>
        <v>19752</v>
      </c>
      <c r="G325" s="2">
        <f>IFERROR(__xludf.DUMMYFUNCTION("""COMPUTED_VALUE"""),4106.0)</f>
        <v>4106</v>
      </c>
    </row>
    <row r="326">
      <c r="A326" s="2" t="str">
        <f>IFERROR(__xludf.DUMMYFUNCTION("""COMPUTED_VALUE"""),"Mexico")</f>
        <v>Mexico</v>
      </c>
      <c r="B326" s="3">
        <f>IFERROR(__xludf.DUMMYFUNCTION("""COMPUTED_VALUE"""),44270.0)</f>
        <v>44270</v>
      </c>
      <c r="C326" s="3">
        <f>IFERROR(__xludf.DUMMYFUNCTION("""COMPUTED_VALUE"""),44276.0)</f>
        <v>44276</v>
      </c>
      <c r="D326" s="2">
        <f>IFERROR(__xludf.DUMMYFUNCTION("""COMPUTED_VALUE"""),7.0)</f>
        <v>7</v>
      </c>
      <c r="E326" s="2">
        <f>IFERROR(__xludf.DUMMYFUNCTION("""COMPUTED_VALUE"""),11.0)</f>
        <v>11</v>
      </c>
      <c r="F326" s="2">
        <f>IFERROR(__xludf.DUMMYFUNCTION("""COMPUTED_VALUE"""),18508.0)</f>
        <v>18508</v>
      </c>
      <c r="G326" s="2">
        <f>IFERROR(__xludf.DUMMYFUNCTION("""COMPUTED_VALUE"""),3326.0)</f>
        <v>3326</v>
      </c>
    </row>
    <row r="327">
      <c r="A327" s="2" t="str">
        <f>IFERROR(__xludf.DUMMYFUNCTION("""COMPUTED_VALUE"""),"Mexico")</f>
        <v>Mexico</v>
      </c>
      <c r="B327" s="3">
        <f>IFERROR(__xludf.DUMMYFUNCTION("""COMPUTED_VALUE"""),44277.0)</f>
        <v>44277</v>
      </c>
      <c r="C327" s="3">
        <f>IFERROR(__xludf.DUMMYFUNCTION("""COMPUTED_VALUE"""),44283.0)</f>
        <v>44283</v>
      </c>
      <c r="D327" s="2">
        <f>IFERROR(__xludf.DUMMYFUNCTION("""COMPUTED_VALUE"""),7.0)</f>
        <v>7</v>
      </c>
      <c r="E327" s="2">
        <f>IFERROR(__xludf.DUMMYFUNCTION("""COMPUTED_VALUE"""),12.0)</f>
        <v>12</v>
      </c>
      <c r="F327" s="2">
        <f>IFERROR(__xludf.DUMMYFUNCTION("""COMPUTED_VALUE"""),17801.0)</f>
        <v>17801</v>
      </c>
      <c r="G327" s="2">
        <f>IFERROR(__xludf.DUMMYFUNCTION("""COMPUTED_VALUE"""),3587.0)</f>
        <v>3587</v>
      </c>
    </row>
    <row r="328">
      <c r="A328" s="2" t="str">
        <f>IFERROR(__xludf.DUMMYFUNCTION("""COMPUTED_VALUE"""),"Mexico")</f>
        <v>Mexico</v>
      </c>
      <c r="B328" s="3">
        <f>IFERROR(__xludf.DUMMYFUNCTION("""COMPUTED_VALUE"""),44284.0)</f>
        <v>44284</v>
      </c>
      <c r="C328" s="3">
        <f>IFERROR(__xludf.DUMMYFUNCTION("""COMPUTED_VALUE"""),44290.0)</f>
        <v>44290</v>
      </c>
      <c r="D328" s="2">
        <f>IFERROR(__xludf.DUMMYFUNCTION("""COMPUTED_VALUE"""),7.0)</f>
        <v>7</v>
      </c>
      <c r="E328" s="2">
        <f>IFERROR(__xludf.DUMMYFUNCTION("""COMPUTED_VALUE"""),13.0)</f>
        <v>13</v>
      </c>
      <c r="F328" s="2">
        <f>IFERROR(__xludf.DUMMYFUNCTION("""COMPUTED_VALUE"""),16992.0)</f>
        <v>16992</v>
      </c>
      <c r="G328" s="2">
        <f>IFERROR(__xludf.DUMMYFUNCTION("""COMPUTED_VALUE"""),2524.0)</f>
        <v>2524</v>
      </c>
    </row>
    <row r="329">
      <c r="A329" s="2" t="str">
        <f>IFERROR(__xludf.DUMMYFUNCTION("""COMPUTED_VALUE"""),"Mexico")</f>
        <v>Mexico</v>
      </c>
      <c r="B329" s="3">
        <f>IFERROR(__xludf.DUMMYFUNCTION("""COMPUTED_VALUE"""),44291.0)</f>
        <v>44291</v>
      </c>
      <c r="C329" s="3">
        <f>IFERROR(__xludf.DUMMYFUNCTION("""COMPUTED_VALUE"""),44297.0)</f>
        <v>44297</v>
      </c>
      <c r="D329" s="2">
        <f>IFERROR(__xludf.DUMMYFUNCTION("""COMPUTED_VALUE"""),7.0)</f>
        <v>7</v>
      </c>
      <c r="E329" s="2">
        <f>IFERROR(__xludf.DUMMYFUNCTION("""COMPUTED_VALUE"""),14.0)</f>
        <v>14</v>
      </c>
      <c r="F329" s="2">
        <f>IFERROR(__xludf.DUMMYFUNCTION("""COMPUTED_VALUE"""),17364.0)</f>
        <v>17364</v>
      </c>
      <c r="G329" s="2">
        <f>IFERROR(__xludf.DUMMYFUNCTION("""COMPUTED_VALUE"""),5191.0)</f>
        <v>5191</v>
      </c>
    </row>
    <row r="330">
      <c r="A330" s="2" t="str">
        <f>IFERROR(__xludf.DUMMYFUNCTION("""COMPUTED_VALUE"""),"Mexico")</f>
        <v>Mexico</v>
      </c>
      <c r="B330" s="3">
        <f>IFERROR(__xludf.DUMMYFUNCTION("""COMPUTED_VALUE"""),44298.0)</f>
        <v>44298</v>
      </c>
      <c r="C330" s="3">
        <f>IFERROR(__xludf.DUMMYFUNCTION("""COMPUTED_VALUE"""),44304.0)</f>
        <v>44304</v>
      </c>
      <c r="D330" s="2">
        <f>IFERROR(__xludf.DUMMYFUNCTION("""COMPUTED_VALUE"""),7.0)</f>
        <v>7</v>
      </c>
      <c r="E330" s="2">
        <f>IFERROR(__xludf.DUMMYFUNCTION("""COMPUTED_VALUE"""),15.0)</f>
        <v>15</v>
      </c>
      <c r="F330" s="2">
        <f>IFERROR(__xludf.DUMMYFUNCTION("""COMPUTED_VALUE"""),16927.0)</f>
        <v>16927</v>
      </c>
      <c r="G330" s="2">
        <f>IFERROR(__xludf.DUMMYFUNCTION("""COMPUTED_VALUE"""),3001.0)</f>
        <v>3001</v>
      </c>
    </row>
    <row r="331">
      <c r="A331" s="2" t="str">
        <f>IFERROR(__xludf.DUMMYFUNCTION("""COMPUTED_VALUE"""),"Mexico")</f>
        <v>Mexico</v>
      </c>
      <c r="B331" s="3">
        <f>IFERROR(__xludf.DUMMYFUNCTION("""COMPUTED_VALUE"""),44305.0)</f>
        <v>44305</v>
      </c>
      <c r="C331" s="3">
        <f>IFERROR(__xludf.DUMMYFUNCTION("""COMPUTED_VALUE"""),44311.0)</f>
        <v>44311</v>
      </c>
      <c r="D331" s="2">
        <f>IFERROR(__xludf.DUMMYFUNCTION("""COMPUTED_VALUE"""),7.0)</f>
        <v>7</v>
      </c>
      <c r="E331" s="2">
        <f>IFERROR(__xludf.DUMMYFUNCTION("""COMPUTED_VALUE"""),16.0)</f>
        <v>16</v>
      </c>
      <c r="F331" s="2">
        <f>IFERROR(__xludf.DUMMYFUNCTION("""COMPUTED_VALUE"""),16037.0)</f>
        <v>16037</v>
      </c>
      <c r="G331" s="2">
        <f>IFERROR(__xludf.DUMMYFUNCTION("""COMPUTED_VALUE"""),2608.0)</f>
        <v>2608</v>
      </c>
    </row>
    <row r="332">
      <c r="A332" s="2" t="str">
        <f>IFERROR(__xludf.DUMMYFUNCTION("""COMPUTED_VALUE"""),"Mexico")</f>
        <v>Mexico</v>
      </c>
      <c r="B332" s="3">
        <f>IFERROR(__xludf.DUMMYFUNCTION("""COMPUTED_VALUE"""),44312.0)</f>
        <v>44312</v>
      </c>
      <c r="C332" s="3">
        <f>IFERROR(__xludf.DUMMYFUNCTION("""COMPUTED_VALUE"""),44318.0)</f>
        <v>44318</v>
      </c>
      <c r="D332" s="2">
        <f>IFERROR(__xludf.DUMMYFUNCTION("""COMPUTED_VALUE"""),7.0)</f>
        <v>7</v>
      </c>
      <c r="E332" s="2">
        <f>IFERROR(__xludf.DUMMYFUNCTION("""COMPUTED_VALUE"""),17.0)</f>
        <v>17</v>
      </c>
      <c r="F332" s="2">
        <f>IFERROR(__xludf.DUMMYFUNCTION("""COMPUTED_VALUE"""),15511.0)</f>
        <v>15511</v>
      </c>
      <c r="G332" s="2">
        <f>IFERROR(__xludf.DUMMYFUNCTION("""COMPUTED_VALUE"""),2286.0)</f>
        <v>2286</v>
      </c>
    </row>
    <row r="333">
      <c r="A333" s="2" t="str">
        <f>IFERROR(__xludf.DUMMYFUNCTION("""COMPUTED_VALUE"""),"Mexico")</f>
        <v>Mexico</v>
      </c>
      <c r="B333" s="3">
        <f>IFERROR(__xludf.DUMMYFUNCTION("""COMPUTED_VALUE"""),44319.0)</f>
        <v>44319</v>
      </c>
      <c r="C333" s="3">
        <f>IFERROR(__xludf.DUMMYFUNCTION("""COMPUTED_VALUE"""),44325.0)</f>
        <v>44325</v>
      </c>
      <c r="D333" s="2">
        <f>IFERROR(__xludf.DUMMYFUNCTION("""COMPUTED_VALUE"""),7.0)</f>
        <v>7</v>
      </c>
      <c r="E333" s="2">
        <f>IFERROR(__xludf.DUMMYFUNCTION("""COMPUTED_VALUE"""),18.0)</f>
        <v>18</v>
      </c>
      <c r="F333" s="2">
        <f>IFERROR(__xludf.DUMMYFUNCTION("""COMPUTED_VALUE"""),15125.0)</f>
        <v>15125</v>
      </c>
      <c r="G333" s="2">
        <f>IFERROR(__xludf.DUMMYFUNCTION("""COMPUTED_VALUE"""),1752.0)</f>
        <v>1752</v>
      </c>
    </row>
    <row r="334">
      <c r="A334" s="2" t="str">
        <f>IFERROR(__xludf.DUMMYFUNCTION("""COMPUTED_VALUE"""),"Mexico")</f>
        <v>Mexico</v>
      </c>
      <c r="B334" s="3">
        <f>IFERROR(__xludf.DUMMYFUNCTION("""COMPUTED_VALUE"""),44326.0)</f>
        <v>44326</v>
      </c>
      <c r="C334" s="3">
        <f>IFERROR(__xludf.DUMMYFUNCTION("""COMPUTED_VALUE"""),44332.0)</f>
        <v>44332</v>
      </c>
      <c r="D334" s="2">
        <f>IFERROR(__xludf.DUMMYFUNCTION("""COMPUTED_VALUE"""),7.0)</f>
        <v>7</v>
      </c>
      <c r="E334" s="2">
        <f>IFERROR(__xludf.DUMMYFUNCTION("""COMPUTED_VALUE"""),19.0)</f>
        <v>19</v>
      </c>
      <c r="F334" s="2">
        <f>IFERROR(__xludf.DUMMYFUNCTION("""COMPUTED_VALUE"""),14734.0)</f>
        <v>14734</v>
      </c>
      <c r="G334" s="2">
        <f>IFERROR(__xludf.DUMMYFUNCTION("""COMPUTED_VALUE"""),1452.0)</f>
        <v>1452</v>
      </c>
    </row>
    <row r="335">
      <c r="A335" s="2" t="str">
        <f>IFERROR(__xludf.DUMMYFUNCTION("""COMPUTED_VALUE"""),"Mexico")</f>
        <v>Mexico</v>
      </c>
      <c r="B335" s="3">
        <f>IFERROR(__xludf.DUMMYFUNCTION("""COMPUTED_VALUE"""),44333.0)</f>
        <v>44333</v>
      </c>
      <c r="C335" s="3">
        <f>IFERROR(__xludf.DUMMYFUNCTION("""COMPUTED_VALUE"""),44339.0)</f>
        <v>44339</v>
      </c>
      <c r="D335" s="2">
        <f>IFERROR(__xludf.DUMMYFUNCTION("""COMPUTED_VALUE"""),7.0)</f>
        <v>7</v>
      </c>
      <c r="E335" s="2">
        <f>IFERROR(__xludf.DUMMYFUNCTION("""COMPUTED_VALUE"""),20.0)</f>
        <v>20</v>
      </c>
      <c r="F335" s="2">
        <f>IFERROR(__xludf.DUMMYFUNCTION("""COMPUTED_VALUE"""),14264.0)</f>
        <v>14264</v>
      </c>
      <c r="G335" s="2">
        <f>IFERROR(__xludf.DUMMYFUNCTION("""COMPUTED_VALUE"""),1210.0)</f>
        <v>1210</v>
      </c>
    </row>
    <row r="336">
      <c r="A336" s="2" t="str">
        <f>IFERROR(__xludf.DUMMYFUNCTION("""COMPUTED_VALUE"""),"Mexico")</f>
        <v>Mexico</v>
      </c>
      <c r="B336" s="3">
        <f>IFERROR(__xludf.DUMMYFUNCTION("""COMPUTED_VALUE"""),44340.0)</f>
        <v>44340</v>
      </c>
      <c r="C336" s="3">
        <f>IFERROR(__xludf.DUMMYFUNCTION("""COMPUTED_VALUE"""),44346.0)</f>
        <v>44346</v>
      </c>
      <c r="D336" s="2">
        <f>IFERROR(__xludf.DUMMYFUNCTION("""COMPUTED_VALUE"""),7.0)</f>
        <v>7</v>
      </c>
      <c r="E336" s="2">
        <f>IFERROR(__xludf.DUMMYFUNCTION("""COMPUTED_VALUE"""),21.0)</f>
        <v>21</v>
      </c>
      <c r="F336" s="2">
        <f>IFERROR(__xludf.DUMMYFUNCTION("""COMPUTED_VALUE"""),14358.0)</f>
        <v>14358</v>
      </c>
      <c r="G336" s="2">
        <f>IFERROR(__xludf.DUMMYFUNCTION("""COMPUTED_VALUE"""),1860.0)</f>
        <v>1860</v>
      </c>
    </row>
    <row r="337">
      <c r="A337" s="2" t="str">
        <f>IFERROR(__xludf.DUMMYFUNCTION("""COMPUTED_VALUE"""),"Mexico")</f>
        <v>Mexico</v>
      </c>
      <c r="B337" s="3">
        <f>IFERROR(__xludf.DUMMYFUNCTION("""COMPUTED_VALUE"""),44347.0)</f>
        <v>44347</v>
      </c>
      <c r="C337" s="3">
        <f>IFERROR(__xludf.DUMMYFUNCTION("""COMPUTED_VALUE"""),44353.0)</f>
        <v>44353</v>
      </c>
      <c r="D337" s="2">
        <f>IFERROR(__xludf.DUMMYFUNCTION("""COMPUTED_VALUE"""),7.0)</f>
        <v>7</v>
      </c>
      <c r="E337" s="2">
        <f>IFERROR(__xludf.DUMMYFUNCTION("""COMPUTED_VALUE"""),22.0)</f>
        <v>22</v>
      </c>
      <c r="F337" s="2">
        <f>IFERROR(__xludf.DUMMYFUNCTION("""COMPUTED_VALUE"""),13943.0)</f>
        <v>13943</v>
      </c>
      <c r="G337" s="2">
        <f>IFERROR(__xludf.DUMMYFUNCTION("""COMPUTED_VALUE"""),1025.0)</f>
        <v>1025</v>
      </c>
    </row>
    <row r="338">
      <c r="A338" s="2" t="str">
        <f>IFERROR(__xludf.DUMMYFUNCTION("""COMPUTED_VALUE"""),"Mexico")</f>
        <v>Mexico</v>
      </c>
      <c r="B338" s="3">
        <f>IFERROR(__xludf.DUMMYFUNCTION("""COMPUTED_VALUE"""),44354.0)</f>
        <v>44354</v>
      </c>
      <c r="C338" s="3">
        <f>IFERROR(__xludf.DUMMYFUNCTION("""COMPUTED_VALUE"""),44360.0)</f>
        <v>44360</v>
      </c>
      <c r="D338" s="2">
        <f>IFERROR(__xludf.DUMMYFUNCTION("""COMPUTED_VALUE"""),7.0)</f>
        <v>7</v>
      </c>
      <c r="E338" s="2">
        <f>IFERROR(__xludf.DUMMYFUNCTION("""COMPUTED_VALUE"""),23.0)</f>
        <v>23</v>
      </c>
      <c r="F338" s="2">
        <f>IFERROR(__xludf.DUMMYFUNCTION("""COMPUTED_VALUE"""),14140.0)</f>
        <v>14140</v>
      </c>
      <c r="G338" s="2">
        <f>IFERROR(__xludf.DUMMYFUNCTION("""COMPUTED_VALUE"""),1346.0)</f>
        <v>1346</v>
      </c>
    </row>
    <row r="339">
      <c r="A339" s="2" t="str">
        <f>IFERROR(__xludf.DUMMYFUNCTION("""COMPUTED_VALUE"""),"Mexico")</f>
        <v>Mexico</v>
      </c>
      <c r="B339" s="3">
        <f>IFERROR(__xludf.DUMMYFUNCTION("""COMPUTED_VALUE"""),44361.0)</f>
        <v>44361</v>
      </c>
      <c r="C339" s="3">
        <f>IFERROR(__xludf.DUMMYFUNCTION("""COMPUTED_VALUE"""),44367.0)</f>
        <v>44367</v>
      </c>
      <c r="D339" s="2">
        <f>IFERROR(__xludf.DUMMYFUNCTION("""COMPUTED_VALUE"""),7.0)</f>
        <v>7</v>
      </c>
      <c r="E339" s="2">
        <f>IFERROR(__xludf.DUMMYFUNCTION("""COMPUTED_VALUE"""),24.0)</f>
        <v>24</v>
      </c>
      <c r="F339" s="2">
        <f>IFERROR(__xludf.DUMMYFUNCTION("""COMPUTED_VALUE"""),14261.0)</f>
        <v>14261</v>
      </c>
      <c r="G339" s="2">
        <f>IFERROR(__xludf.DUMMYFUNCTION("""COMPUTED_VALUE"""),1037.0)</f>
        <v>1037</v>
      </c>
    </row>
    <row r="340">
      <c r="A340" s="2" t="str">
        <f>IFERROR(__xludf.DUMMYFUNCTION("""COMPUTED_VALUE"""),"Mexico")</f>
        <v>Mexico</v>
      </c>
      <c r="B340" s="3">
        <f>IFERROR(__xludf.DUMMYFUNCTION("""COMPUTED_VALUE"""),44368.0)</f>
        <v>44368</v>
      </c>
      <c r="C340" s="3">
        <f>IFERROR(__xludf.DUMMYFUNCTION("""COMPUTED_VALUE"""),44374.0)</f>
        <v>44374</v>
      </c>
      <c r="D340" s="2">
        <f>IFERROR(__xludf.DUMMYFUNCTION("""COMPUTED_VALUE"""),7.0)</f>
        <v>7</v>
      </c>
      <c r="E340" s="2">
        <f>IFERROR(__xludf.DUMMYFUNCTION("""COMPUTED_VALUE"""),25.0)</f>
        <v>25</v>
      </c>
      <c r="F340" s="2">
        <f>IFERROR(__xludf.DUMMYFUNCTION("""COMPUTED_VALUE"""),14323.0)</f>
        <v>14323</v>
      </c>
      <c r="G340" s="2">
        <f>IFERROR(__xludf.DUMMYFUNCTION("""COMPUTED_VALUE"""),1377.0)</f>
        <v>1377</v>
      </c>
    </row>
    <row r="341">
      <c r="A341" s="2" t="str">
        <f>IFERROR(__xludf.DUMMYFUNCTION("""COMPUTED_VALUE"""),"Mexico")</f>
        <v>Mexico</v>
      </c>
      <c r="B341" s="3">
        <f>IFERROR(__xludf.DUMMYFUNCTION("""COMPUTED_VALUE"""),44375.0)</f>
        <v>44375</v>
      </c>
      <c r="C341" s="3">
        <f>IFERROR(__xludf.DUMMYFUNCTION("""COMPUTED_VALUE"""),44381.0)</f>
        <v>44381</v>
      </c>
      <c r="D341" s="2">
        <f>IFERROR(__xludf.DUMMYFUNCTION("""COMPUTED_VALUE"""),7.0)</f>
        <v>7</v>
      </c>
      <c r="E341" s="2">
        <f>IFERROR(__xludf.DUMMYFUNCTION("""COMPUTED_VALUE"""),26.0)</f>
        <v>26</v>
      </c>
      <c r="F341" s="2">
        <f>IFERROR(__xludf.DUMMYFUNCTION("""COMPUTED_VALUE"""),14582.0)</f>
        <v>14582</v>
      </c>
      <c r="G341" s="2">
        <f>IFERROR(__xludf.DUMMYFUNCTION("""COMPUTED_VALUE"""),1058.0)</f>
        <v>1058</v>
      </c>
    </row>
    <row r="342">
      <c r="A342" s="2" t="str">
        <f>IFERROR(__xludf.DUMMYFUNCTION("""COMPUTED_VALUE"""),"Mexico")</f>
        <v>Mexico</v>
      </c>
      <c r="B342" s="3">
        <f>IFERROR(__xludf.DUMMYFUNCTION("""COMPUTED_VALUE"""),44382.0)</f>
        <v>44382</v>
      </c>
      <c r="C342" s="3">
        <f>IFERROR(__xludf.DUMMYFUNCTION("""COMPUTED_VALUE"""),44388.0)</f>
        <v>44388</v>
      </c>
      <c r="D342" s="2">
        <f>IFERROR(__xludf.DUMMYFUNCTION("""COMPUTED_VALUE"""),7.0)</f>
        <v>7</v>
      </c>
      <c r="E342" s="2">
        <f>IFERROR(__xludf.DUMMYFUNCTION("""COMPUTED_VALUE"""),27.0)</f>
        <v>27</v>
      </c>
      <c r="F342" s="2">
        <f>IFERROR(__xludf.DUMMYFUNCTION("""COMPUTED_VALUE"""),15444.0)</f>
        <v>15444</v>
      </c>
      <c r="G342" s="2">
        <f>IFERROR(__xludf.DUMMYFUNCTION("""COMPUTED_VALUE"""),1347.0)</f>
        <v>1347</v>
      </c>
    </row>
    <row r="343">
      <c r="A343" s="2" t="str">
        <f>IFERROR(__xludf.DUMMYFUNCTION("""COMPUTED_VALUE"""),"Mexico")</f>
        <v>Mexico</v>
      </c>
      <c r="B343" s="3">
        <f>IFERROR(__xludf.DUMMYFUNCTION("""COMPUTED_VALUE"""),44389.0)</f>
        <v>44389</v>
      </c>
      <c r="C343" s="3">
        <f>IFERROR(__xludf.DUMMYFUNCTION("""COMPUTED_VALUE"""),44395.0)</f>
        <v>44395</v>
      </c>
      <c r="D343" s="2">
        <f>IFERROR(__xludf.DUMMYFUNCTION("""COMPUTED_VALUE"""),7.0)</f>
        <v>7</v>
      </c>
      <c r="E343" s="2">
        <f>IFERROR(__xludf.DUMMYFUNCTION("""COMPUTED_VALUE"""),28.0)</f>
        <v>28</v>
      </c>
      <c r="F343" s="2">
        <f>IFERROR(__xludf.DUMMYFUNCTION("""COMPUTED_VALUE"""),16410.0)</f>
        <v>16410</v>
      </c>
      <c r="G343" s="2">
        <f>IFERROR(__xludf.DUMMYFUNCTION("""COMPUTED_VALUE"""),1362.0)</f>
        <v>1362</v>
      </c>
    </row>
    <row r="344">
      <c r="A344" s="2" t="str">
        <f>IFERROR(__xludf.DUMMYFUNCTION("""COMPUTED_VALUE"""),"Mexico")</f>
        <v>Mexico</v>
      </c>
      <c r="B344" s="3">
        <f>IFERROR(__xludf.DUMMYFUNCTION("""COMPUTED_VALUE"""),44396.0)</f>
        <v>44396</v>
      </c>
      <c r="C344" s="3">
        <f>IFERROR(__xludf.DUMMYFUNCTION("""COMPUTED_VALUE"""),44402.0)</f>
        <v>44402</v>
      </c>
      <c r="D344" s="2">
        <f>IFERROR(__xludf.DUMMYFUNCTION("""COMPUTED_VALUE"""),7.0)</f>
        <v>7</v>
      </c>
      <c r="E344" s="2">
        <f>IFERROR(__xludf.DUMMYFUNCTION("""COMPUTED_VALUE"""),29.0)</f>
        <v>29</v>
      </c>
      <c r="F344" s="2">
        <f>IFERROR(__xludf.DUMMYFUNCTION("""COMPUTED_VALUE"""),18342.0)</f>
        <v>18342</v>
      </c>
      <c r="G344" s="2">
        <f>IFERROR(__xludf.DUMMYFUNCTION("""COMPUTED_VALUE"""),2093.0)</f>
        <v>2093</v>
      </c>
    </row>
    <row r="345">
      <c r="A345" s="2" t="str">
        <f>IFERROR(__xludf.DUMMYFUNCTION("""COMPUTED_VALUE"""),"Mexico")</f>
        <v>Mexico</v>
      </c>
      <c r="B345" s="3">
        <f>IFERROR(__xludf.DUMMYFUNCTION("""COMPUTED_VALUE"""),44403.0)</f>
        <v>44403</v>
      </c>
      <c r="C345" s="3">
        <f>IFERROR(__xludf.DUMMYFUNCTION("""COMPUTED_VALUE"""),44409.0)</f>
        <v>44409</v>
      </c>
      <c r="D345" s="2">
        <f>IFERROR(__xludf.DUMMYFUNCTION("""COMPUTED_VALUE"""),7.0)</f>
        <v>7</v>
      </c>
      <c r="E345" s="2">
        <f>IFERROR(__xludf.DUMMYFUNCTION("""COMPUTED_VALUE"""),30.0)</f>
        <v>30</v>
      </c>
      <c r="F345" s="2">
        <f>IFERROR(__xludf.DUMMYFUNCTION("""COMPUTED_VALUE"""),20721.0)</f>
        <v>20721</v>
      </c>
      <c r="G345" s="2">
        <f>IFERROR(__xludf.DUMMYFUNCTION("""COMPUTED_VALUE"""),2610.0)</f>
        <v>2610</v>
      </c>
    </row>
    <row r="346">
      <c r="A346" s="2" t="str">
        <f>IFERROR(__xludf.DUMMYFUNCTION("""COMPUTED_VALUE"""),"Mexico")</f>
        <v>Mexico</v>
      </c>
      <c r="B346" s="3">
        <f>IFERROR(__xludf.DUMMYFUNCTION("""COMPUTED_VALUE"""),44410.0)</f>
        <v>44410</v>
      </c>
      <c r="C346" s="3">
        <f>IFERROR(__xludf.DUMMYFUNCTION("""COMPUTED_VALUE"""),44416.0)</f>
        <v>44416</v>
      </c>
      <c r="D346" s="2">
        <f>IFERROR(__xludf.DUMMYFUNCTION("""COMPUTED_VALUE"""),7.0)</f>
        <v>7</v>
      </c>
      <c r="E346" s="2">
        <f>IFERROR(__xludf.DUMMYFUNCTION("""COMPUTED_VALUE"""),31.0)</f>
        <v>31</v>
      </c>
      <c r="F346" s="2">
        <f>IFERROR(__xludf.DUMMYFUNCTION("""COMPUTED_VALUE"""),23457.0)</f>
        <v>23457</v>
      </c>
      <c r="G346" s="2">
        <f>IFERROR(__xludf.DUMMYFUNCTION("""COMPUTED_VALUE"""),3386.0)</f>
        <v>3386</v>
      </c>
    </row>
    <row r="347">
      <c r="A347" s="2" t="str">
        <f>IFERROR(__xludf.DUMMYFUNCTION("""COMPUTED_VALUE"""),"Mexico")</f>
        <v>Mexico</v>
      </c>
      <c r="B347" s="3">
        <f>IFERROR(__xludf.DUMMYFUNCTION("""COMPUTED_VALUE"""),44417.0)</f>
        <v>44417</v>
      </c>
      <c r="C347" s="3">
        <f>IFERROR(__xludf.DUMMYFUNCTION("""COMPUTED_VALUE"""),44423.0)</f>
        <v>44423</v>
      </c>
      <c r="D347" s="2">
        <f>IFERROR(__xludf.DUMMYFUNCTION("""COMPUTED_VALUE"""),7.0)</f>
        <v>7</v>
      </c>
      <c r="E347" s="2">
        <f>IFERROR(__xludf.DUMMYFUNCTION("""COMPUTED_VALUE"""),32.0)</f>
        <v>32</v>
      </c>
      <c r="F347" s="2">
        <f>IFERROR(__xludf.DUMMYFUNCTION("""COMPUTED_VALUE"""),25423.0)</f>
        <v>25423</v>
      </c>
      <c r="G347" s="2">
        <f>IFERROR(__xludf.DUMMYFUNCTION("""COMPUTED_VALUE"""),3747.0)</f>
        <v>3747</v>
      </c>
    </row>
    <row r="348">
      <c r="A348" s="2" t="str">
        <f>IFERROR(__xludf.DUMMYFUNCTION("""COMPUTED_VALUE"""),"Mexico")</f>
        <v>Mexico</v>
      </c>
      <c r="B348" s="3">
        <f>IFERROR(__xludf.DUMMYFUNCTION("""COMPUTED_VALUE"""),44424.0)</f>
        <v>44424</v>
      </c>
      <c r="C348" s="3">
        <f>IFERROR(__xludf.DUMMYFUNCTION("""COMPUTED_VALUE"""),44430.0)</f>
        <v>44430</v>
      </c>
      <c r="D348" s="2">
        <f>IFERROR(__xludf.DUMMYFUNCTION("""COMPUTED_VALUE"""),7.0)</f>
        <v>7</v>
      </c>
      <c r="E348" s="2">
        <f>IFERROR(__xludf.DUMMYFUNCTION("""COMPUTED_VALUE"""),33.0)</f>
        <v>33</v>
      </c>
      <c r="F348" s="2">
        <f>IFERROR(__xludf.DUMMYFUNCTION("""COMPUTED_VALUE"""),26786.0)</f>
        <v>26786</v>
      </c>
      <c r="G348" s="2">
        <f>IFERROR(__xludf.DUMMYFUNCTION("""COMPUTED_VALUE"""),4988.0)</f>
        <v>4988</v>
      </c>
    </row>
    <row r="349">
      <c r="A349" s="2" t="str">
        <f>IFERROR(__xludf.DUMMYFUNCTION("""COMPUTED_VALUE"""),"Mexico")</f>
        <v>Mexico</v>
      </c>
      <c r="B349" s="3">
        <f>IFERROR(__xludf.DUMMYFUNCTION("""COMPUTED_VALUE"""),44431.0)</f>
        <v>44431</v>
      </c>
      <c r="C349" s="3">
        <f>IFERROR(__xludf.DUMMYFUNCTION("""COMPUTED_VALUE"""),44437.0)</f>
        <v>44437</v>
      </c>
      <c r="D349" s="2">
        <f>IFERROR(__xludf.DUMMYFUNCTION("""COMPUTED_VALUE"""),7.0)</f>
        <v>7</v>
      </c>
      <c r="E349" s="2">
        <f>IFERROR(__xludf.DUMMYFUNCTION("""COMPUTED_VALUE"""),34.0)</f>
        <v>34</v>
      </c>
      <c r="F349" s="2">
        <f>IFERROR(__xludf.DUMMYFUNCTION("""COMPUTED_VALUE"""),25778.0)</f>
        <v>25778</v>
      </c>
      <c r="G349" s="2">
        <f>IFERROR(__xludf.DUMMYFUNCTION("""COMPUTED_VALUE"""),5010.0)</f>
        <v>5010</v>
      </c>
    </row>
    <row r="350">
      <c r="A350" s="2" t="str">
        <f>IFERROR(__xludf.DUMMYFUNCTION("""COMPUTED_VALUE"""),"Mexico")</f>
        <v>Mexico</v>
      </c>
      <c r="B350" s="3">
        <f>IFERROR(__xludf.DUMMYFUNCTION("""COMPUTED_VALUE"""),44438.0)</f>
        <v>44438</v>
      </c>
      <c r="C350" s="3">
        <f>IFERROR(__xludf.DUMMYFUNCTION("""COMPUTED_VALUE"""),44444.0)</f>
        <v>44444</v>
      </c>
      <c r="D350" s="2">
        <f>IFERROR(__xludf.DUMMYFUNCTION("""COMPUTED_VALUE"""),7.0)</f>
        <v>7</v>
      </c>
      <c r="E350" s="2">
        <f>IFERROR(__xludf.DUMMYFUNCTION("""COMPUTED_VALUE"""),35.0)</f>
        <v>35</v>
      </c>
      <c r="F350" s="2">
        <f>IFERROR(__xludf.DUMMYFUNCTION("""COMPUTED_VALUE"""),25052.0)</f>
        <v>25052</v>
      </c>
      <c r="G350" s="2">
        <f>IFERROR(__xludf.DUMMYFUNCTION("""COMPUTED_VALUE"""),4975.0)</f>
        <v>4975</v>
      </c>
    </row>
    <row r="351">
      <c r="A351" s="2" t="str">
        <f>IFERROR(__xludf.DUMMYFUNCTION("""COMPUTED_VALUE"""),"Mexico")</f>
        <v>Mexico</v>
      </c>
      <c r="B351" s="3">
        <f>IFERROR(__xludf.DUMMYFUNCTION("""COMPUTED_VALUE"""),44445.0)</f>
        <v>44445</v>
      </c>
      <c r="C351" s="3">
        <f>IFERROR(__xludf.DUMMYFUNCTION("""COMPUTED_VALUE"""),44451.0)</f>
        <v>44451</v>
      </c>
      <c r="D351" s="2">
        <f>IFERROR(__xludf.DUMMYFUNCTION("""COMPUTED_VALUE"""),7.0)</f>
        <v>7</v>
      </c>
      <c r="E351" s="2">
        <f>IFERROR(__xludf.DUMMYFUNCTION("""COMPUTED_VALUE"""),36.0)</f>
        <v>36</v>
      </c>
      <c r="F351" s="2">
        <f>IFERROR(__xludf.DUMMYFUNCTION("""COMPUTED_VALUE"""),23022.0)</f>
        <v>23022</v>
      </c>
      <c r="G351" s="2">
        <f>IFERROR(__xludf.DUMMYFUNCTION("""COMPUTED_VALUE"""),4608.0)</f>
        <v>4608</v>
      </c>
    </row>
    <row r="352">
      <c r="A352" s="2" t="str">
        <f>IFERROR(__xludf.DUMMYFUNCTION("""COMPUTED_VALUE"""),"Mexico")</f>
        <v>Mexico</v>
      </c>
      <c r="B352" s="3">
        <f>IFERROR(__xludf.DUMMYFUNCTION("""COMPUTED_VALUE"""),44452.0)</f>
        <v>44452</v>
      </c>
      <c r="C352" s="3">
        <f>IFERROR(__xludf.DUMMYFUNCTION("""COMPUTED_VALUE"""),44458.0)</f>
        <v>44458</v>
      </c>
      <c r="D352" s="2">
        <f>IFERROR(__xludf.DUMMYFUNCTION("""COMPUTED_VALUE"""),7.0)</f>
        <v>7</v>
      </c>
      <c r="E352" s="2">
        <f>IFERROR(__xludf.DUMMYFUNCTION("""COMPUTED_VALUE"""),37.0)</f>
        <v>37</v>
      </c>
      <c r="F352" s="2">
        <f>IFERROR(__xludf.DUMMYFUNCTION("""COMPUTED_VALUE"""),21506.0)</f>
        <v>21506</v>
      </c>
      <c r="G352" s="2">
        <f>IFERROR(__xludf.DUMMYFUNCTION("""COMPUTED_VALUE"""),3755.0)</f>
        <v>3755</v>
      </c>
    </row>
    <row r="353">
      <c r="A353" s="2" t="str">
        <f>IFERROR(__xludf.DUMMYFUNCTION("""COMPUTED_VALUE"""),"Mexico")</f>
        <v>Mexico</v>
      </c>
      <c r="B353" s="3">
        <f>IFERROR(__xludf.DUMMYFUNCTION("""COMPUTED_VALUE"""),44459.0)</f>
        <v>44459</v>
      </c>
      <c r="C353" s="3">
        <f>IFERROR(__xludf.DUMMYFUNCTION("""COMPUTED_VALUE"""),44465.0)</f>
        <v>44465</v>
      </c>
      <c r="D353" s="2">
        <f>IFERROR(__xludf.DUMMYFUNCTION("""COMPUTED_VALUE"""),7.0)</f>
        <v>7</v>
      </c>
      <c r="E353" s="2">
        <f>IFERROR(__xludf.DUMMYFUNCTION("""COMPUTED_VALUE"""),38.0)</f>
        <v>38</v>
      </c>
      <c r="F353" s="2">
        <f>IFERROR(__xludf.DUMMYFUNCTION("""COMPUTED_VALUE"""),19587.0)</f>
        <v>19587</v>
      </c>
      <c r="G353" s="2">
        <f>IFERROR(__xludf.DUMMYFUNCTION("""COMPUTED_VALUE"""),3947.0)</f>
        <v>3947</v>
      </c>
    </row>
    <row r="354">
      <c r="A354" s="2" t="str">
        <f>IFERROR(__xludf.DUMMYFUNCTION("""COMPUTED_VALUE"""),"Mexico")</f>
        <v>Mexico</v>
      </c>
      <c r="B354" s="3">
        <f>IFERROR(__xludf.DUMMYFUNCTION("""COMPUTED_VALUE"""),44466.0)</f>
        <v>44466</v>
      </c>
      <c r="C354" s="3">
        <f>IFERROR(__xludf.DUMMYFUNCTION("""COMPUTED_VALUE"""),44472.0)</f>
        <v>44472</v>
      </c>
      <c r="D354" s="2">
        <f>IFERROR(__xludf.DUMMYFUNCTION("""COMPUTED_VALUE"""),7.0)</f>
        <v>7</v>
      </c>
      <c r="E354" s="2">
        <f>IFERROR(__xludf.DUMMYFUNCTION("""COMPUTED_VALUE"""),39.0)</f>
        <v>39</v>
      </c>
      <c r="F354" s="2">
        <f>IFERROR(__xludf.DUMMYFUNCTION("""COMPUTED_VALUE"""),17718.0)</f>
        <v>17718</v>
      </c>
      <c r="G354" s="2">
        <f>IFERROR(__xludf.DUMMYFUNCTION("""COMPUTED_VALUE"""),3142.0)</f>
        <v>3142</v>
      </c>
    </row>
    <row r="355">
      <c r="A355" s="2" t="str">
        <f>IFERROR(__xludf.DUMMYFUNCTION("""COMPUTED_VALUE"""),"Mexico")</f>
        <v>Mexico</v>
      </c>
      <c r="B355" s="3">
        <f>IFERROR(__xludf.DUMMYFUNCTION("""COMPUTED_VALUE"""),44473.0)</f>
        <v>44473</v>
      </c>
      <c r="C355" s="3">
        <f>IFERROR(__xludf.DUMMYFUNCTION("""COMPUTED_VALUE"""),44479.0)</f>
        <v>44479</v>
      </c>
      <c r="D355" s="2">
        <f>IFERROR(__xludf.DUMMYFUNCTION("""COMPUTED_VALUE"""),7.0)</f>
        <v>7</v>
      </c>
      <c r="E355" s="2">
        <f>IFERROR(__xludf.DUMMYFUNCTION("""COMPUTED_VALUE"""),40.0)</f>
        <v>40</v>
      </c>
      <c r="F355" s="2">
        <f>IFERROR(__xludf.DUMMYFUNCTION("""COMPUTED_VALUE"""),15572.0)</f>
        <v>15572</v>
      </c>
      <c r="G355" s="2">
        <f>IFERROR(__xludf.DUMMYFUNCTION("""COMPUTED_VALUE"""),3494.0)</f>
        <v>3494</v>
      </c>
    </row>
    <row r="356">
      <c r="A356" s="2" t="str">
        <f>IFERROR(__xludf.DUMMYFUNCTION("""COMPUTED_VALUE"""),"Peru")</f>
        <v>Peru</v>
      </c>
      <c r="B356" s="3">
        <f>IFERROR(__xludf.DUMMYFUNCTION("""COMPUTED_VALUE"""),42737.0)</f>
        <v>42737</v>
      </c>
      <c r="C356" s="3">
        <f>IFERROR(__xludf.DUMMYFUNCTION("""COMPUTED_VALUE"""),42743.0)</f>
        <v>42743</v>
      </c>
      <c r="D356" s="2">
        <f>IFERROR(__xludf.DUMMYFUNCTION("""COMPUTED_VALUE"""),7.0)</f>
        <v>7</v>
      </c>
      <c r="E356" s="2">
        <f>IFERROR(__xludf.DUMMYFUNCTION("""COMPUTED_VALUE"""),1.0)</f>
        <v>1</v>
      </c>
      <c r="F356" s="2">
        <f>IFERROR(__xludf.DUMMYFUNCTION("""COMPUTED_VALUE"""),1586.0)</f>
        <v>1586</v>
      </c>
      <c r="G356" s="2">
        <f>IFERROR(__xludf.DUMMYFUNCTION("""COMPUTED_VALUE"""),0.0)</f>
        <v>0</v>
      </c>
    </row>
    <row r="357">
      <c r="A357" s="2" t="str">
        <f>IFERROR(__xludf.DUMMYFUNCTION("""COMPUTED_VALUE"""),"Peru")</f>
        <v>Peru</v>
      </c>
      <c r="B357" s="3">
        <f>IFERROR(__xludf.DUMMYFUNCTION("""COMPUTED_VALUE"""),42744.0)</f>
        <v>42744</v>
      </c>
      <c r="C357" s="3">
        <f>IFERROR(__xludf.DUMMYFUNCTION("""COMPUTED_VALUE"""),42750.0)</f>
        <v>42750</v>
      </c>
      <c r="D357" s="2">
        <f>IFERROR(__xludf.DUMMYFUNCTION("""COMPUTED_VALUE"""),7.0)</f>
        <v>7</v>
      </c>
      <c r="E357" s="2">
        <f>IFERROR(__xludf.DUMMYFUNCTION("""COMPUTED_VALUE"""),2.0)</f>
        <v>2</v>
      </c>
      <c r="F357" s="2">
        <f>IFERROR(__xludf.DUMMYFUNCTION("""COMPUTED_VALUE"""),1672.0)</f>
        <v>1672</v>
      </c>
      <c r="G357" s="2">
        <f>IFERROR(__xludf.DUMMYFUNCTION("""COMPUTED_VALUE"""),0.0)</f>
        <v>0</v>
      </c>
    </row>
    <row r="358">
      <c r="A358" s="2" t="str">
        <f>IFERROR(__xludf.DUMMYFUNCTION("""COMPUTED_VALUE"""),"Peru")</f>
        <v>Peru</v>
      </c>
      <c r="B358" s="3">
        <f>IFERROR(__xludf.DUMMYFUNCTION("""COMPUTED_VALUE"""),42751.0)</f>
        <v>42751</v>
      </c>
      <c r="C358" s="3">
        <f>IFERROR(__xludf.DUMMYFUNCTION("""COMPUTED_VALUE"""),42757.0)</f>
        <v>42757</v>
      </c>
      <c r="D358" s="2">
        <f>IFERROR(__xludf.DUMMYFUNCTION("""COMPUTED_VALUE"""),7.0)</f>
        <v>7</v>
      </c>
      <c r="E358" s="2">
        <f>IFERROR(__xludf.DUMMYFUNCTION("""COMPUTED_VALUE"""),3.0)</f>
        <v>3</v>
      </c>
      <c r="F358" s="2">
        <f>IFERROR(__xludf.DUMMYFUNCTION("""COMPUTED_VALUE"""),1740.0)</f>
        <v>1740</v>
      </c>
      <c r="G358" s="2">
        <f>IFERROR(__xludf.DUMMYFUNCTION("""COMPUTED_VALUE"""),0.0)</f>
        <v>0</v>
      </c>
    </row>
    <row r="359">
      <c r="A359" s="2" t="str">
        <f>IFERROR(__xludf.DUMMYFUNCTION("""COMPUTED_VALUE"""),"Peru")</f>
        <v>Peru</v>
      </c>
      <c r="B359" s="3">
        <f>IFERROR(__xludf.DUMMYFUNCTION("""COMPUTED_VALUE"""),42758.0)</f>
        <v>42758</v>
      </c>
      <c r="C359" s="3">
        <f>IFERROR(__xludf.DUMMYFUNCTION("""COMPUTED_VALUE"""),42764.0)</f>
        <v>42764</v>
      </c>
      <c r="D359" s="2">
        <f>IFERROR(__xludf.DUMMYFUNCTION("""COMPUTED_VALUE"""),7.0)</f>
        <v>7</v>
      </c>
      <c r="E359" s="2">
        <f>IFERROR(__xludf.DUMMYFUNCTION("""COMPUTED_VALUE"""),4.0)</f>
        <v>4</v>
      </c>
      <c r="F359" s="2">
        <f>IFERROR(__xludf.DUMMYFUNCTION("""COMPUTED_VALUE"""),1760.0)</f>
        <v>1760</v>
      </c>
      <c r="G359" s="2">
        <f>IFERROR(__xludf.DUMMYFUNCTION("""COMPUTED_VALUE"""),0.0)</f>
        <v>0</v>
      </c>
    </row>
    <row r="360">
      <c r="A360" s="2" t="str">
        <f>IFERROR(__xludf.DUMMYFUNCTION("""COMPUTED_VALUE"""),"Peru")</f>
        <v>Peru</v>
      </c>
      <c r="B360" s="3">
        <f>IFERROR(__xludf.DUMMYFUNCTION("""COMPUTED_VALUE"""),42765.0)</f>
        <v>42765</v>
      </c>
      <c r="C360" s="3">
        <f>IFERROR(__xludf.DUMMYFUNCTION("""COMPUTED_VALUE"""),42771.0)</f>
        <v>42771</v>
      </c>
      <c r="D360" s="2">
        <f>IFERROR(__xludf.DUMMYFUNCTION("""COMPUTED_VALUE"""),7.0)</f>
        <v>7</v>
      </c>
      <c r="E360" s="2">
        <f>IFERROR(__xludf.DUMMYFUNCTION("""COMPUTED_VALUE"""),5.0)</f>
        <v>5</v>
      </c>
      <c r="F360" s="2">
        <f>IFERROR(__xludf.DUMMYFUNCTION("""COMPUTED_VALUE"""),1881.0)</f>
        <v>1881</v>
      </c>
      <c r="G360" s="2">
        <f>IFERROR(__xludf.DUMMYFUNCTION("""COMPUTED_VALUE"""),0.0)</f>
        <v>0</v>
      </c>
    </row>
    <row r="361">
      <c r="A361" s="2" t="str">
        <f>IFERROR(__xludf.DUMMYFUNCTION("""COMPUTED_VALUE"""),"Peru")</f>
        <v>Peru</v>
      </c>
      <c r="B361" s="3">
        <f>IFERROR(__xludf.DUMMYFUNCTION("""COMPUTED_VALUE"""),42772.0)</f>
        <v>42772</v>
      </c>
      <c r="C361" s="3">
        <f>IFERROR(__xludf.DUMMYFUNCTION("""COMPUTED_VALUE"""),42778.0)</f>
        <v>42778</v>
      </c>
      <c r="D361" s="2">
        <f>IFERROR(__xludf.DUMMYFUNCTION("""COMPUTED_VALUE"""),7.0)</f>
        <v>7</v>
      </c>
      <c r="E361" s="2">
        <f>IFERROR(__xludf.DUMMYFUNCTION("""COMPUTED_VALUE"""),6.0)</f>
        <v>6</v>
      </c>
      <c r="F361" s="2">
        <f>IFERROR(__xludf.DUMMYFUNCTION("""COMPUTED_VALUE"""),1682.0)</f>
        <v>1682</v>
      </c>
      <c r="G361" s="2">
        <f>IFERROR(__xludf.DUMMYFUNCTION("""COMPUTED_VALUE"""),0.0)</f>
        <v>0</v>
      </c>
    </row>
    <row r="362">
      <c r="A362" s="2" t="str">
        <f>IFERROR(__xludf.DUMMYFUNCTION("""COMPUTED_VALUE"""),"Peru")</f>
        <v>Peru</v>
      </c>
      <c r="B362" s="3">
        <f>IFERROR(__xludf.DUMMYFUNCTION("""COMPUTED_VALUE"""),42779.0)</f>
        <v>42779</v>
      </c>
      <c r="C362" s="3">
        <f>IFERROR(__xludf.DUMMYFUNCTION("""COMPUTED_VALUE"""),42785.0)</f>
        <v>42785</v>
      </c>
      <c r="D362" s="2">
        <f>IFERROR(__xludf.DUMMYFUNCTION("""COMPUTED_VALUE"""),7.0)</f>
        <v>7</v>
      </c>
      <c r="E362" s="2">
        <f>IFERROR(__xludf.DUMMYFUNCTION("""COMPUTED_VALUE"""),7.0)</f>
        <v>7</v>
      </c>
      <c r="F362" s="2">
        <f>IFERROR(__xludf.DUMMYFUNCTION("""COMPUTED_VALUE"""),1715.0)</f>
        <v>1715</v>
      </c>
      <c r="G362" s="2">
        <f>IFERROR(__xludf.DUMMYFUNCTION("""COMPUTED_VALUE"""),0.0)</f>
        <v>0</v>
      </c>
    </row>
    <row r="363">
      <c r="A363" s="2" t="str">
        <f>IFERROR(__xludf.DUMMYFUNCTION("""COMPUTED_VALUE"""),"Peru")</f>
        <v>Peru</v>
      </c>
      <c r="B363" s="3">
        <f>IFERROR(__xludf.DUMMYFUNCTION("""COMPUTED_VALUE"""),42786.0)</f>
        <v>42786</v>
      </c>
      <c r="C363" s="3">
        <f>IFERROR(__xludf.DUMMYFUNCTION("""COMPUTED_VALUE"""),42792.0)</f>
        <v>42792</v>
      </c>
      <c r="D363" s="2">
        <f>IFERROR(__xludf.DUMMYFUNCTION("""COMPUTED_VALUE"""),7.0)</f>
        <v>7</v>
      </c>
      <c r="E363" s="2">
        <f>IFERROR(__xludf.DUMMYFUNCTION("""COMPUTED_VALUE"""),8.0)</f>
        <v>8</v>
      </c>
      <c r="F363" s="2">
        <f>IFERROR(__xludf.DUMMYFUNCTION("""COMPUTED_VALUE"""),1933.0)</f>
        <v>1933</v>
      </c>
      <c r="G363" s="2">
        <f>IFERROR(__xludf.DUMMYFUNCTION("""COMPUTED_VALUE"""),0.0)</f>
        <v>0</v>
      </c>
    </row>
    <row r="364">
      <c r="A364" s="2" t="str">
        <f>IFERROR(__xludf.DUMMYFUNCTION("""COMPUTED_VALUE"""),"Peru")</f>
        <v>Peru</v>
      </c>
      <c r="B364" s="3">
        <f>IFERROR(__xludf.DUMMYFUNCTION("""COMPUTED_VALUE"""),42793.0)</f>
        <v>42793</v>
      </c>
      <c r="C364" s="3">
        <f>IFERROR(__xludf.DUMMYFUNCTION("""COMPUTED_VALUE"""),42799.0)</f>
        <v>42799</v>
      </c>
      <c r="D364" s="2">
        <f>IFERROR(__xludf.DUMMYFUNCTION("""COMPUTED_VALUE"""),7.0)</f>
        <v>7</v>
      </c>
      <c r="E364" s="2">
        <f>IFERROR(__xludf.DUMMYFUNCTION("""COMPUTED_VALUE"""),9.0)</f>
        <v>9</v>
      </c>
      <c r="F364" s="2">
        <f>IFERROR(__xludf.DUMMYFUNCTION("""COMPUTED_VALUE"""),2052.0)</f>
        <v>2052</v>
      </c>
      <c r="G364" s="2">
        <f>IFERROR(__xludf.DUMMYFUNCTION("""COMPUTED_VALUE"""),0.0)</f>
        <v>0</v>
      </c>
    </row>
    <row r="365">
      <c r="A365" s="2" t="str">
        <f>IFERROR(__xludf.DUMMYFUNCTION("""COMPUTED_VALUE"""),"Peru")</f>
        <v>Peru</v>
      </c>
      <c r="B365" s="3">
        <f>IFERROR(__xludf.DUMMYFUNCTION("""COMPUTED_VALUE"""),42800.0)</f>
        <v>42800</v>
      </c>
      <c r="C365" s="3">
        <f>IFERROR(__xludf.DUMMYFUNCTION("""COMPUTED_VALUE"""),42806.0)</f>
        <v>42806</v>
      </c>
      <c r="D365" s="2">
        <f>IFERROR(__xludf.DUMMYFUNCTION("""COMPUTED_VALUE"""),7.0)</f>
        <v>7</v>
      </c>
      <c r="E365" s="2">
        <f>IFERROR(__xludf.DUMMYFUNCTION("""COMPUTED_VALUE"""),10.0)</f>
        <v>10</v>
      </c>
      <c r="F365" s="2">
        <f>IFERROR(__xludf.DUMMYFUNCTION("""COMPUTED_VALUE"""),1839.0)</f>
        <v>1839</v>
      </c>
      <c r="G365" s="2">
        <f>IFERROR(__xludf.DUMMYFUNCTION("""COMPUTED_VALUE"""),0.0)</f>
        <v>0</v>
      </c>
    </row>
    <row r="366">
      <c r="A366" s="2" t="str">
        <f>IFERROR(__xludf.DUMMYFUNCTION("""COMPUTED_VALUE"""),"Peru")</f>
        <v>Peru</v>
      </c>
      <c r="B366" s="3">
        <f>IFERROR(__xludf.DUMMYFUNCTION("""COMPUTED_VALUE"""),42807.0)</f>
        <v>42807</v>
      </c>
      <c r="C366" s="3">
        <f>IFERROR(__xludf.DUMMYFUNCTION("""COMPUTED_VALUE"""),42813.0)</f>
        <v>42813</v>
      </c>
      <c r="D366" s="2">
        <f>IFERROR(__xludf.DUMMYFUNCTION("""COMPUTED_VALUE"""),7.0)</f>
        <v>7</v>
      </c>
      <c r="E366" s="2">
        <f>IFERROR(__xludf.DUMMYFUNCTION("""COMPUTED_VALUE"""),11.0)</f>
        <v>11</v>
      </c>
      <c r="F366" s="2">
        <f>IFERROR(__xludf.DUMMYFUNCTION("""COMPUTED_VALUE"""),1931.0)</f>
        <v>1931</v>
      </c>
      <c r="G366" s="2">
        <f>IFERROR(__xludf.DUMMYFUNCTION("""COMPUTED_VALUE"""),0.0)</f>
        <v>0</v>
      </c>
    </row>
    <row r="367">
      <c r="A367" s="2" t="str">
        <f>IFERROR(__xludf.DUMMYFUNCTION("""COMPUTED_VALUE"""),"Peru")</f>
        <v>Peru</v>
      </c>
      <c r="B367" s="3">
        <f>IFERROR(__xludf.DUMMYFUNCTION("""COMPUTED_VALUE"""),42814.0)</f>
        <v>42814</v>
      </c>
      <c r="C367" s="3">
        <f>IFERROR(__xludf.DUMMYFUNCTION("""COMPUTED_VALUE"""),42820.0)</f>
        <v>42820</v>
      </c>
      <c r="D367" s="2">
        <f>IFERROR(__xludf.DUMMYFUNCTION("""COMPUTED_VALUE"""),7.0)</f>
        <v>7</v>
      </c>
      <c r="E367" s="2">
        <f>IFERROR(__xludf.DUMMYFUNCTION("""COMPUTED_VALUE"""),12.0)</f>
        <v>12</v>
      </c>
      <c r="F367" s="2">
        <f>IFERROR(__xludf.DUMMYFUNCTION("""COMPUTED_VALUE"""),1911.0)</f>
        <v>1911</v>
      </c>
      <c r="G367" s="2">
        <f>IFERROR(__xludf.DUMMYFUNCTION("""COMPUTED_VALUE"""),0.0)</f>
        <v>0</v>
      </c>
    </row>
    <row r="368">
      <c r="A368" s="2" t="str">
        <f>IFERROR(__xludf.DUMMYFUNCTION("""COMPUTED_VALUE"""),"Peru")</f>
        <v>Peru</v>
      </c>
      <c r="B368" s="3">
        <f>IFERROR(__xludf.DUMMYFUNCTION("""COMPUTED_VALUE"""),42821.0)</f>
        <v>42821</v>
      </c>
      <c r="C368" s="3">
        <f>IFERROR(__xludf.DUMMYFUNCTION("""COMPUTED_VALUE"""),42827.0)</f>
        <v>42827</v>
      </c>
      <c r="D368" s="2">
        <f>IFERROR(__xludf.DUMMYFUNCTION("""COMPUTED_VALUE"""),7.0)</f>
        <v>7</v>
      </c>
      <c r="E368" s="2">
        <f>IFERROR(__xludf.DUMMYFUNCTION("""COMPUTED_VALUE"""),13.0)</f>
        <v>13</v>
      </c>
      <c r="F368" s="2">
        <f>IFERROR(__xludf.DUMMYFUNCTION("""COMPUTED_VALUE"""),1786.0)</f>
        <v>1786</v>
      </c>
      <c r="G368" s="2">
        <f>IFERROR(__xludf.DUMMYFUNCTION("""COMPUTED_VALUE"""),0.0)</f>
        <v>0</v>
      </c>
    </row>
    <row r="369">
      <c r="A369" s="2" t="str">
        <f>IFERROR(__xludf.DUMMYFUNCTION("""COMPUTED_VALUE"""),"Peru")</f>
        <v>Peru</v>
      </c>
      <c r="B369" s="3">
        <f>IFERROR(__xludf.DUMMYFUNCTION("""COMPUTED_VALUE"""),42828.0)</f>
        <v>42828</v>
      </c>
      <c r="C369" s="3">
        <f>IFERROR(__xludf.DUMMYFUNCTION("""COMPUTED_VALUE"""),42834.0)</f>
        <v>42834</v>
      </c>
      <c r="D369" s="2">
        <f>IFERROR(__xludf.DUMMYFUNCTION("""COMPUTED_VALUE"""),7.0)</f>
        <v>7</v>
      </c>
      <c r="E369" s="2">
        <f>IFERROR(__xludf.DUMMYFUNCTION("""COMPUTED_VALUE"""),14.0)</f>
        <v>14</v>
      </c>
      <c r="F369" s="2">
        <f>IFERROR(__xludf.DUMMYFUNCTION("""COMPUTED_VALUE"""),1765.0)</f>
        <v>1765</v>
      </c>
      <c r="G369" s="2">
        <f>IFERROR(__xludf.DUMMYFUNCTION("""COMPUTED_VALUE"""),0.0)</f>
        <v>0</v>
      </c>
    </row>
    <row r="370">
      <c r="A370" s="2" t="str">
        <f>IFERROR(__xludf.DUMMYFUNCTION("""COMPUTED_VALUE"""),"Peru")</f>
        <v>Peru</v>
      </c>
      <c r="B370" s="3">
        <f>IFERROR(__xludf.DUMMYFUNCTION("""COMPUTED_VALUE"""),42835.0)</f>
        <v>42835</v>
      </c>
      <c r="C370" s="3">
        <f>IFERROR(__xludf.DUMMYFUNCTION("""COMPUTED_VALUE"""),42841.0)</f>
        <v>42841</v>
      </c>
      <c r="D370" s="2">
        <f>IFERROR(__xludf.DUMMYFUNCTION("""COMPUTED_VALUE"""),7.0)</f>
        <v>7</v>
      </c>
      <c r="E370" s="2">
        <f>IFERROR(__xludf.DUMMYFUNCTION("""COMPUTED_VALUE"""),15.0)</f>
        <v>15</v>
      </c>
      <c r="F370" s="2">
        <f>IFERROR(__xludf.DUMMYFUNCTION("""COMPUTED_VALUE"""),1758.0)</f>
        <v>1758</v>
      </c>
      <c r="G370" s="2">
        <f>IFERROR(__xludf.DUMMYFUNCTION("""COMPUTED_VALUE"""),0.0)</f>
        <v>0</v>
      </c>
    </row>
    <row r="371">
      <c r="A371" s="2" t="str">
        <f>IFERROR(__xludf.DUMMYFUNCTION("""COMPUTED_VALUE"""),"Peru")</f>
        <v>Peru</v>
      </c>
      <c r="B371" s="3">
        <f>IFERROR(__xludf.DUMMYFUNCTION("""COMPUTED_VALUE"""),42842.0)</f>
        <v>42842</v>
      </c>
      <c r="C371" s="3">
        <f>IFERROR(__xludf.DUMMYFUNCTION("""COMPUTED_VALUE"""),42848.0)</f>
        <v>42848</v>
      </c>
      <c r="D371" s="2">
        <f>IFERROR(__xludf.DUMMYFUNCTION("""COMPUTED_VALUE"""),7.0)</f>
        <v>7</v>
      </c>
      <c r="E371" s="2">
        <f>IFERROR(__xludf.DUMMYFUNCTION("""COMPUTED_VALUE"""),16.0)</f>
        <v>16</v>
      </c>
      <c r="F371" s="2">
        <f>IFERROR(__xludf.DUMMYFUNCTION("""COMPUTED_VALUE"""),1804.0)</f>
        <v>1804</v>
      </c>
      <c r="G371" s="2">
        <f>IFERROR(__xludf.DUMMYFUNCTION("""COMPUTED_VALUE"""),0.0)</f>
        <v>0</v>
      </c>
    </row>
    <row r="372">
      <c r="A372" s="2" t="str">
        <f>IFERROR(__xludf.DUMMYFUNCTION("""COMPUTED_VALUE"""),"Peru")</f>
        <v>Peru</v>
      </c>
      <c r="B372" s="3">
        <f>IFERROR(__xludf.DUMMYFUNCTION("""COMPUTED_VALUE"""),42849.0)</f>
        <v>42849</v>
      </c>
      <c r="C372" s="3">
        <f>IFERROR(__xludf.DUMMYFUNCTION("""COMPUTED_VALUE"""),42855.0)</f>
        <v>42855</v>
      </c>
      <c r="D372" s="2">
        <f>IFERROR(__xludf.DUMMYFUNCTION("""COMPUTED_VALUE"""),7.0)</f>
        <v>7</v>
      </c>
      <c r="E372" s="2">
        <f>IFERROR(__xludf.DUMMYFUNCTION("""COMPUTED_VALUE"""),17.0)</f>
        <v>17</v>
      </c>
      <c r="F372" s="2">
        <f>IFERROR(__xludf.DUMMYFUNCTION("""COMPUTED_VALUE"""),1685.0)</f>
        <v>1685</v>
      </c>
      <c r="G372" s="2">
        <f>IFERROR(__xludf.DUMMYFUNCTION("""COMPUTED_VALUE"""),0.0)</f>
        <v>0</v>
      </c>
    </row>
    <row r="373">
      <c r="A373" s="2" t="str">
        <f>IFERROR(__xludf.DUMMYFUNCTION("""COMPUTED_VALUE"""),"Peru")</f>
        <v>Peru</v>
      </c>
      <c r="B373" s="3">
        <f>IFERROR(__xludf.DUMMYFUNCTION("""COMPUTED_VALUE"""),42856.0)</f>
        <v>42856</v>
      </c>
      <c r="C373" s="3">
        <f>IFERROR(__xludf.DUMMYFUNCTION("""COMPUTED_VALUE"""),42862.0)</f>
        <v>42862</v>
      </c>
      <c r="D373" s="2">
        <f>IFERROR(__xludf.DUMMYFUNCTION("""COMPUTED_VALUE"""),7.0)</f>
        <v>7</v>
      </c>
      <c r="E373" s="2">
        <f>IFERROR(__xludf.DUMMYFUNCTION("""COMPUTED_VALUE"""),18.0)</f>
        <v>18</v>
      </c>
      <c r="F373" s="2">
        <f>IFERROR(__xludf.DUMMYFUNCTION("""COMPUTED_VALUE"""),1780.0)</f>
        <v>1780</v>
      </c>
      <c r="G373" s="2">
        <f>IFERROR(__xludf.DUMMYFUNCTION("""COMPUTED_VALUE"""),0.0)</f>
        <v>0</v>
      </c>
    </row>
    <row r="374">
      <c r="A374" s="2" t="str">
        <f>IFERROR(__xludf.DUMMYFUNCTION("""COMPUTED_VALUE"""),"Peru")</f>
        <v>Peru</v>
      </c>
      <c r="B374" s="3">
        <f>IFERROR(__xludf.DUMMYFUNCTION("""COMPUTED_VALUE"""),42863.0)</f>
        <v>42863</v>
      </c>
      <c r="C374" s="3">
        <f>IFERROR(__xludf.DUMMYFUNCTION("""COMPUTED_VALUE"""),42869.0)</f>
        <v>42869</v>
      </c>
      <c r="D374" s="2">
        <f>IFERROR(__xludf.DUMMYFUNCTION("""COMPUTED_VALUE"""),7.0)</f>
        <v>7</v>
      </c>
      <c r="E374" s="2">
        <f>IFERROR(__xludf.DUMMYFUNCTION("""COMPUTED_VALUE"""),19.0)</f>
        <v>19</v>
      </c>
      <c r="F374" s="2">
        <f>IFERROR(__xludf.DUMMYFUNCTION("""COMPUTED_VALUE"""),1751.0)</f>
        <v>1751</v>
      </c>
      <c r="G374" s="2">
        <f>IFERROR(__xludf.DUMMYFUNCTION("""COMPUTED_VALUE"""),0.0)</f>
        <v>0</v>
      </c>
    </row>
    <row r="375">
      <c r="A375" s="2" t="str">
        <f>IFERROR(__xludf.DUMMYFUNCTION("""COMPUTED_VALUE"""),"Peru")</f>
        <v>Peru</v>
      </c>
      <c r="B375" s="3">
        <f>IFERROR(__xludf.DUMMYFUNCTION("""COMPUTED_VALUE"""),42870.0)</f>
        <v>42870</v>
      </c>
      <c r="C375" s="3">
        <f>IFERROR(__xludf.DUMMYFUNCTION("""COMPUTED_VALUE"""),42876.0)</f>
        <v>42876</v>
      </c>
      <c r="D375" s="2">
        <f>IFERROR(__xludf.DUMMYFUNCTION("""COMPUTED_VALUE"""),7.0)</f>
        <v>7</v>
      </c>
      <c r="E375" s="2">
        <f>IFERROR(__xludf.DUMMYFUNCTION("""COMPUTED_VALUE"""),20.0)</f>
        <v>20</v>
      </c>
      <c r="F375" s="2">
        <f>IFERROR(__xludf.DUMMYFUNCTION("""COMPUTED_VALUE"""),1813.0)</f>
        <v>1813</v>
      </c>
      <c r="G375" s="2">
        <f>IFERROR(__xludf.DUMMYFUNCTION("""COMPUTED_VALUE"""),0.0)</f>
        <v>0</v>
      </c>
    </row>
    <row r="376">
      <c r="A376" s="2" t="str">
        <f>IFERROR(__xludf.DUMMYFUNCTION("""COMPUTED_VALUE"""),"Peru")</f>
        <v>Peru</v>
      </c>
      <c r="B376" s="3">
        <f>IFERROR(__xludf.DUMMYFUNCTION("""COMPUTED_VALUE"""),42877.0)</f>
        <v>42877</v>
      </c>
      <c r="C376" s="3">
        <f>IFERROR(__xludf.DUMMYFUNCTION("""COMPUTED_VALUE"""),42883.0)</f>
        <v>42883</v>
      </c>
      <c r="D376" s="2">
        <f>IFERROR(__xludf.DUMMYFUNCTION("""COMPUTED_VALUE"""),7.0)</f>
        <v>7</v>
      </c>
      <c r="E376" s="2">
        <f>IFERROR(__xludf.DUMMYFUNCTION("""COMPUTED_VALUE"""),21.0)</f>
        <v>21</v>
      </c>
      <c r="F376" s="2">
        <f>IFERROR(__xludf.DUMMYFUNCTION("""COMPUTED_VALUE"""),1813.0)</f>
        <v>1813</v>
      </c>
      <c r="G376" s="2">
        <f>IFERROR(__xludf.DUMMYFUNCTION("""COMPUTED_VALUE"""),0.0)</f>
        <v>0</v>
      </c>
    </row>
    <row r="377">
      <c r="A377" s="2" t="str">
        <f>IFERROR(__xludf.DUMMYFUNCTION("""COMPUTED_VALUE"""),"Peru")</f>
        <v>Peru</v>
      </c>
      <c r="B377" s="3">
        <f>IFERROR(__xludf.DUMMYFUNCTION("""COMPUTED_VALUE"""),42884.0)</f>
        <v>42884</v>
      </c>
      <c r="C377" s="3">
        <f>IFERROR(__xludf.DUMMYFUNCTION("""COMPUTED_VALUE"""),42890.0)</f>
        <v>42890</v>
      </c>
      <c r="D377" s="2">
        <f>IFERROR(__xludf.DUMMYFUNCTION("""COMPUTED_VALUE"""),7.0)</f>
        <v>7</v>
      </c>
      <c r="E377" s="2">
        <f>IFERROR(__xludf.DUMMYFUNCTION("""COMPUTED_VALUE"""),22.0)</f>
        <v>22</v>
      </c>
      <c r="F377" s="2">
        <f>IFERROR(__xludf.DUMMYFUNCTION("""COMPUTED_VALUE"""),1782.0)</f>
        <v>1782</v>
      </c>
      <c r="G377" s="2">
        <f>IFERROR(__xludf.DUMMYFUNCTION("""COMPUTED_VALUE"""),0.0)</f>
        <v>0</v>
      </c>
    </row>
    <row r="378">
      <c r="A378" s="2" t="str">
        <f>IFERROR(__xludf.DUMMYFUNCTION("""COMPUTED_VALUE"""),"Peru")</f>
        <v>Peru</v>
      </c>
      <c r="B378" s="3">
        <f>IFERROR(__xludf.DUMMYFUNCTION("""COMPUTED_VALUE"""),42891.0)</f>
        <v>42891</v>
      </c>
      <c r="C378" s="3">
        <f>IFERROR(__xludf.DUMMYFUNCTION("""COMPUTED_VALUE"""),42897.0)</f>
        <v>42897</v>
      </c>
      <c r="D378" s="2">
        <f>IFERROR(__xludf.DUMMYFUNCTION("""COMPUTED_VALUE"""),7.0)</f>
        <v>7</v>
      </c>
      <c r="E378" s="2">
        <f>IFERROR(__xludf.DUMMYFUNCTION("""COMPUTED_VALUE"""),23.0)</f>
        <v>23</v>
      </c>
      <c r="F378" s="2">
        <f>IFERROR(__xludf.DUMMYFUNCTION("""COMPUTED_VALUE"""),1934.0)</f>
        <v>1934</v>
      </c>
      <c r="G378" s="2">
        <f>IFERROR(__xludf.DUMMYFUNCTION("""COMPUTED_VALUE"""),0.0)</f>
        <v>0</v>
      </c>
    </row>
    <row r="379">
      <c r="A379" s="2" t="str">
        <f>IFERROR(__xludf.DUMMYFUNCTION("""COMPUTED_VALUE"""),"Peru")</f>
        <v>Peru</v>
      </c>
      <c r="B379" s="3">
        <f>IFERROR(__xludf.DUMMYFUNCTION("""COMPUTED_VALUE"""),42898.0)</f>
        <v>42898</v>
      </c>
      <c r="C379" s="3">
        <f>IFERROR(__xludf.DUMMYFUNCTION("""COMPUTED_VALUE"""),42904.0)</f>
        <v>42904</v>
      </c>
      <c r="D379" s="2">
        <f>IFERROR(__xludf.DUMMYFUNCTION("""COMPUTED_VALUE"""),7.0)</f>
        <v>7</v>
      </c>
      <c r="E379" s="2">
        <f>IFERROR(__xludf.DUMMYFUNCTION("""COMPUTED_VALUE"""),24.0)</f>
        <v>24</v>
      </c>
      <c r="F379" s="2">
        <f>IFERROR(__xludf.DUMMYFUNCTION("""COMPUTED_VALUE"""),1839.0)</f>
        <v>1839</v>
      </c>
      <c r="G379" s="2">
        <f>IFERROR(__xludf.DUMMYFUNCTION("""COMPUTED_VALUE"""),0.0)</f>
        <v>0</v>
      </c>
    </row>
    <row r="380">
      <c r="A380" s="2" t="str">
        <f>IFERROR(__xludf.DUMMYFUNCTION("""COMPUTED_VALUE"""),"Peru")</f>
        <v>Peru</v>
      </c>
      <c r="B380" s="3">
        <f>IFERROR(__xludf.DUMMYFUNCTION("""COMPUTED_VALUE"""),42905.0)</f>
        <v>42905</v>
      </c>
      <c r="C380" s="3">
        <f>IFERROR(__xludf.DUMMYFUNCTION("""COMPUTED_VALUE"""),42911.0)</f>
        <v>42911</v>
      </c>
      <c r="D380" s="2">
        <f>IFERROR(__xludf.DUMMYFUNCTION("""COMPUTED_VALUE"""),7.0)</f>
        <v>7</v>
      </c>
      <c r="E380" s="2">
        <f>IFERROR(__xludf.DUMMYFUNCTION("""COMPUTED_VALUE"""),25.0)</f>
        <v>25</v>
      </c>
      <c r="F380" s="2">
        <f>IFERROR(__xludf.DUMMYFUNCTION("""COMPUTED_VALUE"""),1917.0)</f>
        <v>1917</v>
      </c>
      <c r="G380" s="2">
        <f>IFERROR(__xludf.DUMMYFUNCTION("""COMPUTED_VALUE"""),0.0)</f>
        <v>0</v>
      </c>
    </row>
    <row r="381">
      <c r="A381" s="2" t="str">
        <f>IFERROR(__xludf.DUMMYFUNCTION("""COMPUTED_VALUE"""),"Peru")</f>
        <v>Peru</v>
      </c>
      <c r="B381" s="3">
        <f>IFERROR(__xludf.DUMMYFUNCTION("""COMPUTED_VALUE"""),42912.0)</f>
        <v>42912</v>
      </c>
      <c r="C381" s="3">
        <f>IFERROR(__xludf.DUMMYFUNCTION("""COMPUTED_VALUE"""),42918.0)</f>
        <v>42918</v>
      </c>
      <c r="D381" s="2">
        <f>IFERROR(__xludf.DUMMYFUNCTION("""COMPUTED_VALUE"""),7.0)</f>
        <v>7</v>
      </c>
      <c r="E381" s="2">
        <f>IFERROR(__xludf.DUMMYFUNCTION("""COMPUTED_VALUE"""),26.0)</f>
        <v>26</v>
      </c>
      <c r="F381" s="2">
        <f>IFERROR(__xludf.DUMMYFUNCTION("""COMPUTED_VALUE"""),1965.0)</f>
        <v>1965</v>
      </c>
      <c r="G381" s="2">
        <f>IFERROR(__xludf.DUMMYFUNCTION("""COMPUTED_VALUE"""),0.0)</f>
        <v>0</v>
      </c>
    </row>
    <row r="382">
      <c r="A382" s="2" t="str">
        <f>IFERROR(__xludf.DUMMYFUNCTION("""COMPUTED_VALUE"""),"Peru")</f>
        <v>Peru</v>
      </c>
      <c r="B382" s="3">
        <f>IFERROR(__xludf.DUMMYFUNCTION("""COMPUTED_VALUE"""),42919.0)</f>
        <v>42919</v>
      </c>
      <c r="C382" s="3">
        <f>IFERROR(__xludf.DUMMYFUNCTION("""COMPUTED_VALUE"""),42925.0)</f>
        <v>42925</v>
      </c>
      <c r="D382" s="2">
        <f>IFERROR(__xludf.DUMMYFUNCTION("""COMPUTED_VALUE"""),7.0)</f>
        <v>7</v>
      </c>
      <c r="E382" s="2">
        <f>IFERROR(__xludf.DUMMYFUNCTION("""COMPUTED_VALUE"""),27.0)</f>
        <v>27</v>
      </c>
      <c r="F382" s="2">
        <f>IFERROR(__xludf.DUMMYFUNCTION("""COMPUTED_VALUE"""),2009.0)</f>
        <v>2009</v>
      </c>
      <c r="G382" s="2">
        <f>IFERROR(__xludf.DUMMYFUNCTION("""COMPUTED_VALUE"""),0.0)</f>
        <v>0</v>
      </c>
    </row>
    <row r="383">
      <c r="A383" s="2" t="str">
        <f>IFERROR(__xludf.DUMMYFUNCTION("""COMPUTED_VALUE"""),"Peru")</f>
        <v>Peru</v>
      </c>
      <c r="B383" s="3">
        <f>IFERROR(__xludf.DUMMYFUNCTION("""COMPUTED_VALUE"""),42926.0)</f>
        <v>42926</v>
      </c>
      <c r="C383" s="3">
        <f>IFERROR(__xludf.DUMMYFUNCTION("""COMPUTED_VALUE"""),42932.0)</f>
        <v>42932</v>
      </c>
      <c r="D383" s="2">
        <f>IFERROR(__xludf.DUMMYFUNCTION("""COMPUTED_VALUE"""),7.0)</f>
        <v>7</v>
      </c>
      <c r="E383" s="2">
        <f>IFERROR(__xludf.DUMMYFUNCTION("""COMPUTED_VALUE"""),28.0)</f>
        <v>28</v>
      </c>
      <c r="F383" s="2">
        <f>IFERROR(__xludf.DUMMYFUNCTION("""COMPUTED_VALUE"""),1923.0)</f>
        <v>1923</v>
      </c>
      <c r="G383" s="2">
        <f>IFERROR(__xludf.DUMMYFUNCTION("""COMPUTED_VALUE"""),0.0)</f>
        <v>0</v>
      </c>
    </row>
    <row r="384">
      <c r="A384" s="2" t="str">
        <f>IFERROR(__xludf.DUMMYFUNCTION("""COMPUTED_VALUE"""),"Peru")</f>
        <v>Peru</v>
      </c>
      <c r="B384" s="3">
        <f>IFERROR(__xludf.DUMMYFUNCTION("""COMPUTED_VALUE"""),42933.0)</f>
        <v>42933</v>
      </c>
      <c r="C384" s="3">
        <f>IFERROR(__xludf.DUMMYFUNCTION("""COMPUTED_VALUE"""),42939.0)</f>
        <v>42939</v>
      </c>
      <c r="D384" s="2">
        <f>IFERROR(__xludf.DUMMYFUNCTION("""COMPUTED_VALUE"""),7.0)</f>
        <v>7</v>
      </c>
      <c r="E384" s="2">
        <f>IFERROR(__xludf.DUMMYFUNCTION("""COMPUTED_VALUE"""),29.0)</f>
        <v>29</v>
      </c>
      <c r="F384" s="2">
        <f>IFERROR(__xludf.DUMMYFUNCTION("""COMPUTED_VALUE"""),1955.0)</f>
        <v>1955</v>
      </c>
      <c r="G384" s="2">
        <f>IFERROR(__xludf.DUMMYFUNCTION("""COMPUTED_VALUE"""),0.0)</f>
        <v>0</v>
      </c>
    </row>
    <row r="385">
      <c r="A385" s="2" t="str">
        <f>IFERROR(__xludf.DUMMYFUNCTION("""COMPUTED_VALUE"""),"Peru")</f>
        <v>Peru</v>
      </c>
      <c r="B385" s="3">
        <f>IFERROR(__xludf.DUMMYFUNCTION("""COMPUTED_VALUE"""),42940.0)</f>
        <v>42940</v>
      </c>
      <c r="C385" s="3">
        <f>IFERROR(__xludf.DUMMYFUNCTION("""COMPUTED_VALUE"""),42946.0)</f>
        <v>42946</v>
      </c>
      <c r="D385" s="2">
        <f>IFERROR(__xludf.DUMMYFUNCTION("""COMPUTED_VALUE"""),7.0)</f>
        <v>7</v>
      </c>
      <c r="E385" s="2">
        <f>IFERROR(__xludf.DUMMYFUNCTION("""COMPUTED_VALUE"""),30.0)</f>
        <v>30</v>
      </c>
      <c r="F385" s="2">
        <f>IFERROR(__xludf.DUMMYFUNCTION("""COMPUTED_VALUE"""),2004.0)</f>
        <v>2004</v>
      </c>
      <c r="G385" s="2">
        <f>IFERROR(__xludf.DUMMYFUNCTION("""COMPUTED_VALUE"""),0.0)</f>
        <v>0</v>
      </c>
    </row>
    <row r="386">
      <c r="A386" s="2" t="str">
        <f>IFERROR(__xludf.DUMMYFUNCTION("""COMPUTED_VALUE"""),"Peru")</f>
        <v>Peru</v>
      </c>
      <c r="B386" s="3">
        <f>IFERROR(__xludf.DUMMYFUNCTION("""COMPUTED_VALUE"""),42947.0)</f>
        <v>42947</v>
      </c>
      <c r="C386" s="3">
        <f>IFERROR(__xludf.DUMMYFUNCTION("""COMPUTED_VALUE"""),42953.0)</f>
        <v>42953</v>
      </c>
      <c r="D386" s="2">
        <f>IFERROR(__xludf.DUMMYFUNCTION("""COMPUTED_VALUE"""),7.0)</f>
        <v>7</v>
      </c>
      <c r="E386" s="2">
        <f>IFERROR(__xludf.DUMMYFUNCTION("""COMPUTED_VALUE"""),31.0)</f>
        <v>31</v>
      </c>
      <c r="F386" s="2">
        <f>IFERROR(__xludf.DUMMYFUNCTION("""COMPUTED_VALUE"""),1929.0)</f>
        <v>1929</v>
      </c>
      <c r="G386" s="2">
        <f>IFERROR(__xludf.DUMMYFUNCTION("""COMPUTED_VALUE"""),0.0)</f>
        <v>0</v>
      </c>
    </row>
    <row r="387">
      <c r="A387" s="2" t="str">
        <f>IFERROR(__xludf.DUMMYFUNCTION("""COMPUTED_VALUE"""),"Peru")</f>
        <v>Peru</v>
      </c>
      <c r="B387" s="3">
        <f>IFERROR(__xludf.DUMMYFUNCTION("""COMPUTED_VALUE"""),42954.0)</f>
        <v>42954</v>
      </c>
      <c r="C387" s="3">
        <f>IFERROR(__xludf.DUMMYFUNCTION("""COMPUTED_VALUE"""),42960.0)</f>
        <v>42960</v>
      </c>
      <c r="D387" s="2">
        <f>IFERROR(__xludf.DUMMYFUNCTION("""COMPUTED_VALUE"""),7.0)</f>
        <v>7</v>
      </c>
      <c r="E387" s="2">
        <f>IFERROR(__xludf.DUMMYFUNCTION("""COMPUTED_VALUE"""),32.0)</f>
        <v>32</v>
      </c>
      <c r="F387" s="2">
        <f>IFERROR(__xludf.DUMMYFUNCTION("""COMPUTED_VALUE"""),1962.0)</f>
        <v>1962</v>
      </c>
      <c r="G387" s="2">
        <f>IFERROR(__xludf.DUMMYFUNCTION("""COMPUTED_VALUE"""),0.0)</f>
        <v>0</v>
      </c>
    </row>
    <row r="388">
      <c r="A388" s="2" t="str">
        <f>IFERROR(__xludf.DUMMYFUNCTION("""COMPUTED_VALUE"""),"Peru")</f>
        <v>Peru</v>
      </c>
      <c r="B388" s="3">
        <f>IFERROR(__xludf.DUMMYFUNCTION("""COMPUTED_VALUE"""),42961.0)</f>
        <v>42961</v>
      </c>
      <c r="C388" s="3">
        <f>IFERROR(__xludf.DUMMYFUNCTION("""COMPUTED_VALUE"""),42967.0)</f>
        <v>42967</v>
      </c>
      <c r="D388" s="2">
        <f>IFERROR(__xludf.DUMMYFUNCTION("""COMPUTED_VALUE"""),7.0)</f>
        <v>7</v>
      </c>
      <c r="E388" s="2">
        <f>IFERROR(__xludf.DUMMYFUNCTION("""COMPUTED_VALUE"""),33.0)</f>
        <v>33</v>
      </c>
      <c r="F388" s="2">
        <f>IFERROR(__xludf.DUMMYFUNCTION("""COMPUTED_VALUE"""),1913.0)</f>
        <v>1913</v>
      </c>
      <c r="G388" s="2">
        <f>IFERROR(__xludf.DUMMYFUNCTION("""COMPUTED_VALUE"""),0.0)</f>
        <v>0</v>
      </c>
    </row>
    <row r="389">
      <c r="A389" s="2" t="str">
        <f>IFERROR(__xludf.DUMMYFUNCTION("""COMPUTED_VALUE"""),"Peru")</f>
        <v>Peru</v>
      </c>
      <c r="B389" s="3">
        <f>IFERROR(__xludf.DUMMYFUNCTION("""COMPUTED_VALUE"""),42968.0)</f>
        <v>42968</v>
      </c>
      <c r="C389" s="3">
        <f>IFERROR(__xludf.DUMMYFUNCTION("""COMPUTED_VALUE"""),42974.0)</f>
        <v>42974</v>
      </c>
      <c r="D389" s="2">
        <f>IFERROR(__xludf.DUMMYFUNCTION("""COMPUTED_VALUE"""),7.0)</f>
        <v>7</v>
      </c>
      <c r="E389" s="2">
        <f>IFERROR(__xludf.DUMMYFUNCTION("""COMPUTED_VALUE"""),34.0)</f>
        <v>34</v>
      </c>
      <c r="F389" s="2">
        <f>IFERROR(__xludf.DUMMYFUNCTION("""COMPUTED_VALUE"""),1969.0)</f>
        <v>1969</v>
      </c>
      <c r="G389" s="2">
        <f>IFERROR(__xludf.DUMMYFUNCTION("""COMPUTED_VALUE"""),0.0)</f>
        <v>0</v>
      </c>
    </row>
    <row r="390">
      <c r="A390" s="2" t="str">
        <f>IFERROR(__xludf.DUMMYFUNCTION("""COMPUTED_VALUE"""),"Peru")</f>
        <v>Peru</v>
      </c>
      <c r="B390" s="3">
        <f>IFERROR(__xludf.DUMMYFUNCTION("""COMPUTED_VALUE"""),42975.0)</f>
        <v>42975</v>
      </c>
      <c r="C390" s="3">
        <f>IFERROR(__xludf.DUMMYFUNCTION("""COMPUTED_VALUE"""),42981.0)</f>
        <v>42981</v>
      </c>
      <c r="D390" s="2">
        <f>IFERROR(__xludf.DUMMYFUNCTION("""COMPUTED_VALUE"""),7.0)</f>
        <v>7</v>
      </c>
      <c r="E390" s="2">
        <f>IFERROR(__xludf.DUMMYFUNCTION("""COMPUTED_VALUE"""),35.0)</f>
        <v>35</v>
      </c>
      <c r="F390" s="2">
        <f>IFERROR(__xludf.DUMMYFUNCTION("""COMPUTED_VALUE"""),1972.0)</f>
        <v>1972</v>
      </c>
      <c r="G390" s="2">
        <f>IFERROR(__xludf.DUMMYFUNCTION("""COMPUTED_VALUE"""),0.0)</f>
        <v>0</v>
      </c>
    </row>
    <row r="391">
      <c r="A391" s="2" t="str">
        <f>IFERROR(__xludf.DUMMYFUNCTION("""COMPUTED_VALUE"""),"Peru")</f>
        <v>Peru</v>
      </c>
      <c r="B391" s="3">
        <f>IFERROR(__xludf.DUMMYFUNCTION("""COMPUTED_VALUE"""),42982.0)</f>
        <v>42982</v>
      </c>
      <c r="C391" s="3">
        <f>IFERROR(__xludf.DUMMYFUNCTION("""COMPUTED_VALUE"""),42988.0)</f>
        <v>42988</v>
      </c>
      <c r="D391" s="2">
        <f>IFERROR(__xludf.DUMMYFUNCTION("""COMPUTED_VALUE"""),7.0)</f>
        <v>7</v>
      </c>
      <c r="E391" s="2">
        <f>IFERROR(__xludf.DUMMYFUNCTION("""COMPUTED_VALUE"""),36.0)</f>
        <v>36</v>
      </c>
      <c r="F391" s="2">
        <f>IFERROR(__xludf.DUMMYFUNCTION("""COMPUTED_VALUE"""),2027.0)</f>
        <v>2027</v>
      </c>
      <c r="G391" s="2">
        <f>IFERROR(__xludf.DUMMYFUNCTION("""COMPUTED_VALUE"""),0.0)</f>
        <v>0</v>
      </c>
    </row>
    <row r="392">
      <c r="A392" s="2" t="str">
        <f>IFERROR(__xludf.DUMMYFUNCTION("""COMPUTED_VALUE"""),"Peru")</f>
        <v>Peru</v>
      </c>
      <c r="B392" s="3">
        <f>IFERROR(__xludf.DUMMYFUNCTION("""COMPUTED_VALUE"""),42989.0)</f>
        <v>42989</v>
      </c>
      <c r="C392" s="3">
        <f>IFERROR(__xludf.DUMMYFUNCTION("""COMPUTED_VALUE"""),42995.0)</f>
        <v>42995</v>
      </c>
      <c r="D392" s="2">
        <f>IFERROR(__xludf.DUMMYFUNCTION("""COMPUTED_VALUE"""),7.0)</f>
        <v>7</v>
      </c>
      <c r="E392" s="2">
        <f>IFERROR(__xludf.DUMMYFUNCTION("""COMPUTED_VALUE"""),37.0)</f>
        <v>37</v>
      </c>
      <c r="F392" s="2">
        <f>IFERROR(__xludf.DUMMYFUNCTION("""COMPUTED_VALUE"""),2058.0)</f>
        <v>2058</v>
      </c>
      <c r="G392" s="2">
        <f>IFERROR(__xludf.DUMMYFUNCTION("""COMPUTED_VALUE"""),0.0)</f>
        <v>0</v>
      </c>
    </row>
    <row r="393">
      <c r="A393" s="2" t="str">
        <f>IFERROR(__xludf.DUMMYFUNCTION("""COMPUTED_VALUE"""),"Peru")</f>
        <v>Peru</v>
      </c>
      <c r="B393" s="3">
        <f>IFERROR(__xludf.DUMMYFUNCTION("""COMPUTED_VALUE"""),42996.0)</f>
        <v>42996</v>
      </c>
      <c r="C393" s="3">
        <f>IFERROR(__xludf.DUMMYFUNCTION("""COMPUTED_VALUE"""),43002.0)</f>
        <v>43002</v>
      </c>
      <c r="D393" s="2">
        <f>IFERROR(__xludf.DUMMYFUNCTION("""COMPUTED_VALUE"""),7.0)</f>
        <v>7</v>
      </c>
      <c r="E393" s="2">
        <f>IFERROR(__xludf.DUMMYFUNCTION("""COMPUTED_VALUE"""),38.0)</f>
        <v>38</v>
      </c>
      <c r="F393" s="2">
        <f>IFERROR(__xludf.DUMMYFUNCTION("""COMPUTED_VALUE"""),2014.0)</f>
        <v>2014</v>
      </c>
      <c r="G393" s="2">
        <f>IFERROR(__xludf.DUMMYFUNCTION("""COMPUTED_VALUE"""),0.0)</f>
        <v>0</v>
      </c>
    </row>
    <row r="394">
      <c r="A394" s="2" t="str">
        <f>IFERROR(__xludf.DUMMYFUNCTION("""COMPUTED_VALUE"""),"Peru")</f>
        <v>Peru</v>
      </c>
      <c r="B394" s="3">
        <f>IFERROR(__xludf.DUMMYFUNCTION("""COMPUTED_VALUE"""),43003.0)</f>
        <v>43003</v>
      </c>
      <c r="C394" s="3">
        <f>IFERROR(__xludf.DUMMYFUNCTION("""COMPUTED_VALUE"""),43009.0)</f>
        <v>43009</v>
      </c>
      <c r="D394" s="2">
        <f>IFERROR(__xludf.DUMMYFUNCTION("""COMPUTED_VALUE"""),7.0)</f>
        <v>7</v>
      </c>
      <c r="E394" s="2">
        <f>IFERROR(__xludf.DUMMYFUNCTION("""COMPUTED_VALUE"""),39.0)</f>
        <v>39</v>
      </c>
      <c r="F394" s="2">
        <f>IFERROR(__xludf.DUMMYFUNCTION("""COMPUTED_VALUE"""),2081.0)</f>
        <v>2081</v>
      </c>
      <c r="G394" s="2">
        <f>IFERROR(__xludf.DUMMYFUNCTION("""COMPUTED_VALUE"""),0.0)</f>
        <v>0</v>
      </c>
    </row>
    <row r="395">
      <c r="A395" s="2" t="str">
        <f>IFERROR(__xludf.DUMMYFUNCTION("""COMPUTED_VALUE"""),"Peru")</f>
        <v>Peru</v>
      </c>
      <c r="B395" s="3">
        <f>IFERROR(__xludf.DUMMYFUNCTION("""COMPUTED_VALUE"""),43010.0)</f>
        <v>43010</v>
      </c>
      <c r="C395" s="3">
        <f>IFERROR(__xludf.DUMMYFUNCTION("""COMPUTED_VALUE"""),43016.0)</f>
        <v>43016</v>
      </c>
      <c r="D395" s="2">
        <f>IFERROR(__xludf.DUMMYFUNCTION("""COMPUTED_VALUE"""),7.0)</f>
        <v>7</v>
      </c>
      <c r="E395" s="2">
        <f>IFERROR(__xludf.DUMMYFUNCTION("""COMPUTED_VALUE"""),40.0)</f>
        <v>40</v>
      </c>
      <c r="F395" s="2">
        <f>IFERROR(__xludf.DUMMYFUNCTION("""COMPUTED_VALUE"""),1969.0)</f>
        <v>1969</v>
      </c>
      <c r="G395" s="2">
        <f>IFERROR(__xludf.DUMMYFUNCTION("""COMPUTED_VALUE"""),0.0)</f>
        <v>0</v>
      </c>
    </row>
    <row r="396">
      <c r="A396" s="2" t="str">
        <f>IFERROR(__xludf.DUMMYFUNCTION("""COMPUTED_VALUE"""),"Peru")</f>
        <v>Peru</v>
      </c>
      <c r="B396" s="3">
        <f>IFERROR(__xludf.DUMMYFUNCTION("""COMPUTED_VALUE"""),43017.0)</f>
        <v>43017</v>
      </c>
      <c r="C396" s="3">
        <f>IFERROR(__xludf.DUMMYFUNCTION("""COMPUTED_VALUE"""),43023.0)</f>
        <v>43023</v>
      </c>
      <c r="D396" s="2">
        <f>IFERROR(__xludf.DUMMYFUNCTION("""COMPUTED_VALUE"""),7.0)</f>
        <v>7</v>
      </c>
      <c r="E396" s="2">
        <f>IFERROR(__xludf.DUMMYFUNCTION("""COMPUTED_VALUE"""),41.0)</f>
        <v>41</v>
      </c>
      <c r="F396" s="2">
        <f>IFERROR(__xludf.DUMMYFUNCTION("""COMPUTED_VALUE"""),2077.0)</f>
        <v>2077</v>
      </c>
      <c r="G396" s="2">
        <f>IFERROR(__xludf.DUMMYFUNCTION("""COMPUTED_VALUE"""),0.0)</f>
        <v>0</v>
      </c>
    </row>
    <row r="397">
      <c r="A397" s="2" t="str">
        <f>IFERROR(__xludf.DUMMYFUNCTION("""COMPUTED_VALUE"""),"Peru")</f>
        <v>Peru</v>
      </c>
      <c r="B397" s="3">
        <f>IFERROR(__xludf.DUMMYFUNCTION("""COMPUTED_VALUE"""),43024.0)</f>
        <v>43024</v>
      </c>
      <c r="C397" s="3">
        <f>IFERROR(__xludf.DUMMYFUNCTION("""COMPUTED_VALUE"""),43030.0)</f>
        <v>43030</v>
      </c>
      <c r="D397" s="2">
        <f>IFERROR(__xludf.DUMMYFUNCTION("""COMPUTED_VALUE"""),7.0)</f>
        <v>7</v>
      </c>
      <c r="E397" s="2">
        <f>IFERROR(__xludf.DUMMYFUNCTION("""COMPUTED_VALUE"""),42.0)</f>
        <v>42</v>
      </c>
      <c r="F397" s="2">
        <f>IFERROR(__xludf.DUMMYFUNCTION("""COMPUTED_VALUE"""),2070.0)</f>
        <v>2070</v>
      </c>
      <c r="G397" s="2">
        <f>IFERROR(__xludf.DUMMYFUNCTION("""COMPUTED_VALUE"""),0.0)</f>
        <v>0</v>
      </c>
    </row>
    <row r="398">
      <c r="A398" s="2" t="str">
        <f>IFERROR(__xludf.DUMMYFUNCTION("""COMPUTED_VALUE"""),"Peru")</f>
        <v>Peru</v>
      </c>
      <c r="B398" s="3">
        <f>IFERROR(__xludf.DUMMYFUNCTION("""COMPUTED_VALUE"""),43031.0)</f>
        <v>43031</v>
      </c>
      <c r="C398" s="3">
        <f>IFERROR(__xludf.DUMMYFUNCTION("""COMPUTED_VALUE"""),43037.0)</f>
        <v>43037</v>
      </c>
      <c r="D398" s="2">
        <f>IFERROR(__xludf.DUMMYFUNCTION("""COMPUTED_VALUE"""),7.0)</f>
        <v>7</v>
      </c>
      <c r="E398" s="2">
        <f>IFERROR(__xludf.DUMMYFUNCTION("""COMPUTED_VALUE"""),43.0)</f>
        <v>43</v>
      </c>
      <c r="F398" s="2">
        <f>IFERROR(__xludf.DUMMYFUNCTION("""COMPUTED_VALUE"""),2041.0)</f>
        <v>2041</v>
      </c>
      <c r="G398" s="2">
        <f>IFERROR(__xludf.DUMMYFUNCTION("""COMPUTED_VALUE"""),0.0)</f>
        <v>0</v>
      </c>
    </row>
    <row r="399">
      <c r="A399" s="2" t="str">
        <f>IFERROR(__xludf.DUMMYFUNCTION("""COMPUTED_VALUE"""),"Peru")</f>
        <v>Peru</v>
      </c>
      <c r="B399" s="3">
        <f>IFERROR(__xludf.DUMMYFUNCTION("""COMPUTED_VALUE"""),43038.0)</f>
        <v>43038</v>
      </c>
      <c r="C399" s="3">
        <f>IFERROR(__xludf.DUMMYFUNCTION("""COMPUTED_VALUE"""),43044.0)</f>
        <v>43044</v>
      </c>
      <c r="D399" s="2">
        <f>IFERROR(__xludf.DUMMYFUNCTION("""COMPUTED_VALUE"""),7.0)</f>
        <v>7</v>
      </c>
      <c r="E399" s="2">
        <f>IFERROR(__xludf.DUMMYFUNCTION("""COMPUTED_VALUE"""),44.0)</f>
        <v>44</v>
      </c>
      <c r="F399" s="2">
        <f>IFERROR(__xludf.DUMMYFUNCTION("""COMPUTED_VALUE"""),2029.0)</f>
        <v>2029</v>
      </c>
      <c r="G399" s="2">
        <f>IFERROR(__xludf.DUMMYFUNCTION("""COMPUTED_VALUE"""),0.0)</f>
        <v>0</v>
      </c>
    </row>
    <row r="400">
      <c r="A400" s="2" t="str">
        <f>IFERROR(__xludf.DUMMYFUNCTION("""COMPUTED_VALUE"""),"Peru")</f>
        <v>Peru</v>
      </c>
      <c r="B400" s="3">
        <f>IFERROR(__xludf.DUMMYFUNCTION("""COMPUTED_VALUE"""),43045.0)</f>
        <v>43045</v>
      </c>
      <c r="C400" s="3">
        <f>IFERROR(__xludf.DUMMYFUNCTION("""COMPUTED_VALUE"""),43051.0)</f>
        <v>43051</v>
      </c>
      <c r="D400" s="2">
        <f>IFERROR(__xludf.DUMMYFUNCTION("""COMPUTED_VALUE"""),7.0)</f>
        <v>7</v>
      </c>
      <c r="E400" s="2">
        <f>IFERROR(__xludf.DUMMYFUNCTION("""COMPUTED_VALUE"""),45.0)</f>
        <v>45</v>
      </c>
      <c r="F400" s="2">
        <f>IFERROR(__xludf.DUMMYFUNCTION("""COMPUTED_VALUE"""),1997.0)</f>
        <v>1997</v>
      </c>
      <c r="G400" s="2">
        <f>IFERROR(__xludf.DUMMYFUNCTION("""COMPUTED_VALUE"""),0.0)</f>
        <v>0</v>
      </c>
    </row>
    <row r="401">
      <c r="A401" s="2" t="str">
        <f>IFERROR(__xludf.DUMMYFUNCTION("""COMPUTED_VALUE"""),"Peru")</f>
        <v>Peru</v>
      </c>
      <c r="B401" s="3">
        <f>IFERROR(__xludf.DUMMYFUNCTION("""COMPUTED_VALUE"""),43052.0)</f>
        <v>43052</v>
      </c>
      <c r="C401" s="3">
        <f>IFERROR(__xludf.DUMMYFUNCTION("""COMPUTED_VALUE"""),43058.0)</f>
        <v>43058</v>
      </c>
      <c r="D401" s="2">
        <f>IFERROR(__xludf.DUMMYFUNCTION("""COMPUTED_VALUE"""),7.0)</f>
        <v>7</v>
      </c>
      <c r="E401" s="2">
        <f>IFERROR(__xludf.DUMMYFUNCTION("""COMPUTED_VALUE"""),46.0)</f>
        <v>46</v>
      </c>
      <c r="F401" s="2">
        <f>IFERROR(__xludf.DUMMYFUNCTION("""COMPUTED_VALUE"""),1892.0)</f>
        <v>1892</v>
      </c>
      <c r="G401" s="2">
        <f>IFERROR(__xludf.DUMMYFUNCTION("""COMPUTED_VALUE"""),0.0)</f>
        <v>0</v>
      </c>
    </row>
    <row r="402">
      <c r="A402" s="2" t="str">
        <f>IFERROR(__xludf.DUMMYFUNCTION("""COMPUTED_VALUE"""),"Peru")</f>
        <v>Peru</v>
      </c>
      <c r="B402" s="3">
        <f>IFERROR(__xludf.DUMMYFUNCTION("""COMPUTED_VALUE"""),43059.0)</f>
        <v>43059</v>
      </c>
      <c r="C402" s="3">
        <f>IFERROR(__xludf.DUMMYFUNCTION("""COMPUTED_VALUE"""),43065.0)</f>
        <v>43065</v>
      </c>
      <c r="D402" s="2">
        <f>IFERROR(__xludf.DUMMYFUNCTION("""COMPUTED_VALUE"""),7.0)</f>
        <v>7</v>
      </c>
      <c r="E402" s="2">
        <f>IFERROR(__xludf.DUMMYFUNCTION("""COMPUTED_VALUE"""),47.0)</f>
        <v>47</v>
      </c>
      <c r="F402" s="2">
        <f>IFERROR(__xludf.DUMMYFUNCTION("""COMPUTED_VALUE"""),2035.0)</f>
        <v>2035</v>
      </c>
      <c r="G402" s="2">
        <f>IFERROR(__xludf.DUMMYFUNCTION("""COMPUTED_VALUE"""),0.0)</f>
        <v>0</v>
      </c>
    </row>
    <row r="403">
      <c r="A403" s="2" t="str">
        <f>IFERROR(__xludf.DUMMYFUNCTION("""COMPUTED_VALUE"""),"Peru")</f>
        <v>Peru</v>
      </c>
      <c r="B403" s="3">
        <f>IFERROR(__xludf.DUMMYFUNCTION("""COMPUTED_VALUE"""),43066.0)</f>
        <v>43066</v>
      </c>
      <c r="C403" s="3">
        <f>IFERROR(__xludf.DUMMYFUNCTION("""COMPUTED_VALUE"""),43072.0)</f>
        <v>43072</v>
      </c>
      <c r="D403" s="2">
        <f>IFERROR(__xludf.DUMMYFUNCTION("""COMPUTED_VALUE"""),7.0)</f>
        <v>7</v>
      </c>
      <c r="E403" s="2">
        <f>IFERROR(__xludf.DUMMYFUNCTION("""COMPUTED_VALUE"""),48.0)</f>
        <v>48</v>
      </c>
      <c r="F403" s="2">
        <f>IFERROR(__xludf.DUMMYFUNCTION("""COMPUTED_VALUE"""),1951.0)</f>
        <v>1951</v>
      </c>
      <c r="G403" s="2">
        <f>IFERROR(__xludf.DUMMYFUNCTION("""COMPUTED_VALUE"""),0.0)</f>
        <v>0</v>
      </c>
    </row>
    <row r="404">
      <c r="A404" s="2" t="str">
        <f>IFERROR(__xludf.DUMMYFUNCTION("""COMPUTED_VALUE"""),"Peru")</f>
        <v>Peru</v>
      </c>
      <c r="B404" s="3">
        <f>IFERROR(__xludf.DUMMYFUNCTION("""COMPUTED_VALUE"""),43073.0)</f>
        <v>43073</v>
      </c>
      <c r="C404" s="3">
        <f>IFERROR(__xludf.DUMMYFUNCTION("""COMPUTED_VALUE"""),43079.0)</f>
        <v>43079</v>
      </c>
      <c r="D404" s="2">
        <f>IFERROR(__xludf.DUMMYFUNCTION("""COMPUTED_VALUE"""),7.0)</f>
        <v>7</v>
      </c>
      <c r="E404" s="2">
        <f>IFERROR(__xludf.DUMMYFUNCTION("""COMPUTED_VALUE"""),49.0)</f>
        <v>49</v>
      </c>
      <c r="F404" s="2">
        <f>IFERROR(__xludf.DUMMYFUNCTION("""COMPUTED_VALUE"""),1868.0)</f>
        <v>1868</v>
      </c>
      <c r="G404" s="2">
        <f>IFERROR(__xludf.DUMMYFUNCTION("""COMPUTED_VALUE"""),0.0)</f>
        <v>0</v>
      </c>
    </row>
    <row r="405">
      <c r="A405" s="2" t="str">
        <f>IFERROR(__xludf.DUMMYFUNCTION("""COMPUTED_VALUE"""),"Peru")</f>
        <v>Peru</v>
      </c>
      <c r="B405" s="3">
        <f>IFERROR(__xludf.DUMMYFUNCTION("""COMPUTED_VALUE"""),43080.0)</f>
        <v>43080</v>
      </c>
      <c r="C405" s="3">
        <f>IFERROR(__xludf.DUMMYFUNCTION("""COMPUTED_VALUE"""),43086.0)</f>
        <v>43086</v>
      </c>
      <c r="D405" s="2">
        <f>IFERROR(__xludf.DUMMYFUNCTION("""COMPUTED_VALUE"""),7.0)</f>
        <v>7</v>
      </c>
      <c r="E405" s="2">
        <f>IFERROR(__xludf.DUMMYFUNCTION("""COMPUTED_VALUE"""),50.0)</f>
        <v>50</v>
      </c>
      <c r="F405" s="2">
        <f>IFERROR(__xludf.DUMMYFUNCTION("""COMPUTED_VALUE"""),1968.0)</f>
        <v>1968</v>
      </c>
      <c r="G405" s="2">
        <f>IFERROR(__xludf.DUMMYFUNCTION("""COMPUTED_VALUE"""),0.0)</f>
        <v>0</v>
      </c>
    </row>
    <row r="406">
      <c r="A406" s="2" t="str">
        <f>IFERROR(__xludf.DUMMYFUNCTION("""COMPUTED_VALUE"""),"Peru")</f>
        <v>Peru</v>
      </c>
      <c r="B406" s="3">
        <f>IFERROR(__xludf.DUMMYFUNCTION("""COMPUTED_VALUE"""),43087.0)</f>
        <v>43087</v>
      </c>
      <c r="C406" s="3">
        <f>IFERROR(__xludf.DUMMYFUNCTION("""COMPUTED_VALUE"""),43093.0)</f>
        <v>43093</v>
      </c>
      <c r="D406" s="2">
        <f>IFERROR(__xludf.DUMMYFUNCTION("""COMPUTED_VALUE"""),7.0)</f>
        <v>7</v>
      </c>
      <c r="E406" s="2">
        <f>IFERROR(__xludf.DUMMYFUNCTION("""COMPUTED_VALUE"""),51.0)</f>
        <v>51</v>
      </c>
      <c r="F406" s="2">
        <f>IFERROR(__xludf.DUMMYFUNCTION("""COMPUTED_VALUE"""),1949.0)</f>
        <v>1949</v>
      </c>
      <c r="G406" s="2">
        <f>IFERROR(__xludf.DUMMYFUNCTION("""COMPUTED_VALUE"""),0.0)</f>
        <v>0</v>
      </c>
    </row>
    <row r="407">
      <c r="A407" s="2" t="str">
        <f>IFERROR(__xludf.DUMMYFUNCTION("""COMPUTED_VALUE"""),"Peru")</f>
        <v>Peru</v>
      </c>
      <c r="B407" s="3">
        <f>IFERROR(__xludf.DUMMYFUNCTION("""COMPUTED_VALUE"""),43094.0)</f>
        <v>43094</v>
      </c>
      <c r="C407" s="3">
        <f>IFERROR(__xludf.DUMMYFUNCTION("""COMPUTED_VALUE"""),43100.0)</f>
        <v>43100</v>
      </c>
      <c r="D407" s="2">
        <f>IFERROR(__xludf.DUMMYFUNCTION("""COMPUTED_VALUE"""),7.0)</f>
        <v>7</v>
      </c>
      <c r="E407" s="2">
        <f>IFERROR(__xludf.DUMMYFUNCTION("""COMPUTED_VALUE"""),52.0)</f>
        <v>52</v>
      </c>
      <c r="F407" s="2">
        <f>IFERROR(__xludf.DUMMYFUNCTION("""COMPUTED_VALUE"""),1948.0)</f>
        <v>1948</v>
      </c>
      <c r="G407" s="2">
        <f>IFERROR(__xludf.DUMMYFUNCTION("""COMPUTED_VALUE"""),0.0)</f>
        <v>0</v>
      </c>
    </row>
    <row r="408">
      <c r="A408" s="2" t="str">
        <f>IFERROR(__xludf.DUMMYFUNCTION("""COMPUTED_VALUE"""),"Peru")</f>
        <v>Peru</v>
      </c>
      <c r="B408" s="3">
        <f>IFERROR(__xludf.DUMMYFUNCTION("""COMPUTED_VALUE"""),43101.0)</f>
        <v>43101</v>
      </c>
      <c r="C408" s="3">
        <f>IFERROR(__xludf.DUMMYFUNCTION("""COMPUTED_VALUE"""),43107.0)</f>
        <v>43107</v>
      </c>
      <c r="D408" s="2">
        <f>IFERROR(__xludf.DUMMYFUNCTION("""COMPUTED_VALUE"""),7.0)</f>
        <v>7</v>
      </c>
      <c r="E408" s="2">
        <f>IFERROR(__xludf.DUMMYFUNCTION("""COMPUTED_VALUE"""),1.0)</f>
        <v>1</v>
      </c>
      <c r="F408" s="2">
        <f>IFERROR(__xludf.DUMMYFUNCTION("""COMPUTED_VALUE"""),1987.0)</f>
        <v>1987</v>
      </c>
      <c r="G408" s="2">
        <f>IFERROR(__xludf.DUMMYFUNCTION("""COMPUTED_VALUE"""),0.0)</f>
        <v>0</v>
      </c>
    </row>
    <row r="409">
      <c r="A409" s="2" t="str">
        <f>IFERROR(__xludf.DUMMYFUNCTION("""COMPUTED_VALUE"""),"Peru")</f>
        <v>Peru</v>
      </c>
      <c r="B409" s="3">
        <f>IFERROR(__xludf.DUMMYFUNCTION("""COMPUTED_VALUE"""),43108.0)</f>
        <v>43108</v>
      </c>
      <c r="C409" s="3">
        <f>IFERROR(__xludf.DUMMYFUNCTION("""COMPUTED_VALUE"""),43114.0)</f>
        <v>43114</v>
      </c>
      <c r="D409" s="2">
        <f>IFERROR(__xludf.DUMMYFUNCTION("""COMPUTED_VALUE"""),7.0)</f>
        <v>7</v>
      </c>
      <c r="E409" s="2">
        <f>IFERROR(__xludf.DUMMYFUNCTION("""COMPUTED_VALUE"""),2.0)</f>
        <v>2</v>
      </c>
      <c r="F409" s="2">
        <f>IFERROR(__xludf.DUMMYFUNCTION("""COMPUTED_VALUE"""),1980.0)</f>
        <v>1980</v>
      </c>
      <c r="G409" s="2">
        <f>IFERROR(__xludf.DUMMYFUNCTION("""COMPUTED_VALUE"""),0.0)</f>
        <v>0</v>
      </c>
    </row>
    <row r="410">
      <c r="A410" s="2" t="str">
        <f>IFERROR(__xludf.DUMMYFUNCTION("""COMPUTED_VALUE"""),"Peru")</f>
        <v>Peru</v>
      </c>
      <c r="B410" s="3">
        <f>IFERROR(__xludf.DUMMYFUNCTION("""COMPUTED_VALUE"""),43115.0)</f>
        <v>43115</v>
      </c>
      <c r="C410" s="3">
        <f>IFERROR(__xludf.DUMMYFUNCTION("""COMPUTED_VALUE"""),43121.0)</f>
        <v>43121</v>
      </c>
      <c r="D410" s="2">
        <f>IFERROR(__xludf.DUMMYFUNCTION("""COMPUTED_VALUE"""),7.0)</f>
        <v>7</v>
      </c>
      <c r="E410" s="2">
        <f>IFERROR(__xludf.DUMMYFUNCTION("""COMPUTED_VALUE"""),3.0)</f>
        <v>3</v>
      </c>
      <c r="F410" s="2">
        <f>IFERROR(__xludf.DUMMYFUNCTION("""COMPUTED_VALUE"""),1922.0)</f>
        <v>1922</v>
      </c>
      <c r="G410" s="2">
        <f>IFERROR(__xludf.DUMMYFUNCTION("""COMPUTED_VALUE"""),0.0)</f>
        <v>0</v>
      </c>
    </row>
    <row r="411">
      <c r="A411" s="2" t="str">
        <f>IFERROR(__xludf.DUMMYFUNCTION("""COMPUTED_VALUE"""),"Peru")</f>
        <v>Peru</v>
      </c>
      <c r="B411" s="3">
        <f>IFERROR(__xludf.DUMMYFUNCTION("""COMPUTED_VALUE"""),43122.0)</f>
        <v>43122</v>
      </c>
      <c r="C411" s="3">
        <f>IFERROR(__xludf.DUMMYFUNCTION("""COMPUTED_VALUE"""),43128.0)</f>
        <v>43128</v>
      </c>
      <c r="D411" s="2">
        <f>IFERROR(__xludf.DUMMYFUNCTION("""COMPUTED_VALUE"""),7.0)</f>
        <v>7</v>
      </c>
      <c r="E411" s="2">
        <f>IFERROR(__xludf.DUMMYFUNCTION("""COMPUTED_VALUE"""),4.0)</f>
        <v>4</v>
      </c>
      <c r="F411" s="2">
        <f>IFERROR(__xludf.DUMMYFUNCTION("""COMPUTED_VALUE"""),1953.0)</f>
        <v>1953</v>
      </c>
      <c r="G411" s="2">
        <f>IFERROR(__xludf.DUMMYFUNCTION("""COMPUTED_VALUE"""),0.0)</f>
        <v>0</v>
      </c>
    </row>
    <row r="412">
      <c r="A412" s="2" t="str">
        <f>IFERROR(__xludf.DUMMYFUNCTION("""COMPUTED_VALUE"""),"Peru")</f>
        <v>Peru</v>
      </c>
      <c r="B412" s="3">
        <f>IFERROR(__xludf.DUMMYFUNCTION("""COMPUTED_VALUE"""),43129.0)</f>
        <v>43129</v>
      </c>
      <c r="C412" s="3">
        <f>IFERROR(__xludf.DUMMYFUNCTION("""COMPUTED_VALUE"""),43135.0)</f>
        <v>43135</v>
      </c>
      <c r="D412" s="2">
        <f>IFERROR(__xludf.DUMMYFUNCTION("""COMPUTED_VALUE"""),7.0)</f>
        <v>7</v>
      </c>
      <c r="E412" s="2">
        <f>IFERROR(__xludf.DUMMYFUNCTION("""COMPUTED_VALUE"""),5.0)</f>
        <v>5</v>
      </c>
      <c r="F412" s="2">
        <f>IFERROR(__xludf.DUMMYFUNCTION("""COMPUTED_VALUE"""),1888.0)</f>
        <v>1888</v>
      </c>
      <c r="G412" s="2">
        <f>IFERROR(__xludf.DUMMYFUNCTION("""COMPUTED_VALUE"""),0.0)</f>
        <v>0</v>
      </c>
    </row>
    <row r="413">
      <c r="A413" s="2" t="str">
        <f>IFERROR(__xludf.DUMMYFUNCTION("""COMPUTED_VALUE"""),"Peru")</f>
        <v>Peru</v>
      </c>
      <c r="B413" s="3">
        <f>IFERROR(__xludf.DUMMYFUNCTION("""COMPUTED_VALUE"""),43136.0)</f>
        <v>43136</v>
      </c>
      <c r="C413" s="3">
        <f>IFERROR(__xludf.DUMMYFUNCTION("""COMPUTED_VALUE"""),43142.0)</f>
        <v>43142</v>
      </c>
      <c r="D413" s="2">
        <f>IFERROR(__xludf.DUMMYFUNCTION("""COMPUTED_VALUE"""),7.0)</f>
        <v>7</v>
      </c>
      <c r="E413" s="2">
        <f>IFERROR(__xludf.DUMMYFUNCTION("""COMPUTED_VALUE"""),6.0)</f>
        <v>6</v>
      </c>
      <c r="F413" s="2">
        <f>IFERROR(__xludf.DUMMYFUNCTION("""COMPUTED_VALUE"""),1914.0)</f>
        <v>1914</v>
      </c>
      <c r="G413" s="2">
        <f>IFERROR(__xludf.DUMMYFUNCTION("""COMPUTED_VALUE"""),0.0)</f>
        <v>0</v>
      </c>
    </row>
    <row r="414">
      <c r="A414" s="2" t="str">
        <f>IFERROR(__xludf.DUMMYFUNCTION("""COMPUTED_VALUE"""),"Peru")</f>
        <v>Peru</v>
      </c>
      <c r="B414" s="3">
        <f>IFERROR(__xludf.DUMMYFUNCTION("""COMPUTED_VALUE"""),43143.0)</f>
        <v>43143</v>
      </c>
      <c r="C414" s="3">
        <f>IFERROR(__xludf.DUMMYFUNCTION("""COMPUTED_VALUE"""),43149.0)</f>
        <v>43149</v>
      </c>
      <c r="D414" s="2">
        <f>IFERROR(__xludf.DUMMYFUNCTION("""COMPUTED_VALUE"""),7.0)</f>
        <v>7</v>
      </c>
      <c r="E414" s="2">
        <f>IFERROR(__xludf.DUMMYFUNCTION("""COMPUTED_VALUE"""),7.0)</f>
        <v>7</v>
      </c>
      <c r="F414" s="2">
        <f>IFERROR(__xludf.DUMMYFUNCTION("""COMPUTED_VALUE"""),2024.0)</f>
        <v>2024</v>
      </c>
      <c r="G414" s="2">
        <f>IFERROR(__xludf.DUMMYFUNCTION("""COMPUTED_VALUE"""),0.0)</f>
        <v>0</v>
      </c>
    </row>
    <row r="415">
      <c r="A415" s="2" t="str">
        <f>IFERROR(__xludf.DUMMYFUNCTION("""COMPUTED_VALUE"""),"Peru")</f>
        <v>Peru</v>
      </c>
      <c r="B415" s="3">
        <f>IFERROR(__xludf.DUMMYFUNCTION("""COMPUTED_VALUE"""),43150.0)</f>
        <v>43150</v>
      </c>
      <c r="C415" s="3">
        <f>IFERROR(__xludf.DUMMYFUNCTION("""COMPUTED_VALUE"""),43156.0)</f>
        <v>43156</v>
      </c>
      <c r="D415" s="2">
        <f>IFERROR(__xludf.DUMMYFUNCTION("""COMPUTED_VALUE"""),7.0)</f>
        <v>7</v>
      </c>
      <c r="E415" s="2">
        <f>IFERROR(__xludf.DUMMYFUNCTION("""COMPUTED_VALUE"""),8.0)</f>
        <v>8</v>
      </c>
      <c r="F415" s="2">
        <f>IFERROR(__xludf.DUMMYFUNCTION("""COMPUTED_VALUE"""),1948.0)</f>
        <v>1948</v>
      </c>
      <c r="G415" s="2">
        <f>IFERROR(__xludf.DUMMYFUNCTION("""COMPUTED_VALUE"""),0.0)</f>
        <v>0</v>
      </c>
    </row>
    <row r="416">
      <c r="A416" s="2" t="str">
        <f>IFERROR(__xludf.DUMMYFUNCTION("""COMPUTED_VALUE"""),"Peru")</f>
        <v>Peru</v>
      </c>
      <c r="B416" s="3">
        <f>IFERROR(__xludf.DUMMYFUNCTION("""COMPUTED_VALUE"""),43157.0)</f>
        <v>43157</v>
      </c>
      <c r="C416" s="3">
        <f>IFERROR(__xludf.DUMMYFUNCTION("""COMPUTED_VALUE"""),43163.0)</f>
        <v>43163</v>
      </c>
      <c r="D416" s="2">
        <f>IFERROR(__xludf.DUMMYFUNCTION("""COMPUTED_VALUE"""),7.0)</f>
        <v>7</v>
      </c>
      <c r="E416" s="2">
        <f>IFERROR(__xludf.DUMMYFUNCTION("""COMPUTED_VALUE"""),9.0)</f>
        <v>9</v>
      </c>
      <c r="F416" s="2">
        <f>IFERROR(__xludf.DUMMYFUNCTION("""COMPUTED_VALUE"""),1947.0)</f>
        <v>1947</v>
      </c>
      <c r="G416" s="2">
        <f>IFERROR(__xludf.DUMMYFUNCTION("""COMPUTED_VALUE"""),0.0)</f>
        <v>0</v>
      </c>
    </row>
    <row r="417">
      <c r="A417" s="2" t="str">
        <f>IFERROR(__xludf.DUMMYFUNCTION("""COMPUTED_VALUE"""),"Peru")</f>
        <v>Peru</v>
      </c>
      <c r="B417" s="3">
        <f>IFERROR(__xludf.DUMMYFUNCTION("""COMPUTED_VALUE"""),43164.0)</f>
        <v>43164</v>
      </c>
      <c r="C417" s="3">
        <f>IFERROR(__xludf.DUMMYFUNCTION("""COMPUTED_VALUE"""),43170.0)</f>
        <v>43170</v>
      </c>
      <c r="D417" s="2">
        <f>IFERROR(__xludf.DUMMYFUNCTION("""COMPUTED_VALUE"""),7.0)</f>
        <v>7</v>
      </c>
      <c r="E417" s="2">
        <f>IFERROR(__xludf.DUMMYFUNCTION("""COMPUTED_VALUE"""),10.0)</f>
        <v>10</v>
      </c>
      <c r="F417" s="2">
        <f>IFERROR(__xludf.DUMMYFUNCTION("""COMPUTED_VALUE"""),1893.0)</f>
        <v>1893</v>
      </c>
      <c r="G417" s="2">
        <f>IFERROR(__xludf.DUMMYFUNCTION("""COMPUTED_VALUE"""),0.0)</f>
        <v>0</v>
      </c>
    </row>
    <row r="418">
      <c r="A418" s="2" t="str">
        <f>IFERROR(__xludf.DUMMYFUNCTION("""COMPUTED_VALUE"""),"Peru")</f>
        <v>Peru</v>
      </c>
      <c r="B418" s="3">
        <f>IFERROR(__xludf.DUMMYFUNCTION("""COMPUTED_VALUE"""),43171.0)</f>
        <v>43171</v>
      </c>
      <c r="C418" s="3">
        <f>IFERROR(__xludf.DUMMYFUNCTION("""COMPUTED_VALUE"""),43177.0)</f>
        <v>43177</v>
      </c>
      <c r="D418" s="2">
        <f>IFERROR(__xludf.DUMMYFUNCTION("""COMPUTED_VALUE"""),7.0)</f>
        <v>7</v>
      </c>
      <c r="E418" s="2">
        <f>IFERROR(__xludf.DUMMYFUNCTION("""COMPUTED_VALUE"""),11.0)</f>
        <v>11</v>
      </c>
      <c r="F418" s="2">
        <f>IFERROR(__xludf.DUMMYFUNCTION("""COMPUTED_VALUE"""),1972.0)</f>
        <v>1972</v>
      </c>
      <c r="G418" s="2">
        <f>IFERROR(__xludf.DUMMYFUNCTION("""COMPUTED_VALUE"""),0.0)</f>
        <v>0</v>
      </c>
    </row>
    <row r="419">
      <c r="A419" s="2" t="str">
        <f>IFERROR(__xludf.DUMMYFUNCTION("""COMPUTED_VALUE"""),"Peru")</f>
        <v>Peru</v>
      </c>
      <c r="B419" s="3">
        <f>IFERROR(__xludf.DUMMYFUNCTION("""COMPUTED_VALUE"""),43178.0)</f>
        <v>43178</v>
      </c>
      <c r="C419" s="3">
        <f>IFERROR(__xludf.DUMMYFUNCTION("""COMPUTED_VALUE"""),43184.0)</f>
        <v>43184</v>
      </c>
      <c r="D419" s="2">
        <f>IFERROR(__xludf.DUMMYFUNCTION("""COMPUTED_VALUE"""),7.0)</f>
        <v>7</v>
      </c>
      <c r="E419" s="2">
        <f>IFERROR(__xludf.DUMMYFUNCTION("""COMPUTED_VALUE"""),12.0)</f>
        <v>12</v>
      </c>
      <c r="F419" s="2">
        <f>IFERROR(__xludf.DUMMYFUNCTION("""COMPUTED_VALUE"""),1970.0)</f>
        <v>1970</v>
      </c>
      <c r="G419" s="2">
        <f>IFERROR(__xludf.DUMMYFUNCTION("""COMPUTED_VALUE"""),0.0)</f>
        <v>0</v>
      </c>
    </row>
    <row r="420">
      <c r="A420" s="2" t="str">
        <f>IFERROR(__xludf.DUMMYFUNCTION("""COMPUTED_VALUE"""),"Peru")</f>
        <v>Peru</v>
      </c>
      <c r="B420" s="3">
        <f>IFERROR(__xludf.DUMMYFUNCTION("""COMPUTED_VALUE"""),43185.0)</f>
        <v>43185</v>
      </c>
      <c r="C420" s="3">
        <f>IFERROR(__xludf.DUMMYFUNCTION("""COMPUTED_VALUE"""),43191.0)</f>
        <v>43191</v>
      </c>
      <c r="D420" s="2">
        <f>IFERROR(__xludf.DUMMYFUNCTION("""COMPUTED_VALUE"""),7.0)</f>
        <v>7</v>
      </c>
      <c r="E420" s="2">
        <f>IFERROR(__xludf.DUMMYFUNCTION("""COMPUTED_VALUE"""),13.0)</f>
        <v>13</v>
      </c>
      <c r="F420" s="2">
        <f>IFERROR(__xludf.DUMMYFUNCTION("""COMPUTED_VALUE"""),1984.0)</f>
        <v>1984</v>
      </c>
      <c r="G420" s="2">
        <f>IFERROR(__xludf.DUMMYFUNCTION("""COMPUTED_VALUE"""),0.0)</f>
        <v>0</v>
      </c>
    </row>
    <row r="421">
      <c r="A421" s="2" t="str">
        <f>IFERROR(__xludf.DUMMYFUNCTION("""COMPUTED_VALUE"""),"Peru")</f>
        <v>Peru</v>
      </c>
      <c r="B421" s="3">
        <f>IFERROR(__xludf.DUMMYFUNCTION("""COMPUTED_VALUE"""),43192.0)</f>
        <v>43192</v>
      </c>
      <c r="C421" s="3">
        <f>IFERROR(__xludf.DUMMYFUNCTION("""COMPUTED_VALUE"""),43198.0)</f>
        <v>43198</v>
      </c>
      <c r="D421" s="2">
        <f>IFERROR(__xludf.DUMMYFUNCTION("""COMPUTED_VALUE"""),7.0)</f>
        <v>7</v>
      </c>
      <c r="E421" s="2">
        <f>IFERROR(__xludf.DUMMYFUNCTION("""COMPUTED_VALUE"""),14.0)</f>
        <v>14</v>
      </c>
      <c r="F421" s="2">
        <f>IFERROR(__xludf.DUMMYFUNCTION("""COMPUTED_VALUE"""),2100.0)</f>
        <v>2100</v>
      </c>
      <c r="G421" s="2">
        <f>IFERROR(__xludf.DUMMYFUNCTION("""COMPUTED_VALUE"""),0.0)</f>
        <v>0</v>
      </c>
    </row>
    <row r="422">
      <c r="A422" s="2" t="str">
        <f>IFERROR(__xludf.DUMMYFUNCTION("""COMPUTED_VALUE"""),"Peru")</f>
        <v>Peru</v>
      </c>
      <c r="B422" s="3">
        <f>IFERROR(__xludf.DUMMYFUNCTION("""COMPUTED_VALUE"""),43199.0)</f>
        <v>43199</v>
      </c>
      <c r="C422" s="3">
        <f>IFERROR(__xludf.DUMMYFUNCTION("""COMPUTED_VALUE"""),43205.0)</f>
        <v>43205</v>
      </c>
      <c r="D422" s="2">
        <f>IFERROR(__xludf.DUMMYFUNCTION("""COMPUTED_VALUE"""),7.0)</f>
        <v>7</v>
      </c>
      <c r="E422" s="2">
        <f>IFERROR(__xludf.DUMMYFUNCTION("""COMPUTED_VALUE"""),15.0)</f>
        <v>15</v>
      </c>
      <c r="F422" s="2">
        <f>IFERROR(__xludf.DUMMYFUNCTION("""COMPUTED_VALUE"""),1835.0)</f>
        <v>1835</v>
      </c>
      <c r="G422" s="2">
        <f>IFERROR(__xludf.DUMMYFUNCTION("""COMPUTED_VALUE"""),0.0)</f>
        <v>0</v>
      </c>
    </row>
    <row r="423">
      <c r="A423" s="2" t="str">
        <f>IFERROR(__xludf.DUMMYFUNCTION("""COMPUTED_VALUE"""),"Peru")</f>
        <v>Peru</v>
      </c>
      <c r="B423" s="3">
        <f>IFERROR(__xludf.DUMMYFUNCTION("""COMPUTED_VALUE"""),43206.0)</f>
        <v>43206</v>
      </c>
      <c r="C423" s="3">
        <f>IFERROR(__xludf.DUMMYFUNCTION("""COMPUTED_VALUE"""),43212.0)</f>
        <v>43212</v>
      </c>
      <c r="D423" s="2">
        <f>IFERROR(__xludf.DUMMYFUNCTION("""COMPUTED_VALUE"""),7.0)</f>
        <v>7</v>
      </c>
      <c r="E423" s="2">
        <f>IFERROR(__xludf.DUMMYFUNCTION("""COMPUTED_VALUE"""),16.0)</f>
        <v>16</v>
      </c>
      <c r="F423" s="2">
        <f>IFERROR(__xludf.DUMMYFUNCTION("""COMPUTED_VALUE"""),1985.0)</f>
        <v>1985</v>
      </c>
      <c r="G423" s="2">
        <f>IFERROR(__xludf.DUMMYFUNCTION("""COMPUTED_VALUE"""),0.0)</f>
        <v>0</v>
      </c>
    </row>
    <row r="424">
      <c r="A424" s="2" t="str">
        <f>IFERROR(__xludf.DUMMYFUNCTION("""COMPUTED_VALUE"""),"Peru")</f>
        <v>Peru</v>
      </c>
      <c r="B424" s="3">
        <f>IFERROR(__xludf.DUMMYFUNCTION("""COMPUTED_VALUE"""),43213.0)</f>
        <v>43213</v>
      </c>
      <c r="C424" s="3">
        <f>IFERROR(__xludf.DUMMYFUNCTION("""COMPUTED_VALUE"""),43219.0)</f>
        <v>43219</v>
      </c>
      <c r="D424" s="2">
        <f>IFERROR(__xludf.DUMMYFUNCTION("""COMPUTED_VALUE"""),7.0)</f>
        <v>7</v>
      </c>
      <c r="E424" s="2">
        <f>IFERROR(__xludf.DUMMYFUNCTION("""COMPUTED_VALUE"""),17.0)</f>
        <v>17</v>
      </c>
      <c r="F424" s="2">
        <f>IFERROR(__xludf.DUMMYFUNCTION("""COMPUTED_VALUE"""),1991.0)</f>
        <v>1991</v>
      </c>
      <c r="G424" s="2">
        <f>IFERROR(__xludf.DUMMYFUNCTION("""COMPUTED_VALUE"""),0.0)</f>
        <v>0</v>
      </c>
    </row>
    <row r="425">
      <c r="A425" s="2" t="str">
        <f>IFERROR(__xludf.DUMMYFUNCTION("""COMPUTED_VALUE"""),"Peru")</f>
        <v>Peru</v>
      </c>
      <c r="B425" s="3">
        <f>IFERROR(__xludf.DUMMYFUNCTION("""COMPUTED_VALUE"""),43220.0)</f>
        <v>43220</v>
      </c>
      <c r="C425" s="3">
        <f>IFERROR(__xludf.DUMMYFUNCTION("""COMPUTED_VALUE"""),43226.0)</f>
        <v>43226</v>
      </c>
      <c r="D425" s="2">
        <f>IFERROR(__xludf.DUMMYFUNCTION("""COMPUTED_VALUE"""),7.0)</f>
        <v>7</v>
      </c>
      <c r="E425" s="2">
        <f>IFERROR(__xludf.DUMMYFUNCTION("""COMPUTED_VALUE"""),18.0)</f>
        <v>18</v>
      </c>
      <c r="F425" s="2">
        <f>IFERROR(__xludf.DUMMYFUNCTION("""COMPUTED_VALUE"""),2129.0)</f>
        <v>2129</v>
      </c>
      <c r="G425" s="2">
        <f>IFERROR(__xludf.DUMMYFUNCTION("""COMPUTED_VALUE"""),0.0)</f>
        <v>0</v>
      </c>
    </row>
    <row r="426">
      <c r="A426" s="2" t="str">
        <f>IFERROR(__xludf.DUMMYFUNCTION("""COMPUTED_VALUE"""),"Peru")</f>
        <v>Peru</v>
      </c>
      <c r="B426" s="3">
        <f>IFERROR(__xludf.DUMMYFUNCTION("""COMPUTED_VALUE"""),43227.0)</f>
        <v>43227</v>
      </c>
      <c r="C426" s="3">
        <f>IFERROR(__xludf.DUMMYFUNCTION("""COMPUTED_VALUE"""),43233.0)</f>
        <v>43233</v>
      </c>
      <c r="D426" s="2">
        <f>IFERROR(__xludf.DUMMYFUNCTION("""COMPUTED_VALUE"""),7.0)</f>
        <v>7</v>
      </c>
      <c r="E426" s="2">
        <f>IFERROR(__xludf.DUMMYFUNCTION("""COMPUTED_VALUE"""),19.0)</f>
        <v>19</v>
      </c>
      <c r="F426" s="2">
        <f>IFERROR(__xludf.DUMMYFUNCTION("""COMPUTED_VALUE"""),2001.0)</f>
        <v>2001</v>
      </c>
      <c r="G426" s="2">
        <f>IFERROR(__xludf.DUMMYFUNCTION("""COMPUTED_VALUE"""),0.0)</f>
        <v>0</v>
      </c>
    </row>
    <row r="427">
      <c r="A427" s="2" t="str">
        <f>IFERROR(__xludf.DUMMYFUNCTION("""COMPUTED_VALUE"""),"Peru")</f>
        <v>Peru</v>
      </c>
      <c r="B427" s="3">
        <f>IFERROR(__xludf.DUMMYFUNCTION("""COMPUTED_VALUE"""),43234.0)</f>
        <v>43234</v>
      </c>
      <c r="C427" s="3">
        <f>IFERROR(__xludf.DUMMYFUNCTION("""COMPUTED_VALUE"""),43240.0)</f>
        <v>43240</v>
      </c>
      <c r="D427" s="2">
        <f>IFERROR(__xludf.DUMMYFUNCTION("""COMPUTED_VALUE"""),7.0)</f>
        <v>7</v>
      </c>
      <c r="E427" s="2">
        <f>IFERROR(__xludf.DUMMYFUNCTION("""COMPUTED_VALUE"""),20.0)</f>
        <v>20</v>
      </c>
      <c r="F427" s="2">
        <f>IFERROR(__xludf.DUMMYFUNCTION("""COMPUTED_VALUE"""),2118.0)</f>
        <v>2118</v>
      </c>
      <c r="G427" s="2">
        <f>IFERROR(__xludf.DUMMYFUNCTION("""COMPUTED_VALUE"""),0.0)</f>
        <v>0</v>
      </c>
    </row>
    <row r="428">
      <c r="A428" s="2" t="str">
        <f>IFERROR(__xludf.DUMMYFUNCTION("""COMPUTED_VALUE"""),"Peru")</f>
        <v>Peru</v>
      </c>
      <c r="B428" s="3">
        <f>IFERROR(__xludf.DUMMYFUNCTION("""COMPUTED_VALUE"""),43241.0)</f>
        <v>43241</v>
      </c>
      <c r="C428" s="3">
        <f>IFERROR(__xludf.DUMMYFUNCTION("""COMPUTED_VALUE"""),43247.0)</f>
        <v>43247</v>
      </c>
      <c r="D428" s="2">
        <f>IFERROR(__xludf.DUMMYFUNCTION("""COMPUTED_VALUE"""),7.0)</f>
        <v>7</v>
      </c>
      <c r="E428" s="2">
        <f>IFERROR(__xludf.DUMMYFUNCTION("""COMPUTED_VALUE"""),21.0)</f>
        <v>21</v>
      </c>
      <c r="F428" s="2">
        <f>IFERROR(__xludf.DUMMYFUNCTION("""COMPUTED_VALUE"""),2294.0)</f>
        <v>2294</v>
      </c>
      <c r="G428" s="2">
        <f>IFERROR(__xludf.DUMMYFUNCTION("""COMPUTED_VALUE"""),0.0)</f>
        <v>0</v>
      </c>
    </row>
    <row r="429">
      <c r="A429" s="2" t="str">
        <f>IFERROR(__xludf.DUMMYFUNCTION("""COMPUTED_VALUE"""),"Peru")</f>
        <v>Peru</v>
      </c>
      <c r="B429" s="3">
        <f>IFERROR(__xludf.DUMMYFUNCTION("""COMPUTED_VALUE"""),43248.0)</f>
        <v>43248</v>
      </c>
      <c r="C429" s="3">
        <f>IFERROR(__xludf.DUMMYFUNCTION("""COMPUTED_VALUE"""),43254.0)</f>
        <v>43254</v>
      </c>
      <c r="D429" s="2">
        <f>IFERROR(__xludf.DUMMYFUNCTION("""COMPUTED_VALUE"""),7.0)</f>
        <v>7</v>
      </c>
      <c r="E429" s="2">
        <f>IFERROR(__xludf.DUMMYFUNCTION("""COMPUTED_VALUE"""),22.0)</f>
        <v>22</v>
      </c>
      <c r="F429" s="2">
        <f>IFERROR(__xludf.DUMMYFUNCTION("""COMPUTED_VALUE"""),2288.0)</f>
        <v>2288</v>
      </c>
      <c r="G429" s="2">
        <f>IFERROR(__xludf.DUMMYFUNCTION("""COMPUTED_VALUE"""),0.0)</f>
        <v>0</v>
      </c>
    </row>
    <row r="430">
      <c r="A430" s="2" t="str">
        <f>IFERROR(__xludf.DUMMYFUNCTION("""COMPUTED_VALUE"""),"Peru")</f>
        <v>Peru</v>
      </c>
      <c r="B430" s="3">
        <f>IFERROR(__xludf.DUMMYFUNCTION("""COMPUTED_VALUE"""),43255.0)</f>
        <v>43255</v>
      </c>
      <c r="C430" s="3">
        <f>IFERROR(__xludf.DUMMYFUNCTION("""COMPUTED_VALUE"""),43261.0)</f>
        <v>43261</v>
      </c>
      <c r="D430" s="2">
        <f>IFERROR(__xludf.DUMMYFUNCTION("""COMPUTED_VALUE"""),7.0)</f>
        <v>7</v>
      </c>
      <c r="E430" s="2">
        <f>IFERROR(__xludf.DUMMYFUNCTION("""COMPUTED_VALUE"""),23.0)</f>
        <v>23</v>
      </c>
      <c r="F430" s="2">
        <f>IFERROR(__xludf.DUMMYFUNCTION("""COMPUTED_VALUE"""),2347.0)</f>
        <v>2347</v>
      </c>
      <c r="G430" s="2">
        <f>IFERROR(__xludf.DUMMYFUNCTION("""COMPUTED_VALUE"""),0.0)</f>
        <v>0</v>
      </c>
    </row>
    <row r="431">
      <c r="A431" s="2" t="str">
        <f>IFERROR(__xludf.DUMMYFUNCTION("""COMPUTED_VALUE"""),"Peru")</f>
        <v>Peru</v>
      </c>
      <c r="B431" s="3">
        <f>IFERROR(__xludf.DUMMYFUNCTION("""COMPUTED_VALUE"""),43262.0)</f>
        <v>43262</v>
      </c>
      <c r="C431" s="3">
        <f>IFERROR(__xludf.DUMMYFUNCTION("""COMPUTED_VALUE"""),43268.0)</f>
        <v>43268</v>
      </c>
      <c r="D431" s="2">
        <f>IFERROR(__xludf.DUMMYFUNCTION("""COMPUTED_VALUE"""),7.0)</f>
        <v>7</v>
      </c>
      <c r="E431" s="2">
        <f>IFERROR(__xludf.DUMMYFUNCTION("""COMPUTED_VALUE"""),24.0)</f>
        <v>24</v>
      </c>
      <c r="F431" s="2">
        <f>IFERROR(__xludf.DUMMYFUNCTION("""COMPUTED_VALUE"""),2442.0)</f>
        <v>2442</v>
      </c>
      <c r="G431" s="2">
        <f>IFERROR(__xludf.DUMMYFUNCTION("""COMPUTED_VALUE"""),0.0)</f>
        <v>0</v>
      </c>
    </row>
    <row r="432">
      <c r="A432" s="2" t="str">
        <f>IFERROR(__xludf.DUMMYFUNCTION("""COMPUTED_VALUE"""),"Peru")</f>
        <v>Peru</v>
      </c>
      <c r="B432" s="3">
        <f>IFERROR(__xludf.DUMMYFUNCTION("""COMPUTED_VALUE"""),43269.0)</f>
        <v>43269</v>
      </c>
      <c r="C432" s="3">
        <f>IFERROR(__xludf.DUMMYFUNCTION("""COMPUTED_VALUE"""),43275.0)</f>
        <v>43275</v>
      </c>
      <c r="D432" s="2">
        <f>IFERROR(__xludf.DUMMYFUNCTION("""COMPUTED_VALUE"""),7.0)</f>
        <v>7</v>
      </c>
      <c r="E432" s="2">
        <f>IFERROR(__xludf.DUMMYFUNCTION("""COMPUTED_VALUE"""),25.0)</f>
        <v>25</v>
      </c>
      <c r="F432" s="2">
        <f>IFERROR(__xludf.DUMMYFUNCTION("""COMPUTED_VALUE"""),2496.0)</f>
        <v>2496</v>
      </c>
      <c r="G432" s="2">
        <f>IFERROR(__xludf.DUMMYFUNCTION("""COMPUTED_VALUE"""),0.0)</f>
        <v>0</v>
      </c>
    </row>
    <row r="433">
      <c r="A433" s="2" t="str">
        <f>IFERROR(__xludf.DUMMYFUNCTION("""COMPUTED_VALUE"""),"Peru")</f>
        <v>Peru</v>
      </c>
      <c r="B433" s="3">
        <f>IFERROR(__xludf.DUMMYFUNCTION("""COMPUTED_VALUE"""),43276.0)</f>
        <v>43276</v>
      </c>
      <c r="C433" s="3">
        <f>IFERROR(__xludf.DUMMYFUNCTION("""COMPUTED_VALUE"""),43282.0)</f>
        <v>43282</v>
      </c>
      <c r="D433" s="2">
        <f>IFERROR(__xludf.DUMMYFUNCTION("""COMPUTED_VALUE"""),7.0)</f>
        <v>7</v>
      </c>
      <c r="E433" s="2">
        <f>IFERROR(__xludf.DUMMYFUNCTION("""COMPUTED_VALUE"""),26.0)</f>
        <v>26</v>
      </c>
      <c r="F433" s="2">
        <f>IFERROR(__xludf.DUMMYFUNCTION("""COMPUTED_VALUE"""),2454.0)</f>
        <v>2454</v>
      </c>
      <c r="G433" s="2">
        <f>IFERROR(__xludf.DUMMYFUNCTION("""COMPUTED_VALUE"""),0.0)</f>
        <v>0</v>
      </c>
    </row>
    <row r="434">
      <c r="A434" s="2" t="str">
        <f>IFERROR(__xludf.DUMMYFUNCTION("""COMPUTED_VALUE"""),"Peru")</f>
        <v>Peru</v>
      </c>
      <c r="B434" s="3">
        <f>IFERROR(__xludf.DUMMYFUNCTION("""COMPUTED_VALUE"""),43283.0)</f>
        <v>43283</v>
      </c>
      <c r="C434" s="3">
        <f>IFERROR(__xludf.DUMMYFUNCTION("""COMPUTED_VALUE"""),43289.0)</f>
        <v>43289</v>
      </c>
      <c r="D434" s="2">
        <f>IFERROR(__xludf.DUMMYFUNCTION("""COMPUTED_VALUE"""),7.0)</f>
        <v>7</v>
      </c>
      <c r="E434" s="2">
        <f>IFERROR(__xludf.DUMMYFUNCTION("""COMPUTED_VALUE"""),27.0)</f>
        <v>27</v>
      </c>
      <c r="F434" s="2">
        <f>IFERROR(__xludf.DUMMYFUNCTION("""COMPUTED_VALUE"""),2477.0)</f>
        <v>2477</v>
      </c>
      <c r="G434" s="2">
        <f>IFERROR(__xludf.DUMMYFUNCTION("""COMPUTED_VALUE"""),0.0)</f>
        <v>0</v>
      </c>
    </row>
    <row r="435">
      <c r="A435" s="2" t="str">
        <f>IFERROR(__xludf.DUMMYFUNCTION("""COMPUTED_VALUE"""),"Peru")</f>
        <v>Peru</v>
      </c>
      <c r="B435" s="3">
        <f>IFERROR(__xludf.DUMMYFUNCTION("""COMPUTED_VALUE"""),43290.0)</f>
        <v>43290</v>
      </c>
      <c r="C435" s="3">
        <f>IFERROR(__xludf.DUMMYFUNCTION("""COMPUTED_VALUE"""),43296.0)</f>
        <v>43296</v>
      </c>
      <c r="D435" s="2">
        <f>IFERROR(__xludf.DUMMYFUNCTION("""COMPUTED_VALUE"""),7.0)</f>
        <v>7</v>
      </c>
      <c r="E435" s="2">
        <f>IFERROR(__xludf.DUMMYFUNCTION("""COMPUTED_VALUE"""),28.0)</f>
        <v>28</v>
      </c>
      <c r="F435" s="2">
        <f>IFERROR(__xludf.DUMMYFUNCTION("""COMPUTED_VALUE"""),2320.0)</f>
        <v>2320</v>
      </c>
      <c r="G435" s="2">
        <f>IFERROR(__xludf.DUMMYFUNCTION("""COMPUTED_VALUE"""),0.0)</f>
        <v>0</v>
      </c>
    </row>
    <row r="436">
      <c r="A436" s="2" t="str">
        <f>IFERROR(__xludf.DUMMYFUNCTION("""COMPUTED_VALUE"""),"Peru")</f>
        <v>Peru</v>
      </c>
      <c r="B436" s="3">
        <f>IFERROR(__xludf.DUMMYFUNCTION("""COMPUTED_VALUE"""),43297.0)</f>
        <v>43297</v>
      </c>
      <c r="C436" s="3">
        <f>IFERROR(__xludf.DUMMYFUNCTION("""COMPUTED_VALUE"""),43303.0)</f>
        <v>43303</v>
      </c>
      <c r="D436" s="2">
        <f>IFERROR(__xludf.DUMMYFUNCTION("""COMPUTED_VALUE"""),7.0)</f>
        <v>7</v>
      </c>
      <c r="E436" s="2">
        <f>IFERROR(__xludf.DUMMYFUNCTION("""COMPUTED_VALUE"""),29.0)</f>
        <v>29</v>
      </c>
      <c r="F436" s="2">
        <f>IFERROR(__xludf.DUMMYFUNCTION("""COMPUTED_VALUE"""),2389.0)</f>
        <v>2389</v>
      </c>
      <c r="G436" s="2">
        <f>IFERROR(__xludf.DUMMYFUNCTION("""COMPUTED_VALUE"""),0.0)</f>
        <v>0</v>
      </c>
    </row>
    <row r="437">
      <c r="A437" s="2" t="str">
        <f>IFERROR(__xludf.DUMMYFUNCTION("""COMPUTED_VALUE"""),"Peru")</f>
        <v>Peru</v>
      </c>
      <c r="B437" s="3">
        <f>IFERROR(__xludf.DUMMYFUNCTION("""COMPUTED_VALUE"""),43304.0)</f>
        <v>43304</v>
      </c>
      <c r="C437" s="3">
        <f>IFERROR(__xludf.DUMMYFUNCTION("""COMPUTED_VALUE"""),43310.0)</f>
        <v>43310</v>
      </c>
      <c r="D437" s="2">
        <f>IFERROR(__xludf.DUMMYFUNCTION("""COMPUTED_VALUE"""),7.0)</f>
        <v>7</v>
      </c>
      <c r="E437" s="2">
        <f>IFERROR(__xludf.DUMMYFUNCTION("""COMPUTED_VALUE"""),30.0)</f>
        <v>30</v>
      </c>
      <c r="F437" s="2">
        <f>IFERROR(__xludf.DUMMYFUNCTION("""COMPUTED_VALUE"""),2377.0)</f>
        <v>2377</v>
      </c>
      <c r="G437" s="2">
        <f>IFERROR(__xludf.DUMMYFUNCTION("""COMPUTED_VALUE"""),0.0)</f>
        <v>0</v>
      </c>
    </row>
    <row r="438">
      <c r="A438" s="2" t="str">
        <f>IFERROR(__xludf.DUMMYFUNCTION("""COMPUTED_VALUE"""),"Peru")</f>
        <v>Peru</v>
      </c>
      <c r="B438" s="3">
        <f>IFERROR(__xludf.DUMMYFUNCTION("""COMPUTED_VALUE"""),43311.0)</f>
        <v>43311</v>
      </c>
      <c r="C438" s="3">
        <f>IFERROR(__xludf.DUMMYFUNCTION("""COMPUTED_VALUE"""),43317.0)</f>
        <v>43317</v>
      </c>
      <c r="D438" s="2">
        <f>IFERROR(__xludf.DUMMYFUNCTION("""COMPUTED_VALUE"""),7.0)</f>
        <v>7</v>
      </c>
      <c r="E438" s="2">
        <f>IFERROR(__xludf.DUMMYFUNCTION("""COMPUTED_VALUE"""),31.0)</f>
        <v>31</v>
      </c>
      <c r="F438" s="2">
        <f>IFERROR(__xludf.DUMMYFUNCTION("""COMPUTED_VALUE"""),2388.0)</f>
        <v>2388</v>
      </c>
      <c r="G438" s="2">
        <f>IFERROR(__xludf.DUMMYFUNCTION("""COMPUTED_VALUE"""),0.0)</f>
        <v>0</v>
      </c>
    </row>
    <row r="439">
      <c r="A439" s="2" t="str">
        <f>IFERROR(__xludf.DUMMYFUNCTION("""COMPUTED_VALUE"""),"Peru")</f>
        <v>Peru</v>
      </c>
      <c r="B439" s="3">
        <f>IFERROR(__xludf.DUMMYFUNCTION("""COMPUTED_VALUE"""),43318.0)</f>
        <v>43318</v>
      </c>
      <c r="C439" s="3">
        <f>IFERROR(__xludf.DUMMYFUNCTION("""COMPUTED_VALUE"""),43324.0)</f>
        <v>43324</v>
      </c>
      <c r="D439" s="2">
        <f>IFERROR(__xludf.DUMMYFUNCTION("""COMPUTED_VALUE"""),7.0)</f>
        <v>7</v>
      </c>
      <c r="E439" s="2">
        <f>IFERROR(__xludf.DUMMYFUNCTION("""COMPUTED_VALUE"""),32.0)</f>
        <v>32</v>
      </c>
      <c r="F439" s="2">
        <f>IFERROR(__xludf.DUMMYFUNCTION("""COMPUTED_VALUE"""),2373.0)</f>
        <v>2373</v>
      </c>
      <c r="G439" s="2">
        <f>IFERROR(__xludf.DUMMYFUNCTION("""COMPUTED_VALUE"""),0.0)</f>
        <v>0</v>
      </c>
    </row>
    <row r="440">
      <c r="A440" s="2" t="str">
        <f>IFERROR(__xludf.DUMMYFUNCTION("""COMPUTED_VALUE"""),"Peru")</f>
        <v>Peru</v>
      </c>
      <c r="B440" s="3">
        <f>IFERROR(__xludf.DUMMYFUNCTION("""COMPUTED_VALUE"""),43325.0)</f>
        <v>43325</v>
      </c>
      <c r="C440" s="3">
        <f>IFERROR(__xludf.DUMMYFUNCTION("""COMPUTED_VALUE"""),43331.0)</f>
        <v>43331</v>
      </c>
      <c r="D440" s="2">
        <f>IFERROR(__xludf.DUMMYFUNCTION("""COMPUTED_VALUE"""),7.0)</f>
        <v>7</v>
      </c>
      <c r="E440" s="2">
        <f>IFERROR(__xludf.DUMMYFUNCTION("""COMPUTED_VALUE"""),33.0)</f>
        <v>33</v>
      </c>
      <c r="F440" s="2">
        <f>IFERROR(__xludf.DUMMYFUNCTION("""COMPUTED_VALUE"""),2286.0)</f>
        <v>2286</v>
      </c>
      <c r="G440" s="2">
        <f>IFERROR(__xludf.DUMMYFUNCTION("""COMPUTED_VALUE"""),0.0)</f>
        <v>0</v>
      </c>
    </row>
    <row r="441">
      <c r="A441" s="2" t="str">
        <f>IFERROR(__xludf.DUMMYFUNCTION("""COMPUTED_VALUE"""),"Peru")</f>
        <v>Peru</v>
      </c>
      <c r="B441" s="3">
        <f>IFERROR(__xludf.DUMMYFUNCTION("""COMPUTED_VALUE"""),43332.0)</f>
        <v>43332</v>
      </c>
      <c r="C441" s="3">
        <f>IFERROR(__xludf.DUMMYFUNCTION("""COMPUTED_VALUE"""),43338.0)</f>
        <v>43338</v>
      </c>
      <c r="D441" s="2">
        <f>IFERROR(__xludf.DUMMYFUNCTION("""COMPUTED_VALUE"""),7.0)</f>
        <v>7</v>
      </c>
      <c r="E441" s="2">
        <f>IFERROR(__xludf.DUMMYFUNCTION("""COMPUTED_VALUE"""),34.0)</f>
        <v>34</v>
      </c>
      <c r="F441" s="2">
        <f>IFERROR(__xludf.DUMMYFUNCTION("""COMPUTED_VALUE"""),2217.0)</f>
        <v>2217</v>
      </c>
      <c r="G441" s="2">
        <f>IFERROR(__xludf.DUMMYFUNCTION("""COMPUTED_VALUE"""),0.0)</f>
        <v>0</v>
      </c>
    </row>
    <row r="442">
      <c r="A442" s="2" t="str">
        <f>IFERROR(__xludf.DUMMYFUNCTION("""COMPUTED_VALUE"""),"Peru")</f>
        <v>Peru</v>
      </c>
      <c r="B442" s="3">
        <f>IFERROR(__xludf.DUMMYFUNCTION("""COMPUTED_VALUE"""),43339.0)</f>
        <v>43339</v>
      </c>
      <c r="C442" s="3">
        <f>IFERROR(__xludf.DUMMYFUNCTION("""COMPUTED_VALUE"""),43345.0)</f>
        <v>43345</v>
      </c>
      <c r="D442" s="2">
        <f>IFERROR(__xludf.DUMMYFUNCTION("""COMPUTED_VALUE"""),7.0)</f>
        <v>7</v>
      </c>
      <c r="E442" s="2">
        <f>IFERROR(__xludf.DUMMYFUNCTION("""COMPUTED_VALUE"""),35.0)</f>
        <v>35</v>
      </c>
      <c r="F442" s="2">
        <f>IFERROR(__xludf.DUMMYFUNCTION("""COMPUTED_VALUE"""),2312.0)</f>
        <v>2312</v>
      </c>
      <c r="G442" s="2">
        <f>IFERROR(__xludf.DUMMYFUNCTION("""COMPUTED_VALUE"""),0.0)</f>
        <v>0</v>
      </c>
    </row>
    <row r="443">
      <c r="A443" s="2" t="str">
        <f>IFERROR(__xludf.DUMMYFUNCTION("""COMPUTED_VALUE"""),"Peru")</f>
        <v>Peru</v>
      </c>
      <c r="B443" s="3">
        <f>IFERROR(__xludf.DUMMYFUNCTION("""COMPUTED_VALUE"""),43346.0)</f>
        <v>43346</v>
      </c>
      <c r="C443" s="3">
        <f>IFERROR(__xludf.DUMMYFUNCTION("""COMPUTED_VALUE"""),43352.0)</f>
        <v>43352</v>
      </c>
      <c r="D443" s="2">
        <f>IFERROR(__xludf.DUMMYFUNCTION("""COMPUTED_VALUE"""),7.0)</f>
        <v>7</v>
      </c>
      <c r="E443" s="2">
        <f>IFERROR(__xludf.DUMMYFUNCTION("""COMPUTED_VALUE"""),36.0)</f>
        <v>36</v>
      </c>
      <c r="F443" s="2">
        <f>IFERROR(__xludf.DUMMYFUNCTION("""COMPUTED_VALUE"""),2288.0)</f>
        <v>2288</v>
      </c>
      <c r="G443" s="2">
        <f>IFERROR(__xludf.DUMMYFUNCTION("""COMPUTED_VALUE"""),0.0)</f>
        <v>0</v>
      </c>
    </row>
    <row r="444">
      <c r="A444" s="2" t="str">
        <f>IFERROR(__xludf.DUMMYFUNCTION("""COMPUTED_VALUE"""),"Peru")</f>
        <v>Peru</v>
      </c>
      <c r="B444" s="3">
        <f>IFERROR(__xludf.DUMMYFUNCTION("""COMPUTED_VALUE"""),43353.0)</f>
        <v>43353</v>
      </c>
      <c r="C444" s="3">
        <f>IFERROR(__xludf.DUMMYFUNCTION("""COMPUTED_VALUE"""),43359.0)</f>
        <v>43359</v>
      </c>
      <c r="D444" s="2">
        <f>IFERROR(__xludf.DUMMYFUNCTION("""COMPUTED_VALUE"""),7.0)</f>
        <v>7</v>
      </c>
      <c r="E444" s="2">
        <f>IFERROR(__xludf.DUMMYFUNCTION("""COMPUTED_VALUE"""),37.0)</f>
        <v>37</v>
      </c>
      <c r="F444" s="2">
        <f>IFERROR(__xludf.DUMMYFUNCTION("""COMPUTED_VALUE"""),2224.0)</f>
        <v>2224</v>
      </c>
      <c r="G444" s="2">
        <f>IFERROR(__xludf.DUMMYFUNCTION("""COMPUTED_VALUE"""),0.0)</f>
        <v>0</v>
      </c>
    </row>
    <row r="445">
      <c r="A445" s="2" t="str">
        <f>IFERROR(__xludf.DUMMYFUNCTION("""COMPUTED_VALUE"""),"Peru")</f>
        <v>Peru</v>
      </c>
      <c r="B445" s="3">
        <f>IFERROR(__xludf.DUMMYFUNCTION("""COMPUTED_VALUE"""),43360.0)</f>
        <v>43360</v>
      </c>
      <c r="C445" s="3">
        <f>IFERROR(__xludf.DUMMYFUNCTION("""COMPUTED_VALUE"""),43366.0)</f>
        <v>43366</v>
      </c>
      <c r="D445" s="2">
        <f>IFERROR(__xludf.DUMMYFUNCTION("""COMPUTED_VALUE"""),7.0)</f>
        <v>7</v>
      </c>
      <c r="E445" s="2">
        <f>IFERROR(__xludf.DUMMYFUNCTION("""COMPUTED_VALUE"""),38.0)</f>
        <v>38</v>
      </c>
      <c r="F445" s="2">
        <f>IFERROR(__xludf.DUMMYFUNCTION("""COMPUTED_VALUE"""),2259.0)</f>
        <v>2259</v>
      </c>
      <c r="G445" s="2">
        <f>IFERROR(__xludf.DUMMYFUNCTION("""COMPUTED_VALUE"""),0.0)</f>
        <v>0</v>
      </c>
    </row>
    <row r="446">
      <c r="A446" s="2" t="str">
        <f>IFERROR(__xludf.DUMMYFUNCTION("""COMPUTED_VALUE"""),"Peru")</f>
        <v>Peru</v>
      </c>
      <c r="B446" s="3">
        <f>IFERROR(__xludf.DUMMYFUNCTION("""COMPUTED_VALUE"""),43367.0)</f>
        <v>43367</v>
      </c>
      <c r="C446" s="3">
        <f>IFERROR(__xludf.DUMMYFUNCTION("""COMPUTED_VALUE"""),43373.0)</f>
        <v>43373</v>
      </c>
      <c r="D446" s="2">
        <f>IFERROR(__xludf.DUMMYFUNCTION("""COMPUTED_VALUE"""),7.0)</f>
        <v>7</v>
      </c>
      <c r="E446" s="2">
        <f>IFERROR(__xludf.DUMMYFUNCTION("""COMPUTED_VALUE"""),39.0)</f>
        <v>39</v>
      </c>
      <c r="F446" s="2">
        <f>IFERROR(__xludf.DUMMYFUNCTION("""COMPUTED_VALUE"""),2328.0)</f>
        <v>2328</v>
      </c>
      <c r="G446" s="2">
        <f>IFERROR(__xludf.DUMMYFUNCTION("""COMPUTED_VALUE"""),0.0)</f>
        <v>0</v>
      </c>
    </row>
    <row r="447">
      <c r="A447" s="2" t="str">
        <f>IFERROR(__xludf.DUMMYFUNCTION("""COMPUTED_VALUE"""),"Peru")</f>
        <v>Peru</v>
      </c>
      <c r="B447" s="3">
        <f>IFERROR(__xludf.DUMMYFUNCTION("""COMPUTED_VALUE"""),43374.0)</f>
        <v>43374</v>
      </c>
      <c r="C447" s="3">
        <f>IFERROR(__xludf.DUMMYFUNCTION("""COMPUTED_VALUE"""),43380.0)</f>
        <v>43380</v>
      </c>
      <c r="D447" s="2">
        <f>IFERROR(__xludf.DUMMYFUNCTION("""COMPUTED_VALUE"""),7.0)</f>
        <v>7</v>
      </c>
      <c r="E447" s="2">
        <f>IFERROR(__xludf.DUMMYFUNCTION("""COMPUTED_VALUE"""),40.0)</f>
        <v>40</v>
      </c>
      <c r="F447" s="2">
        <f>IFERROR(__xludf.DUMMYFUNCTION("""COMPUTED_VALUE"""),2244.0)</f>
        <v>2244</v>
      </c>
      <c r="G447" s="2">
        <f>IFERROR(__xludf.DUMMYFUNCTION("""COMPUTED_VALUE"""),0.0)</f>
        <v>0</v>
      </c>
    </row>
    <row r="448">
      <c r="A448" s="2" t="str">
        <f>IFERROR(__xludf.DUMMYFUNCTION("""COMPUTED_VALUE"""),"Peru")</f>
        <v>Peru</v>
      </c>
      <c r="B448" s="3">
        <f>IFERROR(__xludf.DUMMYFUNCTION("""COMPUTED_VALUE"""),43381.0)</f>
        <v>43381</v>
      </c>
      <c r="C448" s="3">
        <f>IFERROR(__xludf.DUMMYFUNCTION("""COMPUTED_VALUE"""),43387.0)</f>
        <v>43387</v>
      </c>
      <c r="D448" s="2">
        <f>IFERROR(__xludf.DUMMYFUNCTION("""COMPUTED_VALUE"""),7.0)</f>
        <v>7</v>
      </c>
      <c r="E448" s="2">
        <f>IFERROR(__xludf.DUMMYFUNCTION("""COMPUTED_VALUE"""),41.0)</f>
        <v>41</v>
      </c>
      <c r="F448" s="2">
        <f>IFERROR(__xludf.DUMMYFUNCTION("""COMPUTED_VALUE"""),2286.0)</f>
        <v>2286</v>
      </c>
      <c r="G448" s="2">
        <f>IFERROR(__xludf.DUMMYFUNCTION("""COMPUTED_VALUE"""),0.0)</f>
        <v>0</v>
      </c>
    </row>
    <row r="449">
      <c r="A449" s="2" t="str">
        <f>IFERROR(__xludf.DUMMYFUNCTION("""COMPUTED_VALUE"""),"Peru")</f>
        <v>Peru</v>
      </c>
      <c r="B449" s="3">
        <f>IFERROR(__xludf.DUMMYFUNCTION("""COMPUTED_VALUE"""),43388.0)</f>
        <v>43388</v>
      </c>
      <c r="C449" s="3">
        <f>IFERROR(__xludf.DUMMYFUNCTION("""COMPUTED_VALUE"""),43394.0)</f>
        <v>43394</v>
      </c>
      <c r="D449" s="2">
        <f>IFERROR(__xludf.DUMMYFUNCTION("""COMPUTED_VALUE"""),7.0)</f>
        <v>7</v>
      </c>
      <c r="E449" s="2">
        <f>IFERROR(__xludf.DUMMYFUNCTION("""COMPUTED_VALUE"""),42.0)</f>
        <v>42</v>
      </c>
      <c r="F449" s="2">
        <f>IFERROR(__xludf.DUMMYFUNCTION("""COMPUTED_VALUE"""),2296.0)</f>
        <v>2296</v>
      </c>
      <c r="G449" s="2">
        <f>IFERROR(__xludf.DUMMYFUNCTION("""COMPUTED_VALUE"""),0.0)</f>
        <v>0</v>
      </c>
    </row>
    <row r="450">
      <c r="A450" s="2" t="str">
        <f>IFERROR(__xludf.DUMMYFUNCTION("""COMPUTED_VALUE"""),"Peru")</f>
        <v>Peru</v>
      </c>
      <c r="B450" s="3">
        <f>IFERROR(__xludf.DUMMYFUNCTION("""COMPUTED_VALUE"""),43395.0)</f>
        <v>43395</v>
      </c>
      <c r="C450" s="3">
        <f>IFERROR(__xludf.DUMMYFUNCTION("""COMPUTED_VALUE"""),43401.0)</f>
        <v>43401</v>
      </c>
      <c r="D450" s="2">
        <f>IFERROR(__xludf.DUMMYFUNCTION("""COMPUTED_VALUE"""),7.0)</f>
        <v>7</v>
      </c>
      <c r="E450" s="2">
        <f>IFERROR(__xludf.DUMMYFUNCTION("""COMPUTED_VALUE"""),43.0)</f>
        <v>43</v>
      </c>
      <c r="F450" s="2">
        <f>IFERROR(__xludf.DUMMYFUNCTION("""COMPUTED_VALUE"""),2296.0)</f>
        <v>2296</v>
      </c>
      <c r="G450" s="2">
        <f>IFERROR(__xludf.DUMMYFUNCTION("""COMPUTED_VALUE"""),0.0)</f>
        <v>0</v>
      </c>
    </row>
    <row r="451">
      <c r="A451" s="2" t="str">
        <f>IFERROR(__xludf.DUMMYFUNCTION("""COMPUTED_VALUE"""),"Peru")</f>
        <v>Peru</v>
      </c>
      <c r="B451" s="3">
        <f>IFERROR(__xludf.DUMMYFUNCTION("""COMPUTED_VALUE"""),43402.0)</f>
        <v>43402</v>
      </c>
      <c r="C451" s="3">
        <f>IFERROR(__xludf.DUMMYFUNCTION("""COMPUTED_VALUE"""),43408.0)</f>
        <v>43408</v>
      </c>
      <c r="D451" s="2">
        <f>IFERROR(__xludf.DUMMYFUNCTION("""COMPUTED_VALUE"""),7.0)</f>
        <v>7</v>
      </c>
      <c r="E451" s="2">
        <f>IFERROR(__xludf.DUMMYFUNCTION("""COMPUTED_VALUE"""),44.0)</f>
        <v>44</v>
      </c>
      <c r="F451" s="2">
        <f>IFERROR(__xludf.DUMMYFUNCTION("""COMPUTED_VALUE"""),2243.0)</f>
        <v>2243</v>
      </c>
      <c r="G451" s="2">
        <f>IFERROR(__xludf.DUMMYFUNCTION("""COMPUTED_VALUE"""),0.0)</f>
        <v>0</v>
      </c>
    </row>
    <row r="452">
      <c r="A452" s="2" t="str">
        <f>IFERROR(__xludf.DUMMYFUNCTION("""COMPUTED_VALUE"""),"Peru")</f>
        <v>Peru</v>
      </c>
      <c r="B452" s="3">
        <f>IFERROR(__xludf.DUMMYFUNCTION("""COMPUTED_VALUE"""),43409.0)</f>
        <v>43409</v>
      </c>
      <c r="C452" s="3">
        <f>IFERROR(__xludf.DUMMYFUNCTION("""COMPUTED_VALUE"""),43415.0)</f>
        <v>43415</v>
      </c>
      <c r="D452" s="2">
        <f>IFERROR(__xludf.DUMMYFUNCTION("""COMPUTED_VALUE"""),7.0)</f>
        <v>7</v>
      </c>
      <c r="E452" s="2">
        <f>IFERROR(__xludf.DUMMYFUNCTION("""COMPUTED_VALUE"""),45.0)</f>
        <v>45</v>
      </c>
      <c r="F452" s="2">
        <f>IFERROR(__xludf.DUMMYFUNCTION("""COMPUTED_VALUE"""),2244.0)</f>
        <v>2244</v>
      </c>
      <c r="G452" s="2">
        <f>IFERROR(__xludf.DUMMYFUNCTION("""COMPUTED_VALUE"""),0.0)</f>
        <v>0</v>
      </c>
    </row>
    <row r="453">
      <c r="A453" s="2" t="str">
        <f>IFERROR(__xludf.DUMMYFUNCTION("""COMPUTED_VALUE"""),"Peru")</f>
        <v>Peru</v>
      </c>
      <c r="B453" s="3">
        <f>IFERROR(__xludf.DUMMYFUNCTION("""COMPUTED_VALUE"""),43416.0)</f>
        <v>43416</v>
      </c>
      <c r="C453" s="3">
        <f>IFERROR(__xludf.DUMMYFUNCTION("""COMPUTED_VALUE"""),43422.0)</f>
        <v>43422</v>
      </c>
      <c r="D453" s="2">
        <f>IFERROR(__xludf.DUMMYFUNCTION("""COMPUTED_VALUE"""),7.0)</f>
        <v>7</v>
      </c>
      <c r="E453" s="2">
        <f>IFERROR(__xludf.DUMMYFUNCTION("""COMPUTED_VALUE"""),46.0)</f>
        <v>46</v>
      </c>
      <c r="F453" s="2">
        <f>IFERROR(__xludf.DUMMYFUNCTION("""COMPUTED_VALUE"""),2059.0)</f>
        <v>2059</v>
      </c>
      <c r="G453" s="2">
        <f>IFERROR(__xludf.DUMMYFUNCTION("""COMPUTED_VALUE"""),0.0)</f>
        <v>0</v>
      </c>
    </row>
    <row r="454">
      <c r="A454" s="2" t="str">
        <f>IFERROR(__xludf.DUMMYFUNCTION("""COMPUTED_VALUE"""),"Peru")</f>
        <v>Peru</v>
      </c>
      <c r="B454" s="3">
        <f>IFERROR(__xludf.DUMMYFUNCTION("""COMPUTED_VALUE"""),43423.0)</f>
        <v>43423</v>
      </c>
      <c r="C454" s="3">
        <f>IFERROR(__xludf.DUMMYFUNCTION("""COMPUTED_VALUE"""),43429.0)</f>
        <v>43429</v>
      </c>
      <c r="D454" s="2">
        <f>IFERROR(__xludf.DUMMYFUNCTION("""COMPUTED_VALUE"""),7.0)</f>
        <v>7</v>
      </c>
      <c r="E454" s="2">
        <f>IFERROR(__xludf.DUMMYFUNCTION("""COMPUTED_VALUE"""),47.0)</f>
        <v>47</v>
      </c>
      <c r="F454" s="2">
        <f>IFERROR(__xludf.DUMMYFUNCTION("""COMPUTED_VALUE"""),2015.0)</f>
        <v>2015</v>
      </c>
      <c r="G454" s="2">
        <f>IFERROR(__xludf.DUMMYFUNCTION("""COMPUTED_VALUE"""),0.0)</f>
        <v>0</v>
      </c>
    </row>
    <row r="455">
      <c r="A455" s="2" t="str">
        <f>IFERROR(__xludf.DUMMYFUNCTION("""COMPUTED_VALUE"""),"Peru")</f>
        <v>Peru</v>
      </c>
      <c r="B455" s="3">
        <f>IFERROR(__xludf.DUMMYFUNCTION("""COMPUTED_VALUE"""),43430.0)</f>
        <v>43430</v>
      </c>
      <c r="C455" s="3">
        <f>IFERROR(__xludf.DUMMYFUNCTION("""COMPUTED_VALUE"""),43436.0)</f>
        <v>43436</v>
      </c>
      <c r="D455" s="2">
        <f>IFERROR(__xludf.DUMMYFUNCTION("""COMPUTED_VALUE"""),7.0)</f>
        <v>7</v>
      </c>
      <c r="E455" s="2">
        <f>IFERROR(__xludf.DUMMYFUNCTION("""COMPUTED_VALUE"""),48.0)</f>
        <v>48</v>
      </c>
      <c r="F455" s="2">
        <f>IFERROR(__xludf.DUMMYFUNCTION("""COMPUTED_VALUE"""),2029.0)</f>
        <v>2029</v>
      </c>
      <c r="G455" s="2">
        <f>IFERROR(__xludf.DUMMYFUNCTION("""COMPUTED_VALUE"""),0.0)</f>
        <v>0</v>
      </c>
    </row>
    <row r="456">
      <c r="A456" s="2" t="str">
        <f>IFERROR(__xludf.DUMMYFUNCTION("""COMPUTED_VALUE"""),"Peru")</f>
        <v>Peru</v>
      </c>
      <c r="B456" s="3">
        <f>IFERROR(__xludf.DUMMYFUNCTION("""COMPUTED_VALUE"""),43437.0)</f>
        <v>43437</v>
      </c>
      <c r="C456" s="3">
        <f>IFERROR(__xludf.DUMMYFUNCTION("""COMPUTED_VALUE"""),43443.0)</f>
        <v>43443</v>
      </c>
      <c r="D456" s="2">
        <f>IFERROR(__xludf.DUMMYFUNCTION("""COMPUTED_VALUE"""),7.0)</f>
        <v>7</v>
      </c>
      <c r="E456" s="2">
        <f>IFERROR(__xludf.DUMMYFUNCTION("""COMPUTED_VALUE"""),49.0)</f>
        <v>49</v>
      </c>
      <c r="F456" s="2">
        <f>IFERROR(__xludf.DUMMYFUNCTION("""COMPUTED_VALUE"""),2147.0)</f>
        <v>2147</v>
      </c>
      <c r="G456" s="2">
        <f>IFERROR(__xludf.DUMMYFUNCTION("""COMPUTED_VALUE"""),0.0)</f>
        <v>0</v>
      </c>
    </row>
    <row r="457">
      <c r="A457" s="2" t="str">
        <f>IFERROR(__xludf.DUMMYFUNCTION("""COMPUTED_VALUE"""),"Peru")</f>
        <v>Peru</v>
      </c>
      <c r="B457" s="3">
        <f>IFERROR(__xludf.DUMMYFUNCTION("""COMPUTED_VALUE"""),43444.0)</f>
        <v>43444</v>
      </c>
      <c r="C457" s="3">
        <f>IFERROR(__xludf.DUMMYFUNCTION("""COMPUTED_VALUE"""),43450.0)</f>
        <v>43450</v>
      </c>
      <c r="D457" s="2">
        <f>IFERROR(__xludf.DUMMYFUNCTION("""COMPUTED_VALUE"""),7.0)</f>
        <v>7</v>
      </c>
      <c r="E457" s="2">
        <f>IFERROR(__xludf.DUMMYFUNCTION("""COMPUTED_VALUE"""),50.0)</f>
        <v>50</v>
      </c>
      <c r="F457" s="2">
        <f>IFERROR(__xludf.DUMMYFUNCTION("""COMPUTED_VALUE"""),2169.0)</f>
        <v>2169</v>
      </c>
      <c r="G457" s="2">
        <f>IFERROR(__xludf.DUMMYFUNCTION("""COMPUTED_VALUE"""),0.0)</f>
        <v>0</v>
      </c>
    </row>
    <row r="458">
      <c r="A458" s="2" t="str">
        <f>IFERROR(__xludf.DUMMYFUNCTION("""COMPUTED_VALUE"""),"Peru")</f>
        <v>Peru</v>
      </c>
      <c r="B458" s="3">
        <f>IFERROR(__xludf.DUMMYFUNCTION("""COMPUTED_VALUE"""),43451.0)</f>
        <v>43451</v>
      </c>
      <c r="C458" s="3">
        <f>IFERROR(__xludf.DUMMYFUNCTION("""COMPUTED_VALUE"""),43457.0)</f>
        <v>43457</v>
      </c>
      <c r="D458" s="2">
        <f>IFERROR(__xludf.DUMMYFUNCTION("""COMPUTED_VALUE"""),7.0)</f>
        <v>7</v>
      </c>
      <c r="E458" s="2">
        <f>IFERROR(__xludf.DUMMYFUNCTION("""COMPUTED_VALUE"""),51.0)</f>
        <v>51</v>
      </c>
      <c r="F458" s="2">
        <f>IFERROR(__xludf.DUMMYFUNCTION("""COMPUTED_VALUE"""),2181.0)</f>
        <v>2181</v>
      </c>
      <c r="G458" s="2">
        <f>IFERROR(__xludf.DUMMYFUNCTION("""COMPUTED_VALUE"""),0.0)</f>
        <v>0</v>
      </c>
    </row>
    <row r="459">
      <c r="A459" s="2" t="str">
        <f>IFERROR(__xludf.DUMMYFUNCTION("""COMPUTED_VALUE"""),"Peru")</f>
        <v>Peru</v>
      </c>
      <c r="B459" s="3">
        <f>IFERROR(__xludf.DUMMYFUNCTION("""COMPUTED_VALUE"""),43458.0)</f>
        <v>43458</v>
      </c>
      <c r="C459" s="3">
        <f>IFERROR(__xludf.DUMMYFUNCTION("""COMPUTED_VALUE"""),43464.0)</f>
        <v>43464</v>
      </c>
      <c r="D459" s="2">
        <f>IFERROR(__xludf.DUMMYFUNCTION("""COMPUTED_VALUE"""),7.0)</f>
        <v>7</v>
      </c>
      <c r="E459" s="2">
        <f>IFERROR(__xludf.DUMMYFUNCTION("""COMPUTED_VALUE"""),52.0)</f>
        <v>52</v>
      </c>
      <c r="F459" s="2">
        <f>IFERROR(__xludf.DUMMYFUNCTION("""COMPUTED_VALUE"""),2204.0)</f>
        <v>2204</v>
      </c>
      <c r="G459" s="2">
        <f>IFERROR(__xludf.DUMMYFUNCTION("""COMPUTED_VALUE"""),0.0)</f>
        <v>0</v>
      </c>
    </row>
    <row r="460">
      <c r="A460" s="2" t="str">
        <f>IFERROR(__xludf.DUMMYFUNCTION("""COMPUTED_VALUE"""),"Peru")</f>
        <v>Peru</v>
      </c>
      <c r="B460" s="3">
        <f>IFERROR(__xludf.DUMMYFUNCTION("""COMPUTED_VALUE"""),43465.0)</f>
        <v>43465</v>
      </c>
      <c r="C460" s="3">
        <f>IFERROR(__xludf.DUMMYFUNCTION("""COMPUTED_VALUE"""),43471.0)</f>
        <v>43471</v>
      </c>
      <c r="D460" s="2">
        <f>IFERROR(__xludf.DUMMYFUNCTION("""COMPUTED_VALUE"""),7.0)</f>
        <v>7</v>
      </c>
      <c r="E460" s="2">
        <f>IFERROR(__xludf.DUMMYFUNCTION("""COMPUTED_VALUE"""),1.0)</f>
        <v>1</v>
      </c>
      <c r="F460" s="2">
        <f>IFERROR(__xludf.DUMMYFUNCTION("""COMPUTED_VALUE"""),2238.0)</f>
        <v>2238</v>
      </c>
      <c r="G460" s="2">
        <f>IFERROR(__xludf.DUMMYFUNCTION("""COMPUTED_VALUE"""),0.0)</f>
        <v>0</v>
      </c>
    </row>
    <row r="461">
      <c r="A461" s="2" t="str">
        <f>IFERROR(__xludf.DUMMYFUNCTION("""COMPUTED_VALUE"""),"Peru")</f>
        <v>Peru</v>
      </c>
      <c r="B461" s="3">
        <f>IFERROR(__xludf.DUMMYFUNCTION("""COMPUTED_VALUE"""),43472.0)</f>
        <v>43472</v>
      </c>
      <c r="C461" s="3">
        <f>IFERROR(__xludf.DUMMYFUNCTION("""COMPUTED_VALUE"""),43478.0)</f>
        <v>43478</v>
      </c>
      <c r="D461" s="2">
        <f>IFERROR(__xludf.DUMMYFUNCTION("""COMPUTED_VALUE"""),7.0)</f>
        <v>7</v>
      </c>
      <c r="E461" s="2">
        <f>IFERROR(__xludf.DUMMYFUNCTION("""COMPUTED_VALUE"""),2.0)</f>
        <v>2</v>
      </c>
      <c r="F461" s="2">
        <f>IFERROR(__xludf.DUMMYFUNCTION("""COMPUTED_VALUE"""),2126.0)</f>
        <v>2126</v>
      </c>
      <c r="G461" s="2">
        <f>IFERROR(__xludf.DUMMYFUNCTION("""COMPUTED_VALUE"""),0.0)</f>
        <v>0</v>
      </c>
    </row>
    <row r="462">
      <c r="A462" s="2" t="str">
        <f>IFERROR(__xludf.DUMMYFUNCTION("""COMPUTED_VALUE"""),"Peru")</f>
        <v>Peru</v>
      </c>
      <c r="B462" s="3">
        <f>IFERROR(__xludf.DUMMYFUNCTION("""COMPUTED_VALUE"""),43479.0)</f>
        <v>43479</v>
      </c>
      <c r="C462" s="3">
        <f>IFERROR(__xludf.DUMMYFUNCTION("""COMPUTED_VALUE"""),43485.0)</f>
        <v>43485</v>
      </c>
      <c r="D462" s="2">
        <f>IFERROR(__xludf.DUMMYFUNCTION("""COMPUTED_VALUE"""),7.0)</f>
        <v>7</v>
      </c>
      <c r="E462" s="2">
        <f>IFERROR(__xludf.DUMMYFUNCTION("""COMPUTED_VALUE"""),3.0)</f>
        <v>3</v>
      </c>
      <c r="F462" s="2">
        <f>IFERROR(__xludf.DUMMYFUNCTION("""COMPUTED_VALUE"""),2132.0)</f>
        <v>2132</v>
      </c>
      <c r="G462" s="2">
        <f>IFERROR(__xludf.DUMMYFUNCTION("""COMPUTED_VALUE"""),0.0)</f>
        <v>0</v>
      </c>
    </row>
    <row r="463">
      <c r="A463" s="2" t="str">
        <f>IFERROR(__xludf.DUMMYFUNCTION("""COMPUTED_VALUE"""),"Peru")</f>
        <v>Peru</v>
      </c>
      <c r="B463" s="3">
        <f>IFERROR(__xludf.DUMMYFUNCTION("""COMPUTED_VALUE"""),43486.0)</f>
        <v>43486</v>
      </c>
      <c r="C463" s="3">
        <f>IFERROR(__xludf.DUMMYFUNCTION("""COMPUTED_VALUE"""),43492.0)</f>
        <v>43492</v>
      </c>
      <c r="D463" s="2">
        <f>IFERROR(__xludf.DUMMYFUNCTION("""COMPUTED_VALUE"""),7.0)</f>
        <v>7</v>
      </c>
      <c r="E463" s="2">
        <f>IFERROR(__xludf.DUMMYFUNCTION("""COMPUTED_VALUE"""),4.0)</f>
        <v>4</v>
      </c>
      <c r="F463" s="2">
        <f>IFERROR(__xludf.DUMMYFUNCTION("""COMPUTED_VALUE"""),2126.0)</f>
        <v>2126</v>
      </c>
      <c r="G463" s="2">
        <f>IFERROR(__xludf.DUMMYFUNCTION("""COMPUTED_VALUE"""),0.0)</f>
        <v>0</v>
      </c>
    </row>
    <row r="464">
      <c r="A464" s="2" t="str">
        <f>IFERROR(__xludf.DUMMYFUNCTION("""COMPUTED_VALUE"""),"Peru")</f>
        <v>Peru</v>
      </c>
      <c r="B464" s="3">
        <f>IFERROR(__xludf.DUMMYFUNCTION("""COMPUTED_VALUE"""),43493.0)</f>
        <v>43493</v>
      </c>
      <c r="C464" s="3">
        <f>IFERROR(__xludf.DUMMYFUNCTION("""COMPUTED_VALUE"""),43499.0)</f>
        <v>43499</v>
      </c>
      <c r="D464" s="2">
        <f>IFERROR(__xludf.DUMMYFUNCTION("""COMPUTED_VALUE"""),7.0)</f>
        <v>7</v>
      </c>
      <c r="E464" s="2">
        <f>IFERROR(__xludf.DUMMYFUNCTION("""COMPUTED_VALUE"""),5.0)</f>
        <v>5</v>
      </c>
      <c r="F464" s="2">
        <f>IFERROR(__xludf.DUMMYFUNCTION("""COMPUTED_VALUE"""),2345.0)</f>
        <v>2345</v>
      </c>
      <c r="G464" s="2">
        <f>IFERROR(__xludf.DUMMYFUNCTION("""COMPUTED_VALUE"""),0.0)</f>
        <v>0</v>
      </c>
    </row>
    <row r="465">
      <c r="A465" s="2" t="str">
        <f>IFERROR(__xludf.DUMMYFUNCTION("""COMPUTED_VALUE"""),"Peru")</f>
        <v>Peru</v>
      </c>
      <c r="B465" s="3">
        <f>IFERROR(__xludf.DUMMYFUNCTION("""COMPUTED_VALUE"""),43500.0)</f>
        <v>43500</v>
      </c>
      <c r="C465" s="3">
        <f>IFERROR(__xludf.DUMMYFUNCTION("""COMPUTED_VALUE"""),43506.0)</f>
        <v>43506</v>
      </c>
      <c r="D465" s="2">
        <f>IFERROR(__xludf.DUMMYFUNCTION("""COMPUTED_VALUE"""),7.0)</f>
        <v>7</v>
      </c>
      <c r="E465" s="2">
        <f>IFERROR(__xludf.DUMMYFUNCTION("""COMPUTED_VALUE"""),6.0)</f>
        <v>6</v>
      </c>
      <c r="F465" s="2">
        <f>IFERROR(__xludf.DUMMYFUNCTION("""COMPUTED_VALUE"""),2307.0)</f>
        <v>2307</v>
      </c>
      <c r="G465" s="2">
        <f>IFERROR(__xludf.DUMMYFUNCTION("""COMPUTED_VALUE"""),0.0)</f>
        <v>0</v>
      </c>
    </row>
    <row r="466">
      <c r="A466" s="2" t="str">
        <f>IFERROR(__xludf.DUMMYFUNCTION("""COMPUTED_VALUE"""),"Peru")</f>
        <v>Peru</v>
      </c>
      <c r="B466" s="3">
        <f>IFERROR(__xludf.DUMMYFUNCTION("""COMPUTED_VALUE"""),43507.0)</f>
        <v>43507</v>
      </c>
      <c r="C466" s="3">
        <f>IFERROR(__xludf.DUMMYFUNCTION("""COMPUTED_VALUE"""),43513.0)</f>
        <v>43513</v>
      </c>
      <c r="D466" s="2">
        <f>IFERROR(__xludf.DUMMYFUNCTION("""COMPUTED_VALUE"""),7.0)</f>
        <v>7</v>
      </c>
      <c r="E466" s="2">
        <f>IFERROR(__xludf.DUMMYFUNCTION("""COMPUTED_VALUE"""),7.0)</f>
        <v>7</v>
      </c>
      <c r="F466" s="2">
        <f>IFERROR(__xludf.DUMMYFUNCTION("""COMPUTED_VALUE"""),2251.0)</f>
        <v>2251</v>
      </c>
      <c r="G466" s="2">
        <f>IFERROR(__xludf.DUMMYFUNCTION("""COMPUTED_VALUE"""),0.0)</f>
        <v>0</v>
      </c>
    </row>
    <row r="467">
      <c r="A467" s="2" t="str">
        <f>IFERROR(__xludf.DUMMYFUNCTION("""COMPUTED_VALUE"""),"Peru")</f>
        <v>Peru</v>
      </c>
      <c r="B467" s="3">
        <f>IFERROR(__xludf.DUMMYFUNCTION("""COMPUTED_VALUE"""),43514.0)</f>
        <v>43514</v>
      </c>
      <c r="C467" s="3">
        <f>IFERROR(__xludf.DUMMYFUNCTION("""COMPUTED_VALUE"""),43520.0)</f>
        <v>43520</v>
      </c>
      <c r="D467" s="2">
        <f>IFERROR(__xludf.DUMMYFUNCTION("""COMPUTED_VALUE"""),7.0)</f>
        <v>7</v>
      </c>
      <c r="E467" s="2">
        <f>IFERROR(__xludf.DUMMYFUNCTION("""COMPUTED_VALUE"""),8.0)</f>
        <v>8</v>
      </c>
      <c r="F467" s="2">
        <f>IFERROR(__xludf.DUMMYFUNCTION("""COMPUTED_VALUE"""),2317.0)</f>
        <v>2317</v>
      </c>
      <c r="G467" s="2">
        <f>IFERROR(__xludf.DUMMYFUNCTION("""COMPUTED_VALUE"""),0.0)</f>
        <v>0</v>
      </c>
    </row>
    <row r="468">
      <c r="A468" s="2" t="str">
        <f>IFERROR(__xludf.DUMMYFUNCTION("""COMPUTED_VALUE"""),"Peru")</f>
        <v>Peru</v>
      </c>
      <c r="B468" s="3">
        <f>IFERROR(__xludf.DUMMYFUNCTION("""COMPUTED_VALUE"""),43521.0)</f>
        <v>43521</v>
      </c>
      <c r="C468" s="3">
        <f>IFERROR(__xludf.DUMMYFUNCTION("""COMPUTED_VALUE"""),43527.0)</f>
        <v>43527</v>
      </c>
      <c r="D468" s="2">
        <f>IFERROR(__xludf.DUMMYFUNCTION("""COMPUTED_VALUE"""),7.0)</f>
        <v>7</v>
      </c>
      <c r="E468" s="2">
        <f>IFERROR(__xludf.DUMMYFUNCTION("""COMPUTED_VALUE"""),9.0)</f>
        <v>9</v>
      </c>
      <c r="F468" s="2">
        <f>IFERROR(__xludf.DUMMYFUNCTION("""COMPUTED_VALUE"""),2372.0)</f>
        <v>2372</v>
      </c>
      <c r="G468" s="2">
        <f>IFERROR(__xludf.DUMMYFUNCTION("""COMPUTED_VALUE"""),0.0)</f>
        <v>0</v>
      </c>
    </row>
    <row r="469">
      <c r="A469" s="2" t="str">
        <f>IFERROR(__xludf.DUMMYFUNCTION("""COMPUTED_VALUE"""),"Peru")</f>
        <v>Peru</v>
      </c>
      <c r="B469" s="3">
        <f>IFERROR(__xludf.DUMMYFUNCTION("""COMPUTED_VALUE"""),43528.0)</f>
        <v>43528</v>
      </c>
      <c r="C469" s="3">
        <f>IFERROR(__xludf.DUMMYFUNCTION("""COMPUTED_VALUE"""),43534.0)</f>
        <v>43534</v>
      </c>
      <c r="D469" s="2">
        <f>IFERROR(__xludf.DUMMYFUNCTION("""COMPUTED_VALUE"""),7.0)</f>
        <v>7</v>
      </c>
      <c r="E469" s="2">
        <f>IFERROR(__xludf.DUMMYFUNCTION("""COMPUTED_VALUE"""),10.0)</f>
        <v>10</v>
      </c>
      <c r="F469" s="2">
        <f>IFERROR(__xludf.DUMMYFUNCTION("""COMPUTED_VALUE"""),2293.0)</f>
        <v>2293</v>
      </c>
      <c r="G469" s="2">
        <f>IFERROR(__xludf.DUMMYFUNCTION("""COMPUTED_VALUE"""),0.0)</f>
        <v>0</v>
      </c>
    </row>
    <row r="470">
      <c r="A470" s="2" t="str">
        <f>IFERROR(__xludf.DUMMYFUNCTION("""COMPUTED_VALUE"""),"Peru")</f>
        <v>Peru</v>
      </c>
      <c r="B470" s="3">
        <f>IFERROR(__xludf.DUMMYFUNCTION("""COMPUTED_VALUE"""),43535.0)</f>
        <v>43535</v>
      </c>
      <c r="C470" s="3">
        <f>IFERROR(__xludf.DUMMYFUNCTION("""COMPUTED_VALUE"""),43541.0)</f>
        <v>43541</v>
      </c>
      <c r="D470" s="2">
        <f>IFERROR(__xludf.DUMMYFUNCTION("""COMPUTED_VALUE"""),7.0)</f>
        <v>7</v>
      </c>
      <c r="E470" s="2">
        <f>IFERROR(__xludf.DUMMYFUNCTION("""COMPUTED_VALUE"""),11.0)</f>
        <v>11</v>
      </c>
      <c r="F470" s="2">
        <f>IFERROR(__xludf.DUMMYFUNCTION("""COMPUTED_VALUE"""),2252.0)</f>
        <v>2252</v>
      </c>
      <c r="G470" s="2">
        <f>IFERROR(__xludf.DUMMYFUNCTION("""COMPUTED_VALUE"""),0.0)</f>
        <v>0</v>
      </c>
    </row>
    <row r="471">
      <c r="A471" s="2" t="str">
        <f>IFERROR(__xludf.DUMMYFUNCTION("""COMPUTED_VALUE"""),"Peru")</f>
        <v>Peru</v>
      </c>
      <c r="B471" s="3">
        <f>IFERROR(__xludf.DUMMYFUNCTION("""COMPUTED_VALUE"""),43542.0)</f>
        <v>43542</v>
      </c>
      <c r="C471" s="3">
        <f>IFERROR(__xludf.DUMMYFUNCTION("""COMPUTED_VALUE"""),43548.0)</f>
        <v>43548</v>
      </c>
      <c r="D471" s="2">
        <f>IFERROR(__xludf.DUMMYFUNCTION("""COMPUTED_VALUE"""),7.0)</f>
        <v>7</v>
      </c>
      <c r="E471" s="2">
        <f>IFERROR(__xludf.DUMMYFUNCTION("""COMPUTED_VALUE"""),12.0)</f>
        <v>12</v>
      </c>
      <c r="F471" s="2">
        <f>IFERROR(__xludf.DUMMYFUNCTION("""COMPUTED_VALUE"""),2107.0)</f>
        <v>2107</v>
      </c>
      <c r="G471" s="2">
        <f>IFERROR(__xludf.DUMMYFUNCTION("""COMPUTED_VALUE"""),0.0)</f>
        <v>0</v>
      </c>
    </row>
    <row r="472">
      <c r="A472" s="2" t="str">
        <f>IFERROR(__xludf.DUMMYFUNCTION("""COMPUTED_VALUE"""),"Peru")</f>
        <v>Peru</v>
      </c>
      <c r="B472" s="3">
        <f>IFERROR(__xludf.DUMMYFUNCTION("""COMPUTED_VALUE"""),43549.0)</f>
        <v>43549</v>
      </c>
      <c r="C472" s="3">
        <f>IFERROR(__xludf.DUMMYFUNCTION("""COMPUTED_VALUE"""),43555.0)</f>
        <v>43555</v>
      </c>
      <c r="D472" s="2">
        <f>IFERROR(__xludf.DUMMYFUNCTION("""COMPUTED_VALUE"""),7.0)</f>
        <v>7</v>
      </c>
      <c r="E472" s="2">
        <f>IFERROR(__xludf.DUMMYFUNCTION("""COMPUTED_VALUE"""),13.0)</f>
        <v>13</v>
      </c>
      <c r="F472" s="2">
        <f>IFERROR(__xludf.DUMMYFUNCTION("""COMPUTED_VALUE"""),2110.0)</f>
        <v>2110</v>
      </c>
      <c r="G472" s="2">
        <f>IFERROR(__xludf.DUMMYFUNCTION("""COMPUTED_VALUE"""),0.0)</f>
        <v>0</v>
      </c>
    </row>
    <row r="473">
      <c r="A473" s="2" t="str">
        <f>IFERROR(__xludf.DUMMYFUNCTION("""COMPUTED_VALUE"""),"Peru")</f>
        <v>Peru</v>
      </c>
      <c r="B473" s="3">
        <f>IFERROR(__xludf.DUMMYFUNCTION("""COMPUTED_VALUE"""),43556.0)</f>
        <v>43556</v>
      </c>
      <c r="C473" s="3">
        <f>IFERROR(__xludf.DUMMYFUNCTION("""COMPUTED_VALUE"""),43562.0)</f>
        <v>43562</v>
      </c>
      <c r="D473" s="2">
        <f>IFERROR(__xludf.DUMMYFUNCTION("""COMPUTED_VALUE"""),7.0)</f>
        <v>7</v>
      </c>
      <c r="E473" s="2">
        <f>IFERROR(__xludf.DUMMYFUNCTION("""COMPUTED_VALUE"""),14.0)</f>
        <v>14</v>
      </c>
      <c r="F473" s="2">
        <f>IFERROR(__xludf.DUMMYFUNCTION("""COMPUTED_VALUE"""),2039.0)</f>
        <v>2039</v>
      </c>
      <c r="G473" s="2">
        <f>IFERROR(__xludf.DUMMYFUNCTION("""COMPUTED_VALUE"""),0.0)</f>
        <v>0</v>
      </c>
    </row>
    <row r="474">
      <c r="A474" s="2" t="str">
        <f>IFERROR(__xludf.DUMMYFUNCTION("""COMPUTED_VALUE"""),"Peru")</f>
        <v>Peru</v>
      </c>
      <c r="B474" s="3">
        <f>IFERROR(__xludf.DUMMYFUNCTION("""COMPUTED_VALUE"""),43563.0)</f>
        <v>43563</v>
      </c>
      <c r="C474" s="3">
        <f>IFERROR(__xludf.DUMMYFUNCTION("""COMPUTED_VALUE"""),43569.0)</f>
        <v>43569</v>
      </c>
      <c r="D474" s="2">
        <f>IFERROR(__xludf.DUMMYFUNCTION("""COMPUTED_VALUE"""),7.0)</f>
        <v>7</v>
      </c>
      <c r="E474" s="2">
        <f>IFERROR(__xludf.DUMMYFUNCTION("""COMPUTED_VALUE"""),15.0)</f>
        <v>15</v>
      </c>
      <c r="F474" s="2">
        <f>IFERROR(__xludf.DUMMYFUNCTION("""COMPUTED_VALUE"""),2096.0)</f>
        <v>2096</v>
      </c>
      <c r="G474" s="2">
        <f>IFERROR(__xludf.DUMMYFUNCTION("""COMPUTED_VALUE"""),0.0)</f>
        <v>0</v>
      </c>
    </row>
    <row r="475">
      <c r="A475" s="2" t="str">
        <f>IFERROR(__xludf.DUMMYFUNCTION("""COMPUTED_VALUE"""),"Peru")</f>
        <v>Peru</v>
      </c>
      <c r="B475" s="3">
        <f>IFERROR(__xludf.DUMMYFUNCTION("""COMPUTED_VALUE"""),43570.0)</f>
        <v>43570</v>
      </c>
      <c r="C475" s="3">
        <f>IFERROR(__xludf.DUMMYFUNCTION("""COMPUTED_VALUE"""),43576.0)</f>
        <v>43576</v>
      </c>
      <c r="D475" s="2">
        <f>IFERROR(__xludf.DUMMYFUNCTION("""COMPUTED_VALUE"""),7.0)</f>
        <v>7</v>
      </c>
      <c r="E475" s="2">
        <f>IFERROR(__xludf.DUMMYFUNCTION("""COMPUTED_VALUE"""),16.0)</f>
        <v>16</v>
      </c>
      <c r="F475" s="2">
        <f>IFERROR(__xludf.DUMMYFUNCTION("""COMPUTED_VALUE"""),2139.0)</f>
        <v>2139</v>
      </c>
      <c r="G475" s="2">
        <f>IFERROR(__xludf.DUMMYFUNCTION("""COMPUTED_VALUE"""),0.0)</f>
        <v>0</v>
      </c>
    </row>
    <row r="476">
      <c r="A476" s="2" t="str">
        <f>IFERROR(__xludf.DUMMYFUNCTION("""COMPUTED_VALUE"""),"Peru")</f>
        <v>Peru</v>
      </c>
      <c r="B476" s="3">
        <f>IFERROR(__xludf.DUMMYFUNCTION("""COMPUTED_VALUE"""),43577.0)</f>
        <v>43577</v>
      </c>
      <c r="C476" s="3">
        <f>IFERROR(__xludf.DUMMYFUNCTION("""COMPUTED_VALUE"""),43583.0)</f>
        <v>43583</v>
      </c>
      <c r="D476" s="2">
        <f>IFERROR(__xludf.DUMMYFUNCTION("""COMPUTED_VALUE"""),7.0)</f>
        <v>7</v>
      </c>
      <c r="E476" s="2">
        <f>IFERROR(__xludf.DUMMYFUNCTION("""COMPUTED_VALUE"""),17.0)</f>
        <v>17</v>
      </c>
      <c r="F476" s="2">
        <f>IFERROR(__xludf.DUMMYFUNCTION("""COMPUTED_VALUE"""),2023.0)</f>
        <v>2023</v>
      </c>
      <c r="G476" s="2">
        <f>IFERROR(__xludf.DUMMYFUNCTION("""COMPUTED_VALUE"""),0.0)</f>
        <v>0</v>
      </c>
    </row>
    <row r="477">
      <c r="A477" s="2" t="str">
        <f>IFERROR(__xludf.DUMMYFUNCTION("""COMPUTED_VALUE"""),"Peru")</f>
        <v>Peru</v>
      </c>
      <c r="B477" s="3">
        <f>IFERROR(__xludf.DUMMYFUNCTION("""COMPUTED_VALUE"""),43584.0)</f>
        <v>43584</v>
      </c>
      <c r="C477" s="3">
        <f>IFERROR(__xludf.DUMMYFUNCTION("""COMPUTED_VALUE"""),43590.0)</f>
        <v>43590</v>
      </c>
      <c r="D477" s="2">
        <f>IFERROR(__xludf.DUMMYFUNCTION("""COMPUTED_VALUE"""),7.0)</f>
        <v>7</v>
      </c>
      <c r="E477" s="2">
        <f>IFERROR(__xludf.DUMMYFUNCTION("""COMPUTED_VALUE"""),18.0)</f>
        <v>18</v>
      </c>
      <c r="F477" s="2">
        <f>IFERROR(__xludf.DUMMYFUNCTION("""COMPUTED_VALUE"""),2042.0)</f>
        <v>2042</v>
      </c>
      <c r="G477" s="2">
        <f>IFERROR(__xludf.DUMMYFUNCTION("""COMPUTED_VALUE"""),0.0)</f>
        <v>0</v>
      </c>
    </row>
    <row r="478">
      <c r="A478" s="2" t="str">
        <f>IFERROR(__xludf.DUMMYFUNCTION("""COMPUTED_VALUE"""),"Peru")</f>
        <v>Peru</v>
      </c>
      <c r="B478" s="3">
        <f>IFERROR(__xludf.DUMMYFUNCTION("""COMPUTED_VALUE"""),43591.0)</f>
        <v>43591</v>
      </c>
      <c r="C478" s="3">
        <f>IFERROR(__xludf.DUMMYFUNCTION("""COMPUTED_VALUE"""),43597.0)</f>
        <v>43597</v>
      </c>
      <c r="D478" s="2">
        <f>IFERROR(__xludf.DUMMYFUNCTION("""COMPUTED_VALUE"""),7.0)</f>
        <v>7</v>
      </c>
      <c r="E478" s="2">
        <f>IFERROR(__xludf.DUMMYFUNCTION("""COMPUTED_VALUE"""),19.0)</f>
        <v>19</v>
      </c>
      <c r="F478" s="2">
        <f>IFERROR(__xludf.DUMMYFUNCTION("""COMPUTED_VALUE"""),1981.0)</f>
        <v>1981</v>
      </c>
      <c r="G478" s="2">
        <f>IFERROR(__xludf.DUMMYFUNCTION("""COMPUTED_VALUE"""),0.0)</f>
        <v>0</v>
      </c>
    </row>
    <row r="479">
      <c r="A479" s="2" t="str">
        <f>IFERROR(__xludf.DUMMYFUNCTION("""COMPUTED_VALUE"""),"Peru")</f>
        <v>Peru</v>
      </c>
      <c r="B479" s="3">
        <f>IFERROR(__xludf.DUMMYFUNCTION("""COMPUTED_VALUE"""),43598.0)</f>
        <v>43598</v>
      </c>
      <c r="C479" s="3">
        <f>IFERROR(__xludf.DUMMYFUNCTION("""COMPUTED_VALUE"""),43604.0)</f>
        <v>43604</v>
      </c>
      <c r="D479" s="2">
        <f>IFERROR(__xludf.DUMMYFUNCTION("""COMPUTED_VALUE"""),7.0)</f>
        <v>7</v>
      </c>
      <c r="E479" s="2">
        <f>IFERROR(__xludf.DUMMYFUNCTION("""COMPUTED_VALUE"""),20.0)</f>
        <v>20</v>
      </c>
      <c r="F479" s="2">
        <f>IFERROR(__xludf.DUMMYFUNCTION("""COMPUTED_VALUE"""),2021.0)</f>
        <v>2021</v>
      </c>
      <c r="G479" s="2">
        <f>IFERROR(__xludf.DUMMYFUNCTION("""COMPUTED_VALUE"""),0.0)</f>
        <v>0</v>
      </c>
    </row>
    <row r="480">
      <c r="A480" s="2" t="str">
        <f>IFERROR(__xludf.DUMMYFUNCTION("""COMPUTED_VALUE"""),"Peru")</f>
        <v>Peru</v>
      </c>
      <c r="B480" s="3">
        <f>IFERROR(__xludf.DUMMYFUNCTION("""COMPUTED_VALUE"""),43605.0)</f>
        <v>43605</v>
      </c>
      <c r="C480" s="3">
        <f>IFERROR(__xludf.DUMMYFUNCTION("""COMPUTED_VALUE"""),43611.0)</f>
        <v>43611</v>
      </c>
      <c r="D480" s="2">
        <f>IFERROR(__xludf.DUMMYFUNCTION("""COMPUTED_VALUE"""),7.0)</f>
        <v>7</v>
      </c>
      <c r="E480" s="2">
        <f>IFERROR(__xludf.DUMMYFUNCTION("""COMPUTED_VALUE"""),21.0)</f>
        <v>21</v>
      </c>
      <c r="F480" s="2">
        <f>IFERROR(__xludf.DUMMYFUNCTION("""COMPUTED_VALUE"""),1995.0)</f>
        <v>1995</v>
      </c>
      <c r="G480" s="2">
        <f>IFERROR(__xludf.DUMMYFUNCTION("""COMPUTED_VALUE"""),0.0)</f>
        <v>0</v>
      </c>
    </row>
    <row r="481">
      <c r="A481" s="2" t="str">
        <f>IFERROR(__xludf.DUMMYFUNCTION("""COMPUTED_VALUE"""),"Peru")</f>
        <v>Peru</v>
      </c>
      <c r="B481" s="3">
        <f>IFERROR(__xludf.DUMMYFUNCTION("""COMPUTED_VALUE"""),43612.0)</f>
        <v>43612</v>
      </c>
      <c r="C481" s="3">
        <f>IFERROR(__xludf.DUMMYFUNCTION("""COMPUTED_VALUE"""),43618.0)</f>
        <v>43618</v>
      </c>
      <c r="D481" s="2">
        <f>IFERROR(__xludf.DUMMYFUNCTION("""COMPUTED_VALUE"""),7.0)</f>
        <v>7</v>
      </c>
      <c r="E481" s="2">
        <f>IFERROR(__xludf.DUMMYFUNCTION("""COMPUTED_VALUE"""),22.0)</f>
        <v>22</v>
      </c>
      <c r="F481" s="2">
        <f>IFERROR(__xludf.DUMMYFUNCTION("""COMPUTED_VALUE"""),2080.0)</f>
        <v>2080</v>
      </c>
      <c r="G481" s="2">
        <f>IFERROR(__xludf.DUMMYFUNCTION("""COMPUTED_VALUE"""),0.0)</f>
        <v>0</v>
      </c>
    </row>
    <row r="482">
      <c r="A482" s="2" t="str">
        <f>IFERROR(__xludf.DUMMYFUNCTION("""COMPUTED_VALUE"""),"Peru")</f>
        <v>Peru</v>
      </c>
      <c r="B482" s="3">
        <f>IFERROR(__xludf.DUMMYFUNCTION("""COMPUTED_VALUE"""),43619.0)</f>
        <v>43619</v>
      </c>
      <c r="C482" s="3">
        <f>IFERROR(__xludf.DUMMYFUNCTION("""COMPUTED_VALUE"""),43625.0)</f>
        <v>43625</v>
      </c>
      <c r="D482" s="2">
        <f>IFERROR(__xludf.DUMMYFUNCTION("""COMPUTED_VALUE"""),7.0)</f>
        <v>7</v>
      </c>
      <c r="E482" s="2">
        <f>IFERROR(__xludf.DUMMYFUNCTION("""COMPUTED_VALUE"""),23.0)</f>
        <v>23</v>
      </c>
      <c r="F482" s="2">
        <f>IFERROR(__xludf.DUMMYFUNCTION("""COMPUTED_VALUE"""),2124.0)</f>
        <v>2124</v>
      </c>
      <c r="G482" s="2">
        <f>IFERROR(__xludf.DUMMYFUNCTION("""COMPUTED_VALUE"""),0.0)</f>
        <v>0</v>
      </c>
    </row>
    <row r="483">
      <c r="A483" s="2" t="str">
        <f>IFERROR(__xludf.DUMMYFUNCTION("""COMPUTED_VALUE"""),"Peru")</f>
        <v>Peru</v>
      </c>
      <c r="B483" s="3">
        <f>IFERROR(__xludf.DUMMYFUNCTION("""COMPUTED_VALUE"""),43626.0)</f>
        <v>43626</v>
      </c>
      <c r="C483" s="3">
        <f>IFERROR(__xludf.DUMMYFUNCTION("""COMPUTED_VALUE"""),43632.0)</f>
        <v>43632</v>
      </c>
      <c r="D483" s="2">
        <f>IFERROR(__xludf.DUMMYFUNCTION("""COMPUTED_VALUE"""),7.0)</f>
        <v>7</v>
      </c>
      <c r="E483" s="2">
        <f>IFERROR(__xludf.DUMMYFUNCTION("""COMPUTED_VALUE"""),24.0)</f>
        <v>24</v>
      </c>
      <c r="F483" s="2">
        <f>IFERROR(__xludf.DUMMYFUNCTION("""COMPUTED_VALUE"""),2169.0)</f>
        <v>2169</v>
      </c>
      <c r="G483" s="2">
        <f>IFERROR(__xludf.DUMMYFUNCTION("""COMPUTED_VALUE"""),0.0)</f>
        <v>0</v>
      </c>
    </row>
    <row r="484">
      <c r="A484" s="2" t="str">
        <f>IFERROR(__xludf.DUMMYFUNCTION("""COMPUTED_VALUE"""),"Peru")</f>
        <v>Peru</v>
      </c>
      <c r="B484" s="3">
        <f>IFERROR(__xludf.DUMMYFUNCTION("""COMPUTED_VALUE"""),43633.0)</f>
        <v>43633</v>
      </c>
      <c r="C484" s="3">
        <f>IFERROR(__xludf.DUMMYFUNCTION("""COMPUTED_VALUE"""),43639.0)</f>
        <v>43639</v>
      </c>
      <c r="D484" s="2">
        <f>IFERROR(__xludf.DUMMYFUNCTION("""COMPUTED_VALUE"""),7.0)</f>
        <v>7</v>
      </c>
      <c r="E484" s="2">
        <f>IFERROR(__xludf.DUMMYFUNCTION("""COMPUTED_VALUE"""),25.0)</f>
        <v>25</v>
      </c>
      <c r="F484" s="2">
        <f>IFERROR(__xludf.DUMMYFUNCTION("""COMPUTED_VALUE"""),2257.0)</f>
        <v>2257</v>
      </c>
      <c r="G484" s="2">
        <f>IFERROR(__xludf.DUMMYFUNCTION("""COMPUTED_VALUE"""),0.0)</f>
        <v>0</v>
      </c>
    </row>
    <row r="485">
      <c r="A485" s="2" t="str">
        <f>IFERROR(__xludf.DUMMYFUNCTION("""COMPUTED_VALUE"""),"Peru")</f>
        <v>Peru</v>
      </c>
      <c r="B485" s="3">
        <f>IFERROR(__xludf.DUMMYFUNCTION("""COMPUTED_VALUE"""),43640.0)</f>
        <v>43640</v>
      </c>
      <c r="C485" s="3">
        <f>IFERROR(__xludf.DUMMYFUNCTION("""COMPUTED_VALUE"""),43646.0)</f>
        <v>43646</v>
      </c>
      <c r="D485" s="2">
        <f>IFERROR(__xludf.DUMMYFUNCTION("""COMPUTED_VALUE"""),7.0)</f>
        <v>7</v>
      </c>
      <c r="E485" s="2">
        <f>IFERROR(__xludf.DUMMYFUNCTION("""COMPUTED_VALUE"""),26.0)</f>
        <v>26</v>
      </c>
      <c r="F485" s="2">
        <f>IFERROR(__xludf.DUMMYFUNCTION("""COMPUTED_VALUE"""),2182.0)</f>
        <v>2182</v>
      </c>
      <c r="G485" s="2">
        <f>IFERROR(__xludf.DUMMYFUNCTION("""COMPUTED_VALUE"""),0.0)</f>
        <v>0</v>
      </c>
    </row>
    <row r="486">
      <c r="A486" s="2" t="str">
        <f>IFERROR(__xludf.DUMMYFUNCTION("""COMPUTED_VALUE"""),"Peru")</f>
        <v>Peru</v>
      </c>
      <c r="B486" s="3">
        <f>IFERROR(__xludf.DUMMYFUNCTION("""COMPUTED_VALUE"""),43647.0)</f>
        <v>43647</v>
      </c>
      <c r="C486" s="3">
        <f>IFERROR(__xludf.DUMMYFUNCTION("""COMPUTED_VALUE"""),43653.0)</f>
        <v>43653</v>
      </c>
      <c r="D486" s="2">
        <f>IFERROR(__xludf.DUMMYFUNCTION("""COMPUTED_VALUE"""),7.0)</f>
        <v>7</v>
      </c>
      <c r="E486" s="2">
        <f>IFERROR(__xludf.DUMMYFUNCTION("""COMPUTED_VALUE"""),27.0)</f>
        <v>27</v>
      </c>
      <c r="F486" s="2">
        <f>IFERROR(__xludf.DUMMYFUNCTION("""COMPUTED_VALUE"""),2234.0)</f>
        <v>2234</v>
      </c>
      <c r="G486" s="2">
        <f>IFERROR(__xludf.DUMMYFUNCTION("""COMPUTED_VALUE"""),0.0)</f>
        <v>0</v>
      </c>
    </row>
    <row r="487">
      <c r="A487" s="2" t="str">
        <f>IFERROR(__xludf.DUMMYFUNCTION("""COMPUTED_VALUE"""),"Peru")</f>
        <v>Peru</v>
      </c>
      <c r="B487" s="3">
        <f>IFERROR(__xludf.DUMMYFUNCTION("""COMPUTED_VALUE"""),43654.0)</f>
        <v>43654</v>
      </c>
      <c r="C487" s="3">
        <f>IFERROR(__xludf.DUMMYFUNCTION("""COMPUTED_VALUE"""),43660.0)</f>
        <v>43660</v>
      </c>
      <c r="D487" s="2">
        <f>IFERROR(__xludf.DUMMYFUNCTION("""COMPUTED_VALUE"""),7.0)</f>
        <v>7</v>
      </c>
      <c r="E487" s="2">
        <f>IFERROR(__xludf.DUMMYFUNCTION("""COMPUTED_VALUE"""),28.0)</f>
        <v>28</v>
      </c>
      <c r="F487" s="2">
        <f>IFERROR(__xludf.DUMMYFUNCTION("""COMPUTED_VALUE"""),2182.0)</f>
        <v>2182</v>
      </c>
      <c r="G487" s="2">
        <f>IFERROR(__xludf.DUMMYFUNCTION("""COMPUTED_VALUE"""),0.0)</f>
        <v>0</v>
      </c>
    </row>
    <row r="488">
      <c r="A488" s="2" t="str">
        <f>IFERROR(__xludf.DUMMYFUNCTION("""COMPUTED_VALUE"""),"Peru")</f>
        <v>Peru</v>
      </c>
      <c r="B488" s="3">
        <f>IFERROR(__xludf.DUMMYFUNCTION("""COMPUTED_VALUE"""),43661.0)</f>
        <v>43661</v>
      </c>
      <c r="C488" s="3">
        <f>IFERROR(__xludf.DUMMYFUNCTION("""COMPUTED_VALUE"""),43667.0)</f>
        <v>43667</v>
      </c>
      <c r="D488" s="2">
        <f>IFERROR(__xludf.DUMMYFUNCTION("""COMPUTED_VALUE"""),7.0)</f>
        <v>7</v>
      </c>
      <c r="E488" s="2">
        <f>IFERROR(__xludf.DUMMYFUNCTION("""COMPUTED_VALUE"""),29.0)</f>
        <v>29</v>
      </c>
      <c r="F488" s="2">
        <f>IFERROR(__xludf.DUMMYFUNCTION("""COMPUTED_VALUE"""),2255.0)</f>
        <v>2255</v>
      </c>
      <c r="G488" s="2">
        <f>IFERROR(__xludf.DUMMYFUNCTION("""COMPUTED_VALUE"""),0.0)</f>
        <v>0</v>
      </c>
    </row>
    <row r="489">
      <c r="A489" s="2" t="str">
        <f>IFERROR(__xludf.DUMMYFUNCTION("""COMPUTED_VALUE"""),"Peru")</f>
        <v>Peru</v>
      </c>
      <c r="B489" s="3">
        <f>IFERROR(__xludf.DUMMYFUNCTION("""COMPUTED_VALUE"""),43668.0)</f>
        <v>43668</v>
      </c>
      <c r="C489" s="3">
        <f>IFERROR(__xludf.DUMMYFUNCTION("""COMPUTED_VALUE"""),43674.0)</f>
        <v>43674</v>
      </c>
      <c r="D489" s="2">
        <f>IFERROR(__xludf.DUMMYFUNCTION("""COMPUTED_VALUE"""),7.0)</f>
        <v>7</v>
      </c>
      <c r="E489" s="2">
        <f>IFERROR(__xludf.DUMMYFUNCTION("""COMPUTED_VALUE"""),30.0)</f>
        <v>30</v>
      </c>
      <c r="F489" s="2">
        <f>IFERROR(__xludf.DUMMYFUNCTION("""COMPUTED_VALUE"""),2265.0)</f>
        <v>2265</v>
      </c>
      <c r="G489" s="2">
        <f>IFERROR(__xludf.DUMMYFUNCTION("""COMPUTED_VALUE"""),0.0)</f>
        <v>0</v>
      </c>
    </row>
    <row r="490">
      <c r="A490" s="2" t="str">
        <f>IFERROR(__xludf.DUMMYFUNCTION("""COMPUTED_VALUE"""),"Peru")</f>
        <v>Peru</v>
      </c>
      <c r="B490" s="3">
        <f>IFERROR(__xludf.DUMMYFUNCTION("""COMPUTED_VALUE"""),43675.0)</f>
        <v>43675</v>
      </c>
      <c r="C490" s="3">
        <f>IFERROR(__xludf.DUMMYFUNCTION("""COMPUTED_VALUE"""),43681.0)</f>
        <v>43681</v>
      </c>
      <c r="D490" s="2">
        <f>IFERROR(__xludf.DUMMYFUNCTION("""COMPUTED_VALUE"""),7.0)</f>
        <v>7</v>
      </c>
      <c r="E490" s="2">
        <f>IFERROR(__xludf.DUMMYFUNCTION("""COMPUTED_VALUE"""),31.0)</f>
        <v>31</v>
      </c>
      <c r="F490" s="2">
        <f>IFERROR(__xludf.DUMMYFUNCTION("""COMPUTED_VALUE"""),2231.0)</f>
        <v>2231</v>
      </c>
      <c r="G490" s="2">
        <f>IFERROR(__xludf.DUMMYFUNCTION("""COMPUTED_VALUE"""),0.0)</f>
        <v>0</v>
      </c>
    </row>
    <row r="491">
      <c r="A491" s="2" t="str">
        <f>IFERROR(__xludf.DUMMYFUNCTION("""COMPUTED_VALUE"""),"Peru")</f>
        <v>Peru</v>
      </c>
      <c r="B491" s="3">
        <f>IFERROR(__xludf.DUMMYFUNCTION("""COMPUTED_VALUE"""),43682.0)</f>
        <v>43682</v>
      </c>
      <c r="C491" s="3">
        <f>IFERROR(__xludf.DUMMYFUNCTION("""COMPUTED_VALUE"""),43688.0)</f>
        <v>43688</v>
      </c>
      <c r="D491" s="2">
        <f>IFERROR(__xludf.DUMMYFUNCTION("""COMPUTED_VALUE"""),7.0)</f>
        <v>7</v>
      </c>
      <c r="E491" s="2">
        <f>IFERROR(__xludf.DUMMYFUNCTION("""COMPUTED_VALUE"""),32.0)</f>
        <v>32</v>
      </c>
      <c r="F491" s="2">
        <f>IFERROR(__xludf.DUMMYFUNCTION("""COMPUTED_VALUE"""),2356.0)</f>
        <v>2356</v>
      </c>
      <c r="G491" s="2">
        <f>IFERROR(__xludf.DUMMYFUNCTION("""COMPUTED_VALUE"""),0.0)</f>
        <v>0</v>
      </c>
    </row>
    <row r="492">
      <c r="A492" s="2" t="str">
        <f>IFERROR(__xludf.DUMMYFUNCTION("""COMPUTED_VALUE"""),"Peru")</f>
        <v>Peru</v>
      </c>
      <c r="B492" s="3">
        <f>IFERROR(__xludf.DUMMYFUNCTION("""COMPUTED_VALUE"""),43689.0)</f>
        <v>43689</v>
      </c>
      <c r="C492" s="3">
        <f>IFERROR(__xludf.DUMMYFUNCTION("""COMPUTED_VALUE"""),43695.0)</f>
        <v>43695</v>
      </c>
      <c r="D492" s="2">
        <f>IFERROR(__xludf.DUMMYFUNCTION("""COMPUTED_VALUE"""),7.0)</f>
        <v>7</v>
      </c>
      <c r="E492" s="2">
        <f>IFERROR(__xludf.DUMMYFUNCTION("""COMPUTED_VALUE"""),33.0)</f>
        <v>33</v>
      </c>
      <c r="F492" s="2">
        <f>IFERROR(__xludf.DUMMYFUNCTION("""COMPUTED_VALUE"""),2206.0)</f>
        <v>2206</v>
      </c>
      <c r="G492" s="2">
        <f>IFERROR(__xludf.DUMMYFUNCTION("""COMPUTED_VALUE"""),0.0)</f>
        <v>0</v>
      </c>
    </row>
    <row r="493">
      <c r="A493" s="2" t="str">
        <f>IFERROR(__xludf.DUMMYFUNCTION("""COMPUTED_VALUE"""),"Peru")</f>
        <v>Peru</v>
      </c>
      <c r="B493" s="3">
        <f>IFERROR(__xludf.DUMMYFUNCTION("""COMPUTED_VALUE"""),43696.0)</f>
        <v>43696</v>
      </c>
      <c r="C493" s="3">
        <f>IFERROR(__xludf.DUMMYFUNCTION("""COMPUTED_VALUE"""),43702.0)</f>
        <v>43702</v>
      </c>
      <c r="D493" s="2">
        <f>IFERROR(__xludf.DUMMYFUNCTION("""COMPUTED_VALUE"""),7.0)</f>
        <v>7</v>
      </c>
      <c r="E493" s="2">
        <f>IFERROR(__xludf.DUMMYFUNCTION("""COMPUTED_VALUE"""),34.0)</f>
        <v>34</v>
      </c>
      <c r="F493" s="2">
        <f>IFERROR(__xludf.DUMMYFUNCTION("""COMPUTED_VALUE"""),2183.0)</f>
        <v>2183</v>
      </c>
      <c r="G493" s="2">
        <f>IFERROR(__xludf.DUMMYFUNCTION("""COMPUTED_VALUE"""),0.0)</f>
        <v>0</v>
      </c>
    </row>
    <row r="494">
      <c r="A494" s="2" t="str">
        <f>IFERROR(__xludf.DUMMYFUNCTION("""COMPUTED_VALUE"""),"Peru")</f>
        <v>Peru</v>
      </c>
      <c r="B494" s="3">
        <f>IFERROR(__xludf.DUMMYFUNCTION("""COMPUTED_VALUE"""),43703.0)</f>
        <v>43703</v>
      </c>
      <c r="C494" s="3">
        <f>IFERROR(__xludf.DUMMYFUNCTION("""COMPUTED_VALUE"""),43709.0)</f>
        <v>43709</v>
      </c>
      <c r="D494" s="2">
        <f>IFERROR(__xludf.DUMMYFUNCTION("""COMPUTED_VALUE"""),7.0)</f>
        <v>7</v>
      </c>
      <c r="E494" s="2">
        <f>IFERROR(__xludf.DUMMYFUNCTION("""COMPUTED_VALUE"""),35.0)</f>
        <v>35</v>
      </c>
      <c r="F494" s="2">
        <f>IFERROR(__xludf.DUMMYFUNCTION("""COMPUTED_VALUE"""),2296.0)</f>
        <v>2296</v>
      </c>
      <c r="G494" s="2">
        <f>IFERROR(__xludf.DUMMYFUNCTION("""COMPUTED_VALUE"""),0.0)</f>
        <v>0</v>
      </c>
    </row>
    <row r="495">
      <c r="A495" s="2" t="str">
        <f>IFERROR(__xludf.DUMMYFUNCTION("""COMPUTED_VALUE"""),"Peru")</f>
        <v>Peru</v>
      </c>
      <c r="B495" s="3">
        <f>IFERROR(__xludf.DUMMYFUNCTION("""COMPUTED_VALUE"""),43710.0)</f>
        <v>43710</v>
      </c>
      <c r="C495" s="3">
        <f>IFERROR(__xludf.DUMMYFUNCTION("""COMPUTED_VALUE"""),43716.0)</f>
        <v>43716</v>
      </c>
      <c r="D495" s="2">
        <f>IFERROR(__xludf.DUMMYFUNCTION("""COMPUTED_VALUE"""),7.0)</f>
        <v>7</v>
      </c>
      <c r="E495" s="2">
        <f>IFERROR(__xludf.DUMMYFUNCTION("""COMPUTED_VALUE"""),36.0)</f>
        <v>36</v>
      </c>
      <c r="F495" s="2">
        <f>IFERROR(__xludf.DUMMYFUNCTION("""COMPUTED_VALUE"""),2189.0)</f>
        <v>2189</v>
      </c>
      <c r="G495" s="2">
        <f>IFERROR(__xludf.DUMMYFUNCTION("""COMPUTED_VALUE"""),0.0)</f>
        <v>0</v>
      </c>
    </row>
    <row r="496">
      <c r="A496" s="2" t="str">
        <f>IFERROR(__xludf.DUMMYFUNCTION("""COMPUTED_VALUE"""),"Peru")</f>
        <v>Peru</v>
      </c>
      <c r="B496" s="3">
        <f>IFERROR(__xludf.DUMMYFUNCTION("""COMPUTED_VALUE"""),43717.0)</f>
        <v>43717</v>
      </c>
      <c r="C496" s="3">
        <f>IFERROR(__xludf.DUMMYFUNCTION("""COMPUTED_VALUE"""),43723.0)</f>
        <v>43723</v>
      </c>
      <c r="D496" s="2">
        <f>IFERROR(__xludf.DUMMYFUNCTION("""COMPUTED_VALUE"""),7.0)</f>
        <v>7</v>
      </c>
      <c r="E496" s="2">
        <f>IFERROR(__xludf.DUMMYFUNCTION("""COMPUTED_VALUE"""),37.0)</f>
        <v>37</v>
      </c>
      <c r="F496" s="2">
        <f>IFERROR(__xludf.DUMMYFUNCTION("""COMPUTED_VALUE"""),2243.0)</f>
        <v>2243</v>
      </c>
      <c r="G496" s="2">
        <f>IFERROR(__xludf.DUMMYFUNCTION("""COMPUTED_VALUE"""),0.0)</f>
        <v>0</v>
      </c>
    </row>
    <row r="497">
      <c r="A497" s="2" t="str">
        <f>IFERROR(__xludf.DUMMYFUNCTION("""COMPUTED_VALUE"""),"Peru")</f>
        <v>Peru</v>
      </c>
      <c r="B497" s="3">
        <f>IFERROR(__xludf.DUMMYFUNCTION("""COMPUTED_VALUE"""),43724.0)</f>
        <v>43724</v>
      </c>
      <c r="C497" s="3">
        <f>IFERROR(__xludf.DUMMYFUNCTION("""COMPUTED_VALUE"""),43730.0)</f>
        <v>43730</v>
      </c>
      <c r="D497" s="2">
        <f>IFERROR(__xludf.DUMMYFUNCTION("""COMPUTED_VALUE"""),7.0)</f>
        <v>7</v>
      </c>
      <c r="E497" s="2">
        <f>IFERROR(__xludf.DUMMYFUNCTION("""COMPUTED_VALUE"""),38.0)</f>
        <v>38</v>
      </c>
      <c r="F497" s="2">
        <f>IFERROR(__xludf.DUMMYFUNCTION("""COMPUTED_VALUE"""),2367.0)</f>
        <v>2367</v>
      </c>
      <c r="G497" s="2">
        <f>IFERROR(__xludf.DUMMYFUNCTION("""COMPUTED_VALUE"""),0.0)</f>
        <v>0</v>
      </c>
    </row>
    <row r="498">
      <c r="A498" s="2" t="str">
        <f>IFERROR(__xludf.DUMMYFUNCTION("""COMPUTED_VALUE"""),"Peru")</f>
        <v>Peru</v>
      </c>
      <c r="B498" s="3">
        <f>IFERROR(__xludf.DUMMYFUNCTION("""COMPUTED_VALUE"""),43731.0)</f>
        <v>43731</v>
      </c>
      <c r="C498" s="3">
        <f>IFERROR(__xludf.DUMMYFUNCTION("""COMPUTED_VALUE"""),43737.0)</f>
        <v>43737</v>
      </c>
      <c r="D498" s="2">
        <f>IFERROR(__xludf.DUMMYFUNCTION("""COMPUTED_VALUE"""),7.0)</f>
        <v>7</v>
      </c>
      <c r="E498" s="2">
        <f>IFERROR(__xludf.DUMMYFUNCTION("""COMPUTED_VALUE"""),39.0)</f>
        <v>39</v>
      </c>
      <c r="F498" s="2">
        <f>IFERROR(__xludf.DUMMYFUNCTION("""COMPUTED_VALUE"""),2243.0)</f>
        <v>2243</v>
      </c>
      <c r="G498" s="2">
        <f>IFERROR(__xludf.DUMMYFUNCTION("""COMPUTED_VALUE"""),0.0)</f>
        <v>0</v>
      </c>
    </row>
    <row r="499">
      <c r="A499" s="2" t="str">
        <f>IFERROR(__xludf.DUMMYFUNCTION("""COMPUTED_VALUE"""),"Peru")</f>
        <v>Peru</v>
      </c>
      <c r="B499" s="3">
        <f>IFERROR(__xludf.DUMMYFUNCTION("""COMPUTED_VALUE"""),43738.0)</f>
        <v>43738</v>
      </c>
      <c r="C499" s="3">
        <f>IFERROR(__xludf.DUMMYFUNCTION("""COMPUTED_VALUE"""),43744.0)</f>
        <v>43744</v>
      </c>
      <c r="D499" s="2">
        <f>IFERROR(__xludf.DUMMYFUNCTION("""COMPUTED_VALUE"""),7.0)</f>
        <v>7</v>
      </c>
      <c r="E499" s="2">
        <f>IFERROR(__xludf.DUMMYFUNCTION("""COMPUTED_VALUE"""),40.0)</f>
        <v>40</v>
      </c>
      <c r="F499" s="2">
        <f>IFERROR(__xludf.DUMMYFUNCTION("""COMPUTED_VALUE"""),2242.0)</f>
        <v>2242</v>
      </c>
      <c r="G499" s="2">
        <f>IFERROR(__xludf.DUMMYFUNCTION("""COMPUTED_VALUE"""),0.0)</f>
        <v>0</v>
      </c>
    </row>
    <row r="500">
      <c r="A500" s="2" t="str">
        <f>IFERROR(__xludf.DUMMYFUNCTION("""COMPUTED_VALUE"""),"Peru")</f>
        <v>Peru</v>
      </c>
      <c r="B500" s="3">
        <f>IFERROR(__xludf.DUMMYFUNCTION("""COMPUTED_VALUE"""),43745.0)</f>
        <v>43745</v>
      </c>
      <c r="C500" s="3">
        <f>IFERROR(__xludf.DUMMYFUNCTION("""COMPUTED_VALUE"""),43751.0)</f>
        <v>43751</v>
      </c>
      <c r="D500" s="2">
        <f>IFERROR(__xludf.DUMMYFUNCTION("""COMPUTED_VALUE"""),7.0)</f>
        <v>7</v>
      </c>
      <c r="E500" s="2">
        <f>IFERROR(__xludf.DUMMYFUNCTION("""COMPUTED_VALUE"""),41.0)</f>
        <v>41</v>
      </c>
      <c r="F500" s="2">
        <f>IFERROR(__xludf.DUMMYFUNCTION("""COMPUTED_VALUE"""),2212.0)</f>
        <v>2212</v>
      </c>
      <c r="G500" s="2">
        <f>IFERROR(__xludf.DUMMYFUNCTION("""COMPUTED_VALUE"""),0.0)</f>
        <v>0</v>
      </c>
    </row>
    <row r="501">
      <c r="A501" s="2" t="str">
        <f>IFERROR(__xludf.DUMMYFUNCTION("""COMPUTED_VALUE"""),"Peru")</f>
        <v>Peru</v>
      </c>
      <c r="B501" s="3">
        <f>IFERROR(__xludf.DUMMYFUNCTION("""COMPUTED_VALUE"""),43752.0)</f>
        <v>43752</v>
      </c>
      <c r="C501" s="3">
        <f>IFERROR(__xludf.DUMMYFUNCTION("""COMPUTED_VALUE"""),43758.0)</f>
        <v>43758</v>
      </c>
      <c r="D501" s="2">
        <f>IFERROR(__xludf.DUMMYFUNCTION("""COMPUTED_VALUE"""),7.0)</f>
        <v>7</v>
      </c>
      <c r="E501" s="2">
        <f>IFERROR(__xludf.DUMMYFUNCTION("""COMPUTED_VALUE"""),42.0)</f>
        <v>42</v>
      </c>
      <c r="F501" s="2">
        <f>IFERROR(__xludf.DUMMYFUNCTION("""COMPUTED_VALUE"""),2333.0)</f>
        <v>2333</v>
      </c>
      <c r="G501" s="2">
        <f>IFERROR(__xludf.DUMMYFUNCTION("""COMPUTED_VALUE"""),0.0)</f>
        <v>0</v>
      </c>
    </row>
    <row r="502">
      <c r="A502" s="2" t="str">
        <f>IFERROR(__xludf.DUMMYFUNCTION("""COMPUTED_VALUE"""),"Peru")</f>
        <v>Peru</v>
      </c>
      <c r="B502" s="3">
        <f>IFERROR(__xludf.DUMMYFUNCTION("""COMPUTED_VALUE"""),43759.0)</f>
        <v>43759</v>
      </c>
      <c r="C502" s="3">
        <f>IFERROR(__xludf.DUMMYFUNCTION("""COMPUTED_VALUE"""),43765.0)</f>
        <v>43765</v>
      </c>
      <c r="D502" s="2">
        <f>IFERROR(__xludf.DUMMYFUNCTION("""COMPUTED_VALUE"""),7.0)</f>
        <v>7</v>
      </c>
      <c r="E502" s="2">
        <f>IFERROR(__xludf.DUMMYFUNCTION("""COMPUTED_VALUE"""),43.0)</f>
        <v>43</v>
      </c>
      <c r="F502" s="2">
        <f>IFERROR(__xludf.DUMMYFUNCTION("""COMPUTED_VALUE"""),2220.0)</f>
        <v>2220</v>
      </c>
      <c r="G502" s="2">
        <f>IFERROR(__xludf.DUMMYFUNCTION("""COMPUTED_VALUE"""),0.0)</f>
        <v>0</v>
      </c>
    </row>
    <row r="503">
      <c r="A503" s="2" t="str">
        <f>IFERROR(__xludf.DUMMYFUNCTION("""COMPUTED_VALUE"""),"Peru")</f>
        <v>Peru</v>
      </c>
      <c r="B503" s="3">
        <f>IFERROR(__xludf.DUMMYFUNCTION("""COMPUTED_VALUE"""),43766.0)</f>
        <v>43766</v>
      </c>
      <c r="C503" s="3">
        <f>IFERROR(__xludf.DUMMYFUNCTION("""COMPUTED_VALUE"""),43772.0)</f>
        <v>43772</v>
      </c>
      <c r="D503" s="2">
        <f>IFERROR(__xludf.DUMMYFUNCTION("""COMPUTED_VALUE"""),7.0)</f>
        <v>7</v>
      </c>
      <c r="E503" s="2">
        <f>IFERROR(__xludf.DUMMYFUNCTION("""COMPUTED_VALUE"""),44.0)</f>
        <v>44</v>
      </c>
      <c r="F503" s="2">
        <f>IFERROR(__xludf.DUMMYFUNCTION("""COMPUTED_VALUE"""),2343.0)</f>
        <v>2343</v>
      </c>
      <c r="G503" s="2">
        <f>IFERROR(__xludf.DUMMYFUNCTION("""COMPUTED_VALUE"""),0.0)</f>
        <v>0</v>
      </c>
    </row>
    <row r="504">
      <c r="A504" s="2" t="str">
        <f>IFERROR(__xludf.DUMMYFUNCTION("""COMPUTED_VALUE"""),"Peru")</f>
        <v>Peru</v>
      </c>
      <c r="B504" s="3">
        <f>IFERROR(__xludf.DUMMYFUNCTION("""COMPUTED_VALUE"""),43773.0)</f>
        <v>43773</v>
      </c>
      <c r="C504" s="3">
        <f>IFERROR(__xludf.DUMMYFUNCTION("""COMPUTED_VALUE"""),43779.0)</f>
        <v>43779</v>
      </c>
      <c r="D504" s="2">
        <f>IFERROR(__xludf.DUMMYFUNCTION("""COMPUTED_VALUE"""),7.0)</f>
        <v>7</v>
      </c>
      <c r="E504" s="2">
        <f>IFERROR(__xludf.DUMMYFUNCTION("""COMPUTED_VALUE"""),45.0)</f>
        <v>45</v>
      </c>
      <c r="F504" s="2">
        <f>IFERROR(__xludf.DUMMYFUNCTION("""COMPUTED_VALUE"""),2263.0)</f>
        <v>2263</v>
      </c>
      <c r="G504" s="2">
        <f>IFERROR(__xludf.DUMMYFUNCTION("""COMPUTED_VALUE"""),0.0)</f>
        <v>0</v>
      </c>
    </row>
    <row r="505">
      <c r="A505" s="2" t="str">
        <f>IFERROR(__xludf.DUMMYFUNCTION("""COMPUTED_VALUE"""),"Peru")</f>
        <v>Peru</v>
      </c>
      <c r="B505" s="3">
        <f>IFERROR(__xludf.DUMMYFUNCTION("""COMPUTED_VALUE"""),43780.0)</f>
        <v>43780</v>
      </c>
      <c r="C505" s="3">
        <f>IFERROR(__xludf.DUMMYFUNCTION("""COMPUTED_VALUE"""),43786.0)</f>
        <v>43786</v>
      </c>
      <c r="D505" s="2">
        <f>IFERROR(__xludf.DUMMYFUNCTION("""COMPUTED_VALUE"""),7.0)</f>
        <v>7</v>
      </c>
      <c r="E505" s="2">
        <f>IFERROR(__xludf.DUMMYFUNCTION("""COMPUTED_VALUE"""),46.0)</f>
        <v>46</v>
      </c>
      <c r="F505" s="2">
        <f>IFERROR(__xludf.DUMMYFUNCTION("""COMPUTED_VALUE"""),2222.0)</f>
        <v>2222</v>
      </c>
      <c r="G505" s="2">
        <f>IFERROR(__xludf.DUMMYFUNCTION("""COMPUTED_VALUE"""),0.0)</f>
        <v>0</v>
      </c>
    </row>
    <row r="506">
      <c r="A506" s="2" t="str">
        <f>IFERROR(__xludf.DUMMYFUNCTION("""COMPUTED_VALUE"""),"Peru")</f>
        <v>Peru</v>
      </c>
      <c r="B506" s="3">
        <f>IFERROR(__xludf.DUMMYFUNCTION("""COMPUTED_VALUE"""),43787.0)</f>
        <v>43787</v>
      </c>
      <c r="C506" s="3">
        <f>IFERROR(__xludf.DUMMYFUNCTION("""COMPUTED_VALUE"""),43793.0)</f>
        <v>43793</v>
      </c>
      <c r="D506" s="2">
        <f>IFERROR(__xludf.DUMMYFUNCTION("""COMPUTED_VALUE"""),7.0)</f>
        <v>7</v>
      </c>
      <c r="E506" s="2">
        <f>IFERROR(__xludf.DUMMYFUNCTION("""COMPUTED_VALUE"""),47.0)</f>
        <v>47</v>
      </c>
      <c r="F506" s="2">
        <f>IFERROR(__xludf.DUMMYFUNCTION("""COMPUTED_VALUE"""),2198.0)</f>
        <v>2198</v>
      </c>
      <c r="G506" s="2">
        <f>IFERROR(__xludf.DUMMYFUNCTION("""COMPUTED_VALUE"""),0.0)</f>
        <v>0</v>
      </c>
    </row>
    <row r="507">
      <c r="A507" s="2" t="str">
        <f>IFERROR(__xludf.DUMMYFUNCTION("""COMPUTED_VALUE"""),"Peru")</f>
        <v>Peru</v>
      </c>
      <c r="B507" s="3">
        <f>IFERROR(__xludf.DUMMYFUNCTION("""COMPUTED_VALUE"""),43794.0)</f>
        <v>43794</v>
      </c>
      <c r="C507" s="3">
        <f>IFERROR(__xludf.DUMMYFUNCTION("""COMPUTED_VALUE"""),43800.0)</f>
        <v>43800</v>
      </c>
      <c r="D507" s="2">
        <f>IFERROR(__xludf.DUMMYFUNCTION("""COMPUTED_VALUE"""),7.0)</f>
        <v>7</v>
      </c>
      <c r="E507" s="2">
        <f>IFERROR(__xludf.DUMMYFUNCTION("""COMPUTED_VALUE"""),48.0)</f>
        <v>48</v>
      </c>
      <c r="F507" s="2">
        <f>IFERROR(__xludf.DUMMYFUNCTION("""COMPUTED_VALUE"""),2197.0)</f>
        <v>2197</v>
      </c>
      <c r="G507" s="2">
        <f>IFERROR(__xludf.DUMMYFUNCTION("""COMPUTED_VALUE"""),0.0)</f>
        <v>0</v>
      </c>
    </row>
    <row r="508">
      <c r="A508" s="2" t="str">
        <f>IFERROR(__xludf.DUMMYFUNCTION("""COMPUTED_VALUE"""),"Peru")</f>
        <v>Peru</v>
      </c>
      <c r="B508" s="3">
        <f>IFERROR(__xludf.DUMMYFUNCTION("""COMPUTED_VALUE"""),43801.0)</f>
        <v>43801</v>
      </c>
      <c r="C508" s="3">
        <f>IFERROR(__xludf.DUMMYFUNCTION("""COMPUTED_VALUE"""),43807.0)</f>
        <v>43807</v>
      </c>
      <c r="D508" s="2">
        <f>IFERROR(__xludf.DUMMYFUNCTION("""COMPUTED_VALUE"""),7.0)</f>
        <v>7</v>
      </c>
      <c r="E508" s="2">
        <f>IFERROR(__xludf.DUMMYFUNCTION("""COMPUTED_VALUE"""),49.0)</f>
        <v>49</v>
      </c>
      <c r="F508" s="2">
        <f>IFERROR(__xludf.DUMMYFUNCTION("""COMPUTED_VALUE"""),2251.0)</f>
        <v>2251</v>
      </c>
      <c r="G508" s="2">
        <f>IFERROR(__xludf.DUMMYFUNCTION("""COMPUTED_VALUE"""),0.0)</f>
        <v>0</v>
      </c>
    </row>
    <row r="509">
      <c r="A509" s="2" t="str">
        <f>IFERROR(__xludf.DUMMYFUNCTION("""COMPUTED_VALUE"""),"Peru")</f>
        <v>Peru</v>
      </c>
      <c r="B509" s="3">
        <f>IFERROR(__xludf.DUMMYFUNCTION("""COMPUTED_VALUE"""),43808.0)</f>
        <v>43808</v>
      </c>
      <c r="C509" s="3">
        <f>IFERROR(__xludf.DUMMYFUNCTION("""COMPUTED_VALUE"""),43814.0)</f>
        <v>43814</v>
      </c>
      <c r="D509" s="2">
        <f>IFERROR(__xludf.DUMMYFUNCTION("""COMPUTED_VALUE"""),7.0)</f>
        <v>7</v>
      </c>
      <c r="E509" s="2">
        <f>IFERROR(__xludf.DUMMYFUNCTION("""COMPUTED_VALUE"""),50.0)</f>
        <v>50</v>
      </c>
      <c r="F509" s="2">
        <f>IFERROR(__xludf.DUMMYFUNCTION("""COMPUTED_VALUE"""),2207.0)</f>
        <v>2207</v>
      </c>
      <c r="G509" s="2">
        <f>IFERROR(__xludf.DUMMYFUNCTION("""COMPUTED_VALUE"""),0.0)</f>
        <v>0</v>
      </c>
    </row>
    <row r="510">
      <c r="A510" s="2" t="str">
        <f>IFERROR(__xludf.DUMMYFUNCTION("""COMPUTED_VALUE"""),"Peru")</f>
        <v>Peru</v>
      </c>
      <c r="B510" s="3">
        <f>IFERROR(__xludf.DUMMYFUNCTION("""COMPUTED_VALUE"""),43815.0)</f>
        <v>43815</v>
      </c>
      <c r="C510" s="3">
        <f>IFERROR(__xludf.DUMMYFUNCTION("""COMPUTED_VALUE"""),43821.0)</f>
        <v>43821</v>
      </c>
      <c r="D510" s="2">
        <f>IFERROR(__xludf.DUMMYFUNCTION("""COMPUTED_VALUE"""),7.0)</f>
        <v>7</v>
      </c>
      <c r="E510" s="2">
        <f>IFERROR(__xludf.DUMMYFUNCTION("""COMPUTED_VALUE"""),51.0)</f>
        <v>51</v>
      </c>
      <c r="F510" s="2">
        <f>IFERROR(__xludf.DUMMYFUNCTION("""COMPUTED_VALUE"""),2172.0)</f>
        <v>2172</v>
      </c>
      <c r="G510" s="2">
        <f>IFERROR(__xludf.DUMMYFUNCTION("""COMPUTED_VALUE"""),0.0)</f>
        <v>0</v>
      </c>
    </row>
    <row r="511">
      <c r="A511" s="2" t="str">
        <f>IFERROR(__xludf.DUMMYFUNCTION("""COMPUTED_VALUE"""),"Peru")</f>
        <v>Peru</v>
      </c>
      <c r="B511" s="3">
        <f>IFERROR(__xludf.DUMMYFUNCTION("""COMPUTED_VALUE"""),43822.0)</f>
        <v>43822</v>
      </c>
      <c r="C511" s="3">
        <f>IFERROR(__xludf.DUMMYFUNCTION("""COMPUTED_VALUE"""),43828.0)</f>
        <v>43828</v>
      </c>
      <c r="D511" s="2">
        <f>IFERROR(__xludf.DUMMYFUNCTION("""COMPUTED_VALUE"""),7.0)</f>
        <v>7</v>
      </c>
      <c r="E511" s="2">
        <f>IFERROR(__xludf.DUMMYFUNCTION("""COMPUTED_VALUE"""),52.0)</f>
        <v>52</v>
      </c>
      <c r="F511" s="2">
        <f>IFERROR(__xludf.DUMMYFUNCTION("""COMPUTED_VALUE"""),2325.0)</f>
        <v>2325</v>
      </c>
      <c r="G511" s="2">
        <f>IFERROR(__xludf.DUMMYFUNCTION("""COMPUTED_VALUE"""),0.0)</f>
        <v>0</v>
      </c>
    </row>
    <row r="512">
      <c r="A512" s="2" t="str">
        <f>IFERROR(__xludf.DUMMYFUNCTION("""COMPUTED_VALUE"""),"Peru")</f>
        <v>Peru</v>
      </c>
      <c r="B512" s="3">
        <f>IFERROR(__xludf.DUMMYFUNCTION("""COMPUTED_VALUE"""),43829.0)</f>
        <v>43829</v>
      </c>
      <c r="C512" s="3">
        <f>IFERROR(__xludf.DUMMYFUNCTION("""COMPUTED_VALUE"""),43835.0)</f>
        <v>43835</v>
      </c>
      <c r="D512" s="2">
        <f>IFERROR(__xludf.DUMMYFUNCTION("""COMPUTED_VALUE"""),7.0)</f>
        <v>7</v>
      </c>
      <c r="E512" s="2">
        <f>IFERROR(__xludf.DUMMYFUNCTION("""COMPUTED_VALUE"""),1.0)</f>
        <v>1</v>
      </c>
      <c r="F512" s="2">
        <f>IFERROR(__xludf.DUMMYFUNCTION("""COMPUTED_VALUE"""),2407.0)</f>
        <v>2407</v>
      </c>
      <c r="G512" s="2">
        <f>IFERROR(__xludf.DUMMYFUNCTION("""COMPUTED_VALUE"""),0.0)</f>
        <v>0</v>
      </c>
    </row>
    <row r="513">
      <c r="A513" s="2" t="str">
        <f>IFERROR(__xludf.DUMMYFUNCTION("""COMPUTED_VALUE"""),"Peru")</f>
        <v>Peru</v>
      </c>
      <c r="B513" s="3">
        <f>IFERROR(__xludf.DUMMYFUNCTION("""COMPUTED_VALUE"""),43836.0)</f>
        <v>43836</v>
      </c>
      <c r="C513" s="3">
        <f>IFERROR(__xludf.DUMMYFUNCTION("""COMPUTED_VALUE"""),43842.0)</f>
        <v>43842</v>
      </c>
      <c r="D513" s="2">
        <f>IFERROR(__xludf.DUMMYFUNCTION("""COMPUTED_VALUE"""),7.0)</f>
        <v>7</v>
      </c>
      <c r="E513" s="2">
        <f>IFERROR(__xludf.DUMMYFUNCTION("""COMPUTED_VALUE"""),2.0)</f>
        <v>2</v>
      </c>
      <c r="F513" s="2">
        <f>IFERROR(__xludf.DUMMYFUNCTION("""COMPUTED_VALUE"""),2428.0)</f>
        <v>2428</v>
      </c>
      <c r="G513" s="2">
        <f>IFERROR(__xludf.DUMMYFUNCTION("""COMPUTED_VALUE"""),0.0)</f>
        <v>0</v>
      </c>
    </row>
    <row r="514">
      <c r="A514" s="2" t="str">
        <f>IFERROR(__xludf.DUMMYFUNCTION("""COMPUTED_VALUE"""),"Peru")</f>
        <v>Peru</v>
      </c>
      <c r="B514" s="3">
        <f>IFERROR(__xludf.DUMMYFUNCTION("""COMPUTED_VALUE"""),43843.0)</f>
        <v>43843</v>
      </c>
      <c r="C514" s="3">
        <f>IFERROR(__xludf.DUMMYFUNCTION("""COMPUTED_VALUE"""),43849.0)</f>
        <v>43849</v>
      </c>
      <c r="D514" s="2">
        <f>IFERROR(__xludf.DUMMYFUNCTION("""COMPUTED_VALUE"""),7.0)</f>
        <v>7</v>
      </c>
      <c r="E514" s="2">
        <f>IFERROR(__xludf.DUMMYFUNCTION("""COMPUTED_VALUE"""),3.0)</f>
        <v>3</v>
      </c>
      <c r="F514" s="2">
        <f>IFERROR(__xludf.DUMMYFUNCTION("""COMPUTED_VALUE"""),2329.0)</f>
        <v>2329</v>
      </c>
      <c r="G514" s="2">
        <f>IFERROR(__xludf.DUMMYFUNCTION("""COMPUTED_VALUE"""),0.0)</f>
        <v>0</v>
      </c>
    </row>
    <row r="515">
      <c r="A515" s="2" t="str">
        <f>IFERROR(__xludf.DUMMYFUNCTION("""COMPUTED_VALUE"""),"Peru")</f>
        <v>Peru</v>
      </c>
      <c r="B515" s="3">
        <f>IFERROR(__xludf.DUMMYFUNCTION("""COMPUTED_VALUE"""),43850.0)</f>
        <v>43850</v>
      </c>
      <c r="C515" s="3">
        <f>IFERROR(__xludf.DUMMYFUNCTION("""COMPUTED_VALUE"""),43856.0)</f>
        <v>43856</v>
      </c>
      <c r="D515" s="2">
        <f>IFERROR(__xludf.DUMMYFUNCTION("""COMPUTED_VALUE"""),7.0)</f>
        <v>7</v>
      </c>
      <c r="E515" s="2">
        <f>IFERROR(__xludf.DUMMYFUNCTION("""COMPUTED_VALUE"""),4.0)</f>
        <v>4</v>
      </c>
      <c r="F515" s="2">
        <f>IFERROR(__xludf.DUMMYFUNCTION("""COMPUTED_VALUE"""),2358.0)</f>
        <v>2358</v>
      </c>
      <c r="G515" s="2">
        <f>IFERROR(__xludf.DUMMYFUNCTION("""COMPUTED_VALUE"""),0.0)</f>
        <v>0</v>
      </c>
    </row>
    <row r="516">
      <c r="A516" s="2" t="str">
        <f>IFERROR(__xludf.DUMMYFUNCTION("""COMPUTED_VALUE"""),"Peru")</f>
        <v>Peru</v>
      </c>
      <c r="B516" s="3">
        <f>IFERROR(__xludf.DUMMYFUNCTION("""COMPUTED_VALUE"""),43857.0)</f>
        <v>43857</v>
      </c>
      <c r="C516" s="3">
        <f>IFERROR(__xludf.DUMMYFUNCTION("""COMPUTED_VALUE"""),43863.0)</f>
        <v>43863</v>
      </c>
      <c r="D516" s="2">
        <f>IFERROR(__xludf.DUMMYFUNCTION("""COMPUTED_VALUE"""),7.0)</f>
        <v>7</v>
      </c>
      <c r="E516" s="2">
        <f>IFERROR(__xludf.DUMMYFUNCTION("""COMPUTED_VALUE"""),5.0)</f>
        <v>5</v>
      </c>
      <c r="F516" s="2">
        <f>IFERROR(__xludf.DUMMYFUNCTION("""COMPUTED_VALUE"""),2255.0)</f>
        <v>2255</v>
      </c>
      <c r="G516" s="2">
        <f>IFERROR(__xludf.DUMMYFUNCTION("""COMPUTED_VALUE"""),0.0)</f>
        <v>0</v>
      </c>
    </row>
    <row r="517">
      <c r="A517" s="2" t="str">
        <f>IFERROR(__xludf.DUMMYFUNCTION("""COMPUTED_VALUE"""),"Peru")</f>
        <v>Peru</v>
      </c>
      <c r="B517" s="3">
        <f>IFERROR(__xludf.DUMMYFUNCTION("""COMPUTED_VALUE"""),43864.0)</f>
        <v>43864</v>
      </c>
      <c r="C517" s="3">
        <f>IFERROR(__xludf.DUMMYFUNCTION("""COMPUTED_VALUE"""),43870.0)</f>
        <v>43870</v>
      </c>
      <c r="D517" s="2">
        <f>IFERROR(__xludf.DUMMYFUNCTION("""COMPUTED_VALUE"""),7.0)</f>
        <v>7</v>
      </c>
      <c r="E517" s="2">
        <f>IFERROR(__xludf.DUMMYFUNCTION("""COMPUTED_VALUE"""),6.0)</f>
        <v>6</v>
      </c>
      <c r="F517" s="2">
        <f>IFERROR(__xludf.DUMMYFUNCTION("""COMPUTED_VALUE"""),2330.0)</f>
        <v>2330</v>
      </c>
      <c r="G517" s="2">
        <f>IFERROR(__xludf.DUMMYFUNCTION("""COMPUTED_VALUE"""),0.0)</f>
        <v>0</v>
      </c>
    </row>
    <row r="518">
      <c r="A518" s="2" t="str">
        <f>IFERROR(__xludf.DUMMYFUNCTION("""COMPUTED_VALUE"""),"Peru")</f>
        <v>Peru</v>
      </c>
      <c r="B518" s="3">
        <f>IFERROR(__xludf.DUMMYFUNCTION("""COMPUTED_VALUE"""),43871.0)</f>
        <v>43871</v>
      </c>
      <c r="C518" s="3">
        <f>IFERROR(__xludf.DUMMYFUNCTION("""COMPUTED_VALUE"""),43877.0)</f>
        <v>43877</v>
      </c>
      <c r="D518" s="2">
        <f>IFERROR(__xludf.DUMMYFUNCTION("""COMPUTED_VALUE"""),7.0)</f>
        <v>7</v>
      </c>
      <c r="E518" s="2">
        <f>IFERROR(__xludf.DUMMYFUNCTION("""COMPUTED_VALUE"""),7.0)</f>
        <v>7</v>
      </c>
      <c r="F518" s="2">
        <f>IFERROR(__xludf.DUMMYFUNCTION("""COMPUTED_VALUE"""),2354.0)</f>
        <v>2354</v>
      </c>
      <c r="G518" s="2">
        <f>IFERROR(__xludf.DUMMYFUNCTION("""COMPUTED_VALUE"""),0.0)</f>
        <v>0</v>
      </c>
    </row>
    <row r="519">
      <c r="A519" s="2" t="str">
        <f>IFERROR(__xludf.DUMMYFUNCTION("""COMPUTED_VALUE"""),"Peru")</f>
        <v>Peru</v>
      </c>
      <c r="B519" s="3">
        <f>IFERROR(__xludf.DUMMYFUNCTION("""COMPUTED_VALUE"""),43878.0)</f>
        <v>43878</v>
      </c>
      <c r="C519" s="3">
        <f>IFERROR(__xludf.DUMMYFUNCTION("""COMPUTED_VALUE"""),43884.0)</f>
        <v>43884</v>
      </c>
      <c r="D519" s="2">
        <f>IFERROR(__xludf.DUMMYFUNCTION("""COMPUTED_VALUE"""),7.0)</f>
        <v>7</v>
      </c>
      <c r="E519" s="2">
        <f>IFERROR(__xludf.DUMMYFUNCTION("""COMPUTED_VALUE"""),8.0)</f>
        <v>8</v>
      </c>
      <c r="F519" s="2">
        <f>IFERROR(__xludf.DUMMYFUNCTION("""COMPUTED_VALUE"""),2346.0)</f>
        <v>2346</v>
      </c>
      <c r="G519" s="2">
        <f>IFERROR(__xludf.DUMMYFUNCTION("""COMPUTED_VALUE"""),0.0)</f>
        <v>0</v>
      </c>
    </row>
    <row r="520">
      <c r="A520" s="2" t="str">
        <f>IFERROR(__xludf.DUMMYFUNCTION("""COMPUTED_VALUE"""),"Peru")</f>
        <v>Peru</v>
      </c>
      <c r="B520" s="3">
        <f>IFERROR(__xludf.DUMMYFUNCTION("""COMPUTED_VALUE"""),43885.0)</f>
        <v>43885</v>
      </c>
      <c r="C520" s="3">
        <f>IFERROR(__xludf.DUMMYFUNCTION("""COMPUTED_VALUE"""),43891.0)</f>
        <v>43891</v>
      </c>
      <c r="D520" s="2">
        <f>IFERROR(__xludf.DUMMYFUNCTION("""COMPUTED_VALUE"""),7.0)</f>
        <v>7</v>
      </c>
      <c r="E520" s="2">
        <f>IFERROR(__xludf.DUMMYFUNCTION("""COMPUTED_VALUE"""),9.0)</f>
        <v>9</v>
      </c>
      <c r="F520" s="2">
        <f>IFERROR(__xludf.DUMMYFUNCTION("""COMPUTED_VALUE"""),2417.0)</f>
        <v>2417</v>
      </c>
      <c r="G520" s="2">
        <f>IFERROR(__xludf.DUMMYFUNCTION("""COMPUTED_VALUE"""),0.0)</f>
        <v>0</v>
      </c>
    </row>
    <row r="521">
      <c r="A521" s="2" t="str">
        <f>IFERROR(__xludf.DUMMYFUNCTION("""COMPUTED_VALUE"""),"Peru")</f>
        <v>Peru</v>
      </c>
      <c r="B521" s="3">
        <f>IFERROR(__xludf.DUMMYFUNCTION("""COMPUTED_VALUE"""),43892.0)</f>
        <v>43892</v>
      </c>
      <c r="C521" s="3">
        <f>IFERROR(__xludf.DUMMYFUNCTION("""COMPUTED_VALUE"""),43898.0)</f>
        <v>43898</v>
      </c>
      <c r="D521" s="2">
        <f>IFERROR(__xludf.DUMMYFUNCTION("""COMPUTED_VALUE"""),7.0)</f>
        <v>7</v>
      </c>
      <c r="E521" s="2">
        <f>IFERROR(__xludf.DUMMYFUNCTION("""COMPUTED_VALUE"""),10.0)</f>
        <v>10</v>
      </c>
      <c r="F521" s="2">
        <f>IFERROR(__xludf.DUMMYFUNCTION("""COMPUTED_VALUE"""),2409.0)</f>
        <v>2409</v>
      </c>
      <c r="G521" s="2">
        <f>IFERROR(__xludf.DUMMYFUNCTION("""COMPUTED_VALUE"""),2.0)</f>
        <v>2</v>
      </c>
    </row>
    <row r="522">
      <c r="A522" s="2" t="str">
        <f>IFERROR(__xludf.DUMMYFUNCTION("""COMPUTED_VALUE"""),"Peru")</f>
        <v>Peru</v>
      </c>
      <c r="B522" s="3">
        <f>IFERROR(__xludf.DUMMYFUNCTION("""COMPUTED_VALUE"""),43899.0)</f>
        <v>43899</v>
      </c>
      <c r="C522" s="3">
        <f>IFERROR(__xludf.DUMMYFUNCTION("""COMPUTED_VALUE"""),43905.0)</f>
        <v>43905</v>
      </c>
      <c r="D522" s="2">
        <f>IFERROR(__xludf.DUMMYFUNCTION("""COMPUTED_VALUE"""),7.0)</f>
        <v>7</v>
      </c>
      <c r="E522" s="2">
        <f>IFERROR(__xludf.DUMMYFUNCTION("""COMPUTED_VALUE"""),11.0)</f>
        <v>11</v>
      </c>
      <c r="F522" s="2">
        <f>IFERROR(__xludf.DUMMYFUNCTION("""COMPUTED_VALUE"""),2469.0)</f>
        <v>2469</v>
      </c>
      <c r="G522" s="2">
        <f>IFERROR(__xludf.DUMMYFUNCTION("""COMPUTED_VALUE"""),3.0)</f>
        <v>3</v>
      </c>
    </row>
    <row r="523">
      <c r="A523" s="2" t="str">
        <f>IFERROR(__xludf.DUMMYFUNCTION("""COMPUTED_VALUE"""),"Peru")</f>
        <v>Peru</v>
      </c>
      <c r="B523" s="3">
        <f>IFERROR(__xludf.DUMMYFUNCTION("""COMPUTED_VALUE"""),43906.0)</f>
        <v>43906</v>
      </c>
      <c r="C523" s="3">
        <f>IFERROR(__xludf.DUMMYFUNCTION("""COMPUTED_VALUE"""),43912.0)</f>
        <v>43912</v>
      </c>
      <c r="D523" s="2">
        <f>IFERROR(__xludf.DUMMYFUNCTION("""COMPUTED_VALUE"""),7.0)</f>
        <v>7</v>
      </c>
      <c r="E523" s="2">
        <f>IFERROR(__xludf.DUMMYFUNCTION("""COMPUTED_VALUE"""),12.0)</f>
        <v>12</v>
      </c>
      <c r="F523" s="2">
        <f>IFERROR(__xludf.DUMMYFUNCTION("""COMPUTED_VALUE"""),2185.0)</f>
        <v>2185</v>
      </c>
      <c r="G523" s="2">
        <f>IFERROR(__xludf.DUMMYFUNCTION("""COMPUTED_VALUE"""),29.0)</f>
        <v>29</v>
      </c>
    </row>
    <row r="524">
      <c r="A524" s="2" t="str">
        <f>IFERROR(__xludf.DUMMYFUNCTION("""COMPUTED_VALUE"""),"Peru")</f>
        <v>Peru</v>
      </c>
      <c r="B524" s="3">
        <f>IFERROR(__xludf.DUMMYFUNCTION("""COMPUTED_VALUE"""),43913.0)</f>
        <v>43913</v>
      </c>
      <c r="C524" s="3">
        <f>IFERROR(__xludf.DUMMYFUNCTION("""COMPUTED_VALUE"""),43919.0)</f>
        <v>43919</v>
      </c>
      <c r="D524" s="2">
        <f>IFERROR(__xludf.DUMMYFUNCTION("""COMPUTED_VALUE"""),7.0)</f>
        <v>7</v>
      </c>
      <c r="E524" s="2">
        <f>IFERROR(__xludf.DUMMYFUNCTION("""COMPUTED_VALUE"""),13.0)</f>
        <v>13</v>
      </c>
      <c r="F524" s="2">
        <f>IFERROR(__xludf.DUMMYFUNCTION("""COMPUTED_VALUE"""),2150.0)</f>
        <v>2150</v>
      </c>
      <c r="G524" s="2">
        <f>IFERROR(__xludf.DUMMYFUNCTION("""COMPUTED_VALUE"""),61.0)</f>
        <v>61</v>
      </c>
    </row>
    <row r="525">
      <c r="A525" s="2" t="str">
        <f>IFERROR(__xludf.DUMMYFUNCTION("""COMPUTED_VALUE"""),"Peru")</f>
        <v>Peru</v>
      </c>
      <c r="B525" s="3">
        <f>IFERROR(__xludf.DUMMYFUNCTION("""COMPUTED_VALUE"""),43920.0)</f>
        <v>43920</v>
      </c>
      <c r="C525" s="3">
        <f>IFERROR(__xludf.DUMMYFUNCTION("""COMPUTED_VALUE"""),43926.0)</f>
        <v>43926</v>
      </c>
      <c r="D525" s="2">
        <f>IFERROR(__xludf.DUMMYFUNCTION("""COMPUTED_VALUE"""),7.0)</f>
        <v>7</v>
      </c>
      <c r="E525" s="2">
        <f>IFERROR(__xludf.DUMMYFUNCTION("""COMPUTED_VALUE"""),14.0)</f>
        <v>14</v>
      </c>
      <c r="F525" s="2">
        <f>IFERROR(__xludf.DUMMYFUNCTION("""COMPUTED_VALUE"""),2390.0)</f>
        <v>2390</v>
      </c>
      <c r="G525" s="2">
        <f>IFERROR(__xludf.DUMMYFUNCTION("""COMPUTED_VALUE"""),222.0)</f>
        <v>222</v>
      </c>
    </row>
    <row r="526">
      <c r="A526" s="2" t="str">
        <f>IFERROR(__xludf.DUMMYFUNCTION("""COMPUTED_VALUE"""),"Peru")</f>
        <v>Peru</v>
      </c>
      <c r="B526" s="3">
        <f>IFERROR(__xludf.DUMMYFUNCTION("""COMPUTED_VALUE"""),43927.0)</f>
        <v>43927</v>
      </c>
      <c r="C526" s="3">
        <f>IFERROR(__xludf.DUMMYFUNCTION("""COMPUTED_VALUE"""),43933.0)</f>
        <v>43933</v>
      </c>
      <c r="D526" s="2">
        <f>IFERROR(__xludf.DUMMYFUNCTION("""COMPUTED_VALUE"""),7.0)</f>
        <v>7</v>
      </c>
      <c r="E526" s="2">
        <f>IFERROR(__xludf.DUMMYFUNCTION("""COMPUTED_VALUE"""),15.0)</f>
        <v>15</v>
      </c>
      <c r="F526" s="2">
        <f>IFERROR(__xludf.DUMMYFUNCTION("""COMPUTED_VALUE"""),2514.0)</f>
        <v>2514</v>
      </c>
      <c r="G526" s="2">
        <f>IFERROR(__xludf.DUMMYFUNCTION("""COMPUTED_VALUE"""),529.0)</f>
        <v>529</v>
      </c>
    </row>
    <row r="527">
      <c r="A527" s="2" t="str">
        <f>IFERROR(__xludf.DUMMYFUNCTION("""COMPUTED_VALUE"""),"Peru")</f>
        <v>Peru</v>
      </c>
      <c r="B527" s="3">
        <f>IFERROR(__xludf.DUMMYFUNCTION("""COMPUTED_VALUE"""),43934.0)</f>
        <v>43934</v>
      </c>
      <c r="C527" s="3">
        <f>IFERROR(__xludf.DUMMYFUNCTION("""COMPUTED_VALUE"""),43940.0)</f>
        <v>43940</v>
      </c>
      <c r="D527" s="2">
        <f>IFERROR(__xludf.DUMMYFUNCTION("""COMPUTED_VALUE"""),7.0)</f>
        <v>7</v>
      </c>
      <c r="E527" s="2">
        <f>IFERROR(__xludf.DUMMYFUNCTION("""COMPUTED_VALUE"""),16.0)</f>
        <v>16</v>
      </c>
      <c r="F527" s="2">
        <f>IFERROR(__xludf.DUMMYFUNCTION("""COMPUTED_VALUE"""),3096.0)</f>
        <v>3096</v>
      </c>
      <c r="G527" s="2">
        <f>IFERROR(__xludf.DUMMYFUNCTION("""COMPUTED_VALUE"""),940.0)</f>
        <v>940</v>
      </c>
    </row>
    <row r="528">
      <c r="A528" s="2" t="str">
        <f>IFERROR(__xludf.DUMMYFUNCTION("""COMPUTED_VALUE"""),"Peru")</f>
        <v>Peru</v>
      </c>
      <c r="B528" s="3">
        <f>IFERROR(__xludf.DUMMYFUNCTION("""COMPUTED_VALUE"""),43941.0)</f>
        <v>43941</v>
      </c>
      <c r="C528" s="3">
        <f>IFERROR(__xludf.DUMMYFUNCTION("""COMPUTED_VALUE"""),43947.0)</f>
        <v>43947</v>
      </c>
      <c r="D528" s="2">
        <f>IFERROR(__xludf.DUMMYFUNCTION("""COMPUTED_VALUE"""),7.0)</f>
        <v>7</v>
      </c>
      <c r="E528" s="2">
        <f>IFERROR(__xludf.DUMMYFUNCTION("""COMPUTED_VALUE"""),17.0)</f>
        <v>17</v>
      </c>
      <c r="F528" s="2">
        <f>IFERROR(__xludf.DUMMYFUNCTION("""COMPUTED_VALUE"""),3881.0)</f>
        <v>3881</v>
      </c>
      <c r="G528" s="2">
        <f>IFERROR(__xludf.DUMMYFUNCTION("""COMPUTED_VALUE"""),1702.0)</f>
        <v>1702</v>
      </c>
    </row>
    <row r="529">
      <c r="A529" s="2" t="str">
        <f>IFERROR(__xludf.DUMMYFUNCTION("""COMPUTED_VALUE"""),"Peru")</f>
        <v>Peru</v>
      </c>
      <c r="B529" s="3">
        <f>IFERROR(__xludf.DUMMYFUNCTION("""COMPUTED_VALUE"""),43948.0)</f>
        <v>43948</v>
      </c>
      <c r="C529" s="3">
        <f>IFERROR(__xludf.DUMMYFUNCTION("""COMPUTED_VALUE"""),43954.0)</f>
        <v>43954</v>
      </c>
      <c r="D529" s="2">
        <f>IFERROR(__xludf.DUMMYFUNCTION("""COMPUTED_VALUE"""),7.0)</f>
        <v>7</v>
      </c>
      <c r="E529" s="2">
        <f>IFERROR(__xludf.DUMMYFUNCTION("""COMPUTED_VALUE"""),18.0)</f>
        <v>18</v>
      </c>
      <c r="F529" s="2">
        <f>IFERROR(__xludf.DUMMYFUNCTION("""COMPUTED_VALUE"""),4752.0)</f>
        <v>4752</v>
      </c>
      <c r="G529" s="2">
        <f>IFERROR(__xludf.DUMMYFUNCTION("""COMPUTED_VALUE"""),2516.0)</f>
        <v>2516</v>
      </c>
    </row>
    <row r="530">
      <c r="A530" s="2" t="str">
        <f>IFERROR(__xludf.DUMMYFUNCTION("""COMPUTED_VALUE"""),"Peru")</f>
        <v>Peru</v>
      </c>
      <c r="B530" s="3">
        <f>IFERROR(__xludf.DUMMYFUNCTION("""COMPUTED_VALUE"""),43955.0)</f>
        <v>43955</v>
      </c>
      <c r="C530" s="3">
        <f>IFERROR(__xludf.DUMMYFUNCTION("""COMPUTED_VALUE"""),43961.0)</f>
        <v>43961</v>
      </c>
      <c r="D530" s="2">
        <f>IFERROR(__xludf.DUMMYFUNCTION("""COMPUTED_VALUE"""),7.0)</f>
        <v>7</v>
      </c>
      <c r="E530" s="2">
        <f>IFERROR(__xludf.DUMMYFUNCTION("""COMPUTED_VALUE"""),19.0)</f>
        <v>19</v>
      </c>
      <c r="F530" s="2">
        <f>IFERROR(__xludf.DUMMYFUNCTION("""COMPUTED_VALUE"""),5451.0)</f>
        <v>5451</v>
      </c>
      <c r="G530" s="2">
        <f>IFERROR(__xludf.DUMMYFUNCTION("""COMPUTED_VALUE"""),3254.0)</f>
        <v>3254</v>
      </c>
    </row>
    <row r="531">
      <c r="A531" s="2" t="str">
        <f>IFERROR(__xludf.DUMMYFUNCTION("""COMPUTED_VALUE"""),"Peru")</f>
        <v>Peru</v>
      </c>
      <c r="B531" s="3">
        <f>IFERROR(__xludf.DUMMYFUNCTION("""COMPUTED_VALUE"""),43962.0)</f>
        <v>43962</v>
      </c>
      <c r="C531" s="3">
        <f>IFERROR(__xludf.DUMMYFUNCTION("""COMPUTED_VALUE"""),43968.0)</f>
        <v>43968</v>
      </c>
      <c r="D531" s="2">
        <f>IFERROR(__xludf.DUMMYFUNCTION("""COMPUTED_VALUE"""),7.0)</f>
        <v>7</v>
      </c>
      <c r="E531" s="2">
        <f>IFERROR(__xludf.DUMMYFUNCTION("""COMPUTED_VALUE"""),20.0)</f>
        <v>20</v>
      </c>
      <c r="F531" s="2">
        <f>IFERROR(__xludf.DUMMYFUNCTION("""COMPUTED_VALUE"""),5967.0)</f>
        <v>5967</v>
      </c>
      <c r="G531" s="2">
        <f>IFERROR(__xludf.DUMMYFUNCTION("""COMPUTED_VALUE"""),3577.0)</f>
        <v>3577</v>
      </c>
    </row>
    <row r="532">
      <c r="A532" s="2" t="str">
        <f>IFERROR(__xludf.DUMMYFUNCTION("""COMPUTED_VALUE"""),"Peru")</f>
        <v>Peru</v>
      </c>
      <c r="B532" s="3">
        <f>IFERROR(__xludf.DUMMYFUNCTION("""COMPUTED_VALUE"""),43969.0)</f>
        <v>43969</v>
      </c>
      <c r="C532" s="3">
        <f>IFERROR(__xludf.DUMMYFUNCTION("""COMPUTED_VALUE"""),43975.0)</f>
        <v>43975</v>
      </c>
      <c r="D532" s="2">
        <f>IFERROR(__xludf.DUMMYFUNCTION("""COMPUTED_VALUE"""),7.0)</f>
        <v>7</v>
      </c>
      <c r="E532" s="2">
        <f>IFERROR(__xludf.DUMMYFUNCTION("""COMPUTED_VALUE"""),21.0)</f>
        <v>21</v>
      </c>
      <c r="F532" s="2">
        <f>IFERROR(__xludf.DUMMYFUNCTION("""COMPUTED_VALUE"""),6347.0)</f>
        <v>6347</v>
      </c>
      <c r="G532" s="2">
        <f>IFERROR(__xludf.DUMMYFUNCTION("""COMPUTED_VALUE"""),3809.0)</f>
        <v>3809</v>
      </c>
    </row>
    <row r="533">
      <c r="A533" s="2" t="str">
        <f>IFERROR(__xludf.DUMMYFUNCTION("""COMPUTED_VALUE"""),"Peru")</f>
        <v>Peru</v>
      </c>
      <c r="B533" s="3">
        <f>IFERROR(__xludf.DUMMYFUNCTION("""COMPUTED_VALUE"""),43976.0)</f>
        <v>43976</v>
      </c>
      <c r="C533" s="3">
        <f>IFERROR(__xludf.DUMMYFUNCTION("""COMPUTED_VALUE"""),43982.0)</f>
        <v>43982</v>
      </c>
      <c r="D533" s="2">
        <f>IFERROR(__xludf.DUMMYFUNCTION("""COMPUTED_VALUE"""),7.0)</f>
        <v>7</v>
      </c>
      <c r="E533" s="2">
        <f>IFERROR(__xludf.DUMMYFUNCTION("""COMPUTED_VALUE"""),22.0)</f>
        <v>22</v>
      </c>
      <c r="F533" s="2">
        <f>IFERROR(__xludf.DUMMYFUNCTION("""COMPUTED_VALUE"""),6554.0)</f>
        <v>6554</v>
      </c>
      <c r="G533" s="2">
        <f>IFERROR(__xludf.DUMMYFUNCTION("""COMPUTED_VALUE"""),4066.0)</f>
        <v>4066</v>
      </c>
    </row>
    <row r="534">
      <c r="A534" s="2" t="str">
        <f>IFERROR(__xludf.DUMMYFUNCTION("""COMPUTED_VALUE"""),"Peru")</f>
        <v>Peru</v>
      </c>
      <c r="B534" s="3">
        <f>IFERROR(__xludf.DUMMYFUNCTION("""COMPUTED_VALUE"""),43983.0)</f>
        <v>43983</v>
      </c>
      <c r="C534" s="3">
        <f>IFERROR(__xludf.DUMMYFUNCTION("""COMPUTED_VALUE"""),43989.0)</f>
        <v>43989</v>
      </c>
      <c r="D534" s="2">
        <f>IFERROR(__xludf.DUMMYFUNCTION("""COMPUTED_VALUE"""),7.0)</f>
        <v>7</v>
      </c>
      <c r="E534" s="2">
        <f>IFERROR(__xludf.DUMMYFUNCTION("""COMPUTED_VALUE"""),23.0)</f>
        <v>23</v>
      </c>
      <c r="F534" s="2">
        <f>IFERROR(__xludf.DUMMYFUNCTION("""COMPUTED_VALUE"""),6647.0)</f>
        <v>6647</v>
      </c>
      <c r="G534" s="2">
        <f>IFERROR(__xludf.DUMMYFUNCTION("""COMPUTED_VALUE"""),4124.0)</f>
        <v>4124</v>
      </c>
    </row>
    <row r="535">
      <c r="A535" s="2" t="str">
        <f>IFERROR(__xludf.DUMMYFUNCTION("""COMPUTED_VALUE"""),"Peru")</f>
        <v>Peru</v>
      </c>
      <c r="B535" s="3">
        <f>IFERROR(__xludf.DUMMYFUNCTION("""COMPUTED_VALUE"""),43990.0)</f>
        <v>43990</v>
      </c>
      <c r="C535" s="3">
        <f>IFERROR(__xludf.DUMMYFUNCTION("""COMPUTED_VALUE"""),43996.0)</f>
        <v>43996</v>
      </c>
      <c r="D535" s="2">
        <f>IFERROR(__xludf.DUMMYFUNCTION("""COMPUTED_VALUE"""),7.0)</f>
        <v>7</v>
      </c>
      <c r="E535" s="2">
        <f>IFERROR(__xludf.DUMMYFUNCTION("""COMPUTED_VALUE"""),24.0)</f>
        <v>24</v>
      </c>
      <c r="F535" s="2">
        <f>IFERROR(__xludf.DUMMYFUNCTION("""COMPUTED_VALUE"""),6725.0)</f>
        <v>6725</v>
      </c>
      <c r="G535" s="2">
        <f>IFERROR(__xludf.DUMMYFUNCTION("""COMPUTED_VALUE"""),4176.0)</f>
        <v>4176</v>
      </c>
    </row>
    <row r="536">
      <c r="A536" s="2" t="str">
        <f>IFERROR(__xludf.DUMMYFUNCTION("""COMPUTED_VALUE"""),"Peru")</f>
        <v>Peru</v>
      </c>
      <c r="B536" s="3">
        <f>IFERROR(__xludf.DUMMYFUNCTION("""COMPUTED_VALUE"""),43997.0)</f>
        <v>43997</v>
      </c>
      <c r="C536" s="3">
        <f>IFERROR(__xludf.DUMMYFUNCTION("""COMPUTED_VALUE"""),44003.0)</f>
        <v>44003</v>
      </c>
      <c r="D536" s="2">
        <f>IFERROR(__xludf.DUMMYFUNCTION("""COMPUTED_VALUE"""),7.0)</f>
        <v>7</v>
      </c>
      <c r="E536" s="2">
        <f>IFERROR(__xludf.DUMMYFUNCTION("""COMPUTED_VALUE"""),25.0)</f>
        <v>25</v>
      </c>
      <c r="F536" s="2">
        <f>IFERROR(__xludf.DUMMYFUNCTION("""COMPUTED_VALUE"""),6593.0)</f>
        <v>6593</v>
      </c>
      <c r="G536" s="2">
        <f>IFERROR(__xludf.DUMMYFUNCTION("""COMPUTED_VALUE"""),4330.0)</f>
        <v>4330</v>
      </c>
    </row>
    <row r="537">
      <c r="A537" s="2" t="str">
        <f>IFERROR(__xludf.DUMMYFUNCTION("""COMPUTED_VALUE"""),"Peru")</f>
        <v>Peru</v>
      </c>
      <c r="B537" s="3">
        <f>IFERROR(__xludf.DUMMYFUNCTION("""COMPUTED_VALUE"""),44004.0)</f>
        <v>44004</v>
      </c>
      <c r="C537" s="3">
        <f>IFERROR(__xludf.DUMMYFUNCTION("""COMPUTED_VALUE"""),44010.0)</f>
        <v>44010</v>
      </c>
      <c r="D537" s="2">
        <f>IFERROR(__xludf.DUMMYFUNCTION("""COMPUTED_VALUE"""),7.0)</f>
        <v>7</v>
      </c>
      <c r="E537" s="2">
        <f>IFERROR(__xludf.DUMMYFUNCTION("""COMPUTED_VALUE"""),26.0)</f>
        <v>26</v>
      </c>
      <c r="F537" s="2">
        <f>IFERROR(__xludf.DUMMYFUNCTION("""COMPUTED_VALUE"""),6159.0)</f>
        <v>6159</v>
      </c>
      <c r="G537" s="2">
        <f>IFERROR(__xludf.DUMMYFUNCTION("""COMPUTED_VALUE"""),3530.0)</f>
        <v>3530</v>
      </c>
    </row>
    <row r="538">
      <c r="A538" s="2" t="str">
        <f>IFERROR(__xludf.DUMMYFUNCTION("""COMPUTED_VALUE"""),"Peru")</f>
        <v>Peru</v>
      </c>
      <c r="B538" s="3">
        <f>IFERROR(__xludf.DUMMYFUNCTION("""COMPUTED_VALUE"""),44011.0)</f>
        <v>44011</v>
      </c>
      <c r="C538" s="3">
        <f>IFERROR(__xludf.DUMMYFUNCTION("""COMPUTED_VALUE"""),44017.0)</f>
        <v>44017</v>
      </c>
      <c r="D538" s="2">
        <f>IFERROR(__xludf.DUMMYFUNCTION("""COMPUTED_VALUE"""),7.0)</f>
        <v>7</v>
      </c>
      <c r="E538" s="2">
        <f>IFERROR(__xludf.DUMMYFUNCTION("""COMPUTED_VALUE"""),27.0)</f>
        <v>27</v>
      </c>
      <c r="F538" s="2">
        <f>IFERROR(__xludf.DUMMYFUNCTION("""COMPUTED_VALUE"""),6237.0)</f>
        <v>6237</v>
      </c>
      <c r="G538" s="2">
        <f>IFERROR(__xludf.DUMMYFUNCTION("""COMPUTED_VALUE"""),3755.0)</f>
        <v>3755</v>
      </c>
    </row>
    <row r="539">
      <c r="A539" s="2" t="str">
        <f>IFERROR(__xludf.DUMMYFUNCTION("""COMPUTED_VALUE"""),"Peru")</f>
        <v>Peru</v>
      </c>
      <c r="B539" s="3">
        <f>IFERROR(__xludf.DUMMYFUNCTION("""COMPUTED_VALUE"""),44018.0)</f>
        <v>44018</v>
      </c>
      <c r="C539" s="3">
        <f>IFERROR(__xludf.DUMMYFUNCTION("""COMPUTED_VALUE"""),44024.0)</f>
        <v>44024</v>
      </c>
      <c r="D539" s="2">
        <f>IFERROR(__xludf.DUMMYFUNCTION("""COMPUTED_VALUE"""),7.0)</f>
        <v>7</v>
      </c>
      <c r="E539" s="2">
        <f>IFERROR(__xludf.DUMMYFUNCTION("""COMPUTED_VALUE"""),28.0)</f>
        <v>28</v>
      </c>
      <c r="F539" s="2">
        <f>IFERROR(__xludf.DUMMYFUNCTION("""COMPUTED_VALUE"""),6493.0)</f>
        <v>6493</v>
      </c>
      <c r="G539" s="2">
        <f>IFERROR(__xludf.DUMMYFUNCTION("""COMPUTED_VALUE"""),3903.0)</f>
        <v>3903</v>
      </c>
    </row>
    <row r="540">
      <c r="A540" s="2" t="str">
        <f>IFERROR(__xludf.DUMMYFUNCTION("""COMPUTED_VALUE"""),"Peru")</f>
        <v>Peru</v>
      </c>
      <c r="B540" s="3">
        <f>IFERROR(__xludf.DUMMYFUNCTION("""COMPUTED_VALUE"""),44025.0)</f>
        <v>44025</v>
      </c>
      <c r="C540" s="3">
        <f>IFERROR(__xludf.DUMMYFUNCTION("""COMPUTED_VALUE"""),44031.0)</f>
        <v>44031</v>
      </c>
      <c r="D540" s="2">
        <f>IFERROR(__xludf.DUMMYFUNCTION("""COMPUTED_VALUE"""),7.0)</f>
        <v>7</v>
      </c>
      <c r="E540" s="2">
        <f>IFERROR(__xludf.DUMMYFUNCTION("""COMPUTED_VALUE"""),29.0)</f>
        <v>29</v>
      </c>
      <c r="F540" s="2">
        <f>IFERROR(__xludf.DUMMYFUNCTION("""COMPUTED_VALUE"""),6763.0)</f>
        <v>6763</v>
      </c>
      <c r="G540" s="2">
        <f>IFERROR(__xludf.DUMMYFUNCTION("""COMPUTED_VALUE"""),4901.0)</f>
        <v>4901</v>
      </c>
    </row>
    <row r="541">
      <c r="A541" s="2" t="str">
        <f>IFERROR(__xludf.DUMMYFUNCTION("""COMPUTED_VALUE"""),"Peru")</f>
        <v>Peru</v>
      </c>
      <c r="B541" s="3">
        <f>IFERROR(__xludf.DUMMYFUNCTION("""COMPUTED_VALUE"""),44032.0)</f>
        <v>44032</v>
      </c>
      <c r="C541" s="3">
        <f>IFERROR(__xludf.DUMMYFUNCTION("""COMPUTED_VALUE"""),44038.0)</f>
        <v>44038</v>
      </c>
      <c r="D541" s="2">
        <f>IFERROR(__xludf.DUMMYFUNCTION("""COMPUTED_VALUE"""),7.0)</f>
        <v>7</v>
      </c>
      <c r="E541" s="2">
        <f>IFERROR(__xludf.DUMMYFUNCTION("""COMPUTED_VALUE"""),30.0)</f>
        <v>30</v>
      </c>
      <c r="F541" s="2">
        <f>IFERROR(__xludf.DUMMYFUNCTION("""COMPUTED_VALUE"""),6778.0)</f>
        <v>6778</v>
      </c>
      <c r="G541" s="2">
        <f>IFERROR(__xludf.DUMMYFUNCTION("""COMPUTED_VALUE"""),3480.0)</f>
        <v>3480</v>
      </c>
    </row>
    <row r="542">
      <c r="A542" s="2" t="str">
        <f>IFERROR(__xludf.DUMMYFUNCTION("""COMPUTED_VALUE"""),"Peru")</f>
        <v>Peru</v>
      </c>
      <c r="B542" s="3">
        <f>IFERROR(__xludf.DUMMYFUNCTION("""COMPUTED_VALUE"""),44039.0)</f>
        <v>44039</v>
      </c>
      <c r="C542" s="3">
        <f>IFERROR(__xludf.DUMMYFUNCTION("""COMPUTED_VALUE"""),44045.0)</f>
        <v>44045</v>
      </c>
      <c r="D542" s="2">
        <f>IFERROR(__xludf.DUMMYFUNCTION("""COMPUTED_VALUE"""),7.0)</f>
        <v>7</v>
      </c>
      <c r="E542" s="2">
        <f>IFERROR(__xludf.DUMMYFUNCTION("""COMPUTED_VALUE"""),31.0)</f>
        <v>31</v>
      </c>
      <c r="F542" s="2">
        <f>IFERROR(__xludf.DUMMYFUNCTION("""COMPUTED_VALUE"""),6918.0)</f>
        <v>6918</v>
      </c>
      <c r="G542" s="2">
        <f>IFERROR(__xludf.DUMMYFUNCTION("""COMPUTED_VALUE"""),4376.0)</f>
        <v>4376</v>
      </c>
    </row>
    <row r="543">
      <c r="A543" s="2" t="str">
        <f>IFERROR(__xludf.DUMMYFUNCTION("""COMPUTED_VALUE"""),"Peru")</f>
        <v>Peru</v>
      </c>
      <c r="B543" s="3">
        <f>IFERROR(__xludf.DUMMYFUNCTION("""COMPUTED_VALUE"""),44046.0)</f>
        <v>44046</v>
      </c>
      <c r="C543" s="3">
        <f>IFERROR(__xludf.DUMMYFUNCTION("""COMPUTED_VALUE"""),44052.0)</f>
        <v>44052</v>
      </c>
      <c r="D543" s="2">
        <f>IFERROR(__xludf.DUMMYFUNCTION("""COMPUTED_VALUE"""),7.0)</f>
        <v>7</v>
      </c>
      <c r="E543" s="2">
        <f>IFERROR(__xludf.DUMMYFUNCTION("""COMPUTED_VALUE"""),32.0)</f>
        <v>32</v>
      </c>
      <c r="F543" s="2">
        <f>IFERROR(__xludf.DUMMYFUNCTION("""COMPUTED_VALUE"""),7120.0)</f>
        <v>7120</v>
      </c>
      <c r="G543" s="2">
        <f>IFERROR(__xludf.DUMMYFUNCTION("""COMPUTED_VALUE"""),4433.0)</f>
        <v>4433</v>
      </c>
    </row>
    <row r="544">
      <c r="A544" s="2" t="str">
        <f>IFERROR(__xludf.DUMMYFUNCTION("""COMPUTED_VALUE"""),"Peru")</f>
        <v>Peru</v>
      </c>
      <c r="B544" s="3">
        <f>IFERROR(__xludf.DUMMYFUNCTION("""COMPUTED_VALUE"""),44053.0)</f>
        <v>44053</v>
      </c>
      <c r="C544" s="3">
        <f>IFERROR(__xludf.DUMMYFUNCTION("""COMPUTED_VALUE"""),44059.0)</f>
        <v>44059</v>
      </c>
      <c r="D544" s="2">
        <f>IFERROR(__xludf.DUMMYFUNCTION("""COMPUTED_VALUE"""),7.0)</f>
        <v>7</v>
      </c>
      <c r="E544" s="2">
        <f>IFERROR(__xludf.DUMMYFUNCTION("""COMPUTED_VALUE"""),33.0)</f>
        <v>33</v>
      </c>
      <c r="F544" s="2">
        <f>IFERROR(__xludf.DUMMYFUNCTION("""COMPUTED_VALUE"""),6717.0)</f>
        <v>6717</v>
      </c>
      <c r="G544" s="2">
        <f>IFERROR(__xludf.DUMMYFUNCTION("""COMPUTED_VALUE"""),4322.0)</f>
        <v>4322</v>
      </c>
    </row>
    <row r="545">
      <c r="A545" s="2" t="str">
        <f>IFERROR(__xludf.DUMMYFUNCTION("""COMPUTED_VALUE"""),"Peru")</f>
        <v>Peru</v>
      </c>
      <c r="B545" s="3">
        <f>IFERROR(__xludf.DUMMYFUNCTION("""COMPUTED_VALUE"""),44060.0)</f>
        <v>44060</v>
      </c>
      <c r="C545" s="3">
        <f>IFERROR(__xludf.DUMMYFUNCTION("""COMPUTED_VALUE"""),44066.0)</f>
        <v>44066</v>
      </c>
      <c r="D545" s="2">
        <f>IFERROR(__xludf.DUMMYFUNCTION("""COMPUTED_VALUE"""),7.0)</f>
        <v>7</v>
      </c>
      <c r="E545" s="2">
        <f>IFERROR(__xludf.DUMMYFUNCTION("""COMPUTED_VALUE"""),34.0)</f>
        <v>34</v>
      </c>
      <c r="F545" s="2">
        <f>IFERROR(__xludf.DUMMYFUNCTION("""COMPUTED_VALUE"""),6128.0)</f>
        <v>6128</v>
      </c>
      <c r="G545" s="2">
        <f>IFERROR(__xludf.DUMMYFUNCTION("""COMPUTED_VALUE"""),3786.0)</f>
        <v>3786</v>
      </c>
    </row>
    <row r="546">
      <c r="A546" s="2" t="str">
        <f>IFERROR(__xludf.DUMMYFUNCTION("""COMPUTED_VALUE"""),"Peru")</f>
        <v>Peru</v>
      </c>
      <c r="B546" s="3">
        <f>IFERROR(__xludf.DUMMYFUNCTION("""COMPUTED_VALUE"""),44067.0)</f>
        <v>44067</v>
      </c>
      <c r="C546" s="3">
        <f>IFERROR(__xludf.DUMMYFUNCTION("""COMPUTED_VALUE"""),44073.0)</f>
        <v>44073</v>
      </c>
      <c r="D546" s="2">
        <f>IFERROR(__xludf.DUMMYFUNCTION("""COMPUTED_VALUE"""),7.0)</f>
        <v>7</v>
      </c>
      <c r="E546" s="2">
        <f>IFERROR(__xludf.DUMMYFUNCTION("""COMPUTED_VALUE"""),35.0)</f>
        <v>35</v>
      </c>
      <c r="F546" s="2">
        <f>IFERROR(__xludf.DUMMYFUNCTION("""COMPUTED_VALUE"""),5578.0)</f>
        <v>5578</v>
      </c>
      <c r="G546" s="2">
        <f>IFERROR(__xludf.DUMMYFUNCTION("""COMPUTED_VALUE"""),3401.0)</f>
        <v>3401</v>
      </c>
    </row>
    <row r="547">
      <c r="A547" s="2" t="str">
        <f>IFERROR(__xludf.DUMMYFUNCTION("""COMPUTED_VALUE"""),"Peru")</f>
        <v>Peru</v>
      </c>
      <c r="B547" s="3">
        <f>IFERROR(__xludf.DUMMYFUNCTION("""COMPUTED_VALUE"""),44074.0)</f>
        <v>44074</v>
      </c>
      <c r="C547" s="3">
        <f>IFERROR(__xludf.DUMMYFUNCTION("""COMPUTED_VALUE"""),44080.0)</f>
        <v>44080</v>
      </c>
      <c r="D547" s="2">
        <f>IFERROR(__xludf.DUMMYFUNCTION("""COMPUTED_VALUE"""),7.0)</f>
        <v>7</v>
      </c>
      <c r="E547" s="2">
        <f>IFERROR(__xludf.DUMMYFUNCTION("""COMPUTED_VALUE"""),36.0)</f>
        <v>36</v>
      </c>
      <c r="F547" s="2">
        <f>IFERROR(__xludf.DUMMYFUNCTION("""COMPUTED_VALUE"""),4730.0)</f>
        <v>4730</v>
      </c>
      <c r="G547" s="2">
        <f>IFERROR(__xludf.DUMMYFUNCTION("""COMPUTED_VALUE"""),2674.0)</f>
        <v>2674</v>
      </c>
    </row>
    <row r="548">
      <c r="A548" s="2" t="str">
        <f>IFERROR(__xludf.DUMMYFUNCTION("""COMPUTED_VALUE"""),"Peru")</f>
        <v>Peru</v>
      </c>
      <c r="B548" s="3">
        <f>IFERROR(__xludf.DUMMYFUNCTION("""COMPUTED_VALUE"""),44081.0)</f>
        <v>44081</v>
      </c>
      <c r="C548" s="3">
        <f>IFERROR(__xludf.DUMMYFUNCTION("""COMPUTED_VALUE"""),44087.0)</f>
        <v>44087</v>
      </c>
      <c r="D548" s="2">
        <f>IFERROR(__xludf.DUMMYFUNCTION("""COMPUTED_VALUE"""),7.0)</f>
        <v>7</v>
      </c>
      <c r="E548" s="2">
        <f>IFERROR(__xludf.DUMMYFUNCTION("""COMPUTED_VALUE"""),37.0)</f>
        <v>37</v>
      </c>
      <c r="F548" s="2">
        <f>IFERROR(__xludf.DUMMYFUNCTION("""COMPUTED_VALUE"""),4275.0)</f>
        <v>4275</v>
      </c>
      <c r="G548" s="2">
        <f>IFERROR(__xludf.DUMMYFUNCTION("""COMPUTED_VALUE"""),2214.0)</f>
        <v>2214</v>
      </c>
    </row>
    <row r="549">
      <c r="A549" s="2" t="str">
        <f>IFERROR(__xludf.DUMMYFUNCTION("""COMPUTED_VALUE"""),"Peru")</f>
        <v>Peru</v>
      </c>
      <c r="B549" s="3">
        <f>IFERROR(__xludf.DUMMYFUNCTION("""COMPUTED_VALUE"""),44088.0)</f>
        <v>44088</v>
      </c>
      <c r="C549" s="3">
        <f>IFERROR(__xludf.DUMMYFUNCTION("""COMPUTED_VALUE"""),44094.0)</f>
        <v>44094</v>
      </c>
      <c r="D549" s="2">
        <f>IFERROR(__xludf.DUMMYFUNCTION("""COMPUTED_VALUE"""),7.0)</f>
        <v>7</v>
      </c>
      <c r="E549" s="2">
        <f>IFERROR(__xludf.DUMMYFUNCTION("""COMPUTED_VALUE"""),38.0)</f>
        <v>38</v>
      </c>
      <c r="F549" s="2">
        <f>IFERROR(__xludf.DUMMYFUNCTION("""COMPUTED_VALUE"""),3885.0)</f>
        <v>3885</v>
      </c>
      <c r="G549" s="2">
        <f>IFERROR(__xludf.DUMMYFUNCTION("""COMPUTED_VALUE"""),1889.0)</f>
        <v>1889</v>
      </c>
    </row>
    <row r="550">
      <c r="A550" s="2" t="str">
        <f>IFERROR(__xludf.DUMMYFUNCTION("""COMPUTED_VALUE"""),"Peru")</f>
        <v>Peru</v>
      </c>
      <c r="B550" s="3">
        <f>IFERROR(__xludf.DUMMYFUNCTION("""COMPUTED_VALUE"""),44095.0)</f>
        <v>44095</v>
      </c>
      <c r="C550" s="3">
        <f>IFERROR(__xludf.DUMMYFUNCTION("""COMPUTED_VALUE"""),44101.0)</f>
        <v>44101</v>
      </c>
      <c r="D550" s="2">
        <f>IFERROR(__xludf.DUMMYFUNCTION("""COMPUTED_VALUE"""),7.0)</f>
        <v>7</v>
      </c>
      <c r="E550" s="2">
        <f>IFERROR(__xludf.DUMMYFUNCTION("""COMPUTED_VALUE"""),39.0)</f>
        <v>39</v>
      </c>
      <c r="F550" s="2">
        <f>IFERROR(__xludf.DUMMYFUNCTION("""COMPUTED_VALUE"""),3483.0)</f>
        <v>3483</v>
      </c>
      <c r="G550" s="2">
        <f>IFERROR(__xludf.DUMMYFUNCTION("""COMPUTED_VALUE"""),1591.0)</f>
        <v>1591</v>
      </c>
    </row>
    <row r="551">
      <c r="A551" s="2" t="str">
        <f>IFERROR(__xludf.DUMMYFUNCTION("""COMPUTED_VALUE"""),"Peru")</f>
        <v>Peru</v>
      </c>
      <c r="B551" s="3">
        <f>IFERROR(__xludf.DUMMYFUNCTION("""COMPUTED_VALUE"""),44102.0)</f>
        <v>44102</v>
      </c>
      <c r="C551" s="3">
        <f>IFERROR(__xludf.DUMMYFUNCTION("""COMPUTED_VALUE"""),44108.0)</f>
        <v>44108</v>
      </c>
      <c r="D551" s="2">
        <f>IFERROR(__xludf.DUMMYFUNCTION("""COMPUTED_VALUE"""),7.0)</f>
        <v>7</v>
      </c>
      <c r="E551" s="2">
        <f>IFERROR(__xludf.DUMMYFUNCTION("""COMPUTED_VALUE"""),40.0)</f>
        <v>40</v>
      </c>
      <c r="F551" s="2">
        <f>IFERROR(__xludf.DUMMYFUNCTION("""COMPUTED_VALUE"""),3235.0)</f>
        <v>3235</v>
      </c>
      <c r="G551" s="2">
        <f>IFERROR(__xludf.DUMMYFUNCTION("""COMPUTED_VALUE"""),1213.0)</f>
        <v>1213</v>
      </c>
    </row>
    <row r="552">
      <c r="A552" s="2" t="str">
        <f>IFERROR(__xludf.DUMMYFUNCTION("""COMPUTED_VALUE"""),"Peru")</f>
        <v>Peru</v>
      </c>
      <c r="B552" s="3">
        <f>IFERROR(__xludf.DUMMYFUNCTION("""COMPUTED_VALUE"""),44109.0)</f>
        <v>44109</v>
      </c>
      <c r="C552" s="3">
        <f>IFERROR(__xludf.DUMMYFUNCTION("""COMPUTED_VALUE"""),44115.0)</f>
        <v>44115</v>
      </c>
      <c r="D552" s="2">
        <f>IFERROR(__xludf.DUMMYFUNCTION("""COMPUTED_VALUE"""),7.0)</f>
        <v>7</v>
      </c>
      <c r="E552" s="2">
        <f>IFERROR(__xludf.DUMMYFUNCTION("""COMPUTED_VALUE"""),41.0)</f>
        <v>41</v>
      </c>
      <c r="F552" s="2">
        <f>IFERROR(__xludf.DUMMYFUNCTION("""COMPUTED_VALUE"""),3147.0)</f>
        <v>3147</v>
      </c>
      <c r="G552" s="2">
        <f>IFERROR(__xludf.DUMMYFUNCTION("""COMPUTED_VALUE"""),1170.0)</f>
        <v>1170</v>
      </c>
    </row>
    <row r="553">
      <c r="A553" s="2" t="str">
        <f>IFERROR(__xludf.DUMMYFUNCTION("""COMPUTED_VALUE"""),"Peru")</f>
        <v>Peru</v>
      </c>
      <c r="B553" s="3">
        <f>IFERROR(__xludf.DUMMYFUNCTION("""COMPUTED_VALUE"""),44116.0)</f>
        <v>44116</v>
      </c>
      <c r="C553" s="3">
        <f>IFERROR(__xludf.DUMMYFUNCTION("""COMPUTED_VALUE"""),44122.0)</f>
        <v>44122</v>
      </c>
      <c r="D553" s="2">
        <f>IFERROR(__xludf.DUMMYFUNCTION("""COMPUTED_VALUE"""),7.0)</f>
        <v>7</v>
      </c>
      <c r="E553" s="2">
        <f>IFERROR(__xludf.DUMMYFUNCTION("""COMPUTED_VALUE"""),42.0)</f>
        <v>42</v>
      </c>
      <c r="F553" s="2">
        <f>IFERROR(__xludf.DUMMYFUNCTION("""COMPUTED_VALUE"""),3001.0)</f>
        <v>3001</v>
      </c>
      <c r="G553" s="2">
        <f>IFERROR(__xludf.DUMMYFUNCTION("""COMPUTED_VALUE"""),978.0)</f>
        <v>978</v>
      </c>
    </row>
    <row r="554">
      <c r="A554" s="2" t="str">
        <f>IFERROR(__xludf.DUMMYFUNCTION("""COMPUTED_VALUE"""),"Peru")</f>
        <v>Peru</v>
      </c>
      <c r="B554" s="3">
        <f>IFERROR(__xludf.DUMMYFUNCTION("""COMPUTED_VALUE"""),44123.0)</f>
        <v>44123</v>
      </c>
      <c r="C554" s="3">
        <f>IFERROR(__xludf.DUMMYFUNCTION("""COMPUTED_VALUE"""),44129.0)</f>
        <v>44129</v>
      </c>
      <c r="D554" s="2">
        <f>IFERROR(__xludf.DUMMYFUNCTION("""COMPUTED_VALUE"""),7.0)</f>
        <v>7</v>
      </c>
      <c r="E554" s="2">
        <f>IFERROR(__xludf.DUMMYFUNCTION("""COMPUTED_VALUE"""),43.0)</f>
        <v>43</v>
      </c>
      <c r="F554" s="2">
        <f>IFERROR(__xludf.DUMMYFUNCTION("""COMPUTED_VALUE"""),2961.0)</f>
        <v>2961</v>
      </c>
      <c r="G554" s="2">
        <f>IFERROR(__xludf.DUMMYFUNCTION("""COMPUTED_VALUE"""),860.0)</f>
        <v>860</v>
      </c>
    </row>
    <row r="555">
      <c r="A555" s="2" t="str">
        <f>IFERROR(__xludf.DUMMYFUNCTION("""COMPUTED_VALUE"""),"Peru")</f>
        <v>Peru</v>
      </c>
      <c r="B555" s="3">
        <f>IFERROR(__xludf.DUMMYFUNCTION("""COMPUTED_VALUE"""),44130.0)</f>
        <v>44130</v>
      </c>
      <c r="C555" s="3">
        <f>IFERROR(__xludf.DUMMYFUNCTION("""COMPUTED_VALUE"""),44136.0)</f>
        <v>44136</v>
      </c>
      <c r="D555" s="2">
        <f>IFERROR(__xludf.DUMMYFUNCTION("""COMPUTED_VALUE"""),7.0)</f>
        <v>7</v>
      </c>
      <c r="E555" s="2">
        <f>IFERROR(__xludf.DUMMYFUNCTION("""COMPUTED_VALUE"""),44.0)</f>
        <v>44</v>
      </c>
      <c r="F555" s="2">
        <f>IFERROR(__xludf.DUMMYFUNCTION("""COMPUTED_VALUE"""),2794.0)</f>
        <v>2794</v>
      </c>
      <c r="G555" s="2">
        <f>IFERROR(__xludf.DUMMYFUNCTION("""COMPUTED_VALUE"""),772.0)</f>
        <v>772</v>
      </c>
    </row>
    <row r="556">
      <c r="A556" s="2" t="str">
        <f>IFERROR(__xludf.DUMMYFUNCTION("""COMPUTED_VALUE"""),"Peru")</f>
        <v>Peru</v>
      </c>
      <c r="B556" s="3">
        <f>IFERROR(__xludf.DUMMYFUNCTION("""COMPUTED_VALUE"""),44137.0)</f>
        <v>44137</v>
      </c>
      <c r="C556" s="3">
        <f>IFERROR(__xludf.DUMMYFUNCTION("""COMPUTED_VALUE"""),44143.0)</f>
        <v>44143</v>
      </c>
      <c r="D556" s="2">
        <f>IFERROR(__xludf.DUMMYFUNCTION("""COMPUTED_VALUE"""),7.0)</f>
        <v>7</v>
      </c>
      <c r="E556" s="2">
        <f>IFERROR(__xludf.DUMMYFUNCTION("""COMPUTED_VALUE"""),45.0)</f>
        <v>45</v>
      </c>
      <c r="F556" s="2">
        <f>IFERROR(__xludf.DUMMYFUNCTION("""COMPUTED_VALUE"""),2861.0)</f>
        <v>2861</v>
      </c>
      <c r="G556" s="2">
        <f>IFERROR(__xludf.DUMMYFUNCTION("""COMPUTED_VALUE"""),739.0)</f>
        <v>739</v>
      </c>
    </row>
    <row r="557">
      <c r="A557" s="2" t="str">
        <f>IFERROR(__xludf.DUMMYFUNCTION("""COMPUTED_VALUE"""),"Peru")</f>
        <v>Peru</v>
      </c>
      <c r="B557" s="3">
        <f>IFERROR(__xludf.DUMMYFUNCTION("""COMPUTED_VALUE"""),44144.0)</f>
        <v>44144</v>
      </c>
      <c r="C557" s="3">
        <f>IFERROR(__xludf.DUMMYFUNCTION("""COMPUTED_VALUE"""),44150.0)</f>
        <v>44150</v>
      </c>
      <c r="D557" s="2">
        <f>IFERROR(__xludf.DUMMYFUNCTION("""COMPUTED_VALUE"""),7.0)</f>
        <v>7</v>
      </c>
      <c r="E557" s="2">
        <f>IFERROR(__xludf.DUMMYFUNCTION("""COMPUTED_VALUE"""),46.0)</f>
        <v>46</v>
      </c>
      <c r="F557" s="2">
        <f>IFERROR(__xludf.DUMMYFUNCTION("""COMPUTED_VALUE"""),2850.0)</f>
        <v>2850</v>
      </c>
      <c r="G557" s="2">
        <f>IFERROR(__xludf.DUMMYFUNCTION("""COMPUTED_VALUE"""),730.0)</f>
        <v>730</v>
      </c>
    </row>
    <row r="558">
      <c r="A558" s="2" t="str">
        <f>IFERROR(__xludf.DUMMYFUNCTION("""COMPUTED_VALUE"""),"Peru")</f>
        <v>Peru</v>
      </c>
      <c r="B558" s="3">
        <f>IFERROR(__xludf.DUMMYFUNCTION("""COMPUTED_VALUE"""),44151.0)</f>
        <v>44151</v>
      </c>
      <c r="C558" s="3">
        <f>IFERROR(__xludf.DUMMYFUNCTION("""COMPUTED_VALUE"""),44157.0)</f>
        <v>44157</v>
      </c>
      <c r="D558" s="2">
        <f>IFERROR(__xludf.DUMMYFUNCTION("""COMPUTED_VALUE"""),7.0)</f>
        <v>7</v>
      </c>
      <c r="E558" s="2">
        <f>IFERROR(__xludf.DUMMYFUNCTION("""COMPUTED_VALUE"""),47.0)</f>
        <v>47</v>
      </c>
      <c r="F558" s="2">
        <f>IFERROR(__xludf.DUMMYFUNCTION("""COMPUTED_VALUE"""),2755.0)</f>
        <v>2755</v>
      </c>
      <c r="G558" s="2">
        <f>IFERROR(__xludf.DUMMYFUNCTION("""COMPUTED_VALUE"""),646.0)</f>
        <v>646</v>
      </c>
    </row>
    <row r="559">
      <c r="A559" s="2" t="str">
        <f>IFERROR(__xludf.DUMMYFUNCTION("""COMPUTED_VALUE"""),"Peru")</f>
        <v>Peru</v>
      </c>
      <c r="B559" s="3">
        <f>IFERROR(__xludf.DUMMYFUNCTION("""COMPUTED_VALUE"""),44158.0)</f>
        <v>44158</v>
      </c>
      <c r="C559" s="3">
        <f>IFERROR(__xludf.DUMMYFUNCTION("""COMPUTED_VALUE"""),44164.0)</f>
        <v>44164</v>
      </c>
      <c r="D559" s="2">
        <f>IFERROR(__xludf.DUMMYFUNCTION("""COMPUTED_VALUE"""),7.0)</f>
        <v>7</v>
      </c>
      <c r="E559" s="2">
        <f>IFERROR(__xludf.DUMMYFUNCTION("""COMPUTED_VALUE"""),48.0)</f>
        <v>48</v>
      </c>
      <c r="F559" s="2">
        <f>IFERROR(__xludf.DUMMYFUNCTION("""COMPUTED_VALUE"""),2635.0)</f>
        <v>2635</v>
      </c>
      <c r="G559" s="2">
        <f>IFERROR(__xludf.DUMMYFUNCTION("""COMPUTED_VALUE"""),661.0)</f>
        <v>661</v>
      </c>
    </row>
    <row r="560">
      <c r="A560" s="2" t="str">
        <f>IFERROR(__xludf.DUMMYFUNCTION("""COMPUTED_VALUE"""),"Peru")</f>
        <v>Peru</v>
      </c>
      <c r="B560" s="3">
        <f>IFERROR(__xludf.DUMMYFUNCTION("""COMPUTED_VALUE"""),44165.0)</f>
        <v>44165</v>
      </c>
      <c r="C560" s="3">
        <f>IFERROR(__xludf.DUMMYFUNCTION("""COMPUTED_VALUE"""),44171.0)</f>
        <v>44171</v>
      </c>
      <c r="D560" s="2">
        <f>IFERROR(__xludf.DUMMYFUNCTION("""COMPUTED_VALUE"""),7.0)</f>
        <v>7</v>
      </c>
      <c r="E560" s="2">
        <f>IFERROR(__xludf.DUMMYFUNCTION("""COMPUTED_VALUE"""),49.0)</f>
        <v>49</v>
      </c>
      <c r="F560" s="2">
        <f>IFERROR(__xludf.DUMMYFUNCTION("""COMPUTED_VALUE"""),2800.0)</f>
        <v>2800</v>
      </c>
      <c r="G560" s="2">
        <f>IFERROR(__xludf.DUMMYFUNCTION("""COMPUTED_VALUE"""),686.0)</f>
        <v>686</v>
      </c>
    </row>
    <row r="561">
      <c r="A561" s="2" t="str">
        <f>IFERROR(__xludf.DUMMYFUNCTION("""COMPUTED_VALUE"""),"Peru")</f>
        <v>Peru</v>
      </c>
      <c r="B561" s="3">
        <f>IFERROR(__xludf.DUMMYFUNCTION("""COMPUTED_VALUE"""),44172.0)</f>
        <v>44172</v>
      </c>
      <c r="C561" s="3">
        <f>IFERROR(__xludf.DUMMYFUNCTION("""COMPUTED_VALUE"""),44178.0)</f>
        <v>44178</v>
      </c>
      <c r="D561" s="2">
        <f>IFERROR(__xludf.DUMMYFUNCTION("""COMPUTED_VALUE"""),7.0)</f>
        <v>7</v>
      </c>
      <c r="E561" s="2">
        <f>IFERROR(__xludf.DUMMYFUNCTION("""COMPUTED_VALUE"""),50.0)</f>
        <v>50</v>
      </c>
      <c r="F561" s="2">
        <f>IFERROR(__xludf.DUMMYFUNCTION("""COMPUTED_VALUE"""),2964.0)</f>
        <v>2964</v>
      </c>
      <c r="G561" s="2">
        <f>IFERROR(__xludf.DUMMYFUNCTION("""COMPUTED_VALUE"""),747.0)</f>
        <v>747</v>
      </c>
    </row>
    <row r="562">
      <c r="A562" s="2" t="str">
        <f>IFERROR(__xludf.DUMMYFUNCTION("""COMPUTED_VALUE"""),"Peru")</f>
        <v>Peru</v>
      </c>
      <c r="B562" s="3">
        <f>IFERROR(__xludf.DUMMYFUNCTION("""COMPUTED_VALUE"""),44179.0)</f>
        <v>44179</v>
      </c>
      <c r="C562" s="3">
        <f>IFERROR(__xludf.DUMMYFUNCTION("""COMPUTED_VALUE"""),44185.0)</f>
        <v>44185</v>
      </c>
      <c r="D562" s="2">
        <f>IFERROR(__xludf.DUMMYFUNCTION("""COMPUTED_VALUE"""),7.0)</f>
        <v>7</v>
      </c>
      <c r="E562" s="2">
        <f>IFERROR(__xludf.DUMMYFUNCTION("""COMPUTED_VALUE"""),51.0)</f>
        <v>51</v>
      </c>
      <c r="F562" s="2">
        <f>IFERROR(__xludf.DUMMYFUNCTION("""COMPUTED_VALUE"""),3151.0)</f>
        <v>3151</v>
      </c>
      <c r="G562" s="2">
        <f>IFERROR(__xludf.DUMMYFUNCTION("""COMPUTED_VALUE"""),816.0)</f>
        <v>816</v>
      </c>
    </row>
    <row r="563">
      <c r="A563" s="2" t="str">
        <f>IFERROR(__xludf.DUMMYFUNCTION("""COMPUTED_VALUE"""),"Peru")</f>
        <v>Peru</v>
      </c>
      <c r="B563" s="3">
        <f>IFERROR(__xludf.DUMMYFUNCTION("""COMPUTED_VALUE"""),44186.0)</f>
        <v>44186</v>
      </c>
      <c r="C563" s="3">
        <f>IFERROR(__xludf.DUMMYFUNCTION("""COMPUTED_VALUE"""),44192.0)</f>
        <v>44192</v>
      </c>
      <c r="D563" s="2">
        <f>IFERROR(__xludf.DUMMYFUNCTION("""COMPUTED_VALUE"""),7.0)</f>
        <v>7</v>
      </c>
      <c r="E563" s="2">
        <f>IFERROR(__xludf.DUMMYFUNCTION("""COMPUTED_VALUE"""),52.0)</f>
        <v>52</v>
      </c>
      <c r="F563" s="2">
        <f>IFERROR(__xludf.DUMMYFUNCTION("""COMPUTED_VALUE"""),3253.0)</f>
        <v>3253</v>
      </c>
      <c r="G563" s="2">
        <f>IFERROR(__xludf.DUMMYFUNCTION("""COMPUTED_VALUE"""),880.0)</f>
        <v>880</v>
      </c>
    </row>
    <row r="564">
      <c r="A564" s="2" t="str">
        <f>IFERROR(__xludf.DUMMYFUNCTION("""COMPUTED_VALUE"""),"Peru")</f>
        <v>Peru</v>
      </c>
      <c r="B564" s="3">
        <f>IFERROR(__xludf.DUMMYFUNCTION("""COMPUTED_VALUE"""),44193.0)</f>
        <v>44193</v>
      </c>
      <c r="C564" s="3">
        <f>IFERROR(__xludf.DUMMYFUNCTION("""COMPUTED_VALUE"""),44199.0)</f>
        <v>44199</v>
      </c>
      <c r="D564" s="2">
        <f>IFERROR(__xludf.DUMMYFUNCTION("""COMPUTED_VALUE"""),7.0)</f>
        <v>7</v>
      </c>
      <c r="E564" s="2">
        <f>IFERROR(__xludf.DUMMYFUNCTION("""COMPUTED_VALUE"""),53.0)</f>
        <v>53</v>
      </c>
      <c r="F564" s="2">
        <f>IFERROR(__xludf.DUMMYFUNCTION("""COMPUTED_VALUE"""),3502.0)</f>
        <v>3502</v>
      </c>
      <c r="G564" s="2">
        <f>IFERROR(__xludf.DUMMYFUNCTION("""COMPUTED_VALUE"""),1082.0)</f>
        <v>1082</v>
      </c>
    </row>
    <row r="565">
      <c r="A565" s="2" t="str">
        <f>IFERROR(__xludf.DUMMYFUNCTION("""COMPUTED_VALUE"""),"Peru")</f>
        <v>Peru</v>
      </c>
      <c r="B565" s="3">
        <f>IFERROR(__xludf.DUMMYFUNCTION("""COMPUTED_VALUE"""),44200.0)</f>
        <v>44200</v>
      </c>
      <c r="C565" s="3">
        <f>IFERROR(__xludf.DUMMYFUNCTION("""COMPUTED_VALUE"""),44206.0)</f>
        <v>44206</v>
      </c>
      <c r="D565" s="2">
        <f>IFERROR(__xludf.DUMMYFUNCTION("""COMPUTED_VALUE"""),7.0)</f>
        <v>7</v>
      </c>
      <c r="E565" s="2">
        <f>IFERROR(__xludf.DUMMYFUNCTION("""COMPUTED_VALUE"""),1.0)</f>
        <v>1</v>
      </c>
      <c r="F565" s="2">
        <f>IFERROR(__xludf.DUMMYFUNCTION("""COMPUTED_VALUE"""),3985.0)</f>
        <v>3985</v>
      </c>
      <c r="G565" s="2">
        <f>IFERROR(__xludf.DUMMYFUNCTION("""COMPUTED_VALUE"""),1401.0)</f>
        <v>1401</v>
      </c>
    </row>
    <row r="566">
      <c r="A566" s="2" t="str">
        <f>IFERROR(__xludf.DUMMYFUNCTION("""COMPUTED_VALUE"""),"Peru")</f>
        <v>Peru</v>
      </c>
      <c r="B566" s="3">
        <f>IFERROR(__xludf.DUMMYFUNCTION("""COMPUTED_VALUE"""),44207.0)</f>
        <v>44207</v>
      </c>
      <c r="C566" s="3">
        <f>IFERROR(__xludf.DUMMYFUNCTION("""COMPUTED_VALUE"""),44213.0)</f>
        <v>44213</v>
      </c>
      <c r="D566" s="2">
        <f>IFERROR(__xludf.DUMMYFUNCTION("""COMPUTED_VALUE"""),7.0)</f>
        <v>7</v>
      </c>
      <c r="E566" s="2">
        <f>IFERROR(__xludf.DUMMYFUNCTION("""COMPUTED_VALUE"""),2.0)</f>
        <v>2</v>
      </c>
      <c r="F566" s="2">
        <f>IFERROR(__xludf.DUMMYFUNCTION("""COMPUTED_VALUE"""),4638.0)</f>
        <v>4638</v>
      </c>
      <c r="G566" s="2">
        <f>IFERROR(__xludf.DUMMYFUNCTION("""COMPUTED_VALUE"""),2027.0)</f>
        <v>2027</v>
      </c>
    </row>
    <row r="567">
      <c r="A567" s="2" t="str">
        <f>IFERROR(__xludf.DUMMYFUNCTION("""COMPUTED_VALUE"""),"Peru")</f>
        <v>Peru</v>
      </c>
      <c r="B567" s="3">
        <f>IFERROR(__xludf.DUMMYFUNCTION("""COMPUTED_VALUE"""),44214.0)</f>
        <v>44214</v>
      </c>
      <c r="C567" s="3">
        <f>IFERROR(__xludf.DUMMYFUNCTION("""COMPUTED_VALUE"""),44220.0)</f>
        <v>44220</v>
      </c>
      <c r="D567" s="2">
        <f>IFERROR(__xludf.DUMMYFUNCTION("""COMPUTED_VALUE"""),7.0)</f>
        <v>7</v>
      </c>
      <c r="E567" s="2">
        <f>IFERROR(__xludf.DUMMYFUNCTION("""COMPUTED_VALUE"""),3.0)</f>
        <v>3</v>
      </c>
      <c r="F567" s="2">
        <f>IFERROR(__xludf.DUMMYFUNCTION("""COMPUTED_VALUE"""),5704.0)</f>
        <v>5704</v>
      </c>
      <c r="G567" s="2">
        <f>IFERROR(__xludf.DUMMYFUNCTION("""COMPUTED_VALUE"""),2907.0)</f>
        <v>2907</v>
      </c>
    </row>
    <row r="568">
      <c r="A568" s="2" t="str">
        <f>IFERROR(__xludf.DUMMYFUNCTION("""COMPUTED_VALUE"""),"Peru")</f>
        <v>Peru</v>
      </c>
      <c r="B568" s="3">
        <f>IFERROR(__xludf.DUMMYFUNCTION("""COMPUTED_VALUE"""),44221.0)</f>
        <v>44221</v>
      </c>
      <c r="C568" s="3">
        <f>IFERROR(__xludf.DUMMYFUNCTION("""COMPUTED_VALUE"""),44227.0)</f>
        <v>44227</v>
      </c>
      <c r="D568" s="2">
        <f>IFERROR(__xludf.DUMMYFUNCTION("""COMPUTED_VALUE"""),7.0)</f>
        <v>7</v>
      </c>
      <c r="E568" s="2">
        <f>IFERROR(__xludf.DUMMYFUNCTION("""COMPUTED_VALUE"""),4.0)</f>
        <v>4</v>
      </c>
      <c r="F568" s="2">
        <f>IFERROR(__xludf.DUMMYFUNCTION("""COMPUTED_VALUE"""),6707.0)</f>
        <v>6707</v>
      </c>
      <c r="G568" s="2">
        <f>IFERROR(__xludf.DUMMYFUNCTION("""COMPUTED_VALUE"""),3900.0)</f>
        <v>3900</v>
      </c>
    </row>
    <row r="569">
      <c r="A569" s="2" t="str">
        <f>IFERROR(__xludf.DUMMYFUNCTION("""COMPUTED_VALUE"""),"Peru")</f>
        <v>Peru</v>
      </c>
      <c r="B569" s="3">
        <f>IFERROR(__xludf.DUMMYFUNCTION("""COMPUTED_VALUE"""),44228.0)</f>
        <v>44228</v>
      </c>
      <c r="C569" s="3">
        <f>IFERROR(__xludf.DUMMYFUNCTION("""COMPUTED_VALUE"""),44234.0)</f>
        <v>44234</v>
      </c>
      <c r="D569" s="2">
        <f>IFERROR(__xludf.DUMMYFUNCTION("""COMPUTED_VALUE"""),7.0)</f>
        <v>7</v>
      </c>
      <c r="E569" s="2">
        <f>IFERROR(__xludf.DUMMYFUNCTION("""COMPUTED_VALUE"""),5.0)</f>
        <v>5</v>
      </c>
      <c r="F569" s="2">
        <f>IFERROR(__xludf.DUMMYFUNCTION("""COMPUTED_VALUE"""),7021.0)</f>
        <v>7021</v>
      </c>
      <c r="G569" s="2">
        <f>IFERROR(__xludf.DUMMYFUNCTION("""COMPUTED_VALUE"""),4052.0)</f>
        <v>4052</v>
      </c>
    </row>
    <row r="570">
      <c r="A570" s="2" t="str">
        <f>IFERROR(__xludf.DUMMYFUNCTION("""COMPUTED_VALUE"""),"Peru")</f>
        <v>Peru</v>
      </c>
      <c r="B570" s="3">
        <f>IFERROR(__xludf.DUMMYFUNCTION("""COMPUTED_VALUE"""),44235.0)</f>
        <v>44235</v>
      </c>
      <c r="C570" s="3">
        <f>IFERROR(__xludf.DUMMYFUNCTION("""COMPUTED_VALUE"""),44241.0)</f>
        <v>44241</v>
      </c>
      <c r="D570" s="2">
        <f>IFERROR(__xludf.DUMMYFUNCTION("""COMPUTED_VALUE"""),7.0)</f>
        <v>7</v>
      </c>
      <c r="E570" s="2">
        <f>IFERROR(__xludf.DUMMYFUNCTION("""COMPUTED_VALUE"""),6.0)</f>
        <v>6</v>
      </c>
      <c r="F570" s="2">
        <f>IFERROR(__xludf.DUMMYFUNCTION("""COMPUTED_VALUE"""),7687.0)</f>
        <v>7687</v>
      </c>
      <c r="G570" s="2">
        <f>IFERROR(__xludf.DUMMYFUNCTION("""COMPUTED_VALUE"""),4761.0)</f>
        <v>4761</v>
      </c>
    </row>
    <row r="571">
      <c r="A571" s="2" t="str">
        <f>IFERROR(__xludf.DUMMYFUNCTION("""COMPUTED_VALUE"""),"Peru")</f>
        <v>Peru</v>
      </c>
      <c r="B571" s="3">
        <f>IFERROR(__xludf.DUMMYFUNCTION("""COMPUTED_VALUE"""),44242.0)</f>
        <v>44242</v>
      </c>
      <c r="C571" s="3">
        <f>IFERROR(__xludf.DUMMYFUNCTION("""COMPUTED_VALUE"""),44248.0)</f>
        <v>44248</v>
      </c>
      <c r="D571" s="2">
        <f>IFERROR(__xludf.DUMMYFUNCTION("""COMPUTED_VALUE"""),7.0)</f>
        <v>7</v>
      </c>
      <c r="E571" s="2">
        <f>IFERROR(__xludf.DUMMYFUNCTION("""COMPUTED_VALUE"""),7.0)</f>
        <v>7</v>
      </c>
      <c r="F571" s="2">
        <f>IFERROR(__xludf.DUMMYFUNCTION("""COMPUTED_VALUE"""),7711.0)</f>
        <v>7711</v>
      </c>
      <c r="G571" s="2">
        <f>IFERROR(__xludf.DUMMYFUNCTION("""COMPUTED_VALUE"""),5122.0)</f>
        <v>5122</v>
      </c>
    </row>
    <row r="572">
      <c r="A572" s="2" t="str">
        <f>IFERROR(__xludf.DUMMYFUNCTION("""COMPUTED_VALUE"""),"Peru")</f>
        <v>Peru</v>
      </c>
      <c r="B572" s="3">
        <f>IFERROR(__xludf.DUMMYFUNCTION("""COMPUTED_VALUE"""),44249.0)</f>
        <v>44249</v>
      </c>
      <c r="C572" s="3">
        <f>IFERROR(__xludf.DUMMYFUNCTION("""COMPUTED_VALUE"""),44255.0)</f>
        <v>44255</v>
      </c>
      <c r="D572" s="2">
        <f>IFERROR(__xludf.DUMMYFUNCTION("""COMPUTED_VALUE"""),7.0)</f>
        <v>7</v>
      </c>
      <c r="E572" s="2">
        <f>IFERROR(__xludf.DUMMYFUNCTION("""COMPUTED_VALUE"""),8.0)</f>
        <v>8</v>
      </c>
      <c r="F572" s="2">
        <f>IFERROR(__xludf.DUMMYFUNCTION("""COMPUTED_VALUE"""),7393.0)</f>
        <v>7393</v>
      </c>
      <c r="G572" s="2">
        <f>IFERROR(__xludf.DUMMYFUNCTION("""COMPUTED_VALUE"""),4757.0)</f>
        <v>4757</v>
      </c>
    </row>
    <row r="573">
      <c r="A573" s="2" t="str">
        <f>IFERROR(__xludf.DUMMYFUNCTION("""COMPUTED_VALUE"""),"Peru")</f>
        <v>Peru</v>
      </c>
      <c r="B573" s="3">
        <f>IFERROR(__xludf.DUMMYFUNCTION("""COMPUTED_VALUE"""),44256.0)</f>
        <v>44256</v>
      </c>
      <c r="C573" s="3">
        <f>IFERROR(__xludf.DUMMYFUNCTION("""COMPUTED_VALUE"""),44262.0)</f>
        <v>44262</v>
      </c>
      <c r="D573" s="2">
        <f>IFERROR(__xludf.DUMMYFUNCTION("""COMPUTED_VALUE"""),7.0)</f>
        <v>7</v>
      </c>
      <c r="E573" s="2">
        <f>IFERROR(__xludf.DUMMYFUNCTION("""COMPUTED_VALUE"""),9.0)</f>
        <v>9</v>
      </c>
      <c r="F573" s="2">
        <f>IFERROR(__xludf.DUMMYFUNCTION("""COMPUTED_VALUE"""),7500.0)</f>
        <v>7500</v>
      </c>
      <c r="G573" s="2">
        <f>IFERROR(__xludf.DUMMYFUNCTION("""COMPUTED_VALUE"""),4737.0)</f>
        <v>4737</v>
      </c>
    </row>
    <row r="574">
      <c r="A574" s="2" t="str">
        <f>IFERROR(__xludf.DUMMYFUNCTION("""COMPUTED_VALUE"""),"Peru")</f>
        <v>Peru</v>
      </c>
      <c r="B574" s="3">
        <f>IFERROR(__xludf.DUMMYFUNCTION("""COMPUTED_VALUE"""),44263.0)</f>
        <v>44263</v>
      </c>
      <c r="C574" s="3">
        <f>IFERROR(__xludf.DUMMYFUNCTION("""COMPUTED_VALUE"""),44269.0)</f>
        <v>44269</v>
      </c>
      <c r="D574" s="2">
        <f>IFERROR(__xludf.DUMMYFUNCTION("""COMPUTED_VALUE"""),7.0)</f>
        <v>7</v>
      </c>
      <c r="E574" s="2">
        <f>IFERROR(__xludf.DUMMYFUNCTION("""COMPUTED_VALUE"""),10.0)</f>
        <v>10</v>
      </c>
      <c r="F574" s="2">
        <f>IFERROR(__xludf.DUMMYFUNCTION("""COMPUTED_VALUE"""),7379.0)</f>
        <v>7379</v>
      </c>
      <c r="G574" s="2">
        <f>IFERROR(__xludf.DUMMYFUNCTION("""COMPUTED_VALUE"""),4296.0)</f>
        <v>4296</v>
      </c>
    </row>
    <row r="575">
      <c r="A575" s="2" t="str">
        <f>IFERROR(__xludf.DUMMYFUNCTION("""COMPUTED_VALUE"""),"Peru")</f>
        <v>Peru</v>
      </c>
      <c r="B575" s="3">
        <f>IFERROR(__xludf.DUMMYFUNCTION("""COMPUTED_VALUE"""),44270.0)</f>
        <v>44270</v>
      </c>
      <c r="C575" s="3">
        <f>IFERROR(__xludf.DUMMYFUNCTION("""COMPUTED_VALUE"""),44276.0)</f>
        <v>44276</v>
      </c>
      <c r="D575" s="2">
        <f>IFERROR(__xludf.DUMMYFUNCTION("""COMPUTED_VALUE"""),7.0)</f>
        <v>7</v>
      </c>
      <c r="E575" s="2">
        <f>IFERROR(__xludf.DUMMYFUNCTION("""COMPUTED_VALUE"""),11.0)</f>
        <v>11</v>
      </c>
      <c r="F575" s="2">
        <f>IFERROR(__xludf.DUMMYFUNCTION("""COMPUTED_VALUE"""),7427.0)</f>
        <v>7427</v>
      </c>
      <c r="G575" s="2">
        <f>IFERROR(__xludf.DUMMYFUNCTION("""COMPUTED_VALUE"""),4741.0)</f>
        <v>4741</v>
      </c>
    </row>
    <row r="576">
      <c r="A576" s="2" t="str">
        <f>IFERROR(__xludf.DUMMYFUNCTION("""COMPUTED_VALUE"""),"Peru")</f>
        <v>Peru</v>
      </c>
      <c r="B576" s="3">
        <f>IFERROR(__xludf.DUMMYFUNCTION("""COMPUTED_VALUE"""),44277.0)</f>
        <v>44277</v>
      </c>
      <c r="C576" s="3">
        <f>IFERROR(__xludf.DUMMYFUNCTION("""COMPUTED_VALUE"""),44283.0)</f>
        <v>44283</v>
      </c>
      <c r="D576" s="2">
        <f>IFERROR(__xludf.DUMMYFUNCTION("""COMPUTED_VALUE"""),7.0)</f>
        <v>7</v>
      </c>
      <c r="E576" s="2">
        <f>IFERROR(__xludf.DUMMYFUNCTION("""COMPUTED_VALUE"""),12.0)</f>
        <v>12</v>
      </c>
      <c r="F576" s="2">
        <f>IFERROR(__xludf.DUMMYFUNCTION("""COMPUTED_VALUE"""),7570.0)</f>
        <v>7570</v>
      </c>
      <c r="G576" s="2">
        <f>IFERROR(__xludf.DUMMYFUNCTION("""COMPUTED_VALUE"""),4994.0)</f>
        <v>4994</v>
      </c>
    </row>
    <row r="577">
      <c r="A577" s="2" t="str">
        <f>IFERROR(__xludf.DUMMYFUNCTION("""COMPUTED_VALUE"""),"Peru")</f>
        <v>Peru</v>
      </c>
      <c r="B577" s="3">
        <f>IFERROR(__xludf.DUMMYFUNCTION("""COMPUTED_VALUE"""),44284.0)</f>
        <v>44284</v>
      </c>
      <c r="C577" s="3">
        <f>IFERROR(__xludf.DUMMYFUNCTION("""COMPUTED_VALUE"""),44290.0)</f>
        <v>44290</v>
      </c>
      <c r="D577" s="2">
        <f>IFERROR(__xludf.DUMMYFUNCTION("""COMPUTED_VALUE"""),7.0)</f>
        <v>7</v>
      </c>
      <c r="E577" s="2">
        <f>IFERROR(__xludf.DUMMYFUNCTION("""COMPUTED_VALUE"""),13.0)</f>
        <v>13</v>
      </c>
      <c r="F577" s="2">
        <f>IFERROR(__xludf.DUMMYFUNCTION("""COMPUTED_VALUE"""),7900.0)</f>
        <v>7900</v>
      </c>
      <c r="G577" s="2">
        <f>IFERROR(__xludf.DUMMYFUNCTION("""COMPUTED_VALUE"""),5157.0)</f>
        <v>5157</v>
      </c>
    </row>
    <row r="578">
      <c r="A578" s="2" t="str">
        <f>IFERROR(__xludf.DUMMYFUNCTION("""COMPUTED_VALUE"""),"Peru")</f>
        <v>Peru</v>
      </c>
      <c r="B578" s="3">
        <f>IFERROR(__xludf.DUMMYFUNCTION("""COMPUTED_VALUE"""),44291.0)</f>
        <v>44291</v>
      </c>
      <c r="C578" s="3">
        <f>IFERROR(__xludf.DUMMYFUNCTION("""COMPUTED_VALUE"""),44297.0)</f>
        <v>44297</v>
      </c>
      <c r="D578" s="2">
        <f>IFERROR(__xludf.DUMMYFUNCTION("""COMPUTED_VALUE"""),7.0)</f>
        <v>7</v>
      </c>
      <c r="E578" s="2">
        <f>IFERROR(__xludf.DUMMYFUNCTION("""COMPUTED_VALUE"""),14.0)</f>
        <v>14</v>
      </c>
      <c r="F578" s="2">
        <f>IFERROR(__xludf.DUMMYFUNCTION("""COMPUTED_VALUE"""),8468.0)</f>
        <v>8468</v>
      </c>
      <c r="G578" s="2">
        <f>IFERROR(__xludf.DUMMYFUNCTION("""COMPUTED_VALUE"""),5460.0)</f>
        <v>5460</v>
      </c>
    </row>
    <row r="579">
      <c r="A579" s="2" t="str">
        <f>IFERROR(__xludf.DUMMYFUNCTION("""COMPUTED_VALUE"""),"Peru")</f>
        <v>Peru</v>
      </c>
      <c r="B579" s="3">
        <f>IFERROR(__xludf.DUMMYFUNCTION("""COMPUTED_VALUE"""),44298.0)</f>
        <v>44298</v>
      </c>
      <c r="C579" s="3">
        <f>IFERROR(__xludf.DUMMYFUNCTION("""COMPUTED_VALUE"""),44304.0)</f>
        <v>44304</v>
      </c>
      <c r="D579" s="2">
        <f>IFERROR(__xludf.DUMMYFUNCTION("""COMPUTED_VALUE"""),7.0)</f>
        <v>7</v>
      </c>
      <c r="E579" s="2">
        <f>IFERROR(__xludf.DUMMYFUNCTION("""COMPUTED_VALUE"""),15.0)</f>
        <v>15</v>
      </c>
      <c r="F579" s="2">
        <f>IFERROR(__xludf.DUMMYFUNCTION("""COMPUTED_VALUE"""),8426.0)</f>
        <v>8426</v>
      </c>
      <c r="G579" s="2">
        <f>IFERROR(__xludf.DUMMYFUNCTION("""COMPUTED_VALUE"""),5356.0)</f>
        <v>5356</v>
      </c>
    </row>
    <row r="580">
      <c r="A580" s="2" t="str">
        <f>IFERROR(__xludf.DUMMYFUNCTION("""COMPUTED_VALUE"""),"Peru")</f>
        <v>Peru</v>
      </c>
      <c r="B580" s="3">
        <f>IFERROR(__xludf.DUMMYFUNCTION("""COMPUTED_VALUE"""),44305.0)</f>
        <v>44305</v>
      </c>
      <c r="C580" s="3">
        <f>IFERROR(__xludf.DUMMYFUNCTION("""COMPUTED_VALUE"""),44311.0)</f>
        <v>44311</v>
      </c>
      <c r="D580" s="2">
        <f>IFERROR(__xludf.DUMMYFUNCTION("""COMPUTED_VALUE"""),7.0)</f>
        <v>7</v>
      </c>
      <c r="E580" s="2">
        <f>IFERROR(__xludf.DUMMYFUNCTION("""COMPUTED_VALUE"""),16.0)</f>
        <v>16</v>
      </c>
      <c r="F580" s="2">
        <f>IFERROR(__xludf.DUMMYFUNCTION("""COMPUTED_VALUE"""),8246.0)</f>
        <v>8246</v>
      </c>
      <c r="G580" s="2">
        <f>IFERROR(__xludf.DUMMYFUNCTION("""COMPUTED_VALUE"""),5963.0)</f>
        <v>5963</v>
      </c>
    </row>
    <row r="581">
      <c r="A581" s="2" t="str">
        <f>IFERROR(__xludf.DUMMYFUNCTION("""COMPUTED_VALUE"""),"Peru")</f>
        <v>Peru</v>
      </c>
      <c r="B581" s="3">
        <f>IFERROR(__xludf.DUMMYFUNCTION("""COMPUTED_VALUE"""),44312.0)</f>
        <v>44312</v>
      </c>
      <c r="C581" s="3">
        <f>IFERROR(__xludf.DUMMYFUNCTION("""COMPUTED_VALUE"""),44318.0)</f>
        <v>44318</v>
      </c>
      <c r="D581" s="2">
        <f>IFERROR(__xludf.DUMMYFUNCTION("""COMPUTED_VALUE"""),7.0)</f>
        <v>7</v>
      </c>
      <c r="E581" s="2">
        <f>IFERROR(__xludf.DUMMYFUNCTION("""COMPUTED_VALUE"""),17.0)</f>
        <v>17</v>
      </c>
      <c r="F581" s="2">
        <f>IFERROR(__xludf.DUMMYFUNCTION("""COMPUTED_VALUE"""),7695.0)</f>
        <v>7695</v>
      </c>
      <c r="G581" s="2">
        <f>IFERROR(__xludf.DUMMYFUNCTION("""COMPUTED_VALUE"""),4914.0)</f>
        <v>4914</v>
      </c>
    </row>
    <row r="582">
      <c r="A582" s="2" t="str">
        <f>IFERROR(__xludf.DUMMYFUNCTION("""COMPUTED_VALUE"""),"Peru")</f>
        <v>Peru</v>
      </c>
      <c r="B582" s="3">
        <f>IFERROR(__xludf.DUMMYFUNCTION("""COMPUTED_VALUE"""),44319.0)</f>
        <v>44319</v>
      </c>
      <c r="C582" s="3">
        <f>IFERROR(__xludf.DUMMYFUNCTION("""COMPUTED_VALUE"""),44325.0)</f>
        <v>44325</v>
      </c>
      <c r="D582" s="2">
        <f>IFERROR(__xludf.DUMMYFUNCTION("""COMPUTED_VALUE"""),7.0)</f>
        <v>7</v>
      </c>
      <c r="E582" s="2">
        <f>IFERROR(__xludf.DUMMYFUNCTION("""COMPUTED_VALUE"""),18.0)</f>
        <v>18</v>
      </c>
      <c r="F582" s="2">
        <f>IFERROR(__xludf.DUMMYFUNCTION("""COMPUTED_VALUE"""),7171.0)</f>
        <v>7171</v>
      </c>
      <c r="G582" s="2">
        <f>IFERROR(__xludf.DUMMYFUNCTION("""COMPUTED_VALUE"""),4983.0)</f>
        <v>4983</v>
      </c>
    </row>
    <row r="583">
      <c r="A583" s="2" t="str">
        <f>IFERROR(__xludf.DUMMYFUNCTION("""COMPUTED_VALUE"""),"Peru")</f>
        <v>Peru</v>
      </c>
      <c r="B583" s="3">
        <f>IFERROR(__xludf.DUMMYFUNCTION("""COMPUTED_VALUE"""),44326.0)</f>
        <v>44326</v>
      </c>
      <c r="C583" s="3">
        <f>IFERROR(__xludf.DUMMYFUNCTION("""COMPUTED_VALUE"""),44332.0)</f>
        <v>44332</v>
      </c>
      <c r="D583" s="2">
        <f>IFERROR(__xludf.DUMMYFUNCTION("""COMPUTED_VALUE"""),7.0)</f>
        <v>7</v>
      </c>
      <c r="E583" s="2">
        <f>IFERROR(__xludf.DUMMYFUNCTION("""COMPUTED_VALUE"""),19.0)</f>
        <v>19</v>
      </c>
      <c r="F583" s="2">
        <f>IFERROR(__xludf.DUMMYFUNCTION("""COMPUTED_VALUE"""),6533.0)</f>
        <v>6533</v>
      </c>
      <c r="G583" s="2">
        <f>IFERROR(__xludf.DUMMYFUNCTION("""COMPUTED_VALUE"""),4093.0)</f>
        <v>4093</v>
      </c>
    </row>
    <row r="584">
      <c r="A584" s="2" t="str">
        <f>IFERROR(__xludf.DUMMYFUNCTION("""COMPUTED_VALUE"""),"Peru")</f>
        <v>Peru</v>
      </c>
      <c r="B584" s="3">
        <f>IFERROR(__xludf.DUMMYFUNCTION("""COMPUTED_VALUE"""),44333.0)</f>
        <v>44333</v>
      </c>
      <c r="C584" s="3">
        <f>IFERROR(__xludf.DUMMYFUNCTION("""COMPUTED_VALUE"""),44339.0)</f>
        <v>44339</v>
      </c>
      <c r="D584" s="2">
        <f>IFERROR(__xludf.DUMMYFUNCTION("""COMPUTED_VALUE"""),7.0)</f>
        <v>7</v>
      </c>
      <c r="E584" s="2">
        <f>IFERROR(__xludf.DUMMYFUNCTION("""COMPUTED_VALUE"""),20.0)</f>
        <v>20</v>
      </c>
      <c r="F584" s="2">
        <f>IFERROR(__xludf.DUMMYFUNCTION("""COMPUTED_VALUE"""),6053.0)</f>
        <v>6053</v>
      </c>
      <c r="G584" s="2">
        <f>IFERROR(__xludf.DUMMYFUNCTION("""COMPUTED_VALUE"""),3409.0)</f>
        <v>3409</v>
      </c>
    </row>
    <row r="585">
      <c r="A585" s="2" t="str">
        <f>IFERROR(__xludf.DUMMYFUNCTION("""COMPUTED_VALUE"""),"Peru")</f>
        <v>Peru</v>
      </c>
      <c r="B585" s="3">
        <f>IFERROR(__xludf.DUMMYFUNCTION("""COMPUTED_VALUE"""),44340.0)</f>
        <v>44340</v>
      </c>
      <c r="C585" s="3">
        <f>IFERROR(__xludf.DUMMYFUNCTION("""COMPUTED_VALUE"""),44346.0)</f>
        <v>44346</v>
      </c>
      <c r="D585" s="2">
        <f>IFERROR(__xludf.DUMMYFUNCTION("""COMPUTED_VALUE"""),7.0)</f>
        <v>7</v>
      </c>
      <c r="E585" s="2">
        <f>IFERROR(__xludf.DUMMYFUNCTION("""COMPUTED_VALUE"""),21.0)</f>
        <v>21</v>
      </c>
      <c r="F585" s="2">
        <f>IFERROR(__xludf.DUMMYFUNCTION("""COMPUTED_VALUE"""),5629.0)</f>
        <v>5629</v>
      </c>
      <c r="G585" s="2">
        <f>IFERROR(__xludf.DUMMYFUNCTION("""COMPUTED_VALUE"""),2786.0)</f>
        <v>2786</v>
      </c>
    </row>
    <row r="586">
      <c r="A586" s="2" t="str">
        <f>IFERROR(__xludf.DUMMYFUNCTION("""COMPUTED_VALUE"""),"Peru")</f>
        <v>Peru</v>
      </c>
      <c r="B586" s="3">
        <f>IFERROR(__xludf.DUMMYFUNCTION("""COMPUTED_VALUE"""),44347.0)</f>
        <v>44347</v>
      </c>
      <c r="C586" s="3">
        <f>IFERROR(__xludf.DUMMYFUNCTION("""COMPUTED_VALUE"""),44353.0)</f>
        <v>44353</v>
      </c>
      <c r="D586" s="2">
        <f>IFERROR(__xludf.DUMMYFUNCTION("""COMPUTED_VALUE"""),7.0)</f>
        <v>7</v>
      </c>
      <c r="E586" s="2">
        <f>IFERROR(__xludf.DUMMYFUNCTION("""COMPUTED_VALUE"""),22.0)</f>
        <v>22</v>
      </c>
      <c r="F586" s="2">
        <f>IFERROR(__xludf.DUMMYFUNCTION("""COMPUTED_VALUE"""),5291.0)</f>
        <v>5291</v>
      </c>
      <c r="G586" s="2">
        <f>IFERROR(__xludf.DUMMYFUNCTION("""COMPUTED_VALUE"""),2682.0)</f>
        <v>2682</v>
      </c>
    </row>
    <row r="587">
      <c r="A587" s="2" t="str">
        <f>IFERROR(__xludf.DUMMYFUNCTION("""COMPUTED_VALUE"""),"Peru")</f>
        <v>Peru</v>
      </c>
      <c r="B587" s="3">
        <f>IFERROR(__xludf.DUMMYFUNCTION("""COMPUTED_VALUE"""),44354.0)</f>
        <v>44354</v>
      </c>
      <c r="C587" s="3">
        <f>IFERROR(__xludf.DUMMYFUNCTION("""COMPUTED_VALUE"""),44360.0)</f>
        <v>44360</v>
      </c>
      <c r="D587" s="2">
        <f>IFERROR(__xludf.DUMMYFUNCTION("""COMPUTED_VALUE"""),7.0)</f>
        <v>7</v>
      </c>
      <c r="E587" s="2">
        <f>IFERROR(__xludf.DUMMYFUNCTION("""COMPUTED_VALUE"""),23.0)</f>
        <v>23</v>
      </c>
      <c r="F587" s="2">
        <f>IFERROR(__xludf.DUMMYFUNCTION("""COMPUTED_VALUE"""),4726.0)</f>
        <v>4726</v>
      </c>
      <c r="G587" s="2">
        <f>IFERROR(__xludf.DUMMYFUNCTION("""COMPUTED_VALUE"""),2635.0)</f>
        <v>2635</v>
      </c>
    </row>
    <row r="588">
      <c r="A588" s="2" t="str">
        <f>IFERROR(__xludf.DUMMYFUNCTION("""COMPUTED_VALUE"""),"Peru")</f>
        <v>Peru</v>
      </c>
      <c r="B588" s="3">
        <f>IFERROR(__xludf.DUMMYFUNCTION("""COMPUTED_VALUE"""),44361.0)</f>
        <v>44361</v>
      </c>
      <c r="C588" s="3">
        <f>IFERROR(__xludf.DUMMYFUNCTION("""COMPUTED_VALUE"""),44367.0)</f>
        <v>44367</v>
      </c>
      <c r="D588" s="2">
        <f>IFERROR(__xludf.DUMMYFUNCTION("""COMPUTED_VALUE"""),7.0)</f>
        <v>7</v>
      </c>
      <c r="E588" s="2">
        <f>IFERROR(__xludf.DUMMYFUNCTION("""COMPUTED_VALUE"""),24.0)</f>
        <v>24</v>
      </c>
      <c r="F588" s="2">
        <f>IFERROR(__xludf.DUMMYFUNCTION("""COMPUTED_VALUE"""),4333.0)</f>
        <v>4333</v>
      </c>
      <c r="G588" s="2">
        <f>IFERROR(__xludf.DUMMYFUNCTION("""COMPUTED_VALUE"""),1494.0)</f>
        <v>1494</v>
      </c>
    </row>
    <row r="589">
      <c r="A589" s="2" t="str">
        <f>IFERROR(__xludf.DUMMYFUNCTION("""COMPUTED_VALUE"""),"Peru")</f>
        <v>Peru</v>
      </c>
      <c r="B589" s="3">
        <f>IFERROR(__xludf.DUMMYFUNCTION("""COMPUTED_VALUE"""),44368.0)</f>
        <v>44368</v>
      </c>
      <c r="C589" s="3">
        <f>IFERROR(__xludf.DUMMYFUNCTION("""COMPUTED_VALUE"""),44374.0)</f>
        <v>44374</v>
      </c>
      <c r="D589" s="2">
        <f>IFERROR(__xludf.DUMMYFUNCTION("""COMPUTED_VALUE"""),7.0)</f>
        <v>7</v>
      </c>
      <c r="E589" s="2">
        <f>IFERROR(__xludf.DUMMYFUNCTION("""COMPUTED_VALUE"""),25.0)</f>
        <v>25</v>
      </c>
      <c r="F589" s="2">
        <f>IFERROR(__xludf.DUMMYFUNCTION("""COMPUTED_VALUE"""),4024.0)</f>
        <v>4024</v>
      </c>
      <c r="G589" s="2">
        <f>IFERROR(__xludf.DUMMYFUNCTION("""COMPUTED_VALUE"""),1382.0)</f>
        <v>1382</v>
      </c>
    </row>
    <row r="590">
      <c r="A590" s="2" t="str">
        <f>IFERROR(__xludf.DUMMYFUNCTION("""COMPUTED_VALUE"""),"Peru")</f>
        <v>Peru</v>
      </c>
      <c r="B590" s="3">
        <f>IFERROR(__xludf.DUMMYFUNCTION("""COMPUTED_VALUE"""),44375.0)</f>
        <v>44375</v>
      </c>
      <c r="C590" s="3">
        <f>IFERROR(__xludf.DUMMYFUNCTION("""COMPUTED_VALUE"""),44381.0)</f>
        <v>44381</v>
      </c>
      <c r="D590" s="2">
        <f>IFERROR(__xludf.DUMMYFUNCTION("""COMPUTED_VALUE"""),7.0)</f>
        <v>7</v>
      </c>
      <c r="E590" s="2">
        <f>IFERROR(__xludf.DUMMYFUNCTION("""COMPUTED_VALUE"""),26.0)</f>
        <v>26</v>
      </c>
      <c r="F590" s="2">
        <f>IFERROR(__xludf.DUMMYFUNCTION("""COMPUTED_VALUE"""),3816.0)</f>
        <v>3816</v>
      </c>
      <c r="G590" s="2">
        <f>IFERROR(__xludf.DUMMYFUNCTION("""COMPUTED_VALUE"""),1646.0)</f>
        <v>1646</v>
      </c>
    </row>
    <row r="591">
      <c r="A591" s="2" t="str">
        <f>IFERROR(__xludf.DUMMYFUNCTION("""COMPUTED_VALUE"""),"Peru")</f>
        <v>Peru</v>
      </c>
      <c r="B591" s="3">
        <f>IFERROR(__xludf.DUMMYFUNCTION("""COMPUTED_VALUE"""),44382.0)</f>
        <v>44382</v>
      </c>
      <c r="C591" s="3">
        <f>IFERROR(__xludf.DUMMYFUNCTION("""COMPUTED_VALUE"""),44388.0)</f>
        <v>44388</v>
      </c>
      <c r="D591" s="2">
        <f>IFERROR(__xludf.DUMMYFUNCTION("""COMPUTED_VALUE"""),7.0)</f>
        <v>7</v>
      </c>
      <c r="E591" s="2">
        <f>IFERROR(__xludf.DUMMYFUNCTION("""COMPUTED_VALUE"""),27.0)</f>
        <v>27</v>
      </c>
      <c r="F591" s="2">
        <f>IFERROR(__xludf.DUMMYFUNCTION("""COMPUTED_VALUE"""),3599.0)</f>
        <v>3599</v>
      </c>
      <c r="G591" s="2">
        <f>IFERROR(__xludf.DUMMYFUNCTION("""COMPUTED_VALUE"""),1157.0)</f>
        <v>1157</v>
      </c>
    </row>
    <row r="592">
      <c r="A592" s="2" t="str">
        <f>IFERROR(__xludf.DUMMYFUNCTION("""COMPUTED_VALUE"""),"Peru")</f>
        <v>Peru</v>
      </c>
      <c r="B592" s="3">
        <f>IFERROR(__xludf.DUMMYFUNCTION("""COMPUTED_VALUE"""),44389.0)</f>
        <v>44389</v>
      </c>
      <c r="C592" s="3">
        <f>IFERROR(__xludf.DUMMYFUNCTION("""COMPUTED_VALUE"""),44395.0)</f>
        <v>44395</v>
      </c>
      <c r="D592" s="2">
        <f>IFERROR(__xludf.DUMMYFUNCTION("""COMPUTED_VALUE"""),7.0)</f>
        <v>7</v>
      </c>
      <c r="E592" s="2">
        <f>IFERROR(__xludf.DUMMYFUNCTION("""COMPUTED_VALUE"""),28.0)</f>
        <v>28</v>
      </c>
      <c r="F592" s="2">
        <f>IFERROR(__xludf.DUMMYFUNCTION("""COMPUTED_VALUE"""),3333.0)</f>
        <v>3333</v>
      </c>
      <c r="G592" s="2">
        <f>IFERROR(__xludf.DUMMYFUNCTION("""COMPUTED_VALUE"""),759.0)</f>
        <v>759</v>
      </c>
    </row>
    <row r="593">
      <c r="A593" s="2" t="str">
        <f>IFERROR(__xludf.DUMMYFUNCTION("""COMPUTED_VALUE"""),"Peru")</f>
        <v>Peru</v>
      </c>
      <c r="B593" s="3">
        <f>IFERROR(__xludf.DUMMYFUNCTION("""COMPUTED_VALUE"""),44396.0)</f>
        <v>44396</v>
      </c>
      <c r="C593" s="3">
        <f>IFERROR(__xludf.DUMMYFUNCTION("""COMPUTED_VALUE"""),44402.0)</f>
        <v>44402</v>
      </c>
      <c r="D593" s="2">
        <f>IFERROR(__xludf.DUMMYFUNCTION("""COMPUTED_VALUE"""),7.0)</f>
        <v>7</v>
      </c>
      <c r="E593" s="2">
        <f>IFERROR(__xludf.DUMMYFUNCTION("""COMPUTED_VALUE"""),29.0)</f>
        <v>29</v>
      </c>
      <c r="F593" s="2">
        <f>IFERROR(__xludf.DUMMYFUNCTION("""COMPUTED_VALUE"""),3250.0)</f>
        <v>3250</v>
      </c>
      <c r="G593" s="2">
        <f>IFERROR(__xludf.DUMMYFUNCTION("""COMPUTED_VALUE"""),744.0)</f>
        <v>744</v>
      </c>
    </row>
    <row r="594">
      <c r="A594" s="2" t="str">
        <f>IFERROR(__xludf.DUMMYFUNCTION("""COMPUTED_VALUE"""),"Peru")</f>
        <v>Peru</v>
      </c>
      <c r="B594" s="3">
        <f>IFERROR(__xludf.DUMMYFUNCTION("""COMPUTED_VALUE"""),44403.0)</f>
        <v>44403</v>
      </c>
      <c r="C594" s="3">
        <f>IFERROR(__xludf.DUMMYFUNCTION("""COMPUTED_VALUE"""),44409.0)</f>
        <v>44409</v>
      </c>
      <c r="D594" s="2">
        <f>IFERROR(__xludf.DUMMYFUNCTION("""COMPUTED_VALUE"""),7.0)</f>
        <v>7</v>
      </c>
      <c r="E594" s="2">
        <f>IFERROR(__xludf.DUMMYFUNCTION("""COMPUTED_VALUE"""),30.0)</f>
        <v>30</v>
      </c>
      <c r="F594" s="2">
        <f>IFERROR(__xludf.DUMMYFUNCTION("""COMPUTED_VALUE"""),3164.0)</f>
        <v>3164</v>
      </c>
      <c r="G594" s="2">
        <f>IFERROR(__xludf.DUMMYFUNCTION("""COMPUTED_VALUE"""),548.0)</f>
        <v>548</v>
      </c>
    </row>
    <row r="595">
      <c r="A595" s="2" t="str">
        <f>IFERROR(__xludf.DUMMYFUNCTION("""COMPUTED_VALUE"""),"Peru")</f>
        <v>Peru</v>
      </c>
      <c r="B595" s="3">
        <f>IFERROR(__xludf.DUMMYFUNCTION("""COMPUTED_VALUE"""),44410.0)</f>
        <v>44410</v>
      </c>
      <c r="C595" s="3">
        <f>IFERROR(__xludf.DUMMYFUNCTION("""COMPUTED_VALUE"""),44416.0)</f>
        <v>44416</v>
      </c>
      <c r="D595" s="2">
        <f>IFERROR(__xludf.DUMMYFUNCTION("""COMPUTED_VALUE"""),7.0)</f>
        <v>7</v>
      </c>
      <c r="E595" s="2">
        <f>IFERROR(__xludf.DUMMYFUNCTION("""COMPUTED_VALUE"""),31.0)</f>
        <v>31</v>
      </c>
      <c r="F595" s="2">
        <f>IFERROR(__xludf.DUMMYFUNCTION("""COMPUTED_VALUE"""),3062.0)</f>
        <v>3062</v>
      </c>
      <c r="G595" s="2">
        <f>IFERROR(__xludf.DUMMYFUNCTION("""COMPUTED_VALUE"""),512.0)</f>
        <v>512</v>
      </c>
    </row>
    <row r="596">
      <c r="A596" s="2" t="str">
        <f>IFERROR(__xludf.DUMMYFUNCTION("""COMPUTED_VALUE"""),"Peru")</f>
        <v>Peru</v>
      </c>
      <c r="B596" s="3">
        <f>IFERROR(__xludf.DUMMYFUNCTION("""COMPUTED_VALUE"""),44417.0)</f>
        <v>44417</v>
      </c>
      <c r="C596" s="3">
        <f>IFERROR(__xludf.DUMMYFUNCTION("""COMPUTED_VALUE"""),44423.0)</f>
        <v>44423</v>
      </c>
      <c r="D596" s="2">
        <f>IFERROR(__xludf.DUMMYFUNCTION("""COMPUTED_VALUE"""),7.0)</f>
        <v>7</v>
      </c>
      <c r="E596" s="2">
        <f>IFERROR(__xludf.DUMMYFUNCTION("""COMPUTED_VALUE"""),32.0)</f>
        <v>32</v>
      </c>
      <c r="F596" s="2">
        <f>IFERROR(__xludf.DUMMYFUNCTION("""COMPUTED_VALUE"""),3112.0)</f>
        <v>3112</v>
      </c>
      <c r="G596" s="2">
        <f>IFERROR(__xludf.DUMMYFUNCTION("""COMPUTED_VALUE"""),443.0)</f>
        <v>443</v>
      </c>
    </row>
    <row r="597">
      <c r="A597" s="2" t="str">
        <f>IFERROR(__xludf.DUMMYFUNCTION("""COMPUTED_VALUE"""),"Peru")</f>
        <v>Peru</v>
      </c>
      <c r="B597" s="3">
        <f>IFERROR(__xludf.DUMMYFUNCTION("""COMPUTED_VALUE"""),44424.0)</f>
        <v>44424</v>
      </c>
      <c r="C597" s="3">
        <f>IFERROR(__xludf.DUMMYFUNCTION("""COMPUTED_VALUE"""),44430.0)</f>
        <v>44430</v>
      </c>
      <c r="D597" s="2">
        <f>IFERROR(__xludf.DUMMYFUNCTION("""COMPUTED_VALUE"""),7.0)</f>
        <v>7</v>
      </c>
      <c r="E597" s="2">
        <f>IFERROR(__xludf.DUMMYFUNCTION("""COMPUTED_VALUE"""),33.0)</f>
        <v>33</v>
      </c>
      <c r="F597" s="2">
        <f>IFERROR(__xludf.DUMMYFUNCTION("""COMPUTED_VALUE"""),2936.0)</f>
        <v>2936</v>
      </c>
      <c r="G597" s="2">
        <f>IFERROR(__xludf.DUMMYFUNCTION("""COMPUTED_VALUE"""),486.0)</f>
        <v>486</v>
      </c>
    </row>
    <row r="598">
      <c r="A598" s="2" t="str">
        <f>IFERROR(__xludf.DUMMYFUNCTION("""COMPUTED_VALUE"""),"Peru")</f>
        <v>Peru</v>
      </c>
      <c r="B598" s="3">
        <f>IFERROR(__xludf.DUMMYFUNCTION("""COMPUTED_VALUE"""),44431.0)</f>
        <v>44431</v>
      </c>
      <c r="C598" s="3">
        <f>IFERROR(__xludf.DUMMYFUNCTION("""COMPUTED_VALUE"""),44437.0)</f>
        <v>44437</v>
      </c>
      <c r="D598" s="2">
        <f>IFERROR(__xludf.DUMMYFUNCTION("""COMPUTED_VALUE"""),7.0)</f>
        <v>7</v>
      </c>
      <c r="E598" s="2">
        <f>IFERROR(__xludf.DUMMYFUNCTION("""COMPUTED_VALUE"""),34.0)</f>
        <v>34</v>
      </c>
      <c r="F598" s="2">
        <f>IFERROR(__xludf.DUMMYFUNCTION("""COMPUTED_VALUE"""),3107.0)</f>
        <v>3107</v>
      </c>
      <c r="G598" s="2">
        <f>IFERROR(__xludf.DUMMYFUNCTION("""COMPUTED_VALUE"""),236.0)</f>
        <v>236</v>
      </c>
    </row>
    <row r="599">
      <c r="A599" s="2" t="str">
        <f>IFERROR(__xludf.DUMMYFUNCTION("""COMPUTED_VALUE"""),"Peru")</f>
        <v>Peru</v>
      </c>
      <c r="B599" s="3">
        <f>IFERROR(__xludf.DUMMYFUNCTION("""COMPUTED_VALUE"""),44438.0)</f>
        <v>44438</v>
      </c>
      <c r="C599" s="3">
        <f>IFERROR(__xludf.DUMMYFUNCTION("""COMPUTED_VALUE"""),44444.0)</f>
        <v>44444</v>
      </c>
      <c r="D599" s="2">
        <f>IFERROR(__xludf.DUMMYFUNCTION("""COMPUTED_VALUE"""),7.0)</f>
        <v>7</v>
      </c>
      <c r="E599" s="2">
        <f>IFERROR(__xludf.DUMMYFUNCTION("""COMPUTED_VALUE"""),35.0)</f>
        <v>35</v>
      </c>
      <c r="F599" s="2">
        <f>IFERROR(__xludf.DUMMYFUNCTION("""COMPUTED_VALUE"""),2983.0)</f>
        <v>2983</v>
      </c>
      <c r="G599" s="2">
        <f>IFERROR(__xludf.DUMMYFUNCTION("""COMPUTED_VALUE"""),373.0)</f>
        <v>373</v>
      </c>
    </row>
    <row r="600">
      <c r="A600" s="2" t="str">
        <f>IFERROR(__xludf.DUMMYFUNCTION("""COMPUTED_VALUE"""),"Peru")</f>
        <v>Peru</v>
      </c>
      <c r="B600" s="3">
        <f>IFERROR(__xludf.DUMMYFUNCTION("""COMPUTED_VALUE"""),44445.0)</f>
        <v>44445</v>
      </c>
      <c r="C600" s="3">
        <f>IFERROR(__xludf.DUMMYFUNCTION("""COMPUTED_VALUE"""),44451.0)</f>
        <v>44451</v>
      </c>
      <c r="D600" s="2">
        <f>IFERROR(__xludf.DUMMYFUNCTION("""COMPUTED_VALUE"""),7.0)</f>
        <v>7</v>
      </c>
      <c r="E600" s="2">
        <f>IFERROR(__xludf.DUMMYFUNCTION("""COMPUTED_VALUE"""),36.0)</f>
        <v>36</v>
      </c>
      <c r="F600" s="2">
        <f>IFERROR(__xludf.DUMMYFUNCTION("""COMPUTED_VALUE"""),2887.0)</f>
        <v>2887</v>
      </c>
      <c r="G600" s="2">
        <f>IFERROR(__xludf.DUMMYFUNCTION("""COMPUTED_VALUE"""),276.0)</f>
        <v>276</v>
      </c>
    </row>
    <row r="601">
      <c r="A601" s="2" t="str">
        <f>IFERROR(__xludf.DUMMYFUNCTION("""COMPUTED_VALUE"""),"Peru")</f>
        <v>Peru</v>
      </c>
      <c r="B601" s="3">
        <f>IFERROR(__xludf.DUMMYFUNCTION("""COMPUTED_VALUE"""),44452.0)</f>
        <v>44452</v>
      </c>
      <c r="C601" s="3">
        <f>IFERROR(__xludf.DUMMYFUNCTION("""COMPUTED_VALUE"""),44458.0)</f>
        <v>44458</v>
      </c>
      <c r="D601" s="2">
        <f>IFERROR(__xludf.DUMMYFUNCTION("""COMPUTED_VALUE"""),7.0)</f>
        <v>7</v>
      </c>
      <c r="E601" s="2">
        <f>IFERROR(__xludf.DUMMYFUNCTION("""COMPUTED_VALUE"""),37.0)</f>
        <v>37</v>
      </c>
      <c r="F601" s="2">
        <f>IFERROR(__xludf.DUMMYFUNCTION("""COMPUTED_VALUE"""),2890.0)</f>
        <v>2890</v>
      </c>
      <c r="G601" s="2">
        <f>IFERROR(__xludf.DUMMYFUNCTION("""COMPUTED_VALUE"""),302.0)</f>
        <v>302</v>
      </c>
    </row>
    <row r="602">
      <c r="A602" s="2" t="str">
        <f>IFERROR(__xludf.DUMMYFUNCTION("""COMPUTED_VALUE"""),"Peru")</f>
        <v>Peru</v>
      </c>
      <c r="B602" s="3">
        <f>IFERROR(__xludf.DUMMYFUNCTION("""COMPUTED_VALUE"""),44459.0)</f>
        <v>44459</v>
      </c>
      <c r="C602" s="3">
        <f>IFERROR(__xludf.DUMMYFUNCTION("""COMPUTED_VALUE"""),44465.0)</f>
        <v>44465</v>
      </c>
      <c r="D602" s="2">
        <f>IFERROR(__xludf.DUMMYFUNCTION("""COMPUTED_VALUE"""),7.0)</f>
        <v>7</v>
      </c>
      <c r="E602" s="2">
        <f>IFERROR(__xludf.DUMMYFUNCTION("""COMPUTED_VALUE"""),38.0)</f>
        <v>38</v>
      </c>
      <c r="F602" s="2">
        <f>IFERROR(__xludf.DUMMYFUNCTION("""COMPUTED_VALUE"""),2945.0)</f>
        <v>2945</v>
      </c>
      <c r="G602" s="2">
        <f>IFERROR(__xludf.DUMMYFUNCTION("""COMPUTED_VALUE"""),226.0)</f>
        <v>226</v>
      </c>
    </row>
    <row r="603">
      <c r="A603" s="2" t="str">
        <f>IFERROR(__xludf.DUMMYFUNCTION("""COMPUTED_VALUE"""),"Peru")</f>
        <v>Peru</v>
      </c>
      <c r="B603" s="3">
        <f>IFERROR(__xludf.DUMMYFUNCTION("""COMPUTED_VALUE"""),44466.0)</f>
        <v>44466</v>
      </c>
      <c r="C603" s="3">
        <f>IFERROR(__xludf.DUMMYFUNCTION("""COMPUTED_VALUE"""),44472.0)</f>
        <v>44472</v>
      </c>
      <c r="D603" s="2">
        <f>IFERROR(__xludf.DUMMYFUNCTION("""COMPUTED_VALUE"""),7.0)</f>
        <v>7</v>
      </c>
      <c r="E603" s="2">
        <f>IFERROR(__xludf.DUMMYFUNCTION("""COMPUTED_VALUE"""),39.0)</f>
        <v>39</v>
      </c>
      <c r="F603" s="2">
        <f>IFERROR(__xludf.DUMMYFUNCTION("""COMPUTED_VALUE"""),2875.0)</f>
        <v>2875</v>
      </c>
      <c r="G603" s="2">
        <f>IFERROR(__xludf.DUMMYFUNCTION("""COMPUTED_VALUE"""),193.0)</f>
        <v>193</v>
      </c>
    </row>
    <row r="604">
      <c r="A604" s="2" t="str">
        <f>IFERROR(__xludf.DUMMYFUNCTION("""COMPUTED_VALUE"""),"Peru")</f>
        <v>Peru</v>
      </c>
      <c r="B604" s="3">
        <f>IFERROR(__xludf.DUMMYFUNCTION("""COMPUTED_VALUE"""),44473.0)</f>
        <v>44473</v>
      </c>
      <c r="C604" s="3">
        <f>IFERROR(__xludf.DUMMYFUNCTION("""COMPUTED_VALUE"""),44479.0)</f>
        <v>44479</v>
      </c>
      <c r="D604" s="2">
        <f>IFERROR(__xludf.DUMMYFUNCTION("""COMPUTED_VALUE"""),7.0)</f>
        <v>7</v>
      </c>
      <c r="E604" s="2">
        <f>IFERROR(__xludf.DUMMYFUNCTION("""COMPUTED_VALUE"""),40.0)</f>
        <v>40</v>
      </c>
      <c r="F604" s="2">
        <f>IFERROR(__xludf.DUMMYFUNCTION("""COMPUTED_VALUE"""),2951.0)</f>
        <v>2951</v>
      </c>
      <c r="G604" s="2">
        <f>IFERROR(__xludf.DUMMYFUNCTION("""COMPUTED_VALUE"""),190.0)</f>
        <v>190</v>
      </c>
    </row>
    <row r="605">
      <c r="A605" s="2" t="str">
        <f>IFERROR(__xludf.DUMMYFUNCTION("""COMPUTED_VALUE"""),"Peru")</f>
        <v>Peru</v>
      </c>
      <c r="B605" s="3">
        <f>IFERROR(__xludf.DUMMYFUNCTION("""COMPUTED_VALUE"""),44480.0)</f>
        <v>44480</v>
      </c>
      <c r="C605" s="3">
        <f>IFERROR(__xludf.DUMMYFUNCTION("""COMPUTED_VALUE"""),44486.0)</f>
        <v>44486</v>
      </c>
      <c r="D605" s="2">
        <f>IFERROR(__xludf.DUMMYFUNCTION("""COMPUTED_VALUE"""),7.0)</f>
        <v>7</v>
      </c>
      <c r="E605" s="2">
        <f>IFERROR(__xludf.DUMMYFUNCTION("""COMPUTED_VALUE"""),41.0)</f>
        <v>41</v>
      </c>
      <c r="F605" s="2">
        <f>IFERROR(__xludf.DUMMYFUNCTION("""COMPUTED_VALUE"""),2855.0)</f>
        <v>2855</v>
      </c>
      <c r="G605" s="2">
        <f>IFERROR(__xludf.DUMMYFUNCTION("""COMPUTED_VALUE"""),168.0)</f>
        <v>168</v>
      </c>
    </row>
    <row r="606">
      <c r="A606" s="2" t="str">
        <f>IFERROR(__xludf.DUMMYFUNCTION("""COMPUTED_VALUE"""),"Peru")</f>
        <v>Peru</v>
      </c>
      <c r="B606" s="3">
        <f>IFERROR(__xludf.DUMMYFUNCTION("""COMPUTED_VALUE"""),44487.0)</f>
        <v>44487</v>
      </c>
      <c r="C606" s="3">
        <f>IFERROR(__xludf.DUMMYFUNCTION("""COMPUTED_VALUE"""),44493.0)</f>
        <v>44493</v>
      </c>
      <c r="D606" s="2">
        <f>IFERROR(__xludf.DUMMYFUNCTION("""COMPUTED_VALUE"""),7.0)</f>
        <v>7</v>
      </c>
      <c r="E606" s="2">
        <f>IFERROR(__xludf.DUMMYFUNCTION("""COMPUTED_VALUE"""),42.0)</f>
        <v>42</v>
      </c>
      <c r="F606" s="2">
        <f>IFERROR(__xludf.DUMMYFUNCTION("""COMPUTED_VALUE"""),2831.0)</f>
        <v>2831</v>
      </c>
      <c r="G606" s="2">
        <f>IFERROR(__xludf.DUMMYFUNCTION("""COMPUTED_VALUE"""),209.0)</f>
        <v>209</v>
      </c>
    </row>
    <row r="607">
      <c r="A607" s="2" t="str">
        <f>IFERROR(__xludf.DUMMYFUNCTION("""COMPUTED_VALUE"""),"Peru")</f>
        <v>Peru</v>
      </c>
      <c r="B607" s="3">
        <f>IFERROR(__xludf.DUMMYFUNCTION("""COMPUTED_VALUE"""),44494.0)</f>
        <v>44494</v>
      </c>
      <c r="C607" s="3">
        <f>IFERROR(__xludf.DUMMYFUNCTION("""COMPUTED_VALUE"""),44500.0)</f>
        <v>44500</v>
      </c>
      <c r="D607" s="2">
        <f>IFERROR(__xludf.DUMMYFUNCTION("""COMPUTED_VALUE"""),7.0)</f>
        <v>7</v>
      </c>
      <c r="E607" s="2">
        <f>IFERROR(__xludf.DUMMYFUNCTION("""COMPUTED_VALUE"""),43.0)</f>
        <v>43</v>
      </c>
      <c r="F607" s="2">
        <f>IFERROR(__xludf.DUMMYFUNCTION("""COMPUTED_VALUE"""),2754.0)</f>
        <v>2754</v>
      </c>
      <c r="G607" s="2">
        <f>IFERROR(__xludf.DUMMYFUNCTION("""COMPUTED_VALUE"""),194.0)</f>
        <v>194</v>
      </c>
    </row>
    <row r="608">
      <c r="A608" s="2" t="str">
        <f>IFERROR(__xludf.DUMMYFUNCTION("""COMPUTED_VALUE"""),"Peru")</f>
        <v>Peru</v>
      </c>
      <c r="B608" s="3">
        <f>IFERROR(__xludf.DUMMYFUNCTION("""COMPUTED_VALUE"""),44501.0)</f>
        <v>44501</v>
      </c>
      <c r="C608" s="3">
        <f>IFERROR(__xludf.DUMMYFUNCTION("""COMPUTED_VALUE"""),44507.0)</f>
        <v>44507</v>
      </c>
      <c r="D608" s="2">
        <f>IFERROR(__xludf.DUMMYFUNCTION("""COMPUTED_VALUE"""),7.0)</f>
        <v>7</v>
      </c>
      <c r="E608" s="2">
        <f>IFERROR(__xludf.DUMMYFUNCTION("""COMPUTED_VALUE"""),44.0)</f>
        <v>44</v>
      </c>
      <c r="F608" s="2">
        <f>IFERROR(__xludf.DUMMYFUNCTION("""COMPUTED_VALUE"""),2834.0)</f>
        <v>2834</v>
      </c>
      <c r="G608" s="2">
        <f>IFERROR(__xludf.DUMMYFUNCTION("""COMPUTED_VALUE"""),184.0)</f>
        <v>184</v>
      </c>
      <c r="H608" s="1">
        <v>5.1265841E7</v>
      </c>
    </row>
    <row r="609">
      <c r="A609" s="2" t="str">
        <f>IFERROR(__xludf.DUMMYFUNCTION("""COMPUTED_VALUE"""),"Chile")</f>
        <v>Chile</v>
      </c>
      <c r="B609" s="3">
        <f>IFERROR(__xludf.DUMMYFUNCTION("""COMPUTED_VALUE"""),42373.0)</f>
        <v>42373</v>
      </c>
      <c r="C609" s="3">
        <f>IFERROR(__xludf.DUMMYFUNCTION("""COMPUTED_VALUE"""),42379.0)</f>
        <v>42379</v>
      </c>
      <c r="D609" s="2">
        <f>IFERROR(__xludf.DUMMYFUNCTION("""COMPUTED_VALUE"""),7.0)</f>
        <v>7</v>
      </c>
      <c r="E609" s="2">
        <f>IFERROR(__xludf.DUMMYFUNCTION("""COMPUTED_VALUE"""),1.0)</f>
        <v>1</v>
      </c>
      <c r="F609" s="2">
        <f>IFERROR(__xludf.DUMMYFUNCTION("""COMPUTED_VALUE"""),1884.0)</f>
        <v>1884</v>
      </c>
      <c r="G609" s="2">
        <f>IFERROR(__xludf.DUMMYFUNCTION("""COMPUTED_VALUE"""),0.0)</f>
        <v>0</v>
      </c>
      <c r="H609" s="1">
        <v>2.13993441E8</v>
      </c>
    </row>
    <row r="610">
      <c r="A610" s="2" t="str">
        <f>IFERROR(__xludf.DUMMYFUNCTION("""COMPUTED_VALUE"""),"Chile")</f>
        <v>Chile</v>
      </c>
      <c r="B610" s="3">
        <f>IFERROR(__xludf.DUMMYFUNCTION("""COMPUTED_VALUE"""),42380.0)</f>
        <v>42380</v>
      </c>
      <c r="C610" s="3">
        <f>IFERROR(__xludf.DUMMYFUNCTION("""COMPUTED_VALUE"""),42386.0)</f>
        <v>42386</v>
      </c>
      <c r="D610" s="2">
        <f>IFERROR(__xludf.DUMMYFUNCTION("""COMPUTED_VALUE"""),7.0)</f>
        <v>7</v>
      </c>
      <c r="E610" s="2">
        <f>IFERROR(__xludf.DUMMYFUNCTION("""COMPUTED_VALUE"""),2.0)</f>
        <v>2</v>
      </c>
      <c r="F610" s="2">
        <f>IFERROR(__xludf.DUMMYFUNCTION("""COMPUTED_VALUE"""),1885.0)</f>
        <v>1885</v>
      </c>
      <c r="G610" s="2">
        <f>IFERROR(__xludf.DUMMYFUNCTION("""COMPUTED_VALUE"""),0.0)</f>
        <v>0</v>
      </c>
    </row>
    <row r="611">
      <c r="A611" s="2" t="str">
        <f>IFERROR(__xludf.DUMMYFUNCTION("""COMPUTED_VALUE"""),"Chile")</f>
        <v>Chile</v>
      </c>
      <c r="B611" s="3">
        <f>IFERROR(__xludf.DUMMYFUNCTION("""COMPUTED_VALUE"""),42387.0)</f>
        <v>42387</v>
      </c>
      <c r="C611" s="3">
        <f>IFERROR(__xludf.DUMMYFUNCTION("""COMPUTED_VALUE"""),42393.0)</f>
        <v>42393</v>
      </c>
      <c r="D611" s="2">
        <f>IFERROR(__xludf.DUMMYFUNCTION("""COMPUTED_VALUE"""),7.0)</f>
        <v>7</v>
      </c>
      <c r="E611" s="2">
        <f>IFERROR(__xludf.DUMMYFUNCTION("""COMPUTED_VALUE"""),3.0)</f>
        <v>3</v>
      </c>
      <c r="F611" s="2">
        <f>IFERROR(__xludf.DUMMYFUNCTION("""COMPUTED_VALUE"""),1916.0)</f>
        <v>1916</v>
      </c>
      <c r="G611" s="2">
        <f>IFERROR(__xludf.DUMMYFUNCTION("""COMPUTED_VALUE"""),0.0)</f>
        <v>0</v>
      </c>
    </row>
    <row r="612">
      <c r="A612" s="2" t="str">
        <f>IFERROR(__xludf.DUMMYFUNCTION("""COMPUTED_VALUE"""),"Chile")</f>
        <v>Chile</v>
      </c>
      <c r="B612" s="3">
        <f>IFERROR(__xludf.DUMMYFUNCTION("""COMPUTED_VALUE"""),42394.0)</f>
        <v>42394</v>
      </c>
      <c r="C612" s="3">
        <f>IFERROR(__xludf.DUMMYFUNCTION("""COMPUTED_VALUE"""),42400.0)</f>
        <v>42400</v>
      </c>
      <c r="D612" s="2">
        <f>IFERROR(__xludf.DUMMYFUNCTION("""COMPUTED_VALUE"""),7.0)</f>
        <v>7</v>
      </c>
      <c r="E612" s="2">
        <f>IFERROR(__xludf.DUMMYFUNCTION("""COMPUTED_VALUE"""),4.0)</f>
        <v>4</v>
      </c>
      <c r="F612" s="2">
        <f>IFERROR(__xludf.DUMMYFUNCTION("""COMPUTED_VALUE"""),1837.0)</f>
        <v>1837</v>
      </c>
      <c r="G612" s="2">
        <f>IFERROR(__xludf.DUMMYFUNCTION("""COMPUTED_VALUE"""),0.0)</f>
        <v>0</v>
      </c>
    </row>
    <row r="613">
      <c r="A613" s="2" t="str">
        <f>IFERROR(__xludf.DUMMYFUNCTION("""COMPUTED_VALUE"""),"Chile")</f>
        <v>Chile</v>
      </c>
      <c r="B613" s="3">
        <f>IFERROR(__xludf.DUMMYFUNCTION("""COMPUTED_VALUE"""),42401.0)</f>
        <v>42401</v>
      </c>
      <c r="C613" s="3">
        <f>IFERROR(__xludf.DUMMYFUNCTION("""COMPUTED_VALUE"""),42407.0)</f>
        <v>42407</v>
      </c>
      <c r="D613" s="2">
        <f>IFERROR(__xludf.DUMMYFUNCTION("""COMPUTED_VALUE"""),7.0)</f>
        <v>7</v>
      </c>
      <c r="E613" s="2">
        <f>IFERROR(__xludf.DUMMYFUNCTION("""COMPUTED_VALUE"""),5.0)</f>
        <v>5</v>
      </c>
      <c r="F613" s="2">
        <f>IFERROR(__xludf.DUMMYFUNCTION("""COMPUTED_VALUE"""),1912.0)</f>
        <v>1912</v>
      </c>
      <c r="G613" s="2">
        <f>IFERROR(__xludf.DUMMYFUNCTION("""COMPUTED_VALUE"""),0.0)</f>
        <v>0</v>
      </c>
    </row>
    <row r="614">
      <c r="A614" s="2" t="str">
        <f>IFERROR(__xludf.DUMMYFUNCTION("""COMPUTED_VALUE"""),"Chile")</f>
        <v>Chile</v>
      </c>
      <c r="B614" s="3">
        <f>IFERROR(__xludf.DUMMYFUNCTION("""COMPUTED_VALUE"""),42408.0)</f>
        <v>42408</v>
      </c>
      <c r="C614" s="3">
        <f>IFERROR(__xludf.DUMMYFUNCTION("""COMPUTED_VALUE"""),42414.0)</f>
        <v>42414</v>
      </c>
      <c r="D614" s="2">
        <f>IFERROR(__xludf.DUMMYFUNCTION("""COMPUTED_VALUE"""),7.0)</f>
        <v>7</v>
      </c>
      <c r="E614" s="2">
        <f>IFERROR(__xludf.DUMMYFUNCTION("""COMPUTED_VALUE"""),6.0)</f>
        <v>6</v>
      </c>
      <c r="F614" s="2">
        <f>IFERROR(__xludf.DUMMYFUNCTION("""COMPUTED_VALUE"""),1718.0)</f>
        <v>1718</v>
      </c>
      <c r="G614" s="2">
        <f>IFERROR(__xludf.DUMMYFUNCTION("""COMPUTED_VALUE"""),0.0)</f>
        <v>0</v>
      </c>
    </row>
    <row r="615">
      <c r="A615" s="2" t="str">
        <f>IFERROR(__xludf.DUMMYFUNCTION("""COMPUTED_VALUE"""),"Chile")</f>
        <v>Chile</v>
      </c>
      <c r="B615" s="3">
        <f>IFERROR(__xludf.DUMMYFUNCTION("""COMPUTED_VALUE"""),42415.0)</f>
        <v>42415</v>
      </c>
      <c r="C615" s="3">
        <f>IFERROR(__xludf.DUMMYFUNCTION("""COMPUTED_VALUE"""),42421.0)</f>
        <v>42421</v>
      </c>
      <c r="D615" s="2">
        <f>IFERROR(__xludf.DUMMYFUNCTION("""COMPUTED_VALUE"""),7.0)</f>
        <v>7</v>
      </c>
      <c r="E615" s="2">
        <f>IFERROR(__xludf.DUMMYFUNCTION("""COMPUTED_VALUE"""),7.0)</f>
        <v>7</v>
      </c>
      <c r="F615" s="2">
        <f>IFERROR(__xludf.DUMMYFUNCTION("""COMPUTED_VALUE"""),1760.0)</f>
        <v>1760</v>
      </c>
      <c r="G615" s="2">
        <f>IFERROR(__xludf.DUMMYFUNCTION("""COMPUTED_VALUE"""),0.0)</f>
        <v>0</v>
      </c>
    </row>
    <row r="616">
      <c r="A616" s="2" t="str">
        <f>IFERROR(__xludf.DUMMYFUNCTION("""COMPUTED_VALUE"""),"Chile")</f>
        <v>Chile</v>
      </c>
      <c r="B616" s="3">
        <f>IFERROR(__xludf.DUMMYFUNCTION("""COMPUTED_VALUE"""),42422.0)</f>
        <v>42422</v>
      </c>
      <c r="C616" s="3">
        <f>IFERROR(__xludf.DUMMYFUNCTION("""COMPUTED_VALUE"""),42428.0)</f>
        <v>42428</v>
      </c>
      <c r="D616" s="2">
        <f>IFERROR(__xludf.DUMMYFUNCTION("""COMPUTED_VALUE"""),7.0)</f>
        <v>7</v>
      </c>
      <c r="E616" s="2">
        <f>IFERROR(__xludf.DUMMYFUNCTION("""COMPUTED_VALUE"""),8.0)</f>
        <v>8</v>
      </c>
      <c r="F616" s="2">
        <f>IFERROR(__xludf.DUMMYFUNCTION("""COMPUTED_VALUE"""),1813.0)</f>
        <v>1813</v>
      </c>
      <c r="G616" s="2">
        <f>IFERROR(__xludf.DUMMYFUNCTION("""COMPUTED_VALUE"""),0.0)</f>
        <v>0</v>
      </c>
    </row>
    <row r="617">
      <c r="A617" s="2" t="str">
        <f>IFERROR(__xludf.DUMMYFUNCTION("""COMPUTED_VALUE"""),"Chile")</f>
        <v>Chile</v>
      </c>
      <c r="B617" s="3">
        <f>IFERROR(__xludf.DUMMYFUNCTION("""COMPUTED_VALUE"""),42429.0)</f>
        <v>42429</v>
      </c>
      <c r="C617" s="3">
        <f>IFERROR(__xludf.DUMMYFUNCTION("""COMPUTED_VALUE"""),42435.0)</f>
        <v>42435</v>
      </c>
      <c r="D617" s="2">
        <f>IFERROR(__xludf.DUMMYFUNCTION("""COMPUTED_VALUE"""),7.0)</f>
        <v>7</v>
      </c>
      <c r="E617" s="2">
        <f>IFERROR(__xludf.DUMMYFUNCTION("""COMPUTED_VALUE"""),9.0)</f>
        <v>9</v>
      </c>
      <c r="F617" s="2">
        <f>IFERROR(__xludf.DUMMYFUNCTION("""COMPUTED_VALUE"""),1756.0)</f>
        <v>1756</v>
      </c>
      <c r="G617" s="2">
        <f>IFERROR(__xludf.DUMMYFUNCTION("""COMPUTED_VALUE"""),0.0)</f>
        <v>0</v>
      </c>
    </row>
    <row r="618">
      <c r="A618" s="2" t="str">
        <f>IFERROR(__xludf.DUMMYFUNCTION("""COMPUTED_VALUE"""),"Chile")</f>
        <v>Chile</v>
      </c>
      <c r="B618" s="3">
        <f>IFERROR(__xludf.DUMMYFUNCTION("""COMPUTED_VALUE"""),42436.0)</f>
        <v>42436</v>
      </c>
      <c r="C618" s="3">
        <f>IFERROR(__xludf.DUMMYFUNCTION("""COMPUTED_VALUE"""),42442.0)</f>
        <v>42442</v>
      </c>
      <c r="D618" s="2">
        <f>IFERROR(__xludf.DUMMYFUNCTION("""COMPUTED_VALUE"""),7.0)</f>
        <v>7</v>
      </c>
      <c r="E618" s="2">
        <f>IFERROR(__xludf.DUMMYFUNCTION("""COMPUTED_VALUE"""),10.0)</f>
        <v>10</v>
      </c>
      <c r="F618" s="2">
        <f>IFERROR(__xludf.DUMMYFUNCTION("""COMPUTED_VALUE"""),1753.0)</f>
        <v>1753</v>
      </c>
      <c r="G618" s="2">
        <f>IFERROR(__xludf.DUMMYFUNCTION("""COMPUTED_VALUE"""),0.0)</f>
        <v>0</v>
      </c>
    </row>
    <row r="619">
      <c r="A619" s="2" t="str">
        <f>IFERROR(__xludf.DUMMYFUNCTION("""COMPUTED_VALUE"""),"Chile")</f>
        <v>Chile</v>
      </c>
      <c r="B619" s="3">
        <f>IFERROR(__xludf.DUMMYFUNCTION("""COMPUTED_VALUE"""),42443.0)</f>
        <v>42443</v>
      </c>
      <c r="C619" s="3">
        <f>IFERROR(__xludf.DUMMYFUNCTION("""COMPUTED_VALUE"""),42449.0)</f>
        <v>42449</v>
      </c>
      <c r="D619" s="2">
        <f>IFERROR(__xludf.DUMMYFUNCTION("""COMPUTED_VALUE"""),7.0)</f>
        <v>7</v>
      </c>
      <c r="E619" s="2">
        <f>IFERROR(__xludf.DUMMYFUNCTION("""COMPUTED_VALUE"""),11.0)</f>
        <v>11</v>
      </c>
      <c r="F619" s="2">
        <f>IFERROR(__xludf.DUMMYFUNCTION("""COMPUTED_VALUE"""),1771.0)</f>
        <v>1771</v>
      </c>
      <c r="G619" s="2">
        <f>IFERROR(__xludf.DUMMYFUNCTION("""COMPUTED_VALUE"""),0.0)</f>
        <v>0</v>
      </c>
    </row>
    <row r="620">
      <c r="A620" s="2" t="str">
        <f>IFERROR(__xludf.DUMMYFUNCTION("""COMPUTED_VALUE"""),"Chile")</f>
        <v>Chile</v>
      </c>
      <c r="B620" s="3">
        <f>IFERROR(__xludf.DUMMYFUNCTION("""COMPUTED_VALUE"""),42450.0)</f>
        <v>42450</v>
      </c>
      <c r="C620" s="3">
        <f>IFERROR(__xludf.DUMMYFUNCTION("""COMPUTED_VALUE"""),42456.0)</f>
        <v>42456</v>
      </c>
      <c r="D620" s="2">
        <f>IFERROR(__xludf.DUMMYFUNCTION("""COMPUTED_VALUE"""),7.0)</f>
        <v>7</v>
      </c>
      <c r="E620" s="2">
        <f>IFERROR(__xludf.DUMMYFUNCTION("""COMPUTED_VALUE"""),12.0)</f>
        <v>12</v>
      </c>
      <c r="F620" s="2">
        <f>IFERROR(__xludf.DUMMYFUNCTION("""COMPUTED_VALUE"""),1758.0)</f>
        <v>1758</v>
      </c>
      <c r="G620" s="2">
        <f>IFERROR(__xludf.DUMMYFUNCTION("""COMPUTED_VALUE"""),0.0)</f>
        <v>0</v>
      </c>
    </row>
    <row r="621">
      <c r="A621" s="2" t="str">
        <f>IFERROR(__xludf.DUMMYFUNCTION("""COMPUTED_VALUE"""),"Chile")</f>
        <v>Chile</v>
      </c>
      <c r="B621" s="3">
        <f>IFERROR(__xludf.DUMMYFUNCTION("""COMPUTED_VALUE"""),42457.0)</f>
        <v>42457</v>
      </c>
      <c r="C621" s="3">
        <f>IFERROR(__xludf.DUMMYFUNCTION("""COMPUTED_VALUE"""),42463.0)</f>
        <v>42463</v>
      </c>
      <c r="D621" s="2">
        <f>IFERROR(__xludf.DUMMYFUNCTION("""COMPUTED_VALUE"""),7.0)</f>
        <v>7</v>
      </c>
      <c r="E621" s="2">
        <f>IFERROR(__xludf.DUMMYFUNCTION("""COMPUTED_VALUE"""),13.0)</f>
        <v>13</v>
      </c>
      <c r="F621" s="2">
        <f>IFERROR(__xludf.DUMMYFUNCTION("""COMPUTED_VALUE"""),1757.0)</f>
        <v>1757</v>
      </c>
      <c r="G621" s="2">
        <f>IFERROR(__xludf.DUMMYFUNCTION("""COMPUTED_VALUE"""),0.0)</f>
        <v>0</v>
      </c>
    </row>
    <row r="622">
      <c r="A622" s="2" t="str">
        <f>IFERROR(__xludf.DUMMYFUNCTION("""COMPUTED_VALUE"""),"Chile")</f>
        <v>Chile</v>
      </c>
      <c r="B622" s="3">
        <f>IFERROR(__xludf.DUMMYFUNCTION("""COMPUTED_VALUE"""),42464.0)</f>
        <v>42464</v>
      </c>
      <c r="C622" s="3">
        <f>IFERROR(__xludf.DUMMYFUNCTION("""COMPUTED_VALUE"""),42470.0)</f>
        <v>42470</v>
      </c>
      <c r="D622" s="2">
        <f>IFERROR(__xludf.DUMMYFUNCTION("""COMPUTED_VALUE"""),7.0)</f>
        <v>7</v>
      </c>
      <c r="E622" s="2">
        <f>IFERROR(__xludf.DUMMYFUNCTION("""COMPUTED_VALUE"""),14.0)</f>
        <v>14</v>
      </c>
      <c r="F622" s="2">
        <f>IFERROR(__xludf.DUMMYFUNCTION("""COMPUTED_VALUE"""),1789.0)</f>
        <v>1789</v>
      </c>
      <c r="G622" s="2">
        <f>IFERROR(__xludf.DUMMYFUNCTION("""COMPUTED_VALUE"""),0.0)</f>
        <v>0</v>
      </c>
    </row>
    <row r="623">
      <c r="A623" s="2" t="str">
        <f>IFERROR(__xludf.DUMMYFUNCTION("""COMPUTED_VALUE"""),"Chile")</f>
        <v>Chile</v>
      </c>
      <c r="B623" s="3">
        <f>IFERROR(__xludf.DUMMYFUNCTION("""COMPUTED_VALUE"""),42471.0)</f>
        <v>42471</v>
      </c>
      <c r="C623" s="3">
        <f>IFERROR(__xludf.DUMMYFUNCTION("""COMPUTED_VALUE"""),42477.0)</f>
        <v>42477</v>
      </c>
      <c r="D623" s="2">
        <f>IFERROR(__xludf.DUMMYFUNCTION("""COMPUTED_VALUE"""),7.0)</f>
        <v>7</v>
      </c>
      <c r="E623" s="2">
        <f>IFERROR(__xludf.DUMMYFUNCTION("""COMPUTED_VALUE"""),15.0)</f>
        <v>15</v>
      </c>
      <c r="F623" s="2">
        <f>IFERROR(__xludf.DUMMYFUNCTION("""COMPUTED_VALUE"""),1945.0)</f>
        <v>1945</v>
      </c>
      <c r="G623" s="2">
        <f>IFERROR(__xludf.DUMMYFUNCTION("""COMPUTED_VALUE"""),0.0)</f>
        <v>0</v>
      </c>
    </row>
    <row r="624">
      <c r="A624" s="2" t="str">
        <f>IFERROR(__xludf.DUMMYFUNCTION("""COMPUTED_VALUE"""),"Chile")</f>
        <v>Chile</v>
      </c>
      <c r="B624" s="3">
        <f>IFERROR(__xludf.DUMMYFUNCTION("""COMPUTED_VALUE"""),42478.0)</f>
        <v>42478</v>
      </c>
      <c r="C624" s="3">
        <f>IFERROR(__xludf.DUMMYFUNCTION("""COMPUTED_VALUE"""),42484.0)</f>
        <v>42484</v>
      </c>
      <c r="D624" s="2">
        <f>IFERROR(__xludf.DUMMYFUNCTION("""COMPUTED_VALUE"""),7.0)</f>
        <v>7</v>
      </c>
      <c r="E624" s="2">
        <f>IFERROR(__xludf.DUMMYFUNCTION("""COMPUTED_VALUE"""),16.0)</f>
        <v>16</v>
      </c>
      <c r="F624" s="2">
        <f>IFERROR(__xludf.DUMMYFUNCTION("""COMPUTED_VALUE"""),1889.0)</f>
        <v>1889</v>
      </c>
      <c r="G624" s="2">
        <f>IFERROR(__xludf.DUMMYFUNCTION("""COMPUTED_VALUE"""),0.0)</f>
        <v>0</v>
      </c>
    </row>
    <row r="625">
      <c r="A625" s="2" t="str">
        <f>IFERROR(__xludf.DUMMYFUNCTION("""COMPUTED_VALUE"""),"Chile")</f>
        <v>Chile</v>
      </c>
      <c r="B625" s="3">
        <f>IFERROR(__xludf.DUMMYFUNCTION("""COMPUTED_VALUE"""),42485.0)</f>
        <v>42485</v>
      </c>
      <c r="C625" s="3">
        <f>IFERROR(__xludf.DUMMYFUNCTION("""COMPUTED_VALUE"""),42491.0)</f>
        <v>42491</v>
      </c>
      <c r="D625" s="2">
        <f>IFERROR(__xludf.DUMMYFUNCTION("""COMPUTED_VALUE"""),7.0)</f>
        <v>7</v>
      </c>
      <c r="E625" s="2">
        <f>IFERROR(__xludf.DUMMYFUNCTION("""COMPUTED_VALUE"""),17.0)</f>
        <v>17</v>
      </c>
      <c r="F625" s="2">
        <f>IFERROR(__xludf.DUMMYFUNCTION("""COMPUTED_VALUE"""),2018.0)</f>
        <v>2018</v>
      </c>
      <c r="G625" s="2">
        <f>IFERROR(__xludf.DUMMYFUNCTION("""COMPUTED_VALUE"""),0.0)</f>
        <v>0</v>
      </c>
    </row>
    <row r="626">
      <c r="A626" s="2" t="str">
        <f>IFERROR(__xludf.DUMMYFUNCTION("""COMPUTED_VALUE"""),"Chile")</f>
        <v>Chile</v>
      </c>
      <c r="B626" s="3">
        <f>IFERROR(__xludf.DUMMYFUNCTION("""COMPUTED_VALUE"""),42492.0)</f>
        <v>42492</v>
      </c>
      <c r="C626" s="3">
        <f>IFERROR(__xludf.DUMMYFUNCTION("""COMPUTED_VALUE"""),42498.0)</f>
        <v>42498</v>
      </c>
      <c r="D626" s="2">
        <f>IFERROR(__xludf.DUMMYFUNCTION("""COMPUTED_VALUE"""),7.0)</f>
        <v>7</v>
      </c>
      <c r="E626" s="2">
        <f>IFERROR(__xludf.DUMMYFUNCTION("""COMPUTED_VALUE"""),18.0)</f>
        <v>18</v>
      </c>
      <c r="F626" s="2">
        <f>IFERROR(__xludf.DUMMYFUNCTION("""COMPUTED_VALUE"""),1882.0)</f>
        <v>1882</v>
      </c>
      <c r="G626" s="2">
        <f>IFERROR(__xludf.DUMMYFUNCTION("""COMPUTED_VALUE"""),0.0)</f>
        <v>0</v>
      </c>
    </row>
    <row r="627">
      <c r="A627" s="2" t="str">
        <f>IFERROR(__xludf.DUMMYFUNCTION("""COMPUTED_VALUE"""),"Chile")</f>
        <v>Chile</v>
      </c>
      <c r="B627" s="3">
        <f>IFERROR(__xludf.DUMMYFUNCTION("""COMPUTED_VALUE"""),42499.0)</f>
        <v>42499</v>
      </c>
      <c r="C627" s="3">
        <f>IFERROR(__xludf.DUMMYFUNCTION("""COMPUTED_VALUE"""),42505.0)</f>
        <v>42505</v>
      </c>
      <c r="D627" s="2">
        <f>IFERROR(__xludf.DUMMYFUNCTION("""COMPUTED_VALUE"""),7.0)</f>
        <v>7</v>
      </c>
      <c r="E627" s="2">
        <f>IFERROR(__xludf.DUMMYFUNCTION("""COMPUTED_VALUE"""),19.0)</f>
        <v>19</v>
      </c>
      <c r="F627" s="2">
        <f>IFERROR(__xludf.DUMMYFUNCTION("""COMPUTED_VALUE"""),1965.0)</f>
        <v>1965</v>
      </c>
      <c r="G627" s="2">
        <f>IFERROR(__xludf.DUMMYFUNCTION("""COMPUTED_VALUE"""),0.0)</f>
        <v>0</v>
      </c>
    </row>
    <row r="628">
      <c r="A628" s="2" t="str">
        <f>IFERROR(__xludf.DUMMYFUNCTION("""COMPUTED_VALUE"""),"Chile")</f>
        <v>Chile</v>
      </c>
      <c r="B628" s="3">
        <f>IFERROR(__xludf.DUMMYFUNCTION("""COMPUTED_VALUE"""),42506.0)</f>
        <v>42506</v>
      </c>
      <c r="C628" s="3">
        <f>IFERROR(__xludf.DUMMYFUNCTION("""COMPUTED_VALUE"""),42512.0)</f>
        <v>42512</v>
      </c>
      <c r="D628" s="2">
        <f>IFERROR(__xludf.DUMMYFUNCTION("""COMPUTED_VALUE"""),7.0)</f>
        <v>7</v>
      </c>
      <c r="E628" s="2">
        <f>IFERROR(__xludf.DUMMYFUNCTION("""COMPUTED_VALUE"""),20.0)</f>
        <v>20</v>
      </c>
      <c r="F628" s="2">
        <f>IFERROR(__xludf.DUMMYFUNCTION("""COMPUTED_VALUE"""),1953.0)</f>
        <v>1953</v>
      </c>
      <c r="G628" s="2">
        <f>IFERROR(__xludf.DUMMYFUNCTION("""COMPUTED_VALUE"""),0.0)</f>
        <v>0</v>
      </c>
    </row>
    <row r="629">
      <c r="A629" s="2" t="str">
        <f>IFERROR(__xludf.DUMMYFUNCTION("""COMPUTED_VALUE"""),"Chile")</f>
        <v>Chile</v>
      </c>
      <c r="B629" s="3">
        <f>IFERROR(__xludf.DUMMYFUNCTION("""COMPUTED_VALUE"""),42513.0)</f>
        <v>42513</v>
      </c>
      <c r="C629" s="3">
        <f>IFERROR(__xludf.DUMMYFUNCTION("""COMPUTED_VALUE"""),42519.0)</f>
        <v>42519</v>
      </c>
      <c r="D629" s="2">
        <f>IFERROR(__xludf.DUMMYFUNCTION("""COMPUTED_VALUE"""),7.0)</f>
        <v>7</v>
      </c>
      <c r="E629" s="2">
        <f>IFERROR(__xludf.DUMMYFUNCTION("""COMPUTED_VALUE"""),21.0)</f>
        <v>21</v>
      </c>
      <c r="F629" s="2">
        <f>IFERROR(__xludf.DUMMYFUNCTION("""COMPUTED_VALUE"""),2044.0)</f>
        <v>2044</v>
      </c>
      <c r="G629" s="2">
        <f>IFERROR(__xludf.DUMMYFUNCTION("""COMPUTED_VALUE"""),0.0)</f>
        <v>0</v>
      </c>
    </row>
    <row r="630">
      <c r="A630" s="2" t="str">
        <f>IFERROR(__xludf.DUMMYFUNCTION("""COMPUTED_VALUE"""),"Chile")</f>
        <v>Chile</v>
      </c>
      <c r="B630" s="3">
        <f>IFERROR(__xludf.DUMMYFUNCTION("""COMPUTED_VALUE"""),42520.0)</f>
        <v>42520</v>
      </c>
      <c r="C630" s="3">
        <f>IFERROR(__xludf.DUMMYFUNCTION("""COMPUTED_VALUE"""),42526.0)</f>
        <v>42526</v>
      </c>
      <c r="D630" s="2">
        <f>IFERROR(__xludf.DUMMYFUNCTION("""COMPUTED_VALUE"""),7.0)</f>
        <v>7</v>
      </c>
      <c r="E630" s="2">
        <f>IFERROR(__xludf.DUMMYFUNCTION("""COMPUTED_VALUE"""),22.0)</f>
        <v>22</v>
      </c>
      <c r="F630" s="2">
        <f>IFERROR(__xludf.DUMMYFUNCTION("""COMPUTED_VALUE"""),2021.0)</f>
        <v>2021</v>
      </c>
      <c r="G630" s="2">
        <f>IFERROR(__xludf.DUMMYFUNCTION("""COMPUTED_VALUE"""),0.0)</f>
        <v>0</v>
      </c>
    </row>
    <row r="631">
      <c r="A631" s="2" t="str">
        <f>IFERROR(__xludf.DUMMYFUNCTION("""COMPUTED_VALUE"""),"Chile")</f>
        <v>Chile</v>
      </c>
      <c r="B631" s="3">
        <f>IFERROR(__xludf.DUMMYFUNCTION("""COMPUTED_VALUE"""),42527.0)</f>
        <v>42527</v>
      </c>
      <c r="C631" s="3">
        <f>IFERROR(__xludf.DUMMYFUNCTION("""COMPUTED_VALUE"""),42533.0)</f>
        <v>42533</v>
      </c>
      <c r="D631" s="2">
        <f>IFERROR(__xludf.DUMMYFUNCTION("""COMPUTED_VALUE"""),7.0)</f>
        <v>7</v>
      </c>
      <c r="E631" s="2">
        <f>IFERROR(__xludf.DUMMYFUNCTION("""COMPUTED_VALUE"""),23.0)</f>
        <v>23</v>
      </c>
      <c r="F631" s="2">
        <f>IFERROR(__xludf.DUMMYFUNCTION("""COMPUTED_VALUE"""),2175.0)</f>
        <v>2175</v>
      </c>
      <c r="G631" s="2">
        <f>IFERROR(__xludf.DUMMYFUNCTION("""COMPUTED_VALUE"""),0.0)</f>
        <v>0</v>
      </c>
    </row>
    <row r="632">
      <c r="A632" s="2" t="str">
        <f>IFERROR(__xludf.DUMMYFUNCTION("""COMPUTED_VALUE"""),"Chile")</f>
        <v>Chile</v>
      </c>
      <c r="B632" s="3">
        <f>IFERROR(__xludf.DUMMYFUNCTION("""COMPUTED_VALUE"""),42534.0)</f>
        <v>42534</v>
      </c>
      <c r="C632" s="3">
        <f>IFERROR(__xludf.DUMMYFUNCTION("""COMPUTED_VALUE"""),42540.0)</f>
        <v>42540</v>
      </c>
      <c r="D632" s="2">
        <f>IFERROR(__xludf.DUMMYFUNCTION("""COMPUTED_VALUE"""),7.0)</f>
        <v>7</v>
      </c>
      <c r="E632" s="2">
        <f>IFERROR(__xludf.DUMMYFUNCTION("""COMPUTED_VALUE"""),24.0)</f>
        <v>24</v>
      </c>
      <c r="F632" s="2">
        <f>IFERROR(__xludf.DUMMYFUNCTION("""COMPUTED_VALUE"""),2161.0)</f>
        <v>2161</v>
      </c>
      <c r="G632" s="2">
        <f>IFERROR(__xludf.DUMMYFUNCTION("""COMPUTED_VALUE"""),0.0)</f>
        <v>0</v>
      </c>
    </row>
    <row r="633">
      <c r="A633" s="2" t="str">
        <f>IFERROR(__xludf.DUMMYFUNCTION("""COMPUTED_VALUE"""),"Chile")</f>
        <v>Chile</v>
      </c>
      <c r="B633" s="3">
        <f>IFERROR(__xludf.DUMMYFUNCTION("""COMPUTED_VALUE"""),42541.0)</f>
        <v>42541</v>
      </c>
      <c r="C633" s="3">
        <f>IFERROR(__xludf.DUMMYFUNCTION("""COMPUTED_VALUE"""),42547.0)</f>
        <v>42547</v>
      </c>
      <c r="D633" s="2">
        <f>IFERROR(__xludf.DUMMYFUNCTION("""COMPUTED_VALUE"""),7.0)</f>
        <v>7</v>
      </c>
      <c r="E633" s="2">
        <f>IFERROR(__xludf.DUMMYFUNCTION("""COMPUTED_VALUE"""),25.0)</f>
        <v>25</v>
      </c>
      <c r="F633" s="2">
        <f>IFERROR(__xludf.DUMMYFUNCTION("""COMPUTED_VALUE"""),2339.0)</f>
        <v>2339</v>
      </c>
      <c r="G633" s="2">
        <f>IFERROR(__xludf.DUMMYFUNCTION("""COMPUTED_VALUE"""),0.0)</f>
        <v>0</v>
      </c>
    </row>
    <row r="634">
      <c r="A634" s="2" t="str">
        <f>IFERROR(__xludf.DUMMYFUNCTION("""COMPUTED_VALUE"""),"Chile")</f>
        <v>Chile</v>
      </c>
      <c r="B634" s="3">
        <f>IFERROR(__xludf.DUMMYFUNCTION("""COMPUTED_VALUE"""),42548.0)</f>
        <v>42548</v>
      </c>
      <c r="C634" s="3">
        <f>IFERROR(__xludf.DUMMYFUNCTION("""COMPUTED_VALUE"""),42554.0)</f>
        <v>42554</v>
      </c>
      <c r="D634" s="2">
        <f>IFERROR(__xludf.DUMMYFUNCTION("""COMPUTED_VALUE"""),7.0)</f>
        <v>7</v>
      </c>
      <c r="E634" s="2">
        <f>IFERROR(__xludf.DUMMYFUNCTION("""COMPUTED_VALUE"""),26.0)</f>
        <v>26</v>
      </c>
      <c r="F634" s="2">
        <f>IFERROR(__xludf.DUMMYFUNCTION("""COMPUTED_VALUE"""),2375.0)</f>
        <v>2375</v>
      </c>
      <c r="G634" s="2">
        <f>IFERROR(__xludf.DUMMYFUNCTION("""COMPUTED_VALUE"""),0.0)</f>
        <v>0</v>
      </c>
    </row>
    <row r="635">
      <c r="A635" s="2" t="str">
        <f>IFERROR(__xludf.DUMMYFUNCTION("""COMPUTED_VALUE"""),"Chile")</f>
        <v>Chile</v>
      </c>
      <c r="B635" s="3">
        <f>IFERROR(__xludf.DUMMYFUNCTION("""COMPUTED_VALUE"""),42555.0)</f>
        <v>42555</v>
      </c>
      <c r="C635" s="3">
        <f>IFERROR(__xludf.DUMMYFUNCTION("""COMPUTED_VALUE"""),42561.0)</f>
        <v>42561</v>
      </c>
      <c r="D635" s="2">
        <f>IFERROR(__xludf.DUMMYFUNCTION("""COMPUTED_VALUE"""),7.0)</f>
        <v>7</v>
      </c>
      <c r="E635" s="2">
        <f>IFERROR(__xludf.DUMMYFUNCTION("""COMPUTED_VALUE"""),27.0)</f>
        <v>27</v>
      </c>
      <c r="F635" s="2">
        <f>IFERROR(__xludf.DUMMYFUNCTION("""COMPUTED_VALUE"""),2381.0)</f>
        <v>2381</v>
      </c>
      <c r="G635" s="2">
        <f>IFERROR(__xludf.DUMMYFUNCTION("""COMPUTED_VALUE"""),0.0)</f>
        <v>0</v>
      </c>
    </row>
    <row r="636">
      <c r="A636" s="2" t="str">
        <f>IFERROR(__xludf.DUMMYFUNCTION("""COMPUTED_VALUE"""),"Chile")</f>
        <v>Chile</v>
      </c>
      <c r="B636" s="3">
        <f>IFERROR(__xludf.DUMMYFUNCTION("""COMPUTED_VALUE"""),42562.0)</f>
        <v>42562</v>
      </c>
      <c r="C636" s="3">
        <f>IFERROR(__xludf.DUMMYFUNCTION("""COMPUTED_VALUE"""),42568.0)</f>
        <v>42568</v>
      </c>
      <c r="D636" s="2">
        <f>IFERROR(__xludf.DUMMYFUNCTION("""COMPUTED_VALUE"""),7.0)</f>
        <v>7</v>
      </c>
      <c r="E636" s="2">
        <f>IFERROR(__xludf.DUMMYFUNCTION("""COMPUTED_VALUE"""),28.0)</f>
        <v>28</v>
      </c>
      <c r="F636" s="2">
        <f>IFERROR(__xludf.DUMMYFUNCTION("""COMPUTED_VALUE"""),2483.0)</f>
        <v>2483</v>
      </c>
      <c r="G636" s="2">
        <f>IFERROR(__xludf.DUMMYFUNCTION("""COMPUTED_VALUE"""),0.0)</f>
        <v>0</v>
      </c>
    </row>
    <row r="637">
      <c r="A637" s="2" t="str">
        <f>IFERROR(__xludf.DUMMYFUNCTION("""COMPUTED_VALUE"""),"Chile")</f>
        <v>Chile</v>
      </c>
      <c r="B637" s="3">
        <f>IFERROR(__xludf.DUMMYFUNCTION("""COMPUTED_VALUE"""),42569.0)</f>
        <v>42569</v>
      </c>
      <c r="C637" s="3">
        <f>IFERROR(__xludf.DUMMYFUNCTION("""COMPUTED_VALUE"""),42575.0)</f>
        <v>42575</v>
      </c>
      <c r="D637" s="2">
        <f>IFERROR(__xludf.DUMMYFUNCTION("""COMPUTED_VALUE"""),7.0)</f>
        <v>7</v>
      </c>
      <c r="E637" s="2">
        <f>IFERROR(__xludf.DUMMYFUNCTION("""COMPUTED_VALUE"""),29.0)</f>
        <v>29</v>
      </c>
      <c r="F637" s="2">
        <f>IFERROR(__xludf.DUMMYFUNCTION("""COMPUTED_VALUE"""),2526.0)</f>
        <v>2526</v>
      </c>
      <c r="G637" s="2">
        <f>IFERROR(__xludf.DUMMYFUNCTION("""COMPUTED_VALUE"""),0.0)</f>
        <v>0</v>
      </c>
    </row>
    <row r="638">
      <c r="A638" s="2" t="str">
        <f>IFERROR(__xludf.DUMMYFUNCTION("""COMPUTED_VALUE"""),"Chile")</f>
        <v>Chile</v>
      </c>
      <c r="B638" s="3">
        <f>IFERROR(__xludf.DUMMYFUNCTION("""COMPUTED_VALUE"""),42576.0)</f>
        <v>42576</v>
      </c>
      <c r="C638" s="3">
        <f>IFERROR(__xludf.DUMMYFUNCTION("""COMPUTED_VALUE"""),42582.0)</f>
        <v>42582</v>
      </c>
      <c r="D638" s="2">
        <f>IFERROR(__xludf.DUMMYFUNCTION("""COMPUTED_VALUE"""),7.0)</f>
        <v>7</v>
      </c>
      <c r="E638" s="2">
        <f>IFERROR(__xludf.DUMMYFUNCTION("""COMPUTED_VALUE"""),30.0)</f>
        <v>30</v>
      </c>
      <c r="F638" s="2">
        <f>IFERROR(__xludf.DUMMYFUNCTION("""COMPUTED_VALUE"""),2301.0)</f>
        <v>2301</v>
      </c>
      <c r="G638" s="2">
        <f>IFERROR(__xludf.DUMMYFUNCTION("""COMPUTED_VALUE"""),0.0)</f>
        <v>0</v>
      </c>
    </row>
    <row r="639">
      <c r="A639" s="2" t="str">
        <f>IFERROR(__xludf.DUMMYFUNCTION("""COMPUTED_VALUE"""),"Chile")</f>
        <v>Chile</v>
      </c>
      <c r="B639" s="3">
        <f>IFERROR(__xludf.DUMMYFUNCTION("""COMPUTED_VALUE"""),42583.0)</f>
        <v>42583</v>
      </c>
      <c r="C639" s="3">
        <f>IFERROR(__xludf.DUMMYFUNCTION("""COMPUTED_VALUE"""),42589.0)</f>
        <v>42589</v>
      </c>
      <c r="D639" s="2">
        <f>IFERROR(__xludf.DUMMYFUNCTION("""COMPUTED_VALUE"""),7.0)</f>
        <v>7</v>
      </c>
      <c r="E639" s="2">
        <f>IFERROR(__xludf.DUMMYFUNCTION("""COMPUTED_VALUE"""),31.0)</f>
        <v>31</v>
      </c>
      <c r="F639" s="2">
        <f>IFERROR(__xludf.DUMMYFUNCTION("""COMPUTED_VALUE"""),2232.0)</f>
        <v>2232</v>
      </c>
      <c r="G639" s="2">
        <f>IFERROR(__xludf.DUMMYFUNCTION("""COMPUTED_VALUE"""),0.0)</f>
        <v>0</v>
      </c>
    </row>
    <row r="640">
      <c r="A640" s="2" t="str">
        <f>IFERROR(__xludf.DUMMYFUNCTION("""COMPUTED_VALUE"""),"Chile")</f>
        <v>Chile</v>
      </c>
      <c r="B640" s="3">
        <f>IFERROR(__xludf.DUMMYFUNCTION("""COMPUTED_VALUE"""),42590.0)</f>
        <v>42590</v>
      </c>
      <c r="C640" s="3">
        <f>IFERROR(__xludf.DUMMYFUNCTION("""COMPUTED_VALUE"""),42596.0)</f>
        <v>42596</v>
      </c>
      <c r="D640" s="2">
        <f>IFERROR(__xludf.DUMMYFUNCTION("""COMPUTED_VALUE"""),7.0)</f>
        <v>7</v>
      </c>
      <c r="E640" s="2">
        <f>IFERROR(__xludf.DUMMYFUNCTION("""COMPUTED_VALUE"""),32.0)</f>
        <v>32</v>
      </c>
      <c r="F640" s="2">
        <f>IFERROR(__xludf.DUMMYFUNCTION("""COMPUTED_VALUE"""),2201.0)</f>
        <v>2201</v>
      </c>
      <c r="G640" s="2">
        <f>IFERROR(__xludf.DUMMYFUNCTION("""COMPUTED_VALUE"""),0.0)</f>
        <v>0</v>
      </c>
    </row>
    <row r="641">
      <c r="A641" s="2" t="str">
        <f>IFERROR(__xludf.DUMMYFUNCTION("""COMPUTED_VALUE"""),"Chile")</f>
        <v>Chile</v>
      </c>
      <c r="B641" s="3">
        <f>IFERROR(__xludf.DUMMYFUNCTION("""COMPUTED_VALUE"""),42597.0)</f>
        <v>42597</v>
      </c>
      <c r="C641" s="3">
        <f>IFERROR(__xludf.DUMMYFUNCTION("""COMPUTED_VALUE"""),42603.0)</f>
        <v>42603</v>
      </c>
      <c r="D641" s="2">
        <f>IFERROR(__xludf.DUMMYFUNCTION("""COMPUTED_VALUE"""),7.0)</f>
        <v>7</v>
      </c>
      <c r="E641" s="2">
        <f>IFERROR(__xludf.DUMMYFUNCTION("""COMPUTED_VALUE"""),33.0)</f>
        <v>33</v>
      </c>
      <c r="F641" s="2">
        <f>IFERROR(__xludf.DUMMYFUNCTION("""COMPUTED_VALUE"""),2203.0)</f>
        <v>2203</v>
      </c>
      <c r="G641" s="2">
        <f>IFERROR(__xludf.DUMMYFUNCTION("""COMPUTED_VALUE"""),0.0)</f>
        <v>0</v>
      </c>
    </row>
    <row r="642">
      <c r="A642" s="2" t="str">
        <f>IFERROR(__xludf.DUMMYFUNCTION("""COMPUTED_VALUE"""),"Chile")</f>
        <v>Chile</v>
      </c>
      <c r="B642" s="3">
        <f>IFERROR(__xludf.DUMMYFUNCTION("""COMPUTED_VALUE"""),42604.0)</f>
        <v>42604</v>
      </c>
      <c r="C642" s="3">
        <f>IFERROR(__xludf.DUMMYFUNCTION("""COMPUTED_VALUE"""),42610.0)</f>
        <v>42610</v>
      </c>
      <c r="D642" s="2">
        <f>IFERROR(__xludf.DUMMYFUNCTION("""COMPUTED_VALUE"""),7.0)</f>
        <v>7</v>
      </c>
      <c r="E642" s="2">
        <f>IFERROR(__xludf.DUMMYFUNCTION("""COMPUTED_VALUE"""),34.0)</f>
        <v>34</v>
      </c>
      <c r="F642" s="2">
        <f>IFERROR(__xludf.DUMMYFUNCTION("""COMPUTED_VALUE"""),2144.0)</f>
        <v>2144</v>
      </c>
      <c r="G642" s="2">
        <f>IFERROR(__xludf.DUMMYFUNCTION("""COMPUTED_VALUE"""),0.0)</f>
        <v>0</v>
      </c>
    </row>
    <row r="643">
      <c r="A643" s="2" t="str">
        <f>IFERROR(__xludf.DUMMYFUNCTION("""COMPUTED_VALUE"""),"Chile")</f>
        <v>Chile</v>
      </c>
      <c r="B643" s="3">
        <f>IFERROR(__xludf.DUMMYFUNCTION("""COMPUTED_VALUE"""),42611.0)</f>
        <v>42611</v>
      </c>
      <c r="C643" s="3">
        <f>IFERROR(__xludf.DUMMYFUNCTION("""COMPUTED_VALUE"""),42617.0)</f>
        <v>42617</v>
      </c>
      <c r="D643" s="2">
        <f>IFERROR(__xludf.DUMMYFUNCTION("""COMPUTED_VALUE"""),7.0)</f>
        <v>7</v>
      </c>
      <c r="E643" s="2">
        <f>IFERROR(__xludf.DUMMYFUNCTION("""COMPUTED_VALUE"""),35.0)</f>
        <v>35</v>
      </c>
      <c r="F643" s="2">
        <f>IFERROR(__xludf.DUMMYFUNCTION("""COMPUTED_VALUE"""),2115.0)</f>
        <v>2115</v>
      </c>
      <c r="G643" s="2">
        <f>IFERROR(__xludf.DUMMYFUNCTION("""COMPUTED_VALUE"""),0.0)</f>
        <v>0</v>
      </c>
    </row>
    <row r="644">
      <c r="A644" s="2" t="str">
        <f>IFERROR(__xludf.DUMMYFUNCTION("""COMPUTED_VALUE"""),"Chile")</f>
        <v>Chile</v>
      </c>
      <c r="B644" s="3">
        <f>IFERROR(__xludf.DUMMYFUNCTION("""COMPUTED_VALUE"""),42618.0)</f>
        <v>42618</v>
      </c>
      <c r="C644" s="3">
        <f>IFERROR(__xludf.DUMMYFUNCTION("""COMPUTED_VALUE"""),42624.0)</f>
        <v>42624</v>
      </c>
      <c r="D644" s="2">
        <f>IFERROR(__xludf.DUMMYFUNCTION("""COMPUTED_VALUE"""),7.0)</f>
        <v>7</v>
      </c>
      <c r="E644" s="2">
        <f>IFERROR(__xludf.DUMMYFUNCTION("""COMPUTED_VALUE"""),36.0)</f>
        <v>36</v>
      </c>
      <c r="F644" s="2">
        <f>IFERROR(__xludf.DUMMYFUNCTION("""COMPUTED_VALUE"""),2328.0)</f>
        <v>2328</v>
      </c>
      <c r="G644" s="2">
        <f>IFERROR(__xludf.DUMMYFUNCTION("""COMPUTED_VALUE"""),0.0)</f>
        <v>0</v>
      </c>
    </row>
    <row r="645">
      <c r="A645" s="2" t="str">
        <f>IFERROR(__xludf.DUMMYFUNCTION("""COMPUTED_VALUE"""),"Chile")</f>
        <v>Chile</v>
      </c>
      <c r="B645" s="3">
        <f>IFERROR(__xludf.DUMMYFUNCTION("""COMPUTED_VALUE"""),42625.0)</f>
        <v>42625</v>
      </c>
      <c r="C645" s="3">
        <f>IFERROR(__xludf.DUMMYFUNCTION("""COMPUTED_VALUE"""),42631.0)</f>
        <v>42631</v>
      </c>
      <c r="D645" s="2">
        <f>IFERROR(__xludf.DUMMYFUNCTION("""COMPUTED_VALUE"""),7.0)</f>
        <v>7</v>
      </c>
      <c r="E645" s="2">
        <f>IFERROR(__xludf.DUMMYFUNCTION("""COMPUTED_VALUE"""),37.0)</f>
        <v>37</v>
      </c>
      <c r="F645" s="2">
        <f>IFERROR(__xludf.DUMMYFUNCTION("""COMPUTED_VALUE"""),2086.0)</f>
        <v>2086</v>
      </c>
      <c r="G645" s="2">
        <f>IFERROR(__xludf.DUMMYFUNCTION("""COMPUTED_VALUE"""),0.0)</f>
        <v>0</v>
      </c>
    </row>
    <row r="646">
      <c r="A646" s="2" t="str">
        <f>IFERROR(__xludf.DUMMYFUNCTION("""COMPUTED_VALUE"""),"Chile")</f>
        <v>Chile</v>
      </c>
      <c r="B646" s="3">
        <f>IFERROR(__xludf.DUMMYFUNCTION("""COMPUTED_VALUE"""),42632.0)</f>
        <v>42632</v>
      </c>
      <c r="C646" s="3">
        <f>IFERROR(__xludf.DUMMYFUNCTION("""COMPUTED_VALUE"""),42638.0)</f>
        <v>42638</v>
      </c>
      <c r="D646" s="2">
        <f>IFERROR(__xludf.DUMMYFUNCTION("""COMPUTED_VALUE"""),7.0)</f>
        <v>7</v>
      </c>
      <c r="E646" s="2">
        <f>IFERROR(__xludf.DUMMYFUNCTION("""COMPUTED_VALUE"""),38.0)</f>
        <v>38</v>
      </c>
      <c r="F646" s="2">
        <f>IFERROR(__xludf.DUMMYFUNCTION("""COMPUTED_VALUE"""),2156.0)</f>
        <v>2156</v>
      </c>
      <c r="G646" s="2">
        <f>IFERROR(__xludf.DUMMYFUNCTION("""COMPUTED_VALUE"""),0.0)</f>
        <v>0</v>
      </c>
    </row>
    <row r="647">
      <c r="A647" s="2" t="str">
        <f>IFERROR(__xludf.DUMMYFUNCTION("""COMPUTED_VALUE"""),"Chile")</f>
        <v>Chile</v>
      </c>
      <c r="B647" s="3">
        <f>IFERROR(__xludf.DUMMYFUNCTION("""COMPUTED_VALUE"""),42639.0)</f>
        <v>42639</v>
      </c>
      <c r="C647" s="3">
        <f>IFERROR(__xludf.DUMMYFUNCTION("""COMPUTED_VALUE"""),42645.0)</f>
        <v>42645</v>
      </c>
      <c r="D647" s="2">
        <f>IFERROR(__xludf.DUMMYFUNCTION("""COMPUTED_VALUE"""),7.0)</f>
        <v>7</v>
      </c>
      <c r="E647" s="2">
        <f>IFERROR(__xludf.DUMMYFUNCTION("""COMPUTED_VALUE"""),39.0)</f>
        <v>39</v>
      </c>
      <c r="F647" s="2">
        <f>IFERROR(__xludf.DUMMYFUNCTION("""COMPUTED_VALUE"""),2072.0)</f>
        <v>2072</v>
      </c>
      <c r="G647" s="2">
        <f>IFERROR(__xludf.DUMMYFUNCTION("""COMPUTED_VALUE"""),0.0)</f>
        <v>0</v>
      </c>
    </row>
    <row r="648">
      <c r="A648" s="2" t="str">
        <f>IFERROR(__xludf.DUMMYFUNCTION("""COMPUTED_VALUE"""),"Chile")</f>
        <v>Chile</v>
      </c>
      <c r="B648" s="3">
        <f>IFERROR(__xludf.DUMMYFUNCTION("""COMPUTED_VALUE"""),42646.0)</f>
        <v>42646</v>
      </c>
      <c r="C648" s="3">
        <f>IFERROR(__xludf.DUMMYFUNCTION("""COMPUTED_VALUE"""),42652.0)</f>
        <v>42652</v>
      </c>
      <c r="D648" s="2">
        <f>IFERROR(__xludf.DUMMYFUNCTION("""COMPUTED_VALUE"""),7.0)</f>
        <v>7</v>
      </c>
      <c r="E648" s="2">
        <f>IFERROR(__xludf.DUMMYFUNCTION("""COMPUTED_VALUE"""),40.0)</f>
        <v>40</v>
      </c>
      <c r="F648" s="2">
        <f>IFERROR(__xludf.DUMMYFUNCTION("""COMPUTED_VALUE"""),1968.0)</f>
        <v>1968</v>
      </c>
      <c r="G648" s="2">
        <f>IFERROR(__xludf.DUMMYFUNCTION("""COMPUTED_VALUE"""),0.0)</f>
        <v>0</v>
      </c>
    </row>
    <row r="649">
      <c r="A649" s="2" t="str">
        <f>IFERROR(__xludf.DUMMYFUNCTION("""COMPUTED_VALUE"""),"Chile")</f>
        <v>Chile</v>
      </c>
      <c r="B649" s="3">
        <f>IFERROR(__xludf.DUMMYFUNCTION("""COMPUTED_VALUE"""),42653.0)</f>
        <v>42653</v>
      </c>
      <c r="C649" s="3">
        <f>IFERROR(__xludf.DUMMYFUNCTION("""COMPUTED_VALUE"""),42659.0)</f>
        <v>42659</v>
      </c>
      <c r="D649" s="2">
        <f>IFERROR(__xludf.DUMMYFUNCTION("""COMPUTED_VALUE"""),7.0)</f>
        <v>7</v>
      </c>
      <c r="E649" s="2">
        <f>IFERROR(__xludf.DUMMYFUNCTION("""COMPUTED_VALUE"""),41.0)</f>
        <v>41</v>
      </c>
      <c r="F649" s="2">
        <f>IFERROR(__xludf.DUMMYFUNCTION("""COMPUTED_VALUE"""),1926.0)</f>
        <v>1926</v>
      </c>
      <c r="G649" s="2">
        <f>IFERROR(__xludf.DUMMYFUNCTION("""COMPUTED_VALUE"""),0.0)</f>
        <v>0</v>
      </c>
    </row>
    <row r="650">
      <c r="A650" s="2" t="str">
        <f>IFERROR(__xludf.DUMMYFUNCTION("""COMPUTED_VALUE"""),"Chile")</f>
        <v>Chile</v>
      </c>
      <c r="B650" s="3">
        <f>IFERROR(__xludf.DUMMYFUNCTION("""COMPUTED_VALUE"""),42660.0)</f>
        <v>42660</v>
      </c>
      <c r="C650" s="3">
        <f>IFERROR(__xludf.DUMMYFUNCTION("""COMPUTED_VALUE"""),42666.0)</f>
        <v>42666</v>
      </c>
      <c r="D650" s="2">
        <f>IFERROR(__xludf.DUMMYFUNCTION("""COMPUTED_VALUE"""),7.0)</f>
        <v>7</v>
      </c>
      <c r="E650" s="2">
        <f>IFERROR(__xludf.DUMMYFUNCTION("""COMPUTED_VALUE"""),42.0)</f>
        <v>42</v>
      </c>
      <c r="F650" s="2">
        <f>IFERROR(__xludf.DUMMYFUNCTION("""COMPUTED_VALUE"""),1891.0)</f>
        <v>1891</v>
      </c>
      <c r="G650" s="2">
        <f>IFERROR(__xludf.DUMMYFUNCTION("""COMPUTED_VALUE"""),0.0)</f>
        <v>0</v>
      </c>
    </row>
    <row r="651">
      <c r="A651" s="2" t="str">
        <f>IFERROR(__xludf.DUMMYFUNCTION("""COMPUTED_VALUE"""),"Chile")</f>
        <v>Chile</v>
      </c>
      <c r="B651" s="3">
        <f>IFERROR(__xludf.DUMMYFUNCTION("""COMPUTED_VALUE"""),42667.0)</f>
        <v>42667</v>
      </c>
      <c r="C651" s="3">
        <f>IFERROR(__xludf.DUMMYFUNCTION("""COMPUTED_VALUE"""),42673.0)</f>
        <v>42673</v>
      </c>
      <c r="D651" s="2">
        <f>IFERROR(__xludf.DUMMYFUNCTION("""COMPUTED_VALUE"""),7.0)</f>
        <v>7</v>
      </c>
      <c r="E651" s="2">
        <f>IFERROR(__xludf.DUMMYFUNCTION("""COMPUTED_VALUE"""),43.0)</f>
        <v>43</v>
      </c>
      <c r="F651" s="2">
        <f>IFERROR(__xludf.DUMMYFUNCTION("""COMPUTED_VALUE"""),1906.0)</f>
        <v>1906</v>
      </c>
      <c r="G651" s="2">
        <f>IFERROR(__xludf.DUMMYFUNCTION("""COMPUTED_VALUE"""),0.0)</f>
        <v>0</v>
      </c>
    </row>
    <row r="652">
      <c r="A652" s="2" t="str">
        <f>IFERROR(__xludf.DUMMYFUNCTION("""COMPUTED_VALUE"""),"Chile")</f>
        <v>Chile</v>
      </c>
      <c r="B652" s="3">
        <f>IFERROR(__xludf.DUMMYFUNCTION("""COMPUTED_VALUE"""),42674.0)</f>
        <v>42674</v>
      </c>
      <c r="C652" s="3">
        <f>IFERROR(__xludf.DUMMYFUNCTION("""COMPUTED_VALUE"""),42680.0)</f>
        <v>42680</v>
      </c>
      <c r="D652" s="2">
        <f>IFERROR(__xludf.DUMMYFUNCTION("""COMPUTED_VALUE"""),7.0)</f>
        <v>7</v>
      </c>
      <c r="E652" s="2">
        <f>IFERROR(__xludf.DUMMYFUNCTION("""COMPUTED_VALUE"""),44.0)</f>
        <v>44</v>
      </c>
      <c r="F652" s="2">
        <f>IFERROR(__xludf.DUMMYFUNCTION("""COMPUTED_VALUE"""),1954.0)</f>
        <v>1954</v>
      </c>
      <c r="G652" s="2">
        <f>IFERROR(__xludf.DUMMYFUNCTION("""COMPUTED_VALUE"""),0.0)</f>
        <v>0</v>
      </c>
    </row>
    <row r="653">
      <c r="A653" s="2" t="str">
        <f>IFERROR(__xludf.DUMMYFUNCTION("""COMPUTED_VALUE"""),"Chile")</f>
        <v>Chile</v>
      </c>
      <c r="B653" s="3">
        <f>IFERROR(__xludf.DUMMYFUNCTION("""COMPUTED_VALUE"""),42681.0)</f>
        <v>42681</v>
      </c>
      <c r="C653" s="3">
        <f>IFERROR(__xludf.DUMMYFUNCTION("""COMPUTED_VALUE"""),42687.0)</f>
        <v>42687</v>
      </c>
      <c r="D653" s="2">
        <f>IFERROR(__xludf.DUMMYFUNCTION("""COMPUTED_VALUE"""),7.0)</f>
        <v>7</v>
      </c>
      <c r="E653" s="2">
        <f>IFERROR(__xludf.DUMMYFUNCTION("""COMPUTED_VALUE"""),45.0)</f>
        <v>45</v>
      </c>
      <c r="F653" s="2">
        <f>IFERROR(__xludf.DUMMYFUNCTION("""COMPUTED_VALUE"""),1810.0)</f>
        <v>1810</v>
      </c>
      <c r="G653" s="2">
        <f>IFERROR(__xludf.DUMMYFUNCTION("""COMPUTED_VALUE"""),0.0)</f>
        <v>0</v>
      </c>
    </row>
    <row r="654">
      <c r="A654" s="2" t="str">
        <f>IFERROR(__xludf.DUMMYFUNCTION("""COMPUTED_VALUE"""),"Chile")</f>
        <v>Chile</v>
      </c>
      <c r="B654" s="3">
        <f>IFERROR(__xludf.DUMMYFUNCTION("""COMPUTED_VALUE"""),42688.0)</f>
        <v>42688</v>
      </c>
      <c r="C654" s="3">
        <f>IFERROR(__xludf.DUMMYFUNCTION("""COMPUTED_VALUE"""),42694.0)</f>
        <v>42694</v>
      </c>
      <c r="D654" s="2">
        <f>IFERROR(__xludf.DUMMYFUNCTION("""COMPUTED_VALUE"""),7.0)</f>
        <v>7</v>
      </c>
      <c r="E654" s="2">
        <f>IFERROR(__xludf.DUMMYFUNCTION("""COMPUTED_VALUE"""),46.0)</f>
        <v>46</v>
      </c>
      <c r="F654" s="2">
        <f>IFERROR(__xludf.DUMMYFUNCTION("""COMPUTED_VALUE"""),1808.0)</f>
        <v>1808</v>
      </c>
      <c r="G654" s="2">
        <f>IFERROR(__xludf.DUMMYFUNCTION("""COMPUTED_VALUE"""),0.0)</f>
        <v>0</v>
      </c>
    </row>
    <row r="655">
      <c r="A655" s="2" t="str">
        <f>IFERROR(__xludf.DUMMYFUNCTION("""COMPUTED_VALUE"""),"Chile")</f>
        <v>Chile</v>
      </c>
      <c r="B655" s="3">
        <f>IFERROR(__xludf.DUMMYFUNCTION("""COMPUTED_VALUE"""),42695.0)</f>
        <v>42695</v>
      </c>
      <c r="C655" s="3">
        <f>IFERROR(__xludf.DUMMYFUNCTION("""COMPUTED_VALUE"""),42701.0)</f>
        <v>42701</v>
      </c>
      <c r="D655" s="2">
        <f>IFERROR(__xludf.DUMMYFUNCTION("""COMPUTED_VALUE"""),7.0)</f>
        <v>7</v>
      </c>
      <c r="E655" s="2">
        <f>IFERROR(__xludf.DUMMYFUNCTION("""COMPUTED_VALUE"""),47.0)</f>
        <v>47</v>
      </c>
      <c r="F655" s="2">
        <f>IFERROR(__xludf.DUMMYFUNCTION("""COMPUTED_VALUE"""),1838.0)</f>
        <v>1838</v>
      </c>
      <c r="G655" s="2">
        <f>IFERROR(__xludf.DUMMYFUNCTION("""COMPUTED_VALUE"""),0.0)</f>
        <v>0</v>
      </c>
    </row>
    <row r="656">
      <c r="A656" s="2" t="str">
        <f>IFERROR(__xludf.DUMMYFUNCTION("""COMPUTED_VALUE"""),"Chile")</f>
        <v>Chile</v>
      </c>
      <c r="B656" s="3">
        <f>IFERROR(__xludf.DUMMYFUNCTION("""COMPUTED_VALUE"""),42702.0)</f>
        <v>42702</v>
      </c>
      <c r="C656" s="3">
        <f>IFERROR(__xludf.DUMMYFUNCTION("""COMPUTED_VALUE"""),42708.0)</f>
        <v>42708</v>
      </c>
      <c r="D656" s="2">
        <f>IFERROR(__xludf.DUMMYFUNCTION("""COMPUTED_VALUE"""),7.0)</f>
        <v>7</v>
      </c>
      <c r="E656" s="2">
        <f>IFERROR(__xludf.DUMMYFUNCTION("""COMPUTED_VALUE"""),48.0)</f>
        <v>48</v>
      </c>
      <c r="F656" s="2">
        <f>IFERROR(__xludf.DUMMYFUNCTION("""COMPUTED_VALUE"""),1829.0)</f>
        <v>1829</v>
      </c>
      <c r="G656" s="2">
        <f>IFERROR(__xludf.DUMMYFUNCTION("""COMPUTED_VALUE"""),0.0)</f>
        <v>0</v>
      </c>
    </row>
    <row r="657">
      <c r="A657" s="2" t="str">
        <f>IFERROR(__xludf.DUMMYFUNCTION("""COMPUTED_VALUE"""),"Chile")</f>
        <v>Chile</v>
      </c>
      <c r="B657" s="3">
        <f>IFERROR(__xludf.DUMMYFUNCTION("""COMPUTED_VALUE"""),42709.0)</f>
        <v>42709</v>
      </c>
      <c r="C657" s="3">
        <f>IFERROR(__xludf.DUMMYFUNCTION("""COMPUTED_VALUE"""),42715.0)</f>
        <v>42715</v>
      </c>
      <c r="D657" s="2">
        <f>IFERROR(__xludf.DUMMYFUNCTION("""COMPUTED_VALUE"""),7.0)</f>
        <v>7</v>
      </c>
      <c r="E657" s="2">
        <f>IFERROR(__xludf.DUMMYFUNCTION("""COMPUTED_VALUE"""),49.0)</f>
        <v>49</v>
      </c>
      <c r="F657" s="2">
        <f>IFERROR(__xludf.DUMMYFUNCTION("""COMPUTED_VALUE"""),1809.0)</f>
        <v>1809</v>
      </c>
      <c r="G657" s="2">
        <f>IFERROR(__xludf.DUMMYFUNCTION("""COMPUTED_VALUE"""),0.0)</f>
        <v>0</v>
      </c>
    </row>
    <row r="658">
      <c r="A658" s="2" t="str">
        <f>IFERROR(__xludf.DUMMYFUNCTION("""COMPUTED_VALUE"""),"Chile")</f>
        <v>Chile</v>
      </c>
      <c r="B658" s="3">
        <f>IFERROR(__xludf.DUMMYFUNCTION("""COMPUTED_VALUE"""),42716.0)</f>
        <v>42716</v>
      </c>
      <c r="C658" s="3">
        <f>IFERROR(__xludf.DUMMYFUNCTION("""COMPUTED_VALUE"""),42722.0)</f>
        <v>42722</v>
      </c>
      <c r="D658" s="2">
        <f>IFERROR(__xludf.DUMMYFUNCTION("""COMPUTED_VALUE"""),7.0)</f>
        <v>7</v>
      </c>
      <c r="E658" s="2">
        <f>IFERROR(__xludf.DUMMYFUNCTION("""COMPUTED_VALUE"""),50.0)</f>
        <v>50</v>
      </c>
      <c r="F658" s="2">
        <f>IFERROR(__xludf.DUMMYFUNCTION("""COMPUTED_VALUE"""),1863.0)</f>
        <v>1863</v>
      </c>
      <c r="G658" s="2">
        <f>IFERROR(__xludf.DUMMYFUNCTION("""COMPUTED_VALUE"""),0.0)</f>
        <v>0</v>
      </c>
    </row>
    <row r="659">
      <c r="A659" s="2" t="str">
        <f>IFERROR(__xludf.DUMMYFUNCTION("""COMPUTED_VALUE"""),"Chile")</f>
        <v>Chile</v>
      </c>
      <c r="B659" s="3">
        <f>IFERROR(__xludf.DUMMYFUNCTION("""COMPUTED_VALUE"""),42723.0)</f>
        <v>42723</v>
      </c>
      <c r="C659" s="3">
        <f>IFERROR(__xludf.DUMMYFUNCTION("""COMPUTED_VALUE"""),42729.0)</f>
        <v>42729</v>
      </c>
      <c r="D659" s="2">
        <f>IFERROR(__xludf.DUMMYFUNCTION("""COMPUTED_VALUE"""),7.0)</f>
        <v>7</v>
      </c>
      <c r="E659" s="2">
        <f>IFERROR(__xludf.DUMMYFUNCTION("""COMPUTED_VALUE"""),51.0)</f>
        <v>51</v>
      </c>
      <c r="F659" s="2">
        <f>IFERROR(__xludf.DUMMYFUNCTION("""COMPUTED_VALUE"""),1827.0)</f>
        <v>1827</v>
      </c>
      <c r="G659" s="2">
        <f>IFERROR(__xludf.DUMMYFUNCTION("""COMPUTED_VALUE"""),0.0)</f>
        <v>0</v>
      </c>
    </row>
    <row r="660">
      <c r="A660" s="2" t="str">
        <f>IFERROR(__xludf.DUMMYFUNCTION("""COMPUTED_VALUE"""),"Chile")</f>
        <v>Chile</v>
      </c>
      <c r="B660" s="3">
        <f>IFERROR(__xludf.DUMMYFUNCTION("""COMPUTED_VALUE"""),42730.0)</f>
        <v>42730</v>
      </c>
      <c r="C660" s="3">
        <f>IFERROR(__xludf.DUMMYFUNCTION("""COMPUTED_VALUE"""),42736.0)</f>
        <v>42736</v>
      </c>
      <c r="D660" s="2">
        <f>IFERROR(__xludf.DUMMYFUNCTION("""COMPUTED_VALUE"""),7.0)</f>
        <v>7</v>
      </c>
      <c r="E660" s="2">
        <f>IFERROR(__xludf.DUMMYFUNCTION("""COMPUTED_VALUE"""),52.0)</f>
        <v>52</v>
      </c>
      <c r="F660" s="2">
        <f>IFERROR(__xludf.DUMMYFUNCTION("""COMPUTED_VALUE"""),1642.0)</f>
        <v>1642</v>
      </c>
      <c r="G660" s="2">
        <f>IFERROR(__xludf.DUMMYFUNCTION("""COMPUTED_VALUE"""),0.0)</f>
        <v>0</v>
      </c>
    </row>
    <row r="661">
      <c r="A661" s="2" t="str">
        <f>IFERROR(__xludf.DUMMYFUNCTION("""COMPUTED_VALUE"""),"Chile")</f>
        <v>Chile</v>
      </c>
      <c r="B661" s="3">
        <f>IFERROR(__xludf.DUMMYFUNCTION("""COMPUTED_VALUE"""),42737.0)</f>
        <v>42737</v>
      </c>
      <c r="C661" s="3">
        <f>IFERROR(__xludf.DUMMYFUNCTION("""COMPUTED_VALUE"""),42743.0)</f>
        <v>42743</v>
      </c>
      <c r="D661" s="2">
        <f>IFERROR(__xludf.DUMMYFUNCTION("""COMPUTED_VALUE"""),7.0)</f>
        <v>7</v>
      </c>
      <c r="E661" s="2">
        <f>IFERROR(__xludf.DUMMYFUNCTION("""COMPUTED_VALUE"""),1.0)</f>
        <v>1</v>
      </c>
      <c r="F661" s="2">
        <f>IFERROR(__xludf.DUMMYFUNCTION("""COMPUTED_VALUE"""),1878.0)</f>
        <v>1878</v>
      </c>
      <c r="G661" s="2">
        <f>IFERROR(__xludf.DUMMYFUNCTION("""COMPUTED_VALUE"""),0.0)</f>
        <v>0</v>
      </c>
    </row>
    <row r="662">
      <c r="A662" s="2" t="str">
        <f>IFERROR(__xludf.DUMMYFUNCTION("""COMPUTED_VALUE"""),"Chile")</f>
        <v>Chile</v>
      </c>
      <c r="B662" s="3">
        <f>IFERROR(__xludf.DUMMYFUNCTION("""COMPUTED_VALUE"""),42744.0)</f>
        <v>42744</v>
      </c>
      <c r="C662" s="3">
        <f>IFERROR(__xludf.DUMMYFUNCTION("""COMPUTED_VALUE"""),42750.0)</f>
        <v>42750</v>
      </c>
      <c r="D662" s="2">
        <f>IFERROR(__xludf.DUMMYFUNCTION("""COMPUTED_VALUE"""),7.0)</f>
        <v>7</v>
      </c>
      <c r="E662" s="2">
        <f>IFERROR(__xludf.DUMMYFUNCTION("""COMPUTED_VALUE"""),2.0)</f>
        <v>2</v>
      </c>
      <c r="F662" s="2">
        <f>IFERROR(__xludf.DUMMYFUNCTION("""COMPUTED_VALUE"""),1868.0)</f>
        <v>1868</v>
      </c>
      <c r="G662" s="2">
        <f>IFERROR(__xludf.DUMMYFUNCTION("""COMPUTED_VALUE"""),0.0)</f>
        <v>0</v>
      </c>
    </row>
    <row r="663">
      <c r="A663" s="2" t="str">
        <f>IFERROR(__xludf.DUMMYFUNCTION("""COMPUTED_VALUE"""),"Chile")</f>
        <v>Chile</v>
      </c>
      <c r="B663" s="3">
        <f>IFERROR(__xludf.DUMMYFUNCTION("""COMPUTED_VALUE"""),42751.0)</f>
        <v>42751</v>
      </c>
      <c r="C663" s="3">
        <f>IFERROR(__xludf.DUMMYFUNCTION("""COMPUTED_VALUE"""),42757.0)</f>
        <v>42757</v>
      </c>
      <c r="D663" s="2">
        <f>IFERROR(__xludf.DUMMYFUNCTION("""COMPUTED_VALUE"""),7.0)</f>
        <v>7</v>
      </c>
      <c r="E663" s="2">
        <f>IFERROR(__xludf.DUMMYFUNCTION("""COMPUTED_VALUE"""),3.0)</f>
        <v>3</v>
      </c>
      <c r="F663" s="2">
        <f>IFERROR(__xludf.DUMMYFUNCTION("""COMPUTED_VALUE"""),2034.0)</f>
        <v>2034</v>
      </c>
      <c r="G663" s="2">
        <f>IFERROR(__xludf.DUMMYFUNCTION("""COMPUTED_VALUE"""),0.0)</f>
        <v>0</v>
      </c>
    </row>
    <row r="664">
      <c r="A664" s="2" t="str">
        <f>IFERROR(__xludf.DUMMYFUNCTION("""COMPUTED_VALUE"""),"Chile")</f>
        <v>Chile</v>
      </c>
      <c r="B664" s="3">
        <f>IFERROR(__xludf.DUMMYFUNCTION("""COMPUTED_VALUE"""),42758.0)</f>
        <v>42758</v>
      </c>
      <c r="C664" s="3">
        <f>IFERROR(__xludf.DUMMYFUNCTION("""COMPUTED_VALUE"""),42764.0)</f>
        <v>42764</v>
      </c>
      <c r="D664" s="2">
        <f>IFERROR(__xludf.DUMMYFUNCTION("""COMPUTED_VALUE"""),7.0)</f>
        <v>7</v>
      </c>
      <c r="E664" s="2">
        <f>IFERROR(__xludf.DUMMYFUNCTION("""COMPUTED_VALUE"""),4.0)</f>
        <v>4</v>
      </c>
      <c r="F664" s="2">
        <f>IFERROR(__xludf.DUMMYFUNCTION("""COMPUTED_VALUE"""),2082.0)</f>
        <v>2082</v>
      </c>
      <c r="G664" s="2">
        <f>IFERROR(__xludf.DUMMYFUNCTION("""COMPUTED_VALUE"""),0.0)</f>
        <v>0</v>
      </c>
    </row>
    <row r="665">
      <c r="A665" s="2" t="str">
        <f>IFERROR(__xludf.DUMMYFUNCTION("""COMPUTED_VALUE"""),"Chile")</f>
        <v>Chile</v>
      </c>
      <c r="B665" s="3">
        <f>IFERROR(__xludf.DUMMYFUNCTION("""COMPUTED_VALUE"""),42765.0)</f>
        <v>42765</v>
      </c>
      <c r="C665" s="3">
        <f>IFERROR(__xludf.DUMMYFUNCTION("""COMPUTED_VALUE"""),42771.0)</f>
        <v>42771</v>
      </c>
      <c r="D665" s="2">
        <f>IFERROR(__xludf.DUMMYFUNCTION("""COMPUTED_VALUE"""),7.0)</f>
        <v>7</v>
      </c>
      <c r="E665" s="2">
        <f>IFERROR(__xludf.DUMMYFUNCTION("""COMPUTED_VALUE"""),5.0)</f>
        <v>5</v>
      </c>
      <c r="F665" s="2">
        <f>IFERROR(__xludf.DUMMYFUNCTION("""COMPUTED_VALUE"""),1891.0)</f>
        <v>1891</v>
      </c>
      <c r="G665" s="2">
        <f>IFERROR(__xludf.DUMMYFUNCTION("""COMPUTED_VALUE"""),0.0)</f>
        <v>0</v>
      </c>
    </row>
    <row r="666">
      <c r="A666" s="2" t="str">
        <f>IFERROR(__xludf.DUMMYFUNCTION("""COMPUTED_VALUE"""),"Chile")</f>
        <v>Chile</v>
      </c>
      <c r="B666" s="3">
        <f>IFERROR(__xludf.DUMMYFUNCTION("""COMPUTED_VALUE"""),42772.0)</f>
        <v>42772</v>
      </c>
      <c r="C666" s="3">
        <f>IFERROR(__xludf.DUMMYFUNCTION("""COMPUTED_VALUE"""),42778.0)</f>
        <v>42778</v>
      </c>
      <c r="D666" s="2">
        <f>IFERROR(__xludf.DUMMYFUNCTION("""COMPUTED_VALUE"""),7.0)</f>
        <v>7</v>
      </c>
      <c r="E666" s="2">
        <f>IFERROR(__xludf.DUMMYFUNCTION("""COMPUTED_VALUE"""),6.0)</f>
        <v>6</v>
      </c>
      <c r="F666" s="2">
        <f>IFERROR(__xludf.DUMMYFUNCTION("""COMPUTED_VALUE"""),1788.0)</f>
        <v>1788</v>
      </c>
      <c r="G666" s="2">
        <f>IFERROR(__xludf.DUMMYFUNCTION("""COMPUTED_VALUE"""),0.0)</f>
        <v>0</v>
      </c>
    </row>
    <row r="667">
      <c r="A667" s="2" t="str">
        <f>IFERROR(__xludf.DUMMYFUNCTION("""COMPUTED_VALUE"""),"Chile")</f>
        <v>Chile</v>
      </c>
      <c r="B667" s="3">
        <f>IFERROR(__xludf.DUMMYFUNCTION("""COMPUTED_VALUE"""),42779.0)</f>
        <v>42779</v>
      </c>
      <c r="C667" s="3">
        <f>IFERROR(__xludf.DUMMYFUNCTION("""COMPUTED_VALUE"""),42785.0)</f>
        <v>42785</v>
      </c>
      <c r="D667" s="2">
        <f>IFERROR(__xludf.DUMMYFUNCTION("""COMPUTED_VALUE"""),7.0)</f>
        <v>7</v>
      </c>
      <c r="E667" s="2">
        <f>IFERROR(__xludf.DUMMYFUNCTION("""COMPUTED_VALUE"""),7.0)</f>
        <v>7</v>
      </c>
      <c r="F667" s="2">
        <f>IFERROR(__xludf.DUMMYFUNCTION("""COMPUTED_VALUE"""),1813.0)</f>
        <v>1813</v>
      </c>
      <c r="G667" s="2">
        <f>IFERROR(__xludf.DUMMYFUNCTION("""COMPUTED_VALUE"""),0.0)</f>
        <v>0</v>
      </c>
    </row>
    <row r="668">
      <c r="A668" s="2" t="str">
        <f>IFERROR(__xludf.DUMMYFUNCTION("""COMPUTED_VALUE"""),"Chile")</f>
        <v>Chile</v>
      </c>
      <c r="B668" s="3">
        <f>IFERROR(__xludf.DUMMYFUNCTION("""COMPUTED_VALUE"""),42786.0)</f>
        <v>42786</v>
      </c>
      <c r="C668" s="3">
        <f>IFERROR(__xludf.DUMMYFUNCTION("""COMPUTED_VALUE"""),42792.0)</f>
        <v>42792</v>
      </c>
      <c r="D668" s="2">
        <f>IFERROR(__xludf.DUMMYFUNCTION("""COMPUTED_VALUE"""),7.0)</f>
        <v>7</v>
      </c>
      <c r="E668" s="2">
        <f>IFERROR(__xludf.DUMMYFUNCTION("""COMPUTED_VALUE"""),8.0)</f>
        <v>8</v>
      </c>
      <c r="F668" s="2">
        <f>IFERROR(__xludf.DUMMYFUNCTION("""COMPUTED_VALUE"""),1969.0)</f>
        <v>1969</v>
      </c>
      <c r="G668" s="2">
        <f>IFERROR(__xludf.DUMMYFUNCTION("""COMPUTED_VALUE"""),0.0)</f>
        <v>0</v>
      </c>
    </row>
    <row r="669">
      <c r="A669" s="2" t="str">
        <f>IFERROR(__xludf.DUMMYFUNCTION("""COMPUTED_VALUE"""),"Chile")</f>
        <v>Chile</v>
      </c>
      <c r="B669" s="3">
        <f>IFERROR(__xludf.DUMMYFUNCTION("""COMPUTED_VALUE"""),42793.0)</f>
        <v>42793</v>
      </c>
      <c r="C669" s="3">
        <f>IFERROR(__xludf.DUMMYFUNCTION("""COMPUTED_VALUE"""),42799.0)</f>
        <v>42799</v>
      </c>
      <c r="D669" s="2">
        <f>IFERROR(__xludf.DUMMYFUNCTION("""COMPUTED_VALUE"""),7.0)</f>
        <v>7</v>
      </c>
      <c r="E669" s="2">
        <f>IFERROR(__xludf.DUMMYFUNCTION("""COMPUTED_VALUE"""),9.0)</f>
        <v>9</v>
      </c>
      <c r="F669" s="2">
        <f>IFERROR(__xludf.DUMMYFUNCTION("""COMPUTED_VALUE"""),1730.0)</f>
        <v>1730</v>
      </c>
      <c r="G669" s="2">
        <f>IFERROR(__xludf.DUMMYFUNCTION("""COMPUTED_VALUE"""),0.0)</f>
        <v>0</v>
      </c>
    </row>
    <row r="670">
      <c r="A670" s="2" t="str">
        <f>IFERROR(__xludf.DUMMYFUNCTION("""COMPUTED_VALUE"""),"Chile")</f>
        <v>Chile</v>
      </c>
      <c r="B670" s="3">
        <f>IFERROR(__xludf.DUMMYFUNCTION("""COMPUTED_VALUE"""),42800.0)</f>
        <v>42800</v>
      </c>
      <c r="C670" s="3">
        <f>IFERROR(__xludf.DUMMYFUNCTION("""COMPUTED_VALUE"""),42806.0)</f>
        <v>42806</v>
      </c>
      <c r="D670" s="2">
        <f>IFERROR(__xludf.DUMMYFUNCTION("""COMPUTED_VALUE"""),7.0)</f>
        <v>7</v>
      </c>
      <c r="E670" s="2">
        <f>IFERROR(__xludf.DUMMYFUNCTION("""COMPUTED_VALUE"""),10.0)</f>
        <v>10</v>
      </c>
      <c r="F670" s="2">
        <f>IFERROR(__xludf.DUMMYFUNCTION("""COMPUTED_VALUE"""),1739.0)</f>
        <v>1739</v>
      </c>
      <c r="G670" s="2">
        <f>IFERROR(__xludf.DUMMYFUNCTION("""COMPUTED_VALUE"""),0.0)</f>
        <v>0</v>
      </c>
    </row>
    <row r="671">
      <c r="A671" s="2" t="str">
        <f>IFERROR(__xludf.DUMMYFUNCTION("""COMPUTED_VALUE"""),"Chile")</f>
        <v>Chile</v>
      </c>
      <c r="B671" s="3">
        <f>IFERROR(__xludf.DUMMYFUNCTION("""COMPUTED_VALUE"""),42807.0)</f>
        <v>42807</v>
      </c>
      <c r="C671" s="3">
        <f>IFERROR(__xludf.DUMMYFUNCTION("""COMPUTED_VALUE"""),42813.0)</f>
        <v>42813</v>
      </c>
      <c r="D671" s="2">
        <f>IFERROR(__xludf.DUMMYFUNCTION("""COMPUTED_VALUE"""),7.0)</f>
        <v>7</v>
      </c>
      <c r="E671" s="2">
        <f>IFERROR(__xludf.DUMMYFUNCTION("""COMPUTED_VALUE"""),11.0)</f>
        <v>11</v>
      </c>
      <c r="F671" s="2">
        <f>IFERROR(__xludf.DUMMYFUNCTION("""COMPUTED_VALUE"""),1754.0)</f>
        <v>1754</v>
      </c>
      <c r="G671" s="2">
        <f>IFERROR(__xludf.DUMMYFUNCTION("""COMPUTED_VALUE"""),0.0)</f>
        <v>0</v>
      </c>
    </row>
    <row r="672">
      <c r="A672" s="2" t="str">
        <f>IFERROR(__xludf.DUMMYFUNCTION("""COMPUTED_VALUE"""),"Chile")</f>
        <v>Chile</v>
      </c>
      <c r="B672" s="3">
        <f>IFERROR(__xludf.DUMMYFUNCTION("""COMPUTED_VALUE"""),42814.0)</f>
        <v>42814</v>
      </c>
      <c r="C672" s="3">
        <f>IFERROR(__xludf.DUMMYFUNCTION("""COMPUTED_VALUE"""),42820.0)</f>
        <v>42820</v>
      </c>
      <c r="D672" s="2">
        <f>IFERROR(__xludf.DUMMYFUNCTION("""COMPUTED_VALUE"""),7.0)</f>
        <v>7</v>
      </c>
      <c r="E672" s="2">
        <f>IFERROR(__xludf.DUMMYFUNCTION("""COMPUTED_VALUE"""),12.0)</f>
        <v>12</v>
      </c>
      <c r="F672" s="2">
        <f>IFERROR(__xludf.DUMMYFUNCTION("""COMPUTED_VALUE"""),1770.0)</f>
        <v>1770</v>
      </c>
      <c r="G672" s="2">
        <f>IFERROR(__xludf.DUMMYFUNCTION("""COMPUTED_VALUE"""),0.0)</f>
        <v>0</v>
      </c>
    </row>
    <row r="673">
      <c r="A673" s="2" t="str">
        <f>IFERROR(__xludf.DUMMYFUNCTION("""COMPUTED_VALUE"""),"Chile")</f>
        <v>Chile</v>
      </c>
      <c r="B673" s="3">
        <f>IFERROR(__xludf.DUMMYFUNCTION("""COMPUTED_VALUE"""),42821.0)</f>
        <v>42821</v>
      </c>
      <c r="C673" s="3">
        <f>IFERROR(__xludf.DUMMYFUNCTION("""COMPUTED_VALUE"""),42827.0)</f>
        <v>42827</v>
      </c>
      <c r="D673" s="2">
        <f>IFERROR(__xludf.DUMMYFUNCTION("""COMPUTED_VALUE"""),7.0)</f>
        <v>7</v>
      </c>
      <c r="E673" s="2">
        <f>IFERROR(__xludf.DUMMYFUNCTION("""COMPUTED_VALUE"""),13.0)</f>
        <v>13</v>
      </c>
      <c r="F673" s="2">
        <f>IFERROR(__xludf.DUMMYFUNCTION("""COMPUTED_VALUE"""),1800.0)</f>
        <v>1800</v>
      </c>
      <c r="G673" s="2">
        <f>IFERROR(__xludf.DUMMYFUNCTION("""COMPUTED_VALUE"""),0.0)</f>
        <v>0</v>
      </c>
    </row>
    <row r="674">
      <c r="A674" s="2" t="str">
        <f>IFERROR(__xludf.DUMMYFUNCTION("""COMPUTED_VALUE"""),"Chile")</f>
        <v>Chile</v>
      </c>
      <c r="B674" s="3">
        <f>IFERROR(__xludf.DUMMYFUNCTION("""COMPUTED_VALUE"""),42828.0)</f>
        <v>42828</v>
      </c>
      <c r="C674" s="3">
        <f>IFERROR(__xludf.DUMMYFUNCTION("""COMPUTED_VALUE"""),42834.0)</f>
        <v>42834</v>
      </c>
      <c r="D674" s="2">
        <f>IFERROR(__xludf.DUMMYFUNCTION("""COMPUTED_VALUE"""),7.0)</f>
        <v>7</v>
      </c>
      <c r="E674" s="2">
        <f>IFERROR(__xludf.DUMMYFUNCTION("""COMPUTED_VALUE"""),14.0)</f>
        <v>14</v>
      </c>
      <c r="F674" s="2">
        <f>IFERROR(__xludf.DUMMYFUNCTION("""COMPUTED_VALUE"""),1895.0)</f>
        <v>1895</v>
      </c>
      <c r="G674" s="2">
        <f>IFERROR(__xludf.DUMMYFUNCTION("""COMPUTED_VALUE"""),0.0)</f>
        <v>0</v>
      </c>
    </row>
    <row r="675">
      <c r="A675" s="2" t="str">
        <f>IFERROR(__xludf.DUMMYFUNCTION("""COMPUTED_VALUE"""),"Chile")</f>
        <v>Chile</v>
      </c>
      <c r="B675" s="3">
        <f>IFERROR(__xludf.DUMMYFUNCTION("""COMPUTED_VALUE"""),42835.0)</f>
        <v>42835</v>
      </c>
      <c r="C675" s="3">
        <f>IFERROR(__xludf.DUMMYFUNCTION("""COMPUTED_VALUE"""),42841.0)</f>
        <v>42841</v>
      </c>
      <c r="D675" s="2">
        <f>IFERROR(__xludf.DUMMYFUNCTION("""COMPUTED_VALUE"""),7.0)</f>
        <v>7</v>
      </c>
      <c r="E675" s="2">
        <f>IFERROR(__xludf.DUMMYFUNCTION("""COMPUTED_VALUE"""),15.0)</f>
        <v>15</v>
      </c>
      <c r="F675" s="2">
        <f>IFERROR(__xludf.DUMMYFUNCTION("""COMPUTED_VALUE"""),1949.0)</f>
        <v>1949</v>
      </c>
      <c r="G675" s="2">
        <f>IFERROR(__xludf.DUMMYFUNCTION("""COMPUTED_VALUE"""),0.0)</f>
        <v>0</v>
      </c>
    </row>
    <row r="676">
      <c r="A676" s="2" t="str">
        <f>IFERROR(__xludf.DUMMYFUNCTION("""COMPUTED_VALUE"""),"Chile")</f>
        <v>Chile</v>
      </c>
      <c r="B676" s="3">
        <f>IFERROR(__xludf.DUMMYFUNCTION("""COMPUTED_VALUE"""),42842.0)</f>
        <v>42842</v>
      </c>
      <c r="C676" s="3">
        <f>IFERROR(__xludf.DUMMYFUNCTION("""COMPUTED_VALUE"""),42848.0)</f>
        <v>42848</v>
      </c>
      <c r="D676" s="2">
        <f>IFERROR(__xludf.DUMMYFUNCTION("""COMPUTED_VALUE"""),7.0)</f>
        <v>7</v>
      </c>
      <c r="E676" s="2">
        <f>IFERROR(__xludf.DUMMYFUNCTION("""COMPUTED_VALUE"""),16.0)</f>
        <v>16</v>
      </c>
      <c r="F676" s="2">
        <f>IFERROR(__xludf.DUMMYFUNCTION("""COMPUTED_VALUE"""),1847.0)</f>
        <v>1847</v>
      </c>
      <c r="G676" s="2">
        <f>IFERROR(__xludf.DUMMYFUNCTION("""COMPUTED_VALUE"""),0.0)</f>
        <v>0</v>
      </c>
    </row>
    <row r="677">
      <c r="A677" s="2" t="str">
        <f>IFERROR(__xludf.DUMMYFUNCTION("""COMPUTED_VALUE"""),"Chile")</f>
        <v>Chile</v>
      </c>
      <c r="B677" s="3">
        <f>IFERROR(__xludf.DUMMYFUNCTION("""COMPUTED_VALUE"""),42849.0)</f>
        <v>42849</v>
      </c>
      <c r="C677" s="3">
        <f>IFERROR(__xludf.DUMMYFUNCTION("""COMPUTED_VALUE"""),42855.0)</f>
        <v>42855</v>
      </c>
      <c r="D677" s="2">
        <f>IFERROR(__xludf.DUMMYFUNCTION("""COMPUTED_VALUE"""),7.0)</f>
        <v>7</v>
      </c>
      <c r="E677" s="2">
        <f>IFERROR(__xludf.DUMMYFUNCTION("""COMPUTED_VALUE"""),17.0)</f>
        <v>17</v>
      </c>
      <c r="F677" s="2">
        <f>IFERROR(__xludf.DUMMYFUNCTION("""COMPUTED_VALUE"""),1970.0)</f>
        <v>1970</v>
      </c>
      <c r="G677" s="2">
        <f>IFERROR(__xludf.DUMMYFUNCTION("""COMPUTED_VALUE"""),0.0)</f>
        <v>0</v>
      </c>
    </row>
    <row r="678">
      <c r="A678" s="2" t="str">
        <f>IFERROR(__xludf.DUMMYFUNCTION("""COMPUTED_VALUE"""),"Chile")</f>
        <v>Chile</v>
      </c>
      <c r="B678" s="3">
        <f>IFERROR(__xludf.DUMMYFUNCTION("""COMPUTED_VALUE"""),42856.0)</f>
        <v>42856</v>
      </c>
      <c r="C678" s="3">
        <f>IFERROR(__xludf.DUMMYFUNCTION("""COMPUTED_VALUE"""),42862.0)</f>
        <v>42862</v>
      </c>
      <c r="D678" s="2">
        <f>IFERROR(__xludf.DUMMYFUNCTION("""COMPUTED_VALUE"""),7.0)</f>
        <v>7</v>
      </c>
      <c r="E678" s="2">
        <f>IFERROR(__xludf.DUMMYFUNCTION("""COMPUTED_VALUE"""),18.0)</f>
        <v>18</v>
      </c>
      <c r="F678" s="2">
        <f>IFERROR(__xludf.DUMMYFUNCTION("""COMPUTED_VALUE"""),1964.0)</f>
        <v>1964</v>
      </c>
      <c r="G678" s="2">
        <f>IFERROR(__xludf.DUMMYFUNCTION("""COMPUTED_VALUE"""),0.0)</f>
        <v>0</v>
      </c>
    </row>
    <row r="679">
      <c r="A679" s="2" t="str">
        <f>IFERROR(__xludf.DUMMYFUNCTION("""COMPUTED_VALUE"""),"Chile")</f>
        <v>Chile</v>
      </c>
      <c r="B679" s="3">
        <f>IFERROR(__xludf.DUMMYFUNCTION("""COMPUTED_VALUE"""),42863.0)</f>
        <v>42863</v>
      </c>
      <c r="C679" s="3">
        <f>IFERROR(__xludf.DUMMYFUNCTION("""COMPUTED_VALUE"""),42869.0)</f>
        <v>42869</v>
      </c>
      <c r="D679" s="2">
        <f>IFERROR(__xludf.DUMMYFUNCTION("""COMPUTED_VALUE"""),7.0)</f>
        <v>7</v>
      </c>
      <c r="E679" s="2">
        <f>IFERROR(__xludf.DUMMYFUNCTION("""COMPUTED_VALUE"""),19.0)</f>
        <v>19</v>
      </c>
      <c r="F679" s="2">
        <f>IFERROR(__xludf.DUMMYFUNCTION("""COMPUTED_VALUE"""),1921.0)</f>
        <v>1921</v>
      </c>
      <c r="G679" s="2">
        <f>IFERROR(__xludf.DUMMYFUNCTION("""COMPUTED_VALUE"""),0.0)</f>
        <v>0</v>
      </c>
    </row>
    <row r="680">
      <c r="A680" s="2" t="str">
        <f>IFERROR(__xludf.DUMMYFUNCTION("""COMPUTED_VALUE"""),"Chile")</f>
        <v>Chile</v>
      </c>
      <c r="B680" s="3">
        <f>IFERROR(__xludf.DUMMYFUNCTION("""COMPUTED_VALUE"""),42870.0)</f>
        <v>42870</v>
      </c>
      <c r="C680" s="3">
        <f>IFERROR(__xludf.DUMMYFUNCTION("""COMPUTED_VALUE"""),42876.0)</f>
        <v>42876</v>
      </c>
      <c r="D680" s="2">
        <f>IFERROR(__xludf.DUMMYFUNCTION("""COMPUTED_VALUE"""),7.0)</f>
        <v>7</v>
      </c>
      <c r="E680" s="2">
        <f>IFERROR(__xludf.DUMMYFUNCTION("""COMPUTED_VALUE"""),20.0)</f>
        <v>20</v>
      </c>
      <c r="F680" s="2">
        <f>IFERROR(__xludf.DUMMYFUNCTION("""COMPUTED_VALUE"""),2025.0)</f>
        <v>2025</v>
      </c>
      <c r="G680" s="2">
        <f>IFERROR(__xludf.DUMMYFUNCTION("""COMPUTED_VALUE"""),0.0)</f>
        <v>0</v>
      </c>
    </row>
    <row r="681">
      <c r="A681" s="2" t="str">
        <f>IFERROR(__xludf.DUMMYFUNCTION("""COMPUTED_VALUE"""),"Chile")</f>
        <v>Chile</v>
      </c>
      <c r="B681" s="3">
        <f>IFERROR(__xludf.DUMMYFUNCTION("""COMPUTED_VALUE"""),42877.0)</f>
        <v>42877</v>
      </c>
      <c r="C681" s="3">
        <f>IFERROR(__xludf.DUMMYFUNCTION("""COMPUTED_VALUE"""),42883.0)</f>
        <v>42883</v>
      </c>
      <c r="D681" s="2">
        <f>IFERROR(__xludf.DUMMYFUNCTION("""COMPUTED_VALUE"""),7.0)</f>
        <v>7</v>
      </c>
      <c r="E681" s="2">
        <f>IFERROR(__xludf.DUMMYFUNCTION("""COMPUTED_VALUE"""),21.0)</f>
        <v>21</v>
      </c>
      <c r="F681" s="2">
        <f>IFERROR(__xludf.DUMMYFUNCTION("""COMPUTED_VALUE"""),2210.0)</f>
        <v>2210</v>
      </c>
      <c r="G681" s="2">
        <f>IFERROR(__xludf.DUMMYFUNCTION("""COMPUTED_VALUE"""),0.0)</f>
        <v>0</v>
      </c>
    </row>
    <row r="682">
      <c r="A682" s="2" t="str">
        <f>IFERROR(__xludf.DUMMYFUNCTION("""COMPUTED_VALUE"""),"Chile")</f>
        <v>Chile</v>
      </c>
      <c r="B682" s="3">
        <f>IFERROR(__xludf.DUMMYFUNCTION("""COMPUTED_VALUE"""),42884.0)</f>
        <v>42884</v>
      </c>
      <c r="C682" s="3">
        <f>IFERROR(__xludf.DUMMYFUNCTION("""COMPUTED_VALUE"""),42890.0)</f>
        <v>42890</v>
      </c>
      <c r="D682" s="2">
        <f>IFERROR(__xludf.DUMMYFUNCTION("""COMPUTED_VALUE"""),7.0)</f>
        <v>7</v>
      </c>
      <c r="E682" s="2">
        <f>IFERROR(__xludf.DUMMYFUNCTION("""COMPUTED_VALUE"""),22.0)</f>
        <v>22</v>
      </c>
      <c r="F682" s="2">
        <f>IFERROR(__xludf.DUMMYFUNCTION("""COMPUTED_VALUE"""),2334.0)</f>
        <v>2334</v>
      </c>
      <c r="G682" s="2">
        <f>IFERROR(__xludf.DUMMYFUNCTION("""COMPUTED_VALUE"""),0.0)</f>
        <v>0</v>
      </c>
    </row>
    <row r="683">
      <c r="A683" s="2" t="str">
        <f>IFERROR(__xludf.DUMMYFUNCTION("""COMPUTED_VALUE"""),"Chile")</f>
        <v>Chile</v>
      </c>
      <c r="B683" s="3">
        <f>IFERROR(__xludf.DUMMYFUNCTION("""COMPUTED_VALUE"""),42891.0)</f>
        <v>42891</v>
      </c>
      <c r="C683" s="3">
        <f>IFERROR(__xludf.DUMMYFUNCTION("""COMPUTED_VALUE"""),42897.0)</f>
        <v>42897</v>
      </c>
      <c r="D683" s="2">
        <f>IFERROR(__xludf.DUMMYFUNCTION("""COMPUTED_VALUE"""),7.0)</f>
        <v>7</v>
      </c>
      <c r="E683" s="2">
        <f>IFERROR(__xludf.DUMMYFUNCTION("""COMPUTED_VALUE"""),23.0)</f>
        <v>23</v>
      </c>
      <c r="F683" s="2">
        <f>IFERROR(__xludf.DUMMYFUNCTION("""COMPUTED_VALUE"""),2376.0)</f>
        <v>2376</v>
      </c>
      <c r="G683" s="2">
        <f>IFERROR(__xludf.DUMMYFUNCTION("""COMPUTED_VALUE"""),0.0)</f>
        <v>0</v>
      </c>
    </row>
    <row r="684">
      <c r="A684" s="2" t="str">
        <f>IFERROR(__xludf.DUMMYFUNCTION("""COMPUTED_VALUE"""),"Chile")</f>
        <v>Chile</v>
      </c>
      <c r="B684" s="3">
        <f>IFERROR(__xludf.DUMMYFUNCTION("""COMPUTED_VALUE"""),42898.0)</f>
        <v>42898</v>
      </c>
      <c r="C684" s="3">
        <f>IFERROR(__xludf.DUMMYFUNCTION("""COMPUTED_VALUE"""),42904.0)</f>
        <v>42904</v>
      </c>
      <c r="D684" s="2">
        <f>IFERROR(__xludf.DUMMYFUNCTION("""COMPUTED_VALUE"""),7.0)</f>
        <v>7</v>
      </c>
      <c r="E684" s="2">
        <f>IFERROR(__xludf.DUMMYFUNCTION("""COMPUTED_VALUE"""),24.0)</f>
        <v>24</v>
      </c>
      <c r="F684" s="2">
        <f>IFERROR(__xludf.DUMMYFUNCTION("""COMPUTED_VALUE"""),2640.0)</f>
        <v>2640</v>
      </c>
      <c r="G684" s="2">
        <f>IFERROR(__xludf.DUMMYFUNCTION("""COMPUTED_VALUE"""),0.0)</f>
        <v>0</v>
      </c>
    </row>
    <row r="685">
      <c r="A685" s="2" t="str">
        <f>IFERROR(__xludf.DUMMYFUNCTION("""COMPUTED_VALUE"""),"Chile")</f>
        <v>Chile</v>
      </c>
      <c r="B685" s="3">
        <f>IFERROR(__xludf.DUMMYFUNCTION("""COMPUTED_VALUE"""),42905.0)</f>
        <v>42905</v>
      </c>
      <c r="C685" s="3">
        <f>IFERROR(__xludf.DUMMYFUNCTION("""COMPUTED_VALUE"""),42911.0)</f>
        <v>42911</v>
      </c>
      <c r="D685" s="2">
        <f>IFERROR(__xludf.DUMMYFUNCTION("""COMPUTED_VALUE"""),7.0)</f>
        <v>7</v>
      </c>
      <c r="E685" s="2">
        <f>IFERROR(__xludf.DUMMYFUNCTION("""COMPUTED_VALUE"""),25.0)</f>
        <v>25</v>
      </c>
      <c r="F685" s="2">
        <f>IFERROR(__xludf.DUMMYFUNCTION("""COMPUTED_VALUE"""),2639.0)</f>
        <v>2639</v>
      </c>
      <c r="G685" s="2">
        <f>IFERROR(__xludf.DUMMYFUNCTION("""COMPUTED_VALUE"""),0.0)</f>
        <v>0</v>
      </c>
    </row>
    <row r="686">
      <c r="A686" s="2" t="str">
        <f>IFERROR(__xludf.DUMMYFUNCTION("""COMPUTED_VALUE"""),"Chile")</f>
        <v>Chile</v>
      </c>
      <c r="B686" s="3">
        <f>IFERROR(__xludf.DUMMYFUNCTION("""COMPUTED_VALUE"""),42912.0)</f>
        <v>42912</v>
      </c>
      <c r="C686" s="3">
        <f>IFERROR(__xludf.DUMMYFUNCTION("""COMPUTED_VALUE"""),42918.0)</f>
        <v>42918</v>
      </c>
      <c r="D686" s="2">
        <f>IFERROR(__xludf.DUMMYFUNCTION("""COMPUTED_VALUE"""),7.0)</f>
        <v>7</v>
      </c>
      <c r="E686" s="2">
        <f>IFERROR(__xludf.DUMMYFUNCTION("""COMPUTED_VALUE"""),26.0)</f>
        <v>26</v>
      </c>
      <c r="F686" s="2">
        <f>IFERROR(__xludf.DUMMYFUNCTION("""COMPUTED_VALUE"""),2525.0)</f>
        <v>2525</v>
      </c>
      <c r="G686" s="2">
        <f>IFERROR(__xludf.DUMMYFUNCTION("""COMPUTED_VALUE"""),0.0)</f>
        <v>0</v>
      </c>
    </row>
    <row r="687">
      <c r="A687" s="2" t="str">
        <f>IFERROR(__xludf.DUMMYFUNCTION("""COMPUTED_VALUE"""),"Chile")</f>
        <v>Chile</v>
      </c>
      <c r="B687" s="3">
        <f>IFERROR(__xludf.DUMMYFUNCTION("""COMPUTED_VALUE"""),42919.0)</f>
        <v>42919</v>
      </c>
      <c r="C687" s="3">
        <f>IFERROR(__xludf.DUMMYFUNCTION("""COMPUTED_VALUE"""),42925.0)</f>
        <v>42925</v>
      </c>
      <c r="D687" s="2">
        <f>IFERROR(__xludf.DUMMYFUNCTION("""COMPUTED_VALUE"""),7.0)</f>
        <v>7</v>
      </c>
      <c r="E687" s="2">
        <f>IFERROR(__xludf.DUMMYFUNCTION("""COMPUTED_VALUE"""),27.0)</f>
        <v>27</v>
      </c>
      <c r="F687" s="2">
        <f>IFERROR(__xludf.DUMMYFUNCTION("""COMPUTED_VALUE"""),2387.0)</f>
        <v>2387</v>
      </c>
      <c r="G687" s="2">
        <f>IFERROR(__xludf.DUMMYFUNCTION("""COMPUTED_VALUE"""),0.0)</f>
        <v>0</v>
      </c>
    </row>
    <row r="688">
      <c r="A688" s="2" t="str">
        <f>IFERROR(__xludf.DUMMYFUNCTION("""COMPUTED_VALUE"""),"Chile")</f>
        <v>Chile</v>
      </c>
      <c r="B688" s="3">
        <f>IFERROR(__xludf.DUMMYFUNCTION("""COMPUTED_VALUE"""),42926.0)</f>
        <v>42926</v>
      </c>
      <c r="C688" s="3">
        <f>IFERROR(__xludf.DUMMYFUNCTION("""COMPUTED_VALUE"""),42932.0)</f>
        <v>42932</v>
      </c>
      <c r="D688" s="2">
        <f>IFERROR(__xludf.DUMMYFUNCTION("""COMPUTED_VALUE"""),7.0)</f>
        <v>7</v>
      </c>
      <c r="E688" s="2">
        <f>IFERROR(__xludf.DUMMYFUNCTION("""COMPUTED_VALUE"""),28.0)</f>
        <v>28</v>
      </c>
      <c r="F688" s="2">
        <f>IFERROR(__xludf.DUMMYFUNCTION("""COMPUTED_VALUE"""),2308.0)</f>
        <v>2308</v>
      </c>
      <c r="G688" s="2">
        <f>IFERROR(__xludf.DUMMYFUNCTION("""COMPUTED_VALUE"""),0.0)</f>
        <v>0</v>
      </c>
    </row>
    <row r="689">
      <c r="A689" s="2" t="str">
        <f>IFERROR(__xludf.DUMMYFUNCTION("""COMPUTED_VALUE"""),"Chile")</f>
        <v>Chile</v>
      </c>
      <c r="B689" s="3">
        <f>IFERROR(__xludf.DUMMYFUNCTION("""COMPUTED_VALUE"""),42933.0)</f>
        <v>42933</v>
      </c>
      <c r="C689" s="3">
        <f>IFERROR(__xludf.DUMMYFUNCTION("""COMPUTED_VALUE"""),42939.0)</f>
        <v>42939</v>
      </c>
      <c r="D689" s="2">
        <f>IFERROR(__xludf.DUMMYFUNCTION("""COMPUTED_VALUE"""),7.0)</f>
        <v>7</v>
      </c>
      <c r="E689" s="2">
        <f>IFERROR(__xludf.DUMMYFUNCTION("""COMPUTED_VALUE"""),29.0)</f>
        <v>29</v>
      </c>
      <c r="F689" s="2">
        <f>IFERROR(__xludf.DUMMYFUNCTION("""COMPUTED_VALUE"""),2419.0)</f>
        <v>2419</v>
      </c>
      <c r="G689" s="2">
        <f>IFERROR(__xludf.DUMMYFUNCTION("""COMPUTED_VALUE"""),0.0)</f>
        <v>0</v>
      </c>
    </row>
    <row r="690">
      <c r="A690" s="2" t="str">
        <f>IFERROR(__xludf.DUMMYFUNCTION("""COMPUTED_VALUE"""),"Chile")</f>
        <v>Chile</v>
      </c>
      <c r="B690" s="3">
        <f>IFERROR(__xludf.DUMMYFUNCTION("""COMPUTED_VALUE"""),42940.0)</f>
        <v>42940</v>
      </c>
      <c r="C690" s="3">
        <f>IFERROR(__xludf.DUMMYFUNCTION("""COMPUTED_VALUE"""),42946.0)</f>
        <v>42946</v>
      </c>
      <c r="D690" s="2">
        <f>IFERROR(__xludf.DUMMYFUNCTION("""COMPUTED_VALUE"""),7.0)</f>
        <v>7</v>
      </c>
      <c r="E690" s="2">
        <f>IFERROR(__xludf.DUMMYFUNCTION("""COMPUTED_VALUE"""),30.0)</f>
        <v>30</v>
      </c>
      <c r="F690" s="2">
        <f>IFERROR(__xludf.DUMMYFUNCTION("""COMPUTED_VALUE"""),2339.0)</f>
        <v>2339</v>
      </c>
      <c r="G690" s="2">
        <f>IFERROR(__xludf.DUMMYFUNCTION("""COMPUTED_VALUE"""),0.0)</f>
        <v>0</v>
      </c>
    </row>
    <row r="691">
      <c r="A691" s="2" t="str">
        <f>IFERROR(__xludf.DUMMYFUNCTION("""COMPUTED_VALUE"""),"Chile")</f>
        <v>Chile</v>
      </c>
      <c r="B691" s="3">
        <f>IFERROR(__xludf.DUMMYFUNCTION("""COMPUTED_VALUE"""),42947.0)</f>
        <v>42947</v>
      </c>
      <c r="C691" s="3">
        <f>IFERROR(__xludf.DUMMYFUNCTION("""COMPUTED_VALUE"""),42953.0)</f>
        <v>42953</v>
      </c>
      <c r="D691" s="2">
        <f>IFERROR(__xludf.DUMMYFUNCTION("""COMPUTED_VALUE"""),7.0)</f>
        <v>7</v>
      </c>
      <c r="E691" s="2">
        <f>IFERROR(__xludf.DUMMYFUNCTION("""COMPUTED_VALUE"""),31.0)</f>
        <v>31</v>
      </c>
      <c r="F691" s="2">
        <f>IFERROR(__xludf.DUMMYFUNCTION("""COMPUTED_VALUE"""),2289.0)</f>
        <v>2289</v>
      </c>
      <c r="G691" s="2">
        <f>IFERROR(__xludf.DUMMYFUNCTION("""COMPUTED_VALUE"""),0.0)</f>
        <v>0</v>
      </c>
    </row>
    <row r="692">
      <c r="A692" s="2" t="str">
        <f>IFERROR(__xludf.DUMMYFUNCTION("""COMPUTED_VALUE"""),"Chile")</f>
        <v>Chile</v>
      </c>
      <c r="B692" s="3">
        <f>IFERROR(__xludf.DUMMYFUNCTION("""COMPUTED_VALUE"""),42954.0)</f>
        <v>42954</v>
      </c>
      <c r="C692" s="3">
        <f>IFERROR(__xludf.DUMMYFUNCTION("""COMPUTED_VALUE"""),42960.0)</f>
        <v>42960</v>
      </c>
      <c r="D692" s="2">
        <f>IFERROR(__xludf.DUMMYFUNCTION("""COMPUTED_VALUE"""),7.0)</f>
        <v>7</v>
      </c>
      <c r="E692" s="2">
        <f>IFERROR(__xludf.DUMMYFUNCTION("""COMPUTED_VALUE"""),32.0)</f>
        <v>32</v>
      </c>
      <c r="F692" s="2">
        <f>IFERROR(__xludf.DUMMYFUNCTION("""COMPUTED_VALUE"""),2197.0)</f>
        <v>2197</v>
      </c>
      <c r="G692" s="2">
        <f>IFERROR(__xludf.DUMMYFUNCTION("""COMPUTED_VALUE"""),0.0)</f>
        <v>0</v>
      </c>
    </row>
    <row r="693">
      <c r="A693" s="2" t="str">
        <f>IFERROR(__xludf.DUMMYFUNCTION("""COMPUTED_VALUE"""),"Chile")</f>
        <v>Chile</v>
      </c>
      <c r="B693" s="3">
        <f>IFERROR(__xludf.DUMMYFUNCTION("""COMPUTED_VALUE"""),42961.0)</f>
        <v>42961</v>
      </c>
      <c r="C693" s="3">
        <f>IFERROR(__xludf.DUMMYFUNCTION("""COMPUTED_VALUE"""),42967.0)</f>
        <v>42967</v>
      </c>
      <c r="D693" s="2">
        <f>IFERROR(__xludf.DUMMYFUNCTION("""COMPUTED_VALUE"""),7.0)</f>
        <v>7</v>
      </c>
      <c r="E693" s="2">
        <f>IFERROR(__xludf.DUMMYFUNCTION("""COMPUTED_VALUE"""),33.0)</f>
        <v>33</v>
      </c>
      <c r="F693" s="2">
        <f>IFERROR(__xludf.DUMMYFUNCTION("""COMPUTED_VALUE"""),2175.0)</f>
        <v>2175</v>
      </c>
      <c r="G693" s="2">
        <f>IFERROR(__xludf.DUMMYFUNCTION("""COMPUTED_VALUE"""),0.0)</f>
        <v>0</v>
      </c>
    </row>
    <row r="694">
      <c r="A694" s="2" t="str">
        <f>IFERROR(__xludf.DUMMYFUNCTION("""COMPUTED_VALUE"""),"Chile")</f>
        <v>Chile</v>
      </c>
      <c r="B694" s="3">
        <f>IFERROR(__xludf.DUMMYFUNCTION("""COMPUTED_VALUE"""),42968.0)</f>
        <v>42968</v>
      </c>
      <c r="C694" s="3">
        <f>IFERROR(__xludf.DUMMYFUNCTION("""COMPUTED_VALUE"""),42974.0)</f>
        <v>42974</v>
      </c>
      <c r="D694" s="2">
        <f>IFERROR(__xludf.DUMMYFUNCTION("""COMPUTED_VALUE"""),7.0)</f>
        <v>7</v>
      </c>
      <c r="E694" s="2">
        <f>IFERROR(__xludf.DUMMYFUNCTION("""COMPUTED_VALUE"""),34.0)</f>
        <v>34</v>
      </c>
      <c r="F694" s="2">
        <f>IFERROR(__xludf.DUMMYFUNCTION("""COMPUTED_VALUE"""),2121.0)</f>
        <v>2121</v>
      </c>
      <c r="G694" s="2">
        <f>IFERROR(__xludf.DUMMYFUNCTION("""COMPUTED_VALUE"""),0.0)</f>
        <v>0</v>
      </c>
    </row>
    <row r="695">
      <c r="A695" s="2" t="str">
        <f>IFERROR(__xludf.DUMMYFUNCTION("""COMPUTED_VALUE"""),"Chile")</f>
        <v>Chile</v>
      </c>
      <c r="B695" s="3">
        <f>IFERROR(__xludf.DUMMYFUNCTION("""COMPUTED_VALUE"""),42975.0)</f>
        <v>42975</v>
      </c>
      <c r="C695" s="3">
        <f>IFERROR(__xludf.DUMMYFUNCTION("""COMPUTED_VALUE"""),42981.0)</f>
        <v>42981</v>
      </c>
      <c r="D695" s="2">
        <f>IFERROR(__xludf.DUMMYFUNCTION("""COMPUTED_VALUE"""),7.0)</f>
        <v>7</v>
      </c>
      <c r="E695" s="2">
        <f>IFERROR(__xludf.DUMMYFUNCTION("""COMPUTED_VALUE"""),35.0)</f>
        <v>35</v>
      </c>
      <c r="F695" s="2">
        <f>IFERROR(__xludf.DUMMYFUNCTION("""COMPUTED_VALUE"""),2146.0)</f>
        <v>2146</v>
      </c>
      <c r="G695" s="2">
        <f>IFERROR(__xludf.DUMMYFUNCTION("""COMPUTED_VALUE"""),0.0)</f>
        <v>0</v>
      </c>
    </row>
    <row r="696">
      <c r="A696" s="2" t="str">
        <f>IFERROR(__xludf.DUMMYFUNCTION("""COMPUTED_VALUE"""),"Chile")</f>
        <v>Chile</v>
      </c>
      <c r="B696" s="3">
        <f>IFERROR(__xludf.DUMMYFUNCTION("""COMPUTED_VALUE"""),42982.0)</f>
        <v>42982</v>
      </c>
      <c r="C696" s="3">
        <f>IFERROR(__xludf.DUMMYFUNCTION("""COMPUTED_VALUE"""),42988.0)</f>
        <v>42988</v>
      </c>
      <c r="D696" s="2">
        <f>IFERROR(__xludf.DUMMYFUNCTION("""COMPUTED_VALUE"""),7.0)</f>
        <v>7</v>
      </c>
      <c r="E696" s="2">
        <f>IFERROR(__xludf.DUMMYFUNCTION("""COMPUTED_VALUE"""),36.0)</f>
        <v>36</v>
      </c>
      <c r="F696" s="2">
        <f>IFERROR(__xludf.DUMMYFUNCTION("""COMPUTED_VALUE"""),2106.0)</f>
        <v>2106</v>
      </c>
      <c r="G696" s="2">
        <f>IFERROR(__xludf.DUMMYFUNCTION("""COMPUTED_VALUE"""),0.0)</f>
        <v>0</v>
      </c>
    </row>
    <row r="697">
      <c r="A697" s="2" t="str">
        <f>IFERROR(__xludf.DUMMYFUNCTION("""COMPUTED_VALUE"""),"Chile")</f>
        <v>Chile</v>
      </c>
      <c r="B697" s="3">
        <f>IFERROR(__xludf.DUMMYFUNCTION("""COMPUTED_VALUE"""),42989.0)</f>
        <v>42989</v>
      </c>
      <c r="C697" s="3">
        <f>IFERROR(__xludf.DUMMYFUNCTION("""COMPUTED_VALUE"""),42995.0)</f>
        <v>42995</v>
      </c>
      <c r="D697" s="2">
        <f>IFERROR(__xludf.DUMMYFUNCTION("""COMPUTED_VALUE"""),7.0)</f>
        <v>7</v>
      </c>
      <c r="E697" s="2">
        <f>IFERROR(__xludf.DUMMYFUNCTION("""COMPUTED_VALUE"""),37.0)</f>
        <v>37</v>
      </c>
      <c r="F697" s="2">
        <f>IFERROR(__xludf.DUMMYFUNCTION("""COMPUTED_VALUE"""),2181.0)</f>
        <v>2181</v>
      </c>
      <c r="G697" s="2">
        <f>IFERROR(__xludf.DUMMYFUNCTION("""COMPUTED_VALUE"""),0.0)</f>
        <v>0</v>
      </c>
    </row>
    <row r="698">
      <c r="A698" s="2" t="str">
        <f>IFERROR(__xludf.DUMMYFUNCTION("""COMPUTED_VALUE"""),"Chile")</f>
        <v>Chile</v>
      </c>
      <c r="B698" s="3">
        <f>IFERROR(__xludf.DUMMYFUNCTION("""COMPUTED_VALUE"""),42996.0)</f>
        <v>42996</v>
      </c>
      <c r="C698" s="3">
        <f>IFERROR(__xludf.DUMMYFUNCTION("""COMPUTED_VALUE"""),43002.0)</f>
        <v>43002</v>
      </c>
      <c r="D698" s="2">
        <f>IFERROR(__xludf.DUMMYFUNCTION("""COMPUTED_VALUE"""),7.0)</f>
        <v>7</v>
      </c>
      <c r="E698" s="2">
        <f>IFERROR(__xludf.DUMMYFUNCTION("""COMPUTED_VALUE"""),38.0)</f>
        <v>38</v>
      </c>
      <c r="F698" s="2">
        <f>IFERROR(__xludf.DUMMYFUNCTION("""COMPUTED_VALUE"""),2258.0)</f>
        <v>2258</v>
      </c>
      <c r="G698" s="2">
        <f>IFERROR(__xludf.DUMMYFUNCTION("""COMPUTED_VALUE"""),0.0)</f>
        <v>0</v>
      </c>
    </row>
    <row r="699">
      <c r="A699" s="2" t="str">
        <f>IFERROR(__xludf.DUMMYFUNCTION("""COMPUTED_VALUE"""),"Chile")</f>
        <v>Chile</v>
      </c>
      <c r="B699" s="3">
        <f>IFERROR(__xludf.DUMMYFUNCTION("""COMPUTED_VALUE"""),43003.0)</f>
        <v>43003</v>
      </c>
      <c r="C699" s="3">
        <f>IFERROR(__xludf.DUMMYFUNCTION("""COMPUTED_VALUE"""),43009.0)</f>
        <v>43009</v>
      </c>
      <c r="D699" s="2">
        <f>IFERROR(__xludf.DUMMYFUNCTION("""COMPUTED_VALUE"""),7.0)</f>
        <v>7</v>
      </c>
      <c r="E699" s="2">
        <f>IFERROR(__xludf.DUMMYFUNCTION("""COMPUTED_VALUE"""),39.0)</f>
        <v>39</v>
      </c>
      <c r="F699" s="2">
        <f>IFERROR(__xludf.DUMMYFUNCTION("""COMPUTED_VALUE"""),2102.0)</f>
        <v>2102</v>
      </c>
      <c r="G699" s="2">
        <f>IFERROR(__xludf.DUMMYFUNCTION("""COMPUTED_VALUE"""),0.0)</f>
        <v>0</v>
      </c>
    </row>
    <row r="700">
      <c r="A700" s="2" t="str">
        <f>IFERROR(__xludf.DUMMYFUNCTION("""COMPUTED_VALUE"""),"Chile")</f>
        <v>Chile</v>
      </c>
      <c r="B700" s="3">
        <f>IFERROR(__xludf.DUMMYFUNCTION("""COMPUTED_VALUE"""),43010.0)</f>
        <v>43010</v>
      </c>
      <c r="C700" s="3">
        <f>IFERROR(__xludf.DUMMYFUNCTION("""COMPUTED_VALUE"""),43016.0)</f>
        <v>43016</v>
      </c>
      <c r="D700" s="2">
        <f>IFERROR(__xludf.DUMMYFUNCTION("""COMPUTED_VALUE"""),7.0)</f>
        <v>7</v>
      </c>
      <c r="E700" s="2">
        <f>IFERROR(__xludf.DUMMYFUNCTION("""COMPUTED_VALUE"""),40.0)</f>
        <v>40</v>
      </c>
      <c r="F700" s="2">
        <f>IFERROR(__xludf.DUMMYFUNCTION("""COMPUTED_VALUE"""),2088.0)</f>
        <v>2088</v>
      </c>
      <c r="G700" s="2">
        <f>IFERROR(__xludf.DUMMYFUNCTION("""COMPUTED_VALUE"""),0.0)</f>
        <v>0</v>
      </c>
    </row>
    <row r="701">
      <c r="A701" s="2" t="str">
        <f>IFERROR(__xludf.DUMMYFUNCTION("""COMPUTED_VALUE"""),"Chile")</f>
        <v>Chile</v>
      </c>
      <c r="B701" s="3">
        <f>IFERROR(__xludf.DUMMYFUNCTION("""COMPUTED_VALUE"""),43017.0)</f>
        <v>43017</v>
      </c>
      <c r="C701" s="3">
        <f>IFERROR(__xludf.DUMMYFUNCTION("""COMPUTED_VALUE"""),43023.0)</f>
        <v>43023</v>
      </c>
      <c r="D701" s="2">
        <f>IFERROR(__xludf.DUMMYFUNCTION("""COMPUTED_VALUE"""),7.0)</f>
        <v>7</v>
      </c>
      <c r="E701" s="2">
        <f>IFERROR(__xludf.DUMMYFUNCTION("""COMPUTED_VALUE"""),41.0)</f>
        <v>41</v>
      </c>
      <c r="F701" s="2">
        <f>IFERROR(__xludf.DUMMYFUNCTION("""COMPUTED_VALUE"""),1987.0)</f>
        <v>1987</v>
      </c>
      <c r="G701" s="2">
        <f>IFERROR(__xludf.DUMMYFUNCTION("""COMPUTED_VALUE"""),0.0)</f>
        <v>0</v>
      </c>
    </row>
    <row r="702">
      <c r="A702" s="2" t="str">
        <f>IFERROR(__xludf.DUMMYFUNCTION("""COMPUTED_VALUE"""),"Chile")</f>
        <v>Chile</v>
      </c>
      <c r="B702" s="3">
        <f>IFERROR(__xludf.DUMMYFUNCTION("""COMPUTED_VALUE"""),43024.0)</f>
        <v>43024</v>
      </c>
      <c r="C702" s="3">
        <f>IFERROR(__xludf.DUMMYFUNCTION("""COMPUTED_VALUE"""),43030.0)</f>
        <v>43030</v>
      </c>
      <c r="D702" s="2">
        <f>IFERROR(__xludf.DUMMYFUNCTION("""COMPUTED_VALUE"""),7.0)</f>
        <v>7</v>
      </c>
      <c r="E702" s="2">
        <f>IFERROR(__xludf.DUMMYFUNCTION("""COMPUTED_VALUE"""),42.0)</f>
        <v>42</v>
      </c>
      <c r="F702" s="2">
        <f>IFERROR(__xludf.DUMMYFUNCTION("""COMPUTED_VALUE"""),1965.0)</f>
        <v>1965</v>
      </c>
      <c r="G702" s="2">
        <f>IFERROR(__xludf.DUMMYFUNCTION("""COMPUTED_VALUE"""),0.0)</f>
        <v>0</v>
      </c>
    </row>
    <row r="703">
      <c r="A703" s="2" t="str">
        <f>IFERROR(__xludf.DUMMYFUNCTION("""COMPUTED_VALUE"""),"Chile")</f>
        <v>Chile</v>
      </c>
      <c r="B703" s="3">
        <f>IFERROR(__xludf.DUMMYFUNCTION("""COMPUTED_VALUE"""),43031.0)</f>
        <v>43031</v>
      </c>
      <c r="C703" s="3">
        <f>IFERROR(__xludf.DUMMYFUNCTION("""COMPUTED_VALUE"""),43037.0)</f>
        <v>43037</v>
      </c>
      <c r="D703" s="2">
        <f>IFERROR(__xludf.DUMMYFUNCTION("""COMPUTED_VALUE"""),7.0)</f>
        <v>7</v>
      </c>
      <c r="E703" s="2">
        <f>IFERROR(__xludf.DUMMYFUNCTION("""COMPUTED_VALUE"""),43.0)</f>
        <v>43</v>
      </c>
      <c r="F703" s="2">
        <f>IFERROR(__xludf.DUMMYFUNCTION("""COMPUTED_VALUE"""),1871.0)</f>
        <v>1871</v>
      </c>
      <c r="G703" s="2">
        <f>IFERROR(__xludf.DUMMYFUNCTION("""COMPUTED_VALUE"""),0.0)</f>
        <v>0</v>
      </c>
    </row>
    <row r="704">
      <c r="A704" s="2" t="str">
        <f>IFERROR(__xludf.DUMMYFUNCTION("""COMPUTED_VALUE"""),"Chile")</f>
        <v>Chile</v>
      </c>
      <c r="B704" s="3">
        <f>IFERROR(__xludf.DUMMYFUNCTION("""COMPUTED_VALUE"""),43038.0)</f>
        <v>43038</v>
      </c>
      <c r="C704" s="3">
        <f>IFERROR(__xludf.DUMMYFUNCTION("""COMPUTED_VALUE"""),43044.0)</f>
        <v>43044</v>
      </c>
      <c r="D704" s="2">
        <f>IFERROR(__xludf.DUMMYFUNCTION("""COMPUTED_VALUE"""),7.0)</f>
        <v>7</v>
      </c>
      <c r="E704" s="2">
        <f>IFERROR(__xludf.DUMMYFUNCTION("""COMPUTED_VALUE"""),44.0)</f>
        <v>44</v>
      </c>
      <c r="F704" s="2">
        <f>IFERROR(__xludf.DUMMYFUNCTION("""COMPUTED_VALUE"""),1836.0)</f>
        <v>1836</v>
      </c>
      <c r="G704" s="2">
        <f>IFERROR(__xludf.DUMMYFUNCTION("""COMPUTED_VALUE"""),0.0)</f>
        <v>0</v>
      </c>
    </row>
    <row r="705">
      <c r="A705" s="2" t="str">
        <f>IFERROR(__xludf.DUMMYFUNCTION("""COMPUTED_VALUE"""),"Chile")</f>
        <v>Chile</v>
      </c>
      <c r="B705" s="3">
        <f>IFERROR(__xludf.DUMMYFUNCTION("""COMPUTED_VALUE"""),43045.0)</f>
        <v>43045</v>
      </c>
      <c r="C705" s="3">
        <f>IFERROR(__xludf.DUMMYFUNCTION("""COMPUTED_VALUE"""),43051.0)</f>
        <v>43051</v>
      </c>
      <c r="D705" s="2">
        <f>IFERROR(__xludf.DUMMYFUNCTION("""COMPUTED_VALUE"""),7.0)</f>
        <v>7</v>
      </c>
      <c r="E705" s="2">
        <f>IFERROR(__xludf.DUMMYFUNCTION("""COMPUTED_VALUE"""),45.0)</f>
        <v>45</v>
      </c>
      <c r="F705" s="2">
        <f>IFERROR(__xludf.DUMMYFUNCTION("""COMPUTED_VALUE"""),1977.0)</f>
        <v>1977</v>
      </c>
      <c r="G705" s="2">
        <f>IFERROR(__xludf.DUMMYFUNCTION("""COMPUTED_VALUE"""),0.0)</f>
        <v>0</v>
      </c>
    </row>
    <row r="706">
      <c r="A706" s="2" t="str">
        <f>IFERROR(__xludf.DUMMYFUNCTION("""COMPUTED_VALUE"""),"Chile")</f>
        <v>Chile</v>
      </c>
      <c r="B706" s="3">
        <f>IFERROR(__xludf.DUMMYFUNCTION("""COMPUTED_VALUE"""),43052.0)</f>
        <v>43052</v>
      </c>
      <c r="C706" s="3">
        <f>IFERROR(__xludf.DUMMYFUNCTION("""COMPUTED_VALUE"""),43058.0)</f>
        <v>43058</v>
      </c>
      <c r="D706" s="2">
        <f>IFERROR(__xludf.DUMMYFUNCTION("""COMPUTED_VALUE"""),7.0)</f>
        <v>7</v>
      </c>
      <c r="E706" s="2">
        <f>IFERROR(__xludf.DUMMYFUNCTION("""COMPUTED_VALUE"""),46.0)</f>
        <v>46</v>
      </c>
      <c r="F706" s="2">
        <f>IFERROR(__xludf.DUMMYFUNCTION("""COMPUTED_VALUE"""),1826.0)</f>
        <v>1826</v>
      </c>
      <c r="G706" s="2">
        <f>IFERROR(__xludf.DUMMYFUNCTION("""COMPUTED_VALUE"""),0.0)</f>
        <v>0</v>
      </c>
    </row>
    <row r="707">
      <c r="A707" s="2" t="str">
        <f>IFERROR(__xludf.DUMMYFUNCTION("""COMPUTED_VALUE"""),"Chile")</f>
        <v>Chile</v>
      </c>
      <c r="B707" s="3">
        <f>IFERROR(__xludf.DUMMYFUNCTION("""COMPUTED_VALUE"""),43059.0)</f>
        <v>43059</v>
      </c>
      <c r="C707" s="3">
        <f>IFERROR(__xludf.DUMMYFUNCTION("""COMPUTED_VALUE"""),43065.0)</f>
        <v>43065</v>
      </c>
      <c r="D707" s="2">
        <f>IFERROR(__xludf.DUMMYFUNCTION("""COMPUTED_VALUE"""),7.0)</f>
        <v>7</v>
      </c>
      <c r="E707" s="2">
        <f>IFERROR(__xludf.DUMMYFUNCTION("""COMPUTED_VALUE"""),47.0)</f>
        <v>47</v>
      </c>
      <c r="F707" s="2">
        <f>IFERROR(__xludf.DUMMYFUNCTION("""COMPUTED_VALUE"""),1936.0)</f>
        <v>1936</v>
      </c>
      <c r="G707" s="2">
        <f>IFERROR(__xludf.DUMMYFUNCTION("""COMPUTED_VALUE"""),0.0)</f>
        <v>0</v>
      </c>
    </row>
    <row r="708">
      <c r="A708" s="2" t="str">
        <f>IFERROR(__xludf.DUMMYFUNCTION("""COMPUTED_VALUE"""),"Chile")</f>
        <v>Chile</v>
      </c>
      <c r="B708" s="3">
        <f>IFERROR(__xludf.DUMMYFUNCTION("""COMPUTED_VALUE"""),43066.0)</f>
        <v>43066</v>
      </c>
      <c r="C708" s="3">
        <f>IFERROR(__xludf.DUMMYFUNCTION("""COMPUTED_VALUE"""),43072.0)</f>
        <v>43072</v>
      </c>
      <c r="D708" s="2">
        <f>IFERROR(__xludf.DUMMYFUNCTION("""COMPUTED_VALUE"""),7.0)</f>
        <v>7</v>
      </c>
      <c r="E708" s="2">
        <f>IFERROR(__xludf.DUMMYFUNCTION("""COMPUTED_VALUE"""),48.0)</f>
        <v>48</v>
      </c>
      <c r="F708" s="2">
        <f>IFERROR(__xludf.DUMMYFUNCTION("""COMPUTED_VALUE"""),1852.0)</f>
        <v>1852</v>
      </c>
      <c r="G708" s="2">
        <f>IFERROR(__xludf.DUMMYFUNCTION("""COMPUTED_VALUE"""),0.0)</f>
        <v>0</v>
      </c>
    </row>
    <row r="709">
      <c r="A709" s="2" t="str">
        <f>IFERROR(__xludf.DUMMYFUNCTION("""COMPUTED_VALUE"""),"Chile")</f>
        <v>Chile</v>
      </c>
      <c r="B709" s="3">
        <f>IFERROR(__xludf.DUMMYFUNCTION("""COMPUTED_VALUE"""),43073.0)</f>
        <v>43073</v>
      </c>
      <c r="C709" s="3">
        <f>IFERROR(__xludf.DUMMYFUNCTION("""COMPUTED_VALUE"""),43079.0)</f>
        <v>43079</v>
      </c>
      <c r="D709" s="2">
        <f>IFERROR(__xludf.DUMMYFUNCTION("""COMPUTED_VALUE"""),7.0)</f>
        <v>7</v>
      </c>
      <c r="E709" s="2">
        <f>IFERROR(__xludf.DUMMYFUNCTION("""COMPUTED_VALUE"""),49.0)</f>
        <v>49</v>
      </c>
      <c r="F709" s="2">
        <f>IFERROR(__xludf.DUMMYFUNCTION("""COMPUTED_VALUE"""),1862.0)</f>
        <v>1862</v>
      </c>
      <c r="G709" s="2">
        <f>IFERROR(__xludf.DUMMYFUNCTION("""COMPUTED_VALUE"""),0.0)</f>
        <v>0</v>
      </c>
    </row>
    <row r="710">
      <c r="A710" s="2" t="str">
        <f>IFERROR(__xludf.DUMMYFUNCTION("""COMPUTED_VALUE"""),"Chile")</f>
        <v>Chile</v>
      </c>
      <c r="B710" s="3">
        <f>IFERROR(__xludf.DUMMYFUNCTION("""COMPUTED_VALUE"""),43080.0)</f>
        <v>43080</v>
      </c>
      <c r="C710" s="3">
        <f>IFERROR(__xludf.DUMMYFUNCTION("""COMPUTED_VALUE"""),43086.0)</f>
        <v>43086</v>
      </c>
      <c r="D710" s="2">
        <f>IFERROR(__xludf.DUMMYFUNCTION("""COMPUTED_VALUE"""),7.0)</f>
        <v>7</v>
      </c>
      <c r="E710" s="2">
        <f>IFERROR(__xludf.DUMMYFUNCTION("""COMPUTED_VALUE"""),50.0)</f>
        <v>50</v>
      </c>
      <c r="F710" s="2">
        <f>IFERROR(__xludf.DUMMYFUNCTION("""COMPUTED_VALUE"""),1895.0)</f>
        <v>1895</v>
      </c>
      <c r="G710" s="2">
        <f>IFERROR(__xludf.DUMMYFUNCTION("""COMPUTED_VALUE"""),0.0)</f>
        <v>0</v>
      </c>
    </row>
    <row r="711">
      <c r="A711" s="2" t="str">
        <f>IFERROR(__xludf.DUMMYFUNCTION("""COMPUTED_VALUE"""),"Chile")</f>
        <v>Chile</v>
      </c>
      <c r="B711" s="3">
        <f>IFERROR(__xludf.DUMMYFUNCTION("""COMPUTED_VALUE"""),43087.0)</f>
        <v>43087</v>
      </c>
      <c r="C711" s="3">
        <f>IFERROR(__xludf.DUMMYFUNCTION("""COMPUTED_VALUE"""),43093.0)</f>
        <v>43093</v>
      </c>
      <c r="D711" s="2">
        <f>IFERROR(__xludf.DUMMYFUNCTION("""COMPUTED_VALUE"""),7.0)</f>
        <v>7</v>
      </c>
      <c r="E711" s="2">
        <f>IFERROR(__xludf.DUMMYFUNCTION("""COMPUTED_VALUE"""),51.0)</f>
        <v>51</v>
      </c>
      <c r="F711" s="2">
        <f>IFERROR(__xludf.DUMMYFUNCTION("""COMPUTED_VALUE"""),1804.0)</f>
        <v>1804</v>
      </c>
      <c r="G711" s="2">
        <f>IFERROR(__xludf.DUMMYFUNCTION("""COMPUTED_VALUE"""),0.0)</f>
        <v>0</v>
      </c>
    </row>
    <row r="712">
      <c r="A712" s="2" t="str">
        <f>IFERROR(__xludf.DUMMYFUNCTION("""COMPUTED_VALUE"""),"Chile")</f>
        <v>Chile</v>
      </c>
      <c r="B712" s="3">
        <f>IFERROR(__xludf.DUMMYFUNCTION("""COMPUTED_VALUE"""),43094.0)</f>
        <v>43094</v>
      </c>
      <c r="C712" s="3">
        <f>IFERROR(__xludf.DUMMYFUNCTION("""COMPUTED_VALUE"""),43100.0)</f>
        <v>43100</v>
      </c>
      <c r="D712" s="2">
        <f>IFERROR(__xludf.DUMMYFUNCTION("""COMPUTED_VALUE"""),7.0)</f>
        <v>7</v>
      </c>
      <c r="E712" s="2">
        <f>IFERROR(__xludf.DUMMYFUNCTION("""COMPUTED_VALUE"""),52.0)</f>
        <v>52</v>
      </c>
      <c r="F712" s="2">
        <f>IFERROR(__xludf.DUMMYFUNCTION("""COMPUTED_VALUE"""),1707.0)</f>
        <v>1707</v>
      </c>
      <c r="G712" s="2">
        <f>IFERROR(__xludf.DUMMYFUNCTION("""COMPUTED_VALUE"""),0.0)</f>
        <v>0</v>
      </c>
    </row>
    <row r="713">
      <c r="A713" s="2" t="str">
        <f>IFERROR(__xludf.DUMMYFUNCTION("""COMPUTED_VALUE"""),"Chile")</f>
        <v>Chile</v>
      </c>
      <c r="B713" s="3">
        <f>IFERROR(__xludf.DUMMYFUNCTION("""COMPUTED_VALUE"""),43101.0)</f>
        <v>43101</v>
      </c>
      <c r="C713" s="3">
        <f>IFERROR(__xludf.DUMMYFUNCTION("""COMPUTED_VALUE"""),43107.0)</f>
        <v>43107</v>
      </c>
      <c r="D713" s="2">
        <f>IFERROR(__xludf.DUMMYFUNCTION("""COMPUTED_VALUE"""),7.0)</f>
        <v>7</v>
      </c>
      <c r="E713" s="2">
        <f>IFERROR(__xludf.DUMMYFUNCTION("""COMPUTED_VALUE"""),1.0)</f>
        <v>1</v>
      </c>
      <c r="F713" s="2">
        <f>IFERROR(__xludf.DUMMYFUNCTION("""COMPUTED_VALUE"""),1946.0)</f>
        <v>1946</v>
      </c>
      <c r="G713" s="2">
        <f>IFERROR(__xludf.DUMMYFUNCTION("""COMPUTED_VALUE"""),0.0)</f>
        <v>0</v>
      </c>
    </row>
    <row r="714">
      <c r="A714" s="2" t="str">
        <f>IFERROR(__xludf.DUMMYFUNCTION("""COMPUTED_VALUE"""),"Chile")</f>
        <v>Chile</v>
      </c>
      <c r="B714" s="3">
        <f>IFERROR(__xludf.DUMMYFUNCTION("""COMPUTED_VALUE"""),43108.0)</f>
        <v>43108</v>
      </c>
      <c r="C714" s="3">
        <f>IFERROR(__xludf.DUMMYFUNCTION("""COMPUTED_VALUE"""),43114.0)</f>
        <v>43114</v>
      </c>
      <c r="D714" s="2">
        <f>IFERROR(__xludf.DUMMYFUNCTION("""COMPUTED_VALUE"""),7.0)</f>
        <v>7</v>
      </c>
      <c r="E714" s="2">
        <f>IFERROR(__xludf.DUMMYFUNCTION("""COMPUTED_VALUE"""),2.0)</f>
        <v>2</v>
      </c>
      <c r="F714" s="2">
        <f>IFERROR(__xludf.DUMMYFUNCTION("""COMPUTED_VALUE"""),1804.0)</f>
        <v>1804</v>
      </c>
      <c r="G714" s="2">
        <f>IFERROR(__xludf.DUMMYFUNCTION("""COMPUTED_VALUE"""),0.0)</f>
        <v>0</v>
      </c>
    </row>
    <row r="715">
      <c r="A715" s="2" t="str">
        <f>IFERROR(__xludf.DUMMYFUNCTION("""COMPUTED_VALUE"""),"Chile")</f>
        <v>Chile</v>
      </c>
      <c r="B715" s="3">
        <f>IFERROR(__xludf.DUMMYFUNCTION("""COMPUTED_VALUE"""),43115.0)</f>
        <v>43115</v>
      </c>
      <c r="C715" s="3">
        <f>IFERROR(__xludf.DUMMYFUNCTION("""COMPUTED_VALUE"""),43121.0)</f>
        <v>43121</v>
      </c>
      <c r="D715" s="2">
        <f>IFERROR(__xludf.DUMMYFUNCTION("""COMPUTED_VALUE"""),7.0)</f>
        <v>7</v>
      </c>
      <c r="E715" s="2">
        <f>IFERROR(__xludf.DUMMYFUNCTION("""COMPUTED_VALUE"""),3.0)</f>
        <v>3</v>
      </c>
      <c r="F715" s="2">
        <f>IFERROR(__xludf.DUMMYFUNCTION("""COMPUTED_VALUE"""),1804.0)</f>
        <v>1804</v>
      </c>
      <c r="G715" s="2">
        <f>IFERROR(__xludf.DUMMYFUNCTION("""COMPUTED_VALUE"""),0.0)</f>
        <v>0</v>
      </c>
    </row>
    <row r="716">
      <c r="A716" s="2" t="str">
        <f>IFERROR(__xludf.DUMMYFUNCTION("""COMPUTED_VALUE"""),"Chile")</f>
        <v>Chile</v>
      </c>
      <c r="B716" s="3">
        <f>IFERROR(__xludf.DUMMYFUNCTION("""COMPUTED_VALUE"""),43122.0)</f>
        <v>43122</v>
      </c>
      <c r="C716" s="3">
        <f>IFERROR(__xludf.DUMMYFUNCTION("""COMPUTED_VALUE"""),43128.0)</f>
        <v>43128</v>
      </c>
      <c r="D716" s="2">
        <f>IFERROR(__xludf.DUMMYFUNCTION("""COMPUTED_VALUE"""),7.0)</f>
        <v>7</v>
      </c>
      <c r="E716" s="2">
        <f>IFERROR(__xludf.DUMMYFUNCTION("""COMPUTED_VALUE"""),4.0)</f>
        <v>4</v>
      </c>
      <c r="F716" s="2">
        <f>IFERROR(__xludf.DUMMYFUNCTION("""COMPUTED_VALUE"""),1776.0)</f>
        <v>1776</v>
      </c>
      <c r="G716" s="2">
        <f>IFERROR(__xludf.DUMMYFUNCTION("""COMPUTED_VALUE"""),0.0)</f>
        <v>0</v>
      </c>
    </row>
    <row r="717">
      <c r="A717" s="2" t="str">
        <f>IFERROR(__xludf.DUMMYFUNCTION("""COMPUTED_VALUE"""),"Chile")</f>
        <v>Chile</v>
      </c>
      <c r="B717" s="3">
        <f>IFERROR(__xludf.DUMMYFUNCTION("""COMPUTED_VALUE"""),43129.0)</f>
        <v>43129</v>
      </c>
      <c r="C717" s="3">
        <f>IFERROR(__xludf.DUMMYFUNCTION("""COMPUTED_VALUE"""),43135.0)</f>
        <v>43135</v>
      </c>
      <c r="D717" s="2">
        <f>IFERROR(__xludf.DUMMYFUNCTION("""COMPUTED_VALUE"""),7.0)</f>
        <v>7</v>
      </c>
      <c r="E717" s="2">
        <f>IFERROR(__xludf.DUMMYFUNCTION("""COMPUTED_VALUE"""),5.0)</f>
        <v>5</v>
      </c>
      <c r="F717" s="2">
        <f>IFERROR(__xludf.DUMMYFUNCTION("""COMPUTED_VALUE"""),1895.0)</f>
        <v>1895</v>
      </c>
      <c r="G717" s="2">
        <f>IFERROR(__xludf.DUMMYFUNCTION("""COMPUTED_VALUE"""),0.0)</f>
        <v>0</v>
      </c>
    </row>
    <row r="718">
      <c r="A718" s="2" t="str">
        <f>IFERROR(__xludf.DUMMYFUNCTION("""COMPUTED_VALUE"""),"Chile")</f>
        <v>Chile</v>
      </c>
      <c r="B718" s="3">
        <f>IFERROR(__xludf.DUMMYFUNCTION("""COMPUTED_VALUE"""),43136.0)</f>
        <v>43136</v>
      </c>
      <c r="C718" s="3">
        <f>IFERROR(__xludf.DUMMYFUNCTION("""COMPUTED_VALUE"""),43142.0)</f>
        <v>43142</v>
      </c>
      <c r="D718" s="2">
        <f>IFERROR(__xludf.DUMMYFUNCTION("""COMPUTED_VALUE"""),7.0)</f>
        <v>7</v>
      </c>
      <c r="E718" s="2">
        <f>IFERROR(__xludf.DUMMYFUNCTION("""COMPUTED_VALUE"""),6.0)</f>
        <v>6</v>
      </c>
      <c r="F718" s="2">
        <f>IFERROR(__xludf.DUMMYFUNCTION("""COMPUTED_VALUE"""),1817.0)</f>
        <v>1817</v>
      </c>
      <c r="G718" s="2">
        <f>IFERROR(__xludf.DUMMYFUNCTION("""COMPUTED_VALUE"""),0.0)</f>
        <v>0</v>
      </c>
    </row>
    <row r="719">
      <c r="A719" s="2" t="str">
        <f>IFERROR(__xludf.DUMMYFUNCTION("""COMPUTED_VALUE"""),"Chile")</f>
        <v>Chile</v>
      </c>
      <c r="B719" s="3">
        <f>IFERROR(__xludf.DUMMYFUNCTION("""COMPUTED_VALUE"""),43143.0)</f>
        <v>43143</v>
      </c>
      <c r="C719" s="3">
        <f>IFERROR(__xludf.DUMMYFUNCTION("""COMPUTED_VALUE"""),43149.0)</f>
        <v>43149</v>
      </c>
      <c r="D719" s="2">
        <f>IFERROR(__xludf.DUMMYFUNCTION("""COMPUTED_VALUE"""),7.0)</f>
        <v>7</v>
      </c>
      <c r="E719" s="2">
        <f>IFERROR(__xludf.DUMMYFUNCTION("""COMPUTED_VALUE"""),7.0)</f>
        <v>7</v>
      </c>
      <c r="F719" s="2">
        <f>IFERROR(__xludf.DUMMYFUNCTION("""COMPUTED_VALUE"""),1885.0)</f>
        <v>1885</v>
      </c>
      <c r="G719" s="2">
        <f>IFERROR(__xludf.DUMMYFUNCTION("""COMPUTED_VALUE"""),0.0)</f>
        <v>0</v>
      </c>
    </row>
    <row r="720">
      <c r="A720" s="2" t="str">
        <f>IFERROR(__xludf.DUMMYFUNCTION("""COMPUTED_VALUE"""),"Chile")</f>
        <v>Chile</v>
      </c>
      <c r="B720" s="3">
        <f>IFERROR(__xludf.DUMMYFUNCTION("""COMPUTED_VALUE"""),43150.0)</f>
        <v>43150</v>
      </c>
      <c r="C720" s="3">
        <f>IFERROR(__xludf.DUMMYFUNCTION("""COMPUTED_VALUE"""),43156.0)</f>
        <v>43156</v>
      </c>
      <c r="D720" s="2">
        <f>IFERROR(__xludf.DUMMYFUNCTION("""COMPUTED_VALUE"""),7.0)</f>
        <v>7</v>
      </c>
      <c r="E720" s="2">
        <f>IFERROR(__xludf.DUMMYFUNCTION("""COMPUTED_VALUE"""),8.0)</f>
        <v>8</v>
      </c>
      <c r="F720" s="2">
        <f>IFERROR(__xludf.DUMMYFUNCTION("""COMPUTED_VALUE"""),1809.0)</f>
        <v>1809</v>
      </c>
      <c r="G720" s="2">
        <f>IFERROR(__xludf.DUMMYFUNCTION("""COMPUTED_VALUE"""),0.0)</f>
        <v>0</v>
      </c>
    </row>
    <row r="721">
      <c r="A721" s="2" t="str">
        <f>IFERROR(__xludf.DUMMYFUNCTION("""COMPUTED_VALUE"""),"Chile")</f>
        <v>Chile</v>
      </c>
      <c r="B721" s="3">
        <f>IFERROR(__xludf.DUMMYFUNCTION("""COMPUTED_VALUE"""),43157.0)</f>
        <v>43157</v>
      </c>
      <c r="C721" s="3">
        <f>IFERROR(__xludf.DUMMYFUNCTION("""COMPUTED_VALUE"""),43163.0)</f>
        <v>43163</v>
      </c>
      <c r="D721" s="2">
        <f>IFERROR(__xludf.DUMMYFUNCTION("""COMPUTED_VALUE"""),7.0)</f>
        <v>7</v>
      </c>
      <c r="E721" s="2">
        <f>IFERROR(__xludf.DUMMYFUNCTION("""COMPUTED_VALUE"""),9.0)</f>
        <v>9</v>
      </c>
      <c r="F721" s="2">
        <f>IFERROR(__xludf.DUMMYFUNCTION("""COMPUTED_VALUE"""),1782.0)</f>
        <v>1782</v>
      </c>
      <c r="G721" s="2">
        <f>IFERROR(__xludf.DUMMYFUNCTION("""COMPUTED_VALUE"""),0.0)</f>
        <v>0</v>
      </c>
    </row>
    <row r="722">
      <c r="A722" s="2" t="str">
        <f>IFERROR(__xludf.DUMMYFUNCTION("""COMPUTED_VALUE"""),"Chile")</f>
        <v>Chile</v>
      </c>
      <c r="B722" s="3">
        <f>IFERROR(__xludf.DUMMYFUNCTION("""COMPUTED_VALUE"""),43164.0)</f>
        <v>43164</v>
      </c>
      <c r="C722" s="3">
        <f>IFERROR(__xludf.DUMMYFUNCTION("""COMPUTED_VALUE"""),43170.0)</f>
        <v>43170</v>
      </c>
      <c r="D722" s="2">
        <f>IFERROR(__xludf.DUMMYFUNCTION("""COMPUTED_VALUE"""),7.0)</f>
        <v>7</v>
      </c>
      <c r="E722" s="2">
        <f>IFERROR(__xludf.DUMMYFUNCTION("""COMPUTED_VALUE"""),10.0)</f>
        <v>10</v>
      </c>
      <c r="F722" s="2">
        <f>IFERROR(__xludf.DUMMYFUNCTION("""COMPUTED_VALUE"""),1870.0)</f>
        <v>1870</v>
      </c>
      <c r="G722" s="2">
        <f>IFERROR(__xludf.DUMMYFUNCTION("""COMPUTED_VALUE"""),0.0)</f>
        <v>0</v>
      </c>
    </row>
    <row r="723">
      <c r="A723" s="2" t="str">
        <f>IFERROR(__xludf.DUMMYFUNCTION("""COMPUTED_VALUE"""),"Chile")</f>
        <v>Chile</v>
      </c>
      <c r="B723" s="3">
        <f>IFERROR(__xludf.DUMMYFUNCTION("""COMPUTED_VALUE"""),43171.0)</f>
        <v>43171</v>
      </c>
      <c r="C723" s="3">
        <f>IFERROR(__xludf.DUMMYFUNCTION("""COMPUTED_VALUE"""),43177.0)</f>
        <v>43177</v>
      </c>
      <c r="D723" s="2">
        <f>IFERROR(__xludf.DUMMYFUNCTION("""COMPUTED_VALUE"""),7.0)</f>
        <v>7</v>
      </c>
      <c r="E723" s="2">
        <f>IFERROR(__xludf.DUMMYFUNCTION("""COMPUTED_VALUE"""),11.0)</f>
        <v>11</v>
      </c>
      <c r="F723" s="2">
        <f>IFERROR(__xludf.DUMMYFUNCTION("""COMPUTED_VALUE"""),1789.0)</f>
        <v>1789</v>
      </c>
      <c r="G723" s="2">
        <f>IFERROR(__xludf.DUMMYFUNCTION("""COMPUTED_VALUE"""),0.0)</f>
        <v>0</v>
      </c>
    </row>
    <row r="724">
      <c r="A724" s="2" t="str">
        <f>IFERROR(__xludf.DUMMYFUNCTION("""COMPUTED_VALUE"""),"Chile")</f>
        <v>Chile</v>
      </c>
      <c r="B724" s="3">
        <f>IFERROR(__xludf.DUMMYFUNCTION("""COMPUTED_VALUE"""),43178.0)</f>
        <v>43178</v>
      </c>
      <c r="C724" s="3">
        <f>IFERROR(__xludf.DUMMYFUNCTION("""COMPUTED_VALUE"""),43184.0)</f>
        <v>43184</v>
      </c>
      <c r="D724" s="2">
        <f>IFERROR(__xludf.DUMMYFUNCTION("""COMPUTED_VALUE"""),7.0)</f>
        <v>7</v>
      </c>
      <c r="E724" s="2">
        <f>IFERROR(__xludf.DUMMYFUNCTION("""COMPUTED_VALUE"""),12.0)</f>
        <v>12</v>
      </c>
      <c r="F724" s="2">
        <f>IFERROR(__xludf.DUMMYFUNCTION("""COMPUTED_VALUE"""),1819.0)</f>
        <v>1819</v>
      </c>
      <c r="G724" s="2">
        <f>IFERROR(__xludf.DUMMYFUNCTION("""COMPUTED_VALUE"""),0.0)</f>
        <v>0</v>
      </c>
    </row>
    <row r="725">
      <c r="A725" s="2" t="str">
        <f>IFERROR(__xludf.DUMMYFUNCTION("""COMPUTED_VALUE"""),"Chile")</f>
        <v>Chile</v>
      </c>
      <c r="B725" s="3">
        <f>IFERROR(__xludf.DUMMYFUNCTION("""COMPUTED_VALUE"""),43185.0)</f>
        <v>43185</v>
      </c>
      <c r="C725" s="3">
        <f>IFERROR(__xludf.DUMMYFUNCTION("""COMPUTED_VALUE"""),43191.0)</f>
        <v>43191</v>
      </c>
      <c r="D725" s="2">
        <f>IFERROR(__xludf.DUMMYFUNCTION("""COMPUTED_VALUE"""),7.0)</f>
        <v>7</v>
      </c>
      <c r="E725" s="2">
        <f>IFERROR(__xludf.DUMMYFUNCTION("""COMPUTED_VALUE"""),13.0)</f>
        <v>13</v>
      </c>
      <c r="F725" s="2">
        <f>IFERROR(__xludf.DUMMYFUNCTION("""COMPUTED_VALUE"""),1961.0)</f>
        <v>1961</v>
      </c>
      <c r="G725" s="2">
        <f>IFERROR(__xludf.DUMMYFUNCTION("""COMPUTED_VALUE"""),0.0)</f>
        <v>0</v>
      </c>
    </row>
    <row r="726">
      <c r="A726" s="2" t="str">
        <f>IFERROR(__xludf.DUMMYFUNCTION("""COMPUTED_VALUE"""),"Chile")</f>
        <v>Chile</v>
      </c>
      <c r="B726" s="3">
        <f>IFERROR(__xludf.DUMMYFUNCTION("""COMPUTED_VALUE"""),43192.0)</f>
        <v>43192</v>
      </c>
      <c r="C726" s="3">
        <f>IFERROR(__xludf.DUMMYFUNCTION("""COMPUTED_VALUE"""),43198.0)</f>
        <v>43198</v>
      </c>
      <c r="D726" s="2">
        <f>IFERROR(__xludf.DUMMYFUNCTION("""COMPUTED_VALUE"""),7.0)</f>
        <v>7</v>
      </c>
      <c r="E726" s="2">
        <f>IFERROR(__xludf.DUMMYFUNCTION("""COMPUTED_VALUE"""),14.0)</f>
        <v>14</v>
      </c>
      <c r="F726" s="2">
        <f>IFERROR(__xludf.DUMMYFUNCTION("""COMPUTED_VALUE"""),1903.0)</f>
        <v>1903</v>
      </c>
      <c r="G726" s="2">
        <f>IFERROR(__xludf.DUMMYFUNCTION("""COMPUTED_VALUE"""),0.0)</f>
        <v>0</v>
      </c>
    </row>
    <row r="727">
      <c r="A727" s="2" t="str">
        <f>IFERROR(__xludf.DUMMYFUNCTION("""COMPUTED_VALUE"""),"Chile")</f>
        <v>Chile</v>
      </c>
      <c r="B727" s="3">
        <f>IFERROR(__xludf.DUMMYFUNCTION("""COMPUTED_VALUE"""),43199.0)</f>
        <v>43199</v>
      </c>
      <c r="C727" s="3">
        <f>IFERROR(__xludf.DUMMYFUNCTION("""COMPUTED_VALUE"""),43205.0)</f>
        <v>43205</v>
      </c>
      <c r="D727" s="2">
        <f>IFERROR(__xludf.DUMMYFUNCTION("""COMPUTED_VALUE"""),7.0)</f>
        <v>7</v>
      </c>
      <c r="E727" s="2">
        <f>IFERROR(__xludf.DUMMYFUNCTION("""COMPUTED_VALUE"""),15.0)</f>
        <v>15</v>
      </c>
      <c r="F727" s="2">
        <f>IFERROR(__xludf.DUMMYFUNCTION("""COMPUTED_VALUE"""),1939.0)</f>
        <v>1939</v>
      </c>
      <c r="G727" s="2">
        <f>IFERROR(__xludf.DUMMYFUNCTION("""COMPUTED_VALUE"""),0.0)</f>
        <v>0</v>
      </c>
    </row>
    <row r="728">
      <c r="A728" s="2" t="str">
        <f>IFERROR(__xludf.DUMMYFUNCTION("""COMPUTED_VALUE"""),"Chile")</f>
        <v>Chile</v>
      </c>
      <c r="B728" s="3">
        <f>IFERROR(__xludf.DUMMYFUNCTION("""COMPUTED_VALUE"""),43206.0)</f>
        <v>43206</v>
      </c>
      <c r="C728" s="3">
        <f>IFERROR(__xludf.DUMMYFUNCTION("""COMPUTED_VALUE"""),43212.0)</f>
        <v>43212</v>
      </c>
      <c r="D728" s="2">
        <f>IFERROR(__xludf.DUMMYFUNCTION("""COMPUTED_VALUE"""),7.0)</f>
        <v>7</v>
      </c>
      <c r="E728" s="2">
        <f>IFERROR(__xludf.DUMMYFUNCTION("""COMPUTED_VALUE"""),16.0)</f>
        <v>16</v>
      </c>
      <c r="F728" s="2">
        <f>IFERROR(__xludf.DUMMYFUNCTION("""COMPUTED_VALUE"""),1920.0)</f>
        <v>1920</v>
      </c>
      <c r="G728" s="2">
        <f>IFERROR(__xludf.DUMMYFUNCTION("""COMPUTED_VALUE"""),0.0)</f>
        <v>0</v>
      </c>
    </row>
    <row r="729">
      <c r="A729" s="2" t="str">
        <f>IFERROR(__xludf.DUMMYFUNCTION("""COMPUTED_VALUE"""),"Chile")</f>
        <v>Chile</v>
      </c>
      <c r="B729" s="3">
        <f>IFERROR(__xludf.DUMMYFUNCTION("""COMPUTED_VALUE"""),43213.0)</f>
        <v>43213</v>
      </c>
      <c r="C729" s="3">
        <f>IFERROR(__xludf.DUMMYFUNCTION("""COMPUTED_VALUE"""),43219.0)</f>
        <v>43219</v>
      </c>
      <c r="D729" s="2">
        <f>IFERROR(__xludf.DUMMYFUNCTION("""COMPUTED_VALUE"""),7.0)</f>
        <v>7</v>
      </c>
      <c r="E729" s="2">
        <f>IFERROR(__xludf.DUMMYFUNCTION("""COMPUTED_VALUE"""),17.0)</f>
        <v>17</v>
      </c>
      <c r="F729" s="2">
        <f>IFERROR(__xludf.DUMMYFUNCTION("""COMPUTED_VALUE"""),1917.0)</f>
        <v>1917</v>
      </c>
      <c r="G729" s="2">
        <f>IFERROR(__xludf.DUMMYFUNCTION("""COMPUTED_VALUE"""),0.0)</f>
        <v>0</v>
      </c>
    </row>
    <row r="730">
      <c r="A730" s="2" t="str">
        <f>IFERROR(__xludf.DUMMYFUNCTION("""COMPUTED_VALUE"""),"Chile")</f>
        <v>Chile</v>
      </c>
      <c r="B730" s="3">
        <f>IFERROR(__xludf.DUMMYFUNCTION("""COMPUTED_VALUE"""),43220.0)</f>
        <v>43220</v>
      </c>
      <c r="C730" s="3">
        <f>IFERROR(__xludf.DUMMYFUNCTION("""COMPUTED_VALUE"""),43226.0)</f>
        <v>43226</v>
      </c>
      <c r="D730" s="2">
        <f>IFERROR(__xludf.DUMMYFUNCTION("""COMPUTED_VALUE"""),7.0)</f>
        <v>7</v>
      </c>
      <c r="E730" s="2">
        <f>IFERROR(__xludf.DUMMYFUNCTION("""COMPUTED_VALUE"""),18.0)</f>
        <v>18</v>
      </c>
      <c r="F730" s="2">
        <f>IFERROR(__xludf.DUMMYFUNCTION("""COMPUTED_VALUE"""),1976.0)</f>
        <v>1976</v>
      </c>
      <c r="G730" s="2">
        <f>IFERROR(__xludf.DUMMYFUNCTION("""COMPUTED_VALUE"""),0.0)</f>
        <v>0</v>
      </c>
    </row>
    <row r="731">
      <c r="A731" s="2" t="str">
        <f>IFERROR(__xludf.DUMMYFUNCTION("""COMPUTED_VALUE"""),"Chile")</f>
        <v>Chile</v>
      </c>
      <c r="B731" s="3">
        <f>IFERROR(__xludf.DUMMYFUNCTION("""COMPUTED_VALUE"""),43227.0)</f>
        <v>43227</v>
      </c>
      <c r="C731" s="3">
        <f>IFERROR(__xludf.DUMMYFUNCTION("""COMPUTED_VALUE"""),43233.0)</f>
        <v>43233</v>
      </c>
      <c r="D731" s="2">
        <f>IFERROR(__xludf.DUMMYFUNCTION("""COMPUTED_VALUE"""),7.0)</f>
        <v>7</v>
      </c>
      <c r="E731" s="2">
        <f>IFERROR(__xludf.DUMMYFUNCTION("""COMPUTED_VALUE"""),19.0)</f>
        <v>19</v>
      </c>
      <c r="F731" s="2">
        <f>IFERROR(__xludf.DUMMYFUNCTION("""COMPUTED_VALUE"""),1864.0)</f>
        <v>1864</v>
      </c>
      <c r="G731" s="2">
        <f>IFERROR(__xludf.DUMMYFUNCTION("""COMPUTED_VALUE"""),0.0)</f>
        <v>0</v>
      </c>
    </row>
    <row r="732">
      <c r="A732" s="2" t="str">
        <f>IFERROR(__xludf.DUMMYFUNCTION("""COMPUTED_VALUE"""),"Chile")</f>
        <v>Chile</v>
      </c>
      <c r="B732" s="3">
        <f>IFERROR(__xludf.DUMMYFUNCTION("""COMPUTED_VALUE"""),43234.0)</f>
        <v>43234</v>
      </c>
      <c r="C732" s="3">
        <f>IFERROR(__xludf.DUMMYFUNCTION("""COMPUTED_VALUE"""),43240.0)</f>
        <v>43240</v>
      </c>
      <c r="D732" s="2">
        <f>IFERROR(__xludf.DUMMYFUNCTION("""COMPUTED_VALUE"""),7.0)</f>
        <v>7</v>
      </c>
      <c r="E732" s="2">
        <f>IFERROR(__xludf.DUMMYFUNCTION("""COMPUTED_VALUE"""),20.0)</f>
        <v>20</v>
      </c>
      <c r="F732" s="2">
        <f>IFERROR(__xludf.DUMMYFUNCTION("""COMPUTED_VALUE"""),2024.0)</f>
        <v>2024</v>
      </c>
      <c r="G732" s="2">
        <f>IFERROR(__xludf.DUMMYFUNCTION("""COMPUTED_VALUE"""),0.0)</f>
        <v>0</v>
      </c>
    </row>
    <row r="733">
      <c r="A733" s="2" t="str">
        <f>IFERROR(__xludf.DUMMYFUNCTION("""COMPUTED_VALUE"""),"Chile")</f>
        <v>Chile</v>
      </c>
      <c r="B733" s="3">
        <f>IFERROR(__xludf.DUMMYFUNCTION("""COMPUTED_VALUE"""),43241.0)</f>
        <v>43241</v>
      </c>
      <c r="C733" s="3">
        <f>IFERROR(__xludf.DUMMYFUNCTION("""COMPUTED_VALUE"""),43247.0)</f>
        <v>43247</v>
      </c>
      <c r="D733" s="2">
        <f>IFERROR(__xludf.DUMMYFUNCTION("""COMPUTED_VALUE"""),7.0)</f>
        <v>7</v>
      </c>
      <c r="E733" s="2">
        <f>IFERROR(__xludf.DUMMYFUNCTION("""COMPUTED_VALUE"""),21.0)</f>
        <v>21</v>
      </c>
      <c r="F733" s="2">
        <f>IFERROR(__xludf.DUMMYFUNCTION("""COMPUTED_VALUE"""),2088.0)</f>
        <v>2088</v>
      </c>
      <c r="G733" s="2">
        <f>IFERROR(__xludf.DUMMYFUNCTION("""COMPUTED_VALUE"""),0.0)</f>
        <v>0</v>
      </c>
    </row>
    <row r="734">
      <c r="A734" s="2" t="str">
        <f>IFERROR(__xludf.DUMMYFUNCTION("""COMPUTED_VALUE"""),"Chile")</f>
        <v>Chile</v>
      </c>
      <c r="B734" s="3">
        <f>IFERROR(__xludf.DUMMYFUNCTION("""COMPUTED_VALUE"""),43248.0)</f>
        <v>43248</v>
      </c>
      <c r="C734" s="3">
        <f>IFERROR(__xludf.DUMMYFUNCTION("""COMPUTED_VALUE"""),43254.0)</f>
        <v>43254</v>
      </c>
      <c r="D734" s="2">
        <f>IFERROR(__xludf.DUMMYFUNCTION("""COMPUTED_VALUE"""),7.0)</f>
        <v>7</v>
      </c>
      <c r="E734" s="2">
        <f>IFERROR(__xludf.DUMMYFUNCTION("""COMPUTED_VALUE"""),22.0)</f>
        <v>22</v>
      </c>
      <c r="F734" s="2">
        <f>IFERROR(__xludf.DUMMYFUNCTION("""COMPUTED_VALUE"""),2123.0)</f>
        <v>2123</v>
      </c>
      <c r="G734" s="2">
        <f>IFERROR(__xludf.DUMMYFUNCTION("""COMPUTED_VALUE"""),0.0)</f>
        <v>0</v>
      </c>
    </row>
    <row r="735">
      <c r="A735" s="2" t="str">
        <f>IFERROR(__xludf.DUMMYFUNCTION("""COMPUTED_VALUE"""),"Chile")</f>
        <v>Chile</v>
      </c>
      <c r="B735" s="3">
        <f>IFERROR(__xludf.DUMMYFUNCTION("""COMPUTED_VALUE"""),43255.0)</f>
        <v>43255</v>
      </c>
      <c r="C735" s="3">
        <f>IFERROR(__xludf.DUMMYFUNCTION("""COMPUTED_VALUE"""),43261.0)</f>
        <v>43261</v>
      </c>
      <c r="D735" s="2">
        <f>IFERROR(__xludf.DUMMYFUNCTION("""COMPUTED_VALUE"""),7.0)</f>
        <v>7</v>
      </c>
      <c r="E735" s="2">
        <f>IFERROR(__xludf.DUMMYFUNCTION("""COMPUTED_VALUE"""),23.0)</f>
        <v>23</v>
      </c>
      <c r="F735" s="2">
        <f>IFERROR(__xludf.DUMMYFUNCTION("""COMPUTED_VALUE"""),2368.0)</f>
        <v>2368</v>
      </c>
      <c r="G735" s="2">
        <f>IFERROR(__xludf.DUMMYFUNCTION("""COMPUTED_VALUE"""),0.0)</f>
        <v>0</v>
      </c>
    </row>
    <row r="736">
      <c r="A736" s="2" t="str">
        <f>IFERROR(__xludf.DUMMYFUNCTION("""COMPUTED_VALUE"""),"Chile")</f>
        <v>Chile</v>
      </c>
      <c r="B736" s="3">
        <f>IFERROR(__xludf.DUMMYFUNCTION("""COMPUTED_VALUE"""),43262.0)</f>
        <v>43262</v>
      </c>
      <c r="C736" s="3">
        <f>IFERROR(__xludf.DUMMYFUNCTION("""COMPUTED_VALUE"""),43268.0)</f>
        <v>43268</v>
      </c>
      <c r="D736" s="2">
        <f>IFERROR(__xludf.DUMMYFUNCTION("""COMPUTED_VALUE"""),7.0)</f>
        <v>7</v>
      </c>
      <c r="E736" s="2">
        <f>IFERROR(__xludf.DUMMYFUNCTION("""COMPUTED_VALUE"""),24.0)</f>
        <v>24</v>
      </c>
      <c r="F736" s="2">
        <f>IFERROR(__xludf.DUMMYFUNCTION("""COMPUTED_VALUE"""),2431.0)</f>
        <v>2431</v>
      </c>
      <c r="G736" s="2">
        <f>IFERROR(__xludf.DUMMYFUNCTION("""COMPUTED_VALUE"""),0.0)</f>
        <v>0</v>
      </c>
    </row>
    <row r="737">
      <c r="A737" s="2" t="str">
        <f>IFERROR(__xludf.DUMMYFUNCTION("""COMPUTED_VALUE"""),"Chile")</f>
        <v>Chile</v>
      </c>
      <c r="B737" s="3">
        <f>IFERROR(__xludf.DUMMYFUNCTION("""COMPUTED_VALUE"""),43269.0)</f>
        <v>43269</v>
      </c>
      <c r="C737" s="3">
        <f>IFERROR(__xludf.DUMMYFUNCTION("""COMPUTED_VALUE"""),43275.0)</f>
        <v>43275</v>
      </c>
      <c r="D737" s="2">
        <f>IFERROR(__xludf.DUMMYFUNCTION("""COMPUTED_VALUE"""),7.0)</f>
        <v>7</v>
      </c>
      <c r="E737" s="2">
        <f>IFERROR(__xludf.DUMMYFUNCTION("""COMPUTED_VALUE"""),25.0)</f>
        <v>25</v>
      </c>
      <c r="F737" s="2">
        <f>IFERROR(__xludf.DUMMYFUNCTION("""COMPUTED_VALUE"""),2247.0)</f>
        <v>2247</v>
      </c>
      <c r="G737" s="2">
        <f>IFERROR(__xludf.DUMMYFUNCTION("""COMPUTED_VALUE"""),0.0)</f>
        <v>0</v>
      </c>
    </row>
    <row r="738">
      <c r="A738" s="2" t="str">
        <f>IFERROR(__xludf.DUMMYFUNCTION("""COMPUTED_VALUE"""),"Chile")</f>
        <v>Chile</v>
      </c>
      <c r="B738" s="3">
        <f>IFERROR(__xludf.DUMMYFUNCTION("""COMPUTED_VALUE"""),43276.0)</f>
        <v>43276</v>
      </c>
      <c r="C738" s="3">
        <f>IFERROR(__xludf.DUMMYFUNCTION("""COMPUTED_VALUE"""),43282.0)</f>
        <v>43282</v>
      </c>
      <c r="D738" s="2">
        <f>IFERROR(__xludf.DUMMYFUNCTION("""COMPUTED_VALUE"""),7.0)</f>
        <v>7</v>
      </c>
      <c r="E738" s="2">
        <f>IFERROR(__xludf.DUMMYFUNCTION("""COMPUTED_VALUE"""),26.0)</f>
        <v>26</v>
      </c>
      <c r="F738" s="2">
        <f>IFERROR(__xludf.DUMMYFUNCTION("""COMPUTED_VALUE"""),2359.0)</f>
        <v>2359</v>
      </c>
      <c r="G738" s="2">
        <f>IFERROR(__xludf.DUMMYFUNCTION("""COMPUTED_VALUE"""),0.0)</f>
        <v>0</v>
      </c>
    </row>
    <row r="739">
      <c r="A739" s="2" t="str">
        <f>IFERROR(__xludf.DUMMYFUNCTION("""COMPUTED_VALUE"""),"Chile")</f>
        <v>Chile</v>
      </c>
      <c r="B739" s="3">
        <f>IFERROR(__xludf.DUMMYFUNCTION("""COMPUTED_VALUE"""),43283.0)</f>
        <v>43283</v>
      </c>
      <c r="C739" s="3">
        <f>IFERROR(__xludf.DUMMYFUNCTION("""COMPUTED_VALUE"""),43289.0)</f>
        <v>43289</v>
      </c>
      <c r="D739" s="2">
        <f>IFERROR(__xludf.DUMMYFUNCTION("""COMPUTED_VALUE"""),7.0)</f>
        <v>7</v>
      </c>
      <c r="E739" s="2">
        <f>IFERROR(__xludf.DUMMYFUNCTION("""COMPUTED_VALUE"""),27.0)</f>
        <v>27</v>
      </c>
      <c r="F739" s="2">
        <f>IFERROR(__xludf.DUMMYFUNCTION("""COMPUTED_VALUE"""),2334.0)</f>
        <v>2334</v>
      </c>
      <c r="G739" s="2">
        <f>IFERROR(__xludf.DUMMYFUNCTION("""COMPUTED_VALUE"""),0.0)</f>
        <v>0</v>
      </c>
    </row>
    <row r="740">
      <c r="A740" s="2" t="str">
        <f>IFERROR(__xludf.DUMMYFUNCTION("""COMPUTED_VALUE"""),"Chile")</f>
        <v>Chile</v>
      </c>
      <c r="B740" s="3">
        <f>IFERROR(__xludf.DUMMYFUNCTION("""COMPUTED_VALUE"""),43290.0)</f>
        <v>43290</v>
      </c>
      <c r="C740" s="3">
        <f>IFERROR(__xludf.DUMMYFUNCTION("""COMPUTED_VALUE"""),43296.0)</f>
        <v>43296</v>
      </c>
      <c r="D740" s="2">
        <f>IFERROR(__xludf.DUMMYFUNCTION("""COMPUTED_VALUE"""),7.0)</f>
        <v>7</v>
      </c>
      <c r="E740" s="2">
        <f>IFERROR(__xludf.DUMMYFUNCTION("""COMPUTED_VALUE"""),28.0)</f>
        <v>28</v>
      </c>
      <c r="F740" s="2">
        <f>IFERROR(__xludf.DUMMYFUNCTION("""COMPUTED_VALUE"""),2276.0)</f>
        <v>2276</v>
      </c>
      <c r="G740" s="2">
        <f>IFERROR(__xludf.DUMMYFUNCTION("""COMPUTED_VALUE"""),0.0)</f>
        <v>0</v>
      </c>
    </row>
    <row r="741">
      <c r="A741" s="2" t="str">
        <f>IFERROR(__xludf.DUMMYFUNCTION("""COMPUTED_VALUE"""),"Chile")</f>
        <v>Chile</v>
      </c>
      <c r="B741" s="3">
        <f>IFERROR(__xludf.DUMMYFUNCTION("""COMPUTED_VALUE"""),43297.0)</f>
        <v>43297</v>
      </c>
      <c r="C741" s="3">
        <f>IFERROR(__xludf.DUMMYFUNCTION("""COMPUTED_VALUE"""),43303.0)</f>
        <v>43303</v>
      </c>
      <c r="D741" s="2">
        <f>IFERROR(__xludf.DUMMYFUNCTION("""COMPUTED_VALUE"""),7.0)</f>
        <v>7</v>
      </c>
      <c r="E741" s="2">
        <f>IFERROR(__xludf.DUMMYFUNCTION("""COMPUTED_VALUE"""),29.0)</f>
        <v>29</v>
      </c>
      <c r="F741" s="2">
        <f>IFERROR(__xludf.DUMMYFUNCTION("""COMPUTED_VALUE"""),2334.0)</f>
        <v>2334</v>
      </c>
      <c r="G741" s="2">
        <f>IFERROR(__xludf.DUMMYFUNCTION("""COMPUTED_VALUE"""),0.0)</f>
        <v>0</v>
      </c>
    </row>
    <row r="742">
      <c r="A742" s="2" t="str">
        <f>IFERROR(__xludf.DUMMYFUNCTION("""COMPUTED_VALUE"""),"Chile")</f>
        <v>Chile</v>
      </c>
      <c r="B742" s="3">
        <f>IFERROR(__xludf.DUMMYFUNCTION("""COMPUTED_VALUE"""),43304.0)</f>
        <v>43304</v>
      </c>
      <c r="C742" s="3">
        <f>IFERROR(__xludf.DUMMYFUNCTION("""COMPUTED_VALUE"""),43310.0)</f>
        <v>43310</v>
      </c>
      <c r="D742" s="2">
        <f>IFERROR(__xludf.DUMMYFUNCTION("""COMPUTED_VALUE"""),7.0)</f>
        <v>7</v>
      </c>
      <c r="E742" s="2">
        <f>IFERROR(__xludf.DUMMYFUNCTION("""COMPUTED_VALUE"""),30.0)</f>
        <v>30</v>
      </c>
      <c r="F742" s="2">
        <f>IFERROR(__xludf.DUMMYFUNCTION("""COMPUTED_VALUE"""),2496.0)</f>
        <v>2496</v>
      </c>
      <c r="G742" s="2">
        <f>IFERROR(__xludf.DUMMYFUNCTION("""COMPUTED_VALUE"""),0.0)</f>
        <v>0</v>
      </c>
    </row>
    <row r="743">
      <c r="A743" s="2" t="str">
        <f>IFERROR(__xludf.DUMMYFUNCTION("""COMPUTED_VALUE"""),"Chile")</f>
        <v>Chile</v>
      </c>
      <c r="B743" s="3">
        <f>IFERROR(__xludf.DUMMYFUNCTION("""COMPUTED_VALUE"""),43311.0)</f>
        <v>43311</v>
      </c>
      <c r="C743" s="3">
        <f>IFERROR(__xludf.DUMMYFUNCTION("""COMPUTED_VALUE"""),43317.0)</f>
        <v>43317</v>
      </c>
      <c r="D743" s="2">
        <f>IFERROR(__xludf.DUMMYFUNCTION("""COMPUTED_VALUE"""),7.0)</f>
        <v>7</v>
      </c>
      <c r="E743" s="2">
        <f>IFERROR(__xludf.DUMMYFUNCTION("""COMPUTED_VALUE"""),31.0)</f>
        <v>31</v>
      </c>
      <c r="F743" s="2">
        <f>IFERROR(__xludf.DUMMYFUNCTION("""COMPUTED_VALUE"""),2514.0)</f>
        <v>2514</v>
      </c>
      <c r="G743" s="2">
        <f>IFERROR(__xludf.DUMMYFUNCTION("""COMPUTED_VALUE"""),0.0)</f>
        <v>0</v>
      </c>
    </row>
    <row r="744">
      <c r="A744" s="2" t="str">
        <f>IFERROR(__xludf.DUMMYFUNCTION("""COMPUTED_VALUE"""),"Chile")</f>
        <v>Chile</v>
      </c>
      <c r="B744" s="3">
        <f>IFERROR(__xludf.DUMMYFUNCTION("""COMPUTED_VALUE"""),43318.0)</f>
        <v>43318</v>
      </c>
      <c r="C744" s="3">
        <f>IFERROR(__xludf.DUMMYFUNCTION("""COMPUTED_VALUE"""),43324.0)</f>
        <v>43324</v>
      </c>
      <c r="D744" s="2">
        <f>IFERROR(__xludf.DUMMYFUNCTION("""COMPUTED_VALUE"""),7.0)</f>
        <v>7</v>
      </c>
      <c r="E744" s="2">
        <f>IFERROR(__xludf.DUMMYFUNCTION("""COMPUTED_VALUE"""),32.0)</f>
        <v>32</v>
      </c>
      <c r="F744" s="2">
        <f>IFERROR(__xludf.DUMMYFUNCTION("""COMPUTED_VALUE"""),2448.0)</f>
        <v>2448</v>
      </c>
      <c r="G744" s="2">
        <f>IFERROR(__xludf.DUMMYFUNCTION("""COMPUTED_VALUE"""),0.0)</f>
        <v>0</v>
      </c>
    </row>
    <row r="745">
      <c r="A745" s="2" t="str">
        <f>IFERROR(__xludf.DUMMYFUNCTION("""COMPUTED_VALUE"""),"Chile")</f>
        <v>Chile</v>
      </c>
      <c r="B745" s="3">
        <f>IFERROR(__xludf.DUMMYFUNCTION("""COMPUTED_VALUE"""),43325.0)</f>
        <v>43325</v>
      </c>
      <c r="C745" s="3">
        <f>IFERROR(__xludf.DUMMYFUNCTION("""COMPUTED_VALUE"""),43331.0)</f>
        <v>43331</v>
      </c>
      <c r="D745" s="2">
        <f>IFERROR(__xludf.DUMMYFUNCTION("""COMPUTED_VALUE"""),7.0)</f>
        <v>7</v>
      </c>
      <c r="E745" s="2">
        <f>IFERROR(__xludf.DUMMYFUNCTION("""COMPUTED_VALUE"""),33.0)</f>
        <v>33</v>
      </c>
      <c r="F745" s="2">
        <f>IFERROR(__xludf.DUMMYFUNCTION("""COMPUTED_VALUE"""),2306.0)</f>
        <v>2306</v>
      </c>
      <c r="G745" s="2">
        <f>IFERROR(__xludf.DUMMYFUNCTION("""COMPUTED_VALUE"""),0.0)</f>
        <v>0</v>
      </c>
    </row>
    <row r="746">
      <c r="A746" s="2" t="str">
        <f>IFERROR(__xludf.DUMMYFUNCTION("""COMPUTED_VALUE"""),"Chile")</f>
        <v>Chile</v>
      </c>
      <c r="B746" s="3">
        <f>IFERROR(__xludf.DUMMYFUNCTION("""COMPUTED_VALUE"""),43332.0)</f>
        <v>43332</v>
      </c>
      <c r="C746" s="3">
        <f>IFERROR(__xludf.DUMMYFUNCTION("""COMPUTED_VALUE"""),43338.0)</f>
        <v>43338</v>
      </c>
      <c r="D746" s="2">
        <f>IFERROR(__xludf.DUMMYFUNCTION("""COMPUTED_VALUE"""),7.0)</f>
        <v>7</v>
      </c>
      <c r="E746" s="2">
        <f>IFERROR(__xludf.DUMMYFUNCTION("""COMPUTED_VALUE"""),34.0)</f>
        <v>34</v>
      </c>
      <c r="F746" s="2">
        <f>IFERROR(__xludf.DUMMYFUNCTION("""COMPUTED_VALUE"""),2388.0)</f>
        <v>2388</v>
      </c>
      <c r="G746" s="2">
        <f>IFERROR(__xludf.DUMMYFUNCTION("""COMPUTED_VALUE"""),0.0)</f>
        <v>0</v>
      </c>
    </row>
    <row r="747">
      <c r="A747" s="2" t="str">
        <f>IFERROR(__xludf.DUMMYFUNCTION("""COMPUTED_VALUE"""),"Chile")</f>
        <v>Chile</v>
      </c>
      <c r="B747" s="3">
        <f>IFERROR(__xludf.DUMMYFUNCTION("""COMPUTED_VALUE"""),43339.0)</f>
        <v>43339</v>
      </c>
      <c r="C747" s="3">
        <f>IFERROR(__xludf.DUMMYFUNCTION("""COMPUTED_VALUE"""),43345.0)</f>
        <v>43345</v>
      </c>
      <c r="D747" s="2">
        <f>IFERROR(__xludf.DUMMYFUNCTION("""COMPUTED_VALUE"""),7.0)</f>
        <v>7</v>
      </c>
      <c r="E747" s="2">
        <f>IFERROR(__xludf.DUMMYFUNCTION("""COMPUTED_VALUE"""),35.0)</f>
        <v>35</v>
      </c>
      <c r="F747" s="2">
        <f>IFERROR(__xludf.DUMMYFUNCTION("""COMPUTED_VALUE"""),2178.0)</f>
        <v>2178</v>
      </c>
      <c r="G747" s="2">
        <f>IFERROR(__xludf.DUMMYFUNCTION("""COMPUTED_VALUE"""),0.0)</f>
        <v>0</v>
      </c>
    </row>
    <row r="748">
      <c r="A748" s="2" t="str">
        <f>IFERROR(__xludf.DUMMYFUNCTION("""COMPUTED_VALUE"""),"Chile")</f>
        <v>Chile</v>
      </c>
      <c r="B748" s="3">
        <f>IFERROR(__xludf.DUMMYFUNCTION("""COMPUTED_VALUE"""),43346.0)</f>
        <v>43346</v>
      </c>
      <c r="C748" s="3">
        <f>IFERROR(__xludf.DUMMYFUNCTION("""COMPUTED_VALUE"""),43352.0)</f>
        <v>43352</v>
      </c>
      <c r="D748" s="2">
        <f>IFERROR(__xludf.DUMMYFUNCTION("""COMPUTED_VALUE"""),7.0)</f>
        <v>7</v>
      </c>
      <c r="E748" s="2">
        <f>IFERROR(__xludf.DUMMYFUNCTION("""COMPUTED_VALUE"""),36.0)</f>
        <v>36</v>
      </c>
      <c r="F748" s="2">
        <f>IFERROR(__xludf.DUMMYFUNCTION("""COMPUTED_VALUE"""),2238.0)</f>
        <v>2238</v>
      </c>
      <c r="G748" s="2">
        <f>IFERROR(__xludf.DUMMYFUNCTION("""COMPUTED_VALUE"""),0.0)</f>
        <v>0</v>
      </c>
    </row>
    <row r="749">
      <c r="A749" s="2" t="str">
        <f>IFERROR(__xludf.DUMMYFUNCTION("""COMPUTED_VALUE"""),"Chile")</f>
        <v>Chile</v>
      </c>
      <c r="B749" s="3">
        <f>IFERROR(__xludf.DUMMYFUNCTION("""COMPUTED_VALUE"""),43353.0)</f>
        <v>43353</v>
      </c>
      <c r="C749" s="3">
        <f>IFERROR(__xludf.DUMMYFUNCTION("""COMPUTED_VALUE"""),43359.0)</f>
        <v>43359</v>
      </c>
      <c r="D749" s="2">
        <f>IFERROR(__xludf.DUMMYFUNCTION("""COMPUTED_VALUE"""),7.0)</f>
        <v>7</v>
      </c>
      <c r="E749" s="2">
        <f>IFERROR(__xludf.DUMMYFUNCTION("""COMPUTED_VALUE"""),37.0)</f>
        <v>37</v>
      </c>
      <c r="F749" s="2">
        <f>IFERROR(__xludf.DUMMYFUNCTION("""COMPUTED_VALUE"""),2140.0)</f>
        <v>2140</v>
      </c>
      <c r="G749" s="2">
        <f>IFERROR(__xludf.DUMMYFUNCTION("""COMPUTED_VALUE"""),0.0)</f>
        <v>0</v>
      </c>
    </row>
    <row r="750">
      <c r="A750" s="2" t="str">
        <f>IFERROR(__xludf.DUMMYFUNCTION("""COMPUTED_VALUE"""),"Chile")</f>
        <v>Chile</v>
      </c>
      <c r="B750" s="3">
        <f>IFERROR(__xludf.DUMMYFUNCTION("""COMPUTED_VALUE"""),43360.0)</f>
        <v>43360</v>
      </c>
      <c r="C750" s="3">
        <f>IFERROR(__xludf.DUMMYFUNCTION("""COMPUTED_VALUE"""),43366.0)</f>
        <v>43366</v>
      </c>
      <c r="D750" s="2">
        <f>IFERROR(__xludf.DUMMYFUNCTION("""COMPUTED_VALUE"""),7.0)</f>
        <v>7</v>
      </c>
      <c r="E750" s="2">
        <f>IFERROR(__xludf.DUMMYFUNCTION("""COMPUTED_VALUE"""),38.0)</f>
        <v>38</v>
      </c>
      <c r="F750" s="2">
        <f>IFERROR(__xludf.DUMMYFUNCTION("""COMPUTED_VALUE"""),2217.0)</f>
        <v>2217</v>
      </c>
      <c r="G750" s="2">
        <f>IFERROR(__xludf.DUMMYFUNCTION("""COMPUTED_VALUE"""),0.0)</f>
        <v>0</v>
      </c>
    </row>
    <row r="751">
      <c r="A751" s="2" t="str">
        <f>IFERROR(__xludf.DUMMYFUNCTION("""COMPUTED_VALUE"""),"Chile")</f>
        <v>Chile</v>
      </c>
      <c r="B751" s="3">
        <f>IFERROR(__xludf.DUMMYFUNCTION("""COMPUTED_VALUE"""),43367.0)</f>
        <v>43367</v>
      </c>
      <c r="C751" s="3">
        <f>IFERROR(__xludf.DUMMYFUNCTION("""COMPUTED_VALUE"""),43373.0)</f>
        <v>43373</v>
      </c>
      <c r="D751" s="2">
        <f>IFERROR(__xludf.DUMMYFUNCTION("""COMPUTED_VALUE"""),7.0)</f>
        <v>7</v>
      </c>
      <c r="E751" s="2">
        <f>IFERROR(__xludf.DUMMYFUNCTION("""COMPUTED_VALUE"""),39.0)</f>
        <v>39</v>
      </c>
      <c r="F751" s="2">
        <f>IFERROR(__xludf.DUMMYFUNCTION("""COMPUTED_VALUE"""),2046.0)</f>
        <v>2046</v>
      </c>
      <c r="G751" s="2">
        <f>IFERROR(__xludf.DUMMYFUNCTION("""COMPUTED_VALUE"""),0.0)</f>
        <v>0</v>
      </c>
    </row>
    <row r="752">
      <c r="A752" s="2" t="str">
        <f>IFERROR(__xludf.DUMMYFUNCTION("""COMPUTED_VALUE"""),"Chile")</f>
        <v>Chile</v>
      </c>
      <c r="B752" s="3">
        <f>IFERROR(__xludf.DUMMYFUNCTION("""COMPUTED_VALUE"""),43374.0)</f>
        <v>43374</v>
      </c>
      <c r="C752" s="3">
        <f>IFERROR(__xludf.DUMMYFUNCTION("""COMPUTED_VALUE"""),43380.0)</f>
        <v>43380</v>
      </c>
      <c r="D752" s="2">
        <f>IFERROR(__xludf.DUMMYFUNCTION("""COMPUTED_VALUE"""),7.0)</f>
        <v>7</v>
      </c>
      <c r="E752" s="2">
        <f>IFERROR(__xludf.DUMMYFUNCTION("""COMPUTED_VALUE"""),40.0)</f>
        <v>40</v>
      </c>
      <c r="F752" s="2">
        <f>IFERROR(__xludf.DUMMYFUNCTION("""COMPUTED_VALUE"""),2058.0)</f>
        <v>2058</v>
      </c>
      <c r="G752" s="2">
        <f>IFERROR(__xludf.DUMMYFUNCTION("""COMPUTED_VALUE"""),0.0)</f>
        <v>0</v>
      </c>
    </row>
    <row r="753">
      <c r="A753" s="2" t="str">
        <f>IFERROR(__xludf.DUMMYFUNCTION("""COMPUTED_VALUE"""),"Chile")</f>
        <v>Chile</v>
      </c>
      <c r="B753" s="3">
        <f>IFERROR(__xludf.DUMMYFUNCTION("""COMPUTED_VALUE"""),43381.0)</f>
        <v>43381</v>
      </c>
      <c r="C753" s="3">
        <f>IFERROR(__xludf.DUMMYFUNCTION("""COMPUTED_VALUE"""),43387.0)</f>
        <v>43387</v>
      </c>
      <c r="D753" s="2">
        <f>IFERROR(__xludf.DUMMYFUNCTION("""COMPUTED_VALUE"""),7.0)</f>
        <v>7</v>
      </c>
      <c r="E753" s="2">
        <f>IFERROR(__xludf.DUMMYFUNCTION("""COMPUTED_VALUE"""),41.0)</f>
        <v>41</v>
      </c>
      <c r="F753" s="2">
        <f>IFERROR(__xludf.DUMMYFUNCTION("""COMPUTED_VALUE"""),1986.0)</f>
        <v>1986</v>
      </c>
      <c r="G753" s="2">
        <f>IFERROR(__xludf.DUMMYFUNCTION("""COMPUTED_VALUE"""),0.0)</f>
        <v>0</v>
      </c>
    </row>
    <row r="754">
      <c r="A754" s="2" t="str">
        <f>IFERROR(__xludf.DUMMYFUNCTION("""COMPUTED_VALUE"""),"Chile")</f>
        <v>Chile</v>
      </c>
      <c r="B754" s="3">
        <f>IFERROR(__xludf.DUMMYFUNCTION("""COMPUTED_VALUE"""),43388.0)</f>
        <v>43388</v>
      </c>
      <c r="C754" s="3">
        <f>IFERROR(__xludf.DUMMYFUNCTION("""COMPUTED_VALUE"""),43394.0)</f>
        <v>43394</v>
      </c>
      <c r="D754" s="2">
        <f>IFERROR(__xludf.DUMMYFUNCTION("""COMPUTED_VALUE"""),7.0)</f>
        <v>7</v>
      </c>
      <c r="E754" s="2">
        <f>IFERROR(__xludf.DUMMYFUNCTION("""COMPUTED_VALUE"""),42.0)</f>
        <v>42</v>
      </c>
      <c r="F754" s="2">
        <f>IFERROR(__xludf.DUMMYFUNCTION("""COMPUTED_VALUE"""),2002.0)</f>
        <v>2002</v>
      </c>
      <c r="G754" s="2">
        <f>IFERROR(__xludf.DUMMYFUNCTION("""COMPUTED_VALUE"""),0.0)</f>
        <v>0</v>
      </c>
    </row>
    <row r="755">
      <c r="A755" s="2" t="str">
        <f>IFERROR(__xludf.DUMMYFUNCTION("""COMPUTED_VALUE"""),"Chile")</f>
        <v>Chile</v>
      </c>
      <c r="B755" s="3">
        <f>IFERROR(__xludf.DUMMYFUNCTION("""COMPUTED_VALUE"""),43395.0)</f>
        <v>43395</v>
      </c>
      <c r="C755" s="3">
        <f>IFERROR(__xludf.DUMMYFUNCTION("""COMPUTED_VALUE"""),43401.0)</f>
        <v>43401</v>
      </c>
      <c r="D755" s="2">
        <f>IFERROR(__xludf.DUMMYFUNCTION("""COMPUTED_VALUE"""),7.0)</f>
        <v>7</v>
      </c>
      <c r="E755" s="2">
        <f>IFERROR(__xludf.DUMMYFUNCTION("""COMPUTED_VALUE"""),43.0)</f>
        <v>43</v>
      </c>
      <c r="F755" s="2">
        <f>IFERROR(__xludf.DUMMYFUNCTION("""COMPUTED_VALUE"""),2030.0)</f>
        <v>2030</v>
      </c>
      <c r="G755" s="2">
        <f>IFERROR(__xludf.DUMMYFUNCTION("""COMPUTED_VALUE"""),0.0)</f>
        <v>0</v>
      </c>
    </row>
    <row r="756">
      <c r="A756" s="2" t="str">
        <f>IFERROR(__xludf.DUMMYFUNCTION("""COMPUTED_VALUE"""),"Chile")</f>
        <v>Chile</v>
      </c>
      <c r="B756" s="3">
        <f>IFERROR(__xludf.DUMMYFUNCTION("""COMPUTED_VALUE"""),43402.0)</f>
        <v>43402</v>
      </c>
      <c r="C756" s="3">
        <f>IFERROR(__xludf.DUMMYFUNCTION("""COMPUTED_VALUE"""),43408.0)</f>
        <v>43408</v>
      </c>
      <c r="D756" s="2">
        <f>IFERROR(__xludf.DUMMYFUNCTION("""COMPUTED_VALUE"""),7.0)</f>
        <v>7</v>
      </c>
      <c r="E756" s="2">
        <f>IFERROR(__xludf.DUMMYFUNCTION("""COMPUTED_VALUE"""),44.0)</f>
        <v>44</v>
      </c>
      <c r="F756" s="2">
        <f>IFERROR(__xludf.DUMMYFUNCTION("""COMPUTED_VALUE"""),1940.0)</f>
        <v>1940</v>
      </c>
      <c r="G756" s="2">
        <f>IFERROR(__xludf.DUMMYFUNCTION("""COMPUTED_VALUE"""),0.0)</f>
        <v>0</v>
      </c>
    </row>
    <row r="757">
      <c r="A757" s="2" t="str">
        <f>IFERROR(__xludf.DUMMYFUNCTION("""COMPUTED_VALUE"""),"Chile")</f>
        <v>Chile</v>
      </c>
      <c r="B757" s="3">
        <f>IFERROR(__xludf.DUMMYFUNCTION("""COMPUTED_VALUE"""),43409.0)</f>
        <v>43409</v>
      </c>
      <c r="C757" s="3">
        <f>IFERROR(__xludf.DUMMYFUNCTION("""COMPUTED_VALUE"""),43415.0)</f>
        <v>43415</v>
      </c>
      <c r="D757" s="2">
        <f>IFERROR(__xludf.DUMMYFUNCTION("""COMPUTED_VALUE"""),7.0)</f>
        <v>7</v>
      </c>
      <c r="E757" s="2">
        <f>IFERROR(__xludf.DUMMYFUNCTION("""COMPUTED_VALUE"""),45.0)</f>
        <v>45</v>
      </c>
      <c r="F757" s="2">
        <f>IFERROR(__xludf.DUMMYFUNCTION("""COMPUTED_VALUE"""),1960.0)</f>
        <v>1960</v>
      </c>
      <c r="G757" s="2">
        <f>IFERROR(__xludf.DUMMYFUNCTION("""COMPUTED_VALUE"""),0.0)</f>
        <v>0</v>
      </c>
    </row>
    <row r="758">
      <c r="A758" s="2" t="str">
        <f>IFERROR(__xludf.DUMMYFUNCTION("""COMPUTED_VALUE"""),"Chile")</f>
        <v>Chile</v>
      </c>
      <c r="B758" s="3">
        <f>IFERROR(__xludf.DUMMYFUNCTION("""COMPUTED_VALUE"""),43416.0)</f>
        <v>43416</v>
      </c>
      <c r="C758" s="3">
        <f>IFERROR(__xludf.DUMMYFUNCTION("""COMPUTED_VALUE"""),43422.0)</f>
        <v>43422</v>
      </c>
      <c r="D758" s="2">
        <f>IFERROR(__xludf.DUMMYFUNCTION("""COMPUTED_VALUE"""),7.0)</f>
        <v>7</v>
      </c>
      <c r="E758" s="2">
        <f>IFERROR(__xludf.DUMMYFUNCTION("""COMPUTED_VALUE"""),46.0)</f>
        <v>46</v>
      </c>
      <c r="F758" s="2">
        <f>IFERROR(__xludf.DUMMYFUNCTION("""COMPUTED_VALUE"""),1945.0)</f>
        <v>1945</v>
      </c>
      <c r="G758" s="2">
        <f>IFERROR(__xludf.DUMMYFUNCTION("""COMPUTED_VALUE"""),0.0)</f>
        <v>0</v>
      </c>
    </row>
    <row r="759">
      <c r="A759" s="2" t="str">
        <f>IFERROR(__xludf.DUMMYFUNCTION("""COMPUTED_VALUE"""),"Chile")</f>
        <v>Chile</v>
      </c>
      <c r="B759" s="3">
        <f>IFERROR(__xludf.DUMMYFUNCTION("""COMPUTED_VALUE"""),43423.0)</f>
        <v>43423</v>
      </c>
      <c r="C759" s="3">
        <f>IFERROR(__xludf.DUMMYFUNCTION("""COMPUTED_VALUE"""),43429.0)</f>
        <v>43429</v>
      </c>
      <c r="D759" s="2">
        <f>IFERROR(__xludf.DUMMYFUNCTION("""COMPUTED_VALUE"""),7.0)</f>
        <v>7</v>
      </c>
      <c r="E759" s="2">
        <f>IFERROR(__xludf.DUMMYFUNCTION("""COMPUTED_VALUE"""),47.0)</f>
        <v>47</v>
      </c>
      <c r="F759" s="2">
        <f>IFERROR(__xludf.DUMMYFUNCTION("""COMPUTED_VALUE"""),1992.0)</f>
        <v>1992</v>
      </c>
      <c r="G759" s="2">
        <f>IFERROR(__xludf.DUMMYFUNCTION("""COMPUTED_VALUE"""),0.0)</f>
        <v>0</v>
      </c>
    </row>
    <row r="760">
      <c r="A760" s="2" t="str">
        <f>IFERROR(__xludf.DUMMYFUNCTION("""COMPUTED_VALUE"""),"Chile")</f>
        <v>Chile</v>
      </c>
      <c r="B760" s="3">
        <f>IFERROR(__xludf.DUMMYFUNCTION("""COMPUTED_VALUE"""),43430.0)</f>
        <v>43430</v>
      </c>
      <c r="C760" s="3">
        <f>IFERROR(__xludf.DUMMYFUNCTION("""COMPUTED_VALUE"""),43436.0)</f>
        <v>43436</v>
      </c>
      <c r="D760" s="2">
        <f>IFERROR(__xludf.DUMMYFUNCTION("""COMPUTED_VALUE"""),7.0)</f>
        <v>7</v>
      </c>
      <c r="E760" s="2">
        <f>IFERROR(__xludf.DUMMYFUNCTION("""COMPUTED_VALUE"""),48.0)</f>
        <v>48</v>
      </c>
      <c r="F760" s="2">
        <f>IFERROR(__xludf.DUMMYFUNCTION("""COMPUTED_VALUE"""),1924.0)</f>
        <v>1924</v>
      </c>
      <c r="G760" s="2">
        <f>IFERROR(__xludf.DUMMYFUNCTION("""COMPUTED_VALUE"""),0.0)</f>
        <v>0</v>
      </c>
    </row>
    <row r="761">
      <c r="A761" s="2" t="str">
        <f>IFERROR(__xludf.DUMMYFUNCTION("""COMPUTED_VALUE"""),"Chile")</f>
        <v>Chile</v>
      </c>
      <c r="B761" s="3">
        <f>IFERROR(__xludf.DUMMYFUNCTION("""COMPUTED_VALUE"""),43437.0)</f>
        <v>43437</v>
      </c>
      <c r="C761" s="3">
        <f>IFERROR(__xludf.DUMMYFUNCTION("""COMPUTED_VALUE"""),43443.0)</f>
        <v>43443</v>
      </c>
      <c r="D761" s="2">
        <f>IFERROR(__xludf.DUMMYFUNCTION("""COMPUTED_VALUE"""),7.0)</f>
        <v>7</v>
      </c>
      <c r="E761" s="2">
        <f>IFERROR(__xludf.DUMMYFUNCTION("""COMPUTED_VALUE"""),49.0)</f>
        <v>49</v>
      </c>
      <c r="F761" s="2">
        <f>IFERROR(__xludf.DUMMYFUNCTION("""COMPUTED_VALUE"""),1852.0)</f>
        <v>1852</v>
      </c>
      <c r="G761" s="2">
        <f>IFERROR(__xludf.DUMMYFUNCTION("""COMPUTED_VALUE"""),0.0)</f>
        <v>0</v>
      </c>
    </row>
    <row r="762">
      <c r="A762" s="2" t="str">
        <f>IFERROR(__xludf.DUMMYFUNCTION("""COMPUTED_VALUE"""),"Chile")</f>
        <v>Chile</v>
      </c>
      <c r="B762" s="3">
        <f>IFERROR(__xludf.DUMMYFUNCTION("""COMPUTED_VALUE"""),43444.0)</f>
        <v>43444</v>
      </c>
      <c r="C762" s="3">
        <f>IFERROR(__xludf.DUMMYFUNCTION("""COMPUTED_VALUE"""),43450.0)</f>
        <v>43450</v>
      </c>
      <c r="D762" s="2">
        <f>IFERROR(__xludf.DUMMYFUNCTION("""COMPUTED_VALUE"""),7.0)</f>
        <v>7</v>
      </c>
      <c r="E762" s="2">
        <f>IFERROR(__xludf.DUMMYFUNCTION("""COMPUTED_VALUE"""),50.0)</f>
        <v>50</v>
      </c>
      <c r="F762" s="2">
        <f>IFERROR(__xludf.DUMMYFUNCTION("""COMPUTED_VALUE"""),1910.0)</f>
        <v>1910</v>
      </c>
      <c r="G762" s="2">
        <f>IFERROR(__xludf.DUMMYFUNCTION("""COMPUTED_VALUE"""),0.0)</f>
        <v>0</v>
      </c>
    </row>
    <row r="763">
      <c r="A763" s="2" t="str">
        <f>IFERROR(__xludf.DUMMYFUNCTION("""COMPUTED_VALUE"""),"Chile")</f>
        <v>Chile</v>
      </c>
      <c r="B763" s="3">
        <f>IFERROR(__xludf.DUMMYFUNCTION("""COMPUTED_VALUE"""),43451.0)</f>
        <v>43451</v>
      </c>
      <c r="C763" s="3">
        <f>IFERROR(__xludf.DUMMYFUNCTION("""COMPUTED_VALUE"""),43457.0)</f>
        <v>43457</v>
      </c>
      <c r="D763" s="2">
        <f>IFERROR(__xludf.DUMMYFUNCTION("""COMPUTED_VALUE"""),7.0)</f>
        <v>7</v>
      </c>
      <c r="E763" s="2">
        <f>IFERROR(__xludf.DUMMYFUNCTION("""COMPUTED_VALUE"""),51.0)</f>
        <v>51</v>
      </c>
      <c r="F763" s="2">
        <f>IFERROR(__xludf.DUMMYFUNCTION("""COMPUTED_VALUE"""),1941.0)</f>
        <v>1941</v>
      </c>
      <c r="G763" s="2">
        <f>IFERROR(__xludf.DUMMYFUNCTION("""COMPUTED_VALUE"""),0.0)</f>
        <v>0</v>
      </c>
    </row>
    <row r="764">
      <c r="A764" s="2" t="str">
        <f>IFERROR(__xludf.DUMMYFUNCTION("""COMPUTED_VALUE"""),"Chile")</f>
        <v>Chile</v>
      </c>
      <c r="B764" s="3">
        <f>IFERROR(__xludf.DUMMYFUNCTION("""COMPUTED_VALUE"""),43458.0)</f>
        <v>43458</v>
      </c>
      <c r="C764" s="3">
        <f>IFERROR(__xludf.DUMMYFUNCTION("""COMPUTED_VALUE"""),43464.0)</f>
        <v>43464</v>
      </c>
      <c r="D764" s="2">
        <f>IFERROR(__xludf.DUMMYFUNCTION("""COMPUTED_VALUE"""),7.0)</f>
        <v>7</v>
      </c>
      <c r="E764" s="2">
        <f>IFERROR(__xludf.DUMMYFUNCTION("""COMPUTED_VALUE"""),52.0)</f>
        <v>52</v>
      </c>
      <c r="F764" s="2">
        <f>IFERROR(__xludf.DUMMYFUNCTION("""COMPUTED_VALUE"""),1887.0)</f>
        <v>1887</v>
      </c>
      <c r="G764" s="2">
        <f>IFERROR(__xludf.DUMMYFUNCTION("""COMPUTED_VALUE"""),0.0)</f>
        <v>0</v>
      </c>
    </row>
    <row r="765">
      <c r="A765" s="2" t="str">
        <f>IFERROR(__xludf.DUMMYFUNCTION("""COMPUTED_VALUE"""),"Chile")</f>
        <v>Chile</v>
      </c>
      <c r="B765" s="3">
        <f>IFERROR(__xludf.DUMMYFUNCTION("""COMPUTED_VALUE"""),43465.0)</f>
        <v>43465</v>
      </c>
      <c r="C765" s="3">
        <f>IFERROR(__xludf.DUMMYFUNCTION("""COMPUTED_VALUE"""),43471.0)</f>
        <v>43471</v>
      </c>
      <c r="D765" s="2">
        <f>IFERROR(__xludf.DUMMYFUNCTION("""COMPUTED_VALUE"""),7.0)</f>
        <v>7</v>
      </c>
      <c r="E765" s="2">
        <f>IFERROR(__xludf.DUMMYFUNCTION("""COMPUTED_VALUE"""),1.0)</f>
        <v>1</v>
      </c>
      <c r="F765" s="2">
        <f>IFERROR(__xludf.DUMMYFUNCTION("""COMPUTED_VALUE"""),2020.0)</f>
        <v>2020</v>
      </c>
      <c r="G765" s="2">
        <f>IFERROR(__xludf.DUMMYFUNCTION("""COMPUTED_VALUE"""),0.0)</f>
        <v>0</v>
      </c>
    </row>
    <row r="766">
      <c r="A766" s="2" t="str">
        <f>IFERROR(__xludf.DUMMYFUNCTION("""COMPUTED_VALUE"""),"Chile")</f>
        <v>Chile</v>
      </c>
      <c r="B766" s="3">
        <f>IFERROR(__xludf.DUMMYFUNCTION("""COMPUTED_VALUE"""),43472.0)</f>
        <v>43472</v>
      </c>
      <c r="C766" s="3">
        <f>IFERROR(__xludf.DUMMYFUNCTION("""COMPUTED_VALUE"""),43478.0)</f>
        <v>43478</v>
      </c>
      <c r="D766" s="2">
        <f>IFERROR(__xludf.DUMMYFUNCTION("""COMPUTED_VALUE"""),7.0)</f>
        <v>7</v>
      </c>
      <c r="E766" s="2">
        <f>IFERROR(__xludf.DUMMYFUNCTION("""COMPUTED_VALUE"""),2.0)</f>
        <v>2</v>
      </c>
      <c r="F766" s="2">
        <f>IFERROR(__xludf.DUMMYFUNCTION("""COMPUTED_VALUE"""),1818.0)</f>
        <v>1818</v>
      </c>
      <c r="G766" s="2">
        <f>IFERROR(__xludf.DUMMYFUNCTION("""COMPUTED_VALUE"""),0.0)</f>
        <v>0</v>
      </c>
    </row>
    <row r="767">
      <c r="A767" s="2" t="str">
        <f>IFERROR(__xludf.DUMMYFUNCTION("""COMPUTED_VALUE"""),"Chile")</f>
        <v>Chile</v>
      </c>
      <c r="B767" s="3">
        <f>IFERROR(__xludf.DUMMYFUNCTION("""COMPUTED_VALUE"""),43479.0)</f>
        <v>43479</v>
      </c>
      <c r="C767" s="3">
        <f>IFERROR(__xludf.DUMMYFUNCTION("""COMPUTED_VALUE"""),43485.0)</f>
        <v>43485</v>
      </c>
      <c r="D767" s="2">
        <f>IFERROR(__xludf.DUMMYFUNCTION("""COMPUTED_VALUE"""),7.0)</f>
        <v>7</v>
      </c>
      <c r="E767" s="2">
        <f>IFERROR(__xludf.DUMMYFUNCTION("""COMPUTED_VALUE"""),3.0)</f>
        <v>3</v>
      </c>
      <c r="F767" s="2">
        <f>IFERROR(__xludf.DUMMYFUNCTION("""COMPUTED_VALUE"""),1819.0)</f>
        <v>1819</v>
      </c>
      <c r="G767" s="2">
        <f>IFERROR(__xludf.DUMMYFUNCTION("""COMPUTED_VALUE"""),0.0)</f>
        <v>0</v>
      </c>
    </row>
    <row r="768">
      <c r="A768" s="2" t="str">
        <f>IFERROR(__xludf.DUMMYFUNCTION("""COMPUTED_VALUE"""),"Chile")</f>
        <v>Chile</v>
      </c>
      <c r="B768" s="3">
        <f>IFERROR(__xludf.DUMMYFUNCTION("""COMPUTED_VALUE"""),43486.0)</f>
        <v>43486</v>
      </c>
      <c r="C768" s="3">
        <f>IFERROR(__xludf.DUMMYFUNCTION("""COMPUTED_VALUE"""),43492.0)</f>
        <v>43492</v>
      </c>
      <c r="D768" s="2">
        <f>IFERROR(__xludf.DUMMYFUNCTION("""COMPUTED_VALUE"""),7.0)</f>
        <v>7</v>
      </c>
      <c r="E768" s="2">
        <f>IFERROR(__xludf.DUMMYFUNCTION("""COMPUTED_VALUE"""),4.0)</f>
        <v>4</v>
      </c>
      <c r="F768" s="2">
        <f>IFERROR(__xludf.DUMMYFUNCTION("""COMPUTED_VALUE"""),1945.0)</f>
        <v>1945</v>
      </c>
      <c r="G768" s="2">
        <f>IFERROR(__xludf.DUMMYFUNCTION("""COMPUTED_VALUE"""),0.0)</f>
        <v>0</v>
      </c>
    </row>
    <row r="769">
      <c r="A769" s="2" t="str">
        <f>IFERROR(__xludf.DUMMYFUNCTION("""COMPUTED_VALUE"""),"Chile")</f>
        <v>Chile</v>
      </c>
      <c r="B769" s="3">
        <f>IFERROR(__xludf.DUMMYFUNCTION("""COMPUTED_VALUE"""),43493.0)</f>
        <v>43493</v>
      </c>
      <c r="C769" s="3">
        <f>IFERROR(__xludf.DUMMYFUNCTION("""COMPUTED_VALUE"""),43499.0)</f>
        <v>43499</v>
      </c>
      <c r="D769" s="2">
        <f>IFERROR(__xludf.DUMMYFUNCTION("""COMPUTED_VALUE"""),7.0)</f>
        <v>7</v>
      </c>
      <c r="E769" s="2">
        <f>IFERROR(__xludf.DUMMYFUNCTION("""COMPUTED_VALUE"""),5.0)</f>
        <v>5</v>
      </c>
      <c r="F769" s="2">
        <f>IFERROR(__xludf.DUMMYFUNCTION("""COMPUTED_VALUE"""),1961.0)</f>
        <v>1961</v>
      </c>
      <c r="G769" s="2">
        <f>IFERROR(__xludf.DUMMYFUNCTION("""COMPUTED_VALUE"""),0.0)</f>
        <v>0</v>
      </c>
    </row>
    <row r="770">
      <c r="A770" s="2" t="str">
        <f>IFERROR(__xludf.DUMMYFUNCTION("""COMPUTED_VALUE"""),"Chile")</f>
        <v>Chile</v>
      </c>
      <c r="B770" s="3">
        <f>IFERROR(__xludf.DUMMYFUNCTION("""COMPUTED_VALUE"""),43500.0)</f>
        <v>43500</v>
      </c>
      <c r="C770" s="3">
        <f>IFERROR(__xludf.DUMMYFUNCTION("""COMPUTED_VALUE"""),43506.0)</f>
        <v>43506</v>
      </c>
      <c r="D770" s="2">
        <f>IFERROR(__xludf.DUMMYFUNCTION("""COMPUTED_VALUE"""),7.0)</f>
        <v>7</v>
      </c>
      <c r="E770" s="2">
        <f>IFERROR(__xludf.DUMMYFUNCTION("""COMPUTED_VALUE"""),6.0)</f>
        <v>6</v>
      </c>
      <c r="F770" s="2">
        <f>IFERROR(__xludf.DUMMYFUNCTION("""COMPUTED_VALUE"""),2023.0)</f>
        <v>2023</v>
      </c>
      <c r="G770" s="2">
        <f>IFERROR(__xludf.DUMMYFUNCTION("""COMPUTED_VALUE"""),0.0)</f>
        <v>0</v>
      </c>
    </row>
    <row r="771">
      <c r="A771" s="2" t="str">
        <f>IFERROR(__xludf.DUMMYFUNCTION("""COMPUTED_VALUE"""),"Chile")</f>
        <v>Chile</v>
      </c>
      <c r="B771" s="3">
        <f>IFERROR(__xludf.DUMMYFUNCTION("""COMPUTED_VALUE"""),43507.0)</f>
        <v>43507</v>
      </c>
      <c r="C771" s="3">
        <f>IFERROR(__xludf.DUMMYFUNCTION("""COMPUTED_VALUE"""),43513.0)</f>
        <v>43513</v>
      </c>
      <c r="D771" s="2">
        <f>IFERROR(__xludf.DUMMYFUNCTION("""COMPUTED_VALUE"""),7.0)</f>
        <v>7</v>
      </c>
      <c r="E771" s="2">
        <f>IFERROR(__xludf.DUMMYFUNCTION("""COMPUTED_VALUE"""),7.0)</f>
        <v>7</v>
      </c>
      <c r="F771" s="2">
        <f>IFERROR(__xludf.DUMMYFUNCTION("""COMPUTED_VALUE"""),1875.0)</f>
        <v>1875</v>
      </c>
      <c r="G771" s="2">
        <f>IFERROR(__xludf.DUMMYFUNCTION("""COMPUTED_VALUE"""),0.0)</f>
        <v>0</v>
      </c>
    </row>
    <row r="772">
      <c r="A772" s="2" t="str">
        <f>IFERROR(__xludf.DUMMYFUNCTION("""COMPUTED_VALUE"""),"Chile")</f>
        <v>Chile</v>
      </c>
      <c r="B772" s="3">
        <f>IFERROR(__xludf.DUMMYFUNCTION("""COMPUTED_VALUE"""),43514.0)</f>
        <v>43514</v>
      </c>
      <c r="C772" s="3">
        <f>IFERROR(__xludf.DUMMYFUNCTION("""COMPUTED_VALUE"""),43520.0)</f>
        <v>43520</v>
      </c>
      <c r="D772" s="2">
        <f>IFERROR(__xludf.DUMMYFUNCTION("""COMPUTED_VALUE"""),7.0)</f>
        <v>7</v>
      </c>
      <c r="E772" s="2">
        <f>IFERROR(__xludf.DUMMYFUNCTION("""COMPUTED_VALUE"""),8.0)</f>
        <v>8</v>
      </c>
      <c r="F772" s="2">
        <f>IFERROR(__xludf.DUMMYFUNCTION("""COMPUTED_VALUE"""),1931.0)</f>
        <v>1931</v>
      </c>
      <c r="G772" s="2">
        <f>IFERROR(__xludf.DUMMYFUNCTION("""COMPUTED_VALUE"""),0.0)</f>
        <v>0</v>
      </c>
    </row>
    <row r="773">
      <c r="A773" s="2" t="str">
        <f>IFERROR(__xludf.DUMMYFUNCTION("""COMPUTED_VALUE"""),"Chile")</f>
        <v>Chile</v>
      </c>
      <c r="B773" s="3">
        <f>IFERROR(__xludf.DUMMYFUNCTION("""COMPUTED_VALUE"""),43521.0)</f>
        <v>43521</v>
      </c>
      <c r="C773" s="3">
        <f>IFERROR(__xludf.DUMMYFUNCTION("""COMPUTED_VALUE"""),43527.0)</f>
        <v>43527</v>
      </c>
      <c r="D773" s="2">
        <f>IFERROR(__xludf.DUMMYFUNCTION("""COMPUTED_VALUE"""),7.0)</f>
        <v>7</v>
      </c>
      <c r="E773" s="2">
        <f>IFERROR(__xludf.DUMMYFUNCTION("""COMPUTED_VALUE"""),9.0)</f>
        <v>9</v>
      </c>
      <c r="F773" s="2">
        <f>IFERROR(__xludf.DUMMYFUNCTION("""COMPUTED_VALUE"""),1862.0)</f>
        <v>1862</v>
      </c>
      <c r="G773" s="2">
        <f>IFERROR(__xludf.DUMMYFUNCTION("""COMPUTED_VALUE"""),0.0)</f>
        <v>0</v>
      </c>
    </row>
    <row r="774">
      <c r="A774" s="2" t="str">
        <f>IFERROR(__xludf.DUMMYFUNCTION("""COMPUTED_VALUE"""),"Chile")</f>
        <v>Chile</v>
      </c>
      <c r="B774" s="3">
        <f>IFERROR(__xludf.DUMMYFUNCTION("""COMPUTED_VALUE"""),43528.0)</f>
        <v>43528</v>
      </c>
      <c r="C774" s="3">
        <f>IFERROR(__xludf.DUMMYFUNCTION("""COMPUTED_VALUE"""),43534.0)</f>
        <v>43534</v>
      </c>
      <c r="D774" s="2">
        <f>IFERROR(__xludf.DUMMYFUNCTION("""COMPUTED_VALUE"""),7.0)</f>
        <v>7</v>
      </c>
      <c r="E774" s="2">
        <f>IFERROR(__xludf.DUMMYFUNCTION("""COMPUTED_VALUE"""),10.0)</f>
        <v>10</v>
      </c>
      <c r="F774" s="2">
        <f>IFERROR(__xludf.DUMMYFUNCTION("""COMPUTED_VALUE"""),1795.0)</f>
        <v>1795</v>
      </c>
      <c r="G774" s="2">
        <f>IFERROR(__xludf.DUMMYFUNCTION("""COMPUTED_VALUE"""),0.0)</f>
        <v>0</v>
      </c>
    </row>
    <row r="775">
      <c r="A775" s="2" t="str">
        <f>IFERROR(__xludf.DUMMYFUNCTION("""COMPUTED_VALUE"""),"Chile")</f>
        <v>Chile</v>
      </c>
      <c r="B775" s="3">
        <f>IFERROR(__xludf.DUMMYFUNCTION("""COMPUTED_VALUE"""),43535.0)</f>
        <v>43535</v>
      </c>
      <c r="C775" s="3">
        <f>IFERROR(__xludf.DUMMYFUNCTION("""COMPUTED_VALUE"""),43541.0)</f>
        <v>43541</v>
      </c>
      <c r="D775" s="2">
        <f>IFERROR(__xludf.DUMMYFUNCTION("""COMPUTED_VALUE"""),7.0)</f>
        <v>7</v>
      </c>
      <c r="E775" s="2">
        <f>IFERROR(__xludf.DUMMYFUNCTION("""COMPUTED_VALUE"""),11.0)</f>
        <v>11</v>
      </c>
      <c r="F775" s="2">
        <f>IFERROR(__xludf.DUMMYFUNCTION("""COMPUTED_VALUE"""),1867.0)</f>
        <v>1867</v>
      </c>
      <c r="G775" s="2">
        <f>IFERROR(__xludf.DUMMYFUNCTION("""COMPUTED_VALUE"""),0.0)</f>
        <v>0</v>
      </c>
    </row>
    <row r="776">
      <c r="A776" s="2" t="str">
        <f>IFERROR(__xludf.DUMMYFUNCTION("""COMPUTED_VALUE"""),"Chile")</f>
        <v>Chile</v>
      </c>
      <c r="B776" s="3">
        <f>IFERROR(__xludf.DUMMYFUNCTION("""COMPUTED_VALUE"""),43542.0)</f>
        <v>43542</v>
      </c>
      <c r="C776" s="3">
        <f>IFERROR(__xludf.DUMMYFUNCTION("""COMPUTED_VALUE"""),43548.0)</f>
        <v>43548</v>
      </c>
      <c r="D776" s="2">
        <f>IFERROR(__xludf.DUMMYFUNCTION("""COMPUTED_VALUE"""),7.0)</f>
        <v>7</v>
      </c>
      <c r="E776" s="2">
        <f>IFERROR(__xludf.DUMMYFUNCTION("""COMPUTED_VALUE"""),12.0)</f>
        <v>12</v>
      </c>
      <c r="F776" s="2">
        <f>IFERROR(__xludf.DUMMYFUNCTION("""COMPUTED_VALUE"""),1877.0)</f>
        <v>1877</v>
      </c>
      <c r="G776" s="2">
        <f>IFERROR(__xludf.DUMMYFUNCTION("""COMPUTED_VALUE"""),0.0)</f>
        <v>0</v>
      </c>
    </row>
    <row r="777">
      <c r="A777" s="2" t="str">
        <f>IFERROR(__xludf.DUMMYFUNCTION("""COMPUTED_VALUE"""),"Chile")</f>
        <v>Chile</v>
      </c>
      <c r="B777" s="3">
        <f>IFERROR(__xludf.DUMMYFUNCTION("""COMPUTED_VALUE"""),43549.0)</f>
        <v>43549</v>
      </c>
      <c r="C777" s="3">
        <f>IFERROR(__xludf.DUMMYFUNCTION("""COMPUTED_VALUE"""),43555.0)</f>
        <v>43555</v>
      </c>
      <c r="D777" s="2">
        <f>IFERROR(__xludf.DUMMYFUNCTION("""COMPUTED_VALUE"""),7.0)</f>
        <v>7</v>
      </c>
      <c r="E777" s="2">
        <f>IFERROR(__xludf.DUMMYFUNCTION("""COMPUTED_VALUE"""),13.0)</f>
        <v>13</v>
      </c>
      <c r="F777" s="2">
        <f>IFERROR(__xludf.DUMMYFUNCTION("""COMPUTED_VALUE"""),1848.0)</f>
        <v>1848</v>
      </c>
      <c r="G777" s="2">
        <f>IFERROR(__xludf.DUMMYFUNCTION("""COMPUTED_VALUE"""),0.0)</f>
        <v>0</v>
      </c>
    </row>
    <row r="778">
      <c r="A778" s="2" t="str">
        <f>IFERROR(__xludf.DUMMYFUNCTION("""COMPUTED_VALUE"""),"Chile")</f>
        <v>Chile</v>
      </c>
      <c r="B778" s="3">
        <f>IFERROR(__xludf.DUMMYFUNCTION("""COMPUTED_VALUE"""),43556.0)</f>
        <v>43556</v>
      </c>
      <c r="C778" s="3">
        <f>IFERROR(__xludf.DUMMYFUNCTION("""COMPUTED_VALUE"""),43562.0)</f>
        <v>43562</v>
      </c>
      <c r="D778" s="2">
        <f>IFERROR(__xludf.DUMMYFUNCTION("""COMPUTED_VALUE"""),7.0)</f>
        <v>7</v>
      </c>
      <c r="E778" s="2">
        <f>IFERROR(__xludf.DUMMYFUNCTION("""COMPUTED_VALUE"""),14.0)</f>
        <v>14</v>
      </c>
      <c r="F778" s="2">
        <f>IFERROR(__xludf.DUMMYFUNCTION("""COMPUTED_VALUE"""),1959.0)</f>
        <v>1959</v>
      </c>
      <c r="G778" s="2">
        <f>IFERROR(__xludf.DUMMYFUNCTION("""COMPUTED_VALUE"""),0.0)</f>
        <v>0</v>
      </c>
    </row>
    <row r="779">
      <c r="A779" s="2" t="str">
        <f>IFERROR(__xludf.DUMMYFUNCTION("""COMPUTED_VALUE"""),"Chile")</f>
        <v>Chile</v>
      </c>
      <c r="B779" s="3">
        <f>IFERROR(__xludf.DUMMYFUNCTION("""COMPUTED_VALUE"""),43563.0)</f>
        <v>43563</v>
      </c>
      <c r="C779" s="3">
        <f>IFERROR(__xludf.DUMMYFUNCTION("""COMPUTED_VALUE"""),43569.0)</f>
        <v>43569</v>
      </c>
      <c r="D779" s="2">
        <f>IFERROR(__xludf.DUMMYFUNCTION("""COMPUTED_VALUE"""),7.0)</f>
        <v>7</v>
      </c>
      <c r="E779" s="2">
        <f>IFERROR(__xludf.DUMMYFUNCTION("""COMPUTED_VALUE"""),15.0)</f>
        <v>15</v>
      </c>
      <c r="F779" s="2">
        <f>IFERROR(__xludf.DUMMYFUNCTION("""COMPUTED_VALUE"""),1973.0)</f>
        <v>1973</v>
      </c>
      <c r="G779" s="2">
        <f>IFERROR(__xludf.DUMMYFUNCTION("""COMPUTED_VALUE"""),0.0)</f>
        <v>0</v>
      </c>
    </row>
    <row r="780">
      <c r="A780" s="2" t="str">
        <f>IFERROR(__xludf.DUMMYFUNCTION("""COMPUTED_VALUE"""),"Chile")</f>
        <v>Chile</v>
      </c>
      <c r="B780" s="3">
        <f>IFERROR(__xludf.DUMMYFUNCTION("""COMPUTED_VALUE"""),43570.0)</f>
        <v>43570</v>
      </c>
      <c r="C780" s="3">
        <f>IFERROR(__xludf.DUMMYFUNCTION("""COMPUTED_VALUE"""),43576.0)</f>
        <v>43576</v>
      </c>
      <c r="D780" s="2">
        <f>IFERROR(__xludf.DUMMYFUNCTION("""COMPUTED_VALUE"""),7.0)</f>
        <v>7</v>
      </c>
      <c r="E780" s="2">
        <f>IFERROR(__xludf.DUMMYFUNCTION("""COMPUTED_VALUE"""),16.0)</f>
        <v>16</v>
      </c>
      <c r="F780" s="2">
        <f>IFERROR(__xludf.DUMMYFUNCTION("""COMPUTED_VALUE"""),1980.0)</f>
        <v>1980</v>
      </c>
      <c r="G780" s="2">
        <f>IFERROR(__xludf.DUMMYFUNCTION("""COMPUTED_VALUE"""),0.0)</f>
        <v>0</v>
      </c>
    </row>
    <row r="781">
      <c r="A781" s="2" t="str">
        <f>IFERROR(__xludf.DUMMYFUNCTION("""COMPUTED_VALUE"""),"Chile")</f>
        <v>Chile</v>
      </c>
      <c r="B781" s="3">
        <f>IFERROR(__xludf.DUMMYFUNCTION("""COMPUTED_VALUE"""),43577.0)</f>
        <v>43577</v>
      </c>
      <c r="C781" s="3">
        <f>IFERROR(__xludf.DUMMYFUNCTION("""COMPUTED_VALUE"""),43583.0)</f>
        <v>43583</v>
      </c>
      <c r="D781" s="2">
        <f>IFERROR(__xludf.DUMMYFUNCTION("""COMPUTED_VALUE"""),7.0)</f>
        <v>7</v>
      </c>
      <c r="E781" s="2">
        <f>IFERROR(__xludf.DUMMYFUNCTION("""COMPUTED_VALUE"""),17.0)</f>
        <v>17</v>
      </c>
      <c r="F781" s="2">
        <f>IFERROR(__xludf.DUMMYFUNCTION("""COMPUTED_VALUE"""),2033.0)</f>
        <v>2033</v>
      </c>
      <c r="G781" s="2">
        <f>IFERROR(__xludf.DUMMYFUNCTION("""COMPUTED_VALUE"""),0.0)</f>
        <v>0</v>
      </c>
    </row>
    <row r="782">
      <c r="A782" s="2" t="str">
        <f>IFERROR(__xludf.DUMMYFUNCTION("""COMPUTED_VALUE"""),"Chile")</f>
        <v>Chile</v>
      </c>
      <c r="B782" s="3">
        <f>IFERROR(__xludf.DUMMYFUNCTION("""COMPUTED_VALUE"""),43584.0)</f>
        <v>43584</v>
      </c>
      <c r="C782" s="3">
        <f>IFERROR(__xludf.DUMMYFUNCTION("""COMPUTED_VALUE"""),43590.0)</f>
        <v>43590</v>
      </c>
      <c r="D782" s="2">
        <f>IFERROR(__xludf.DUMMYFUNCTION("""COMPUTED_VALUE"""),7.0)</f>
        <v>7</v>
      </c>
      <c r="E782" s="2">
        <f>IFERROR(__xludf.DUMMYFUNCTION("""COMPUTED_VALUE"""),18.0)</f>
        <v>18</v>
      </c>
      <c r="F782" s="2">
        <f>IFERROR(__xludf.DUMMYFUNCTION("""COMPUTED_VALUE"""),2095.0)</f>
        <v>2095</v>
      </c>
      <c r="G782" s="2">
        <f>IFERROR(__xludf.DUMMYFUNCTION("""COMPUTED_VALUE"""),0.0)</f>
        <v>0</v>
      </c>
    </row>
    <row r="783">
      <c r="A783" s="2" t="str">
        <f>IFERROR(__xludf.DUMMYFUNCTION("""COMPUTED_VALUE"""),"Chile")</f>
        <v>Chile</v>
      </c>
      <c r="B783" s="3">
        <f>IFERROR(__xludf.DUMMYFUNCTION("""COMPUTED_VALUE"""),43591.0)</f>
        <v>43591</v>
      </c>
      <c r="C783" s="3">
        <f>IFERROR(__xludf.DUMMYFUNCTION("""COMPUTED_VALUE"""),43597.0)</f>
        <v>43597</v>
      </c>
      <c r="D783" s="2">
        <f>IFERROR(__xludf.DUMMYFUNCTION("""COMPUTED_VALUE"""),7.0)</f>
        <v>7</v>
      </c>
      <c r="E783" s="2">
        <f>IFERROR(__xludf.DUMMYFUNCTION("""COMPUTED_VALUE"""),19.0)</f>
        <v>19</v>
      </c>
      <c r="F783" s="2">
        <f>IFERROR(__xludf.DUMMYFUNCTION("""COMPUTED_VALUE"""),2072.0)</f>
        <v>2072</v>
      </c>
      <c r="G783" s="2">
        <f>IFERROR(__xludf.DUMMYFUNCTION("""COMPUTED_VALUE"""),0.0)</f>
        <v>0</v>
      </c>
    </row>
    <row r="784">
      <c r="A784" s="2" t="str">
        <f>IFERROR(__xludf.DUMMYFUNCTION("""COMPUTED_VALUE"""),"Chile")</f>
        <v>Chile</v>
      </c>
      <c r="B784" s="3">
        <f>IFERROR(__xludf.DUMMYFUNCTION("""COMPUTED_VALUE"""),43598.0)</f>
        <v>43598</v>
      </c>
      <c r="C784" s="3">
        <f>IFERROR(__xludf.DUMMYFUNCTION("""COMPUTED_VALUE"""),43604.0)</f>
        <v>43604</v>
      </c>
      <c r="D784" s="2">
        <f>IFERROR(__xludf.DUMMYFUNCTION("""COMPUTED_VALUE"""),7.0)</f>
        <v>7</v>
      </c>
      <c r="E784" s="2">
        <f>IFERROR(__xludf.DUMMYFUNCTION("""COMPUTED_VALUE"""),20.0)</f>
        <v>20</v>
      </c>
      <c r="F784" s="2">
        <f>IFERROR(__xludf.DUMMYFUNCTION("""COMPUTED_VALUE"""),2147.0)</f>
        <v>2147</v>
      </c>
      <c r="G784" s="2">
        <f>IFERROR(__xludf.DUMMYFUNCTION("""COMPUTED_VALUE"""),0.0)</f>
        <v>0</v>
      </c>
    </row>
    <row r="785">
      <c r="A785" s="2" t="str">
        <f>IFERROR(__xludf.DUMMYFUNCTION("""COMPUTED_VALUE"""),"Chile")</f>
        <v>Chile</v>
      </c>
      <c r="B785" s="3">
        <f>IFERROR(__xludf.DUMMYFUNCTION("""COMPUTED_VALUE"""),43605.0)</f>
        <v>43605</v>
      </c>
      <c r="C785" s="3">
        <f>IFERROR(__xludf.DUMMYFUNCTION("""COMPUTED_VALUE"""),43611.0)</f>
        <v>43611</v>
      </c>
      <c r="D785" s="2">
        <f>IFERROR(__xludf.DUMMYFUNCTION("""COMPUTED_VALUE"""),7.0)</f>
        <v>7</v>
      </c>
      <c r="E785" s="2">
        <f>IFERROR(__xludf.DUMMYFUNCTION("""COMPUTED_VALUE"""),21.0)</f>
        <v>21</v>
      </c>
      <c r="F785" s="2">
        <f>IFERROR(__xludf.DUMMYFUNCTION("""COMPUTED_VALUE"""),2364.0)</f>
        <v>2364</v>
      </c>
      <c r="G785" s="2">
        <f>IFERROR(__xludf.DUMMYFUNCTION("""COMPUTED_VALUE"""),0.0)</f>
        <v>0</v>
      </c>
    </row>
    <row r="786">
      <c r="A786" s="2" t="str">
        <f>IFERROR(__xludf.DUMMYFUNCTION("""COMPUTED_VALUE"""),"Chile")</f>
        <v>Chile</v>
      </c>
      <c r="B786" s="3">
        <f>IFERROR(__xludf.DUMMYFUNCTION("""COMPUTED_VALUE"""),43612.0)</f>
        <v>43612</v>
      </c>
      <c r="C786" s="3">
        <f>IFERROR(__xludf.DUMMYFUNCTION("""COMPUTED_VALUE"""),43618.0)</f>
        <v>43618</v>
      </c>
      <c r="D786" s="2">
        <f>IFERROR(__xludf.DUMMYFUNCTION("""COMPUTED_VALUE"""),7.0)</f>
        <v>7</v>
      </c>
      <c r="E786" s="2">
        <f>IFERROR(__xludf.DUMMYFUNCTION("""COMPUTED_VALUE"""),22.0)</f>
        <v>22</v>
      </c>
      <c r="F786" s="2">
        <f>IFERROR(__xludf.DUMMYFUNCTION("""COMPUTED_VALUE"""),2354.0)</f>
        <v>2354</v>
      </c>
      <c r="G786" s="2">
        <f>IFERROR(__xludf.DUMMYFUNCTION("""COMPUTED_VALUE"""),0.0)</f>
        <v>0</v>
      </c>
    </row>
    <row r="787">
      <c r="A787" s="2" t="str">
        <f>IFERROR(__xludf.DUMMYFUNCTION("""COMPUTED_VALUE"""),"Chile")</f>
        <v>Chile</v>
      </c>
      <c r="B787" s="3">
        <f>IFERROR(__xludf.DUMMYFUNCTION("""COMPUTED_VALUE"""),43619.0)</f>
        <v>43619</v>
      </c>
      <c r="C787" s="3">
        <f>IFERROR(__xludf.DUMMYFUNCTION("""COMPUTED_VALUE"""),43625.0)</f>
        <v>43625</v>
      </c>
      <c r="D787" s="2">
        <f>IFERROR(__xludf.DUMMYFUNCTION("""COMPUTED_VALUE"""),7.0)</f>
        <v>7</v>
      </c>
      <c r="E787" s="2">
        <f>IFERROR(__xludf.DUMMYFUNCTION("""COMPUTED_VALUE"""),23.0)</f>
        <v>23</v>
      </c>
      <c r="F787" s="2">
        <f>IFERROR(__xludf.DUMMYFUNCTION("""COMPUTED_VALUE"""),2324.0)</f>
        <v>2324</v>
      </c>
      <c r="G787" s="2">
        <f>IFERROR(__xludf.DUMMYFUNCTION("""COMPUTED_VALUE"""),0.0)</f>
        <v>0</v>
      </c>
    </row>
    <row r="788">
      <c r="A788" s="2" t="str">
        <f>IFERROR(__xludf.DUMMYFUNCTION("""COMPUTED_VALUE"""),"Chile")</f>
        <v>Chile</v>
      </c>
      <c r="B788" s="3">
        <f>IFERROR(__xludf.DUMMYFUNCTION("""COMPUTED_VALUE"""),43626.0)</f>
        <v>43626</v>
      </c>
      <c r="C788" s="3">
        <f>IFERROR(__xludf.DUMMYFUNCTION("""COMPUTED_VALUE"""),43632.0)</f>
        <v>43632</v>
      </c>
      <c r="D788" s="2">
        <f>IFERROR(__xludf.DUMMYFUNCTION("""COMPUTED_VALUE"""),7.0)</f>
        <v>7</v>
      </c>
      <c r="E788" s="2">
        <f>IFERROR(__xludf.DUMMYFUNCTION("""COMPUTED_VALUE"""),24.0)</f>
        <v>24</v>
      </c>
      <c r="F788" s="2">
        <f>IFERROR(__xludf.DUMMYFUNCTION("""COMPUTED_VALUE"""),2429.0)</f>
        <v>2429</v>
      </c>
      <c r="G788" s="2">
        <f>IFERROR(__xludf.DUMMYFUNCTION("""COMPUTED_VALUE"""),0.0)</f>
        <v>0</v>
      </c>
    </row>
    <row r="789">
      <c r="A789" s="2" t="str">
        <f>IFERROR(__xludf.DUMMYFUNCTION("""COMPUTED_VALUE"""),"Chile")</f>
        <v>Chile</v>
      </c>
      <c r="B789" s="3">
        <f>IFERROR(__xludf.DUMMYFUNCTION("""COMPUTED_VALUE"""),43633.0)</f>
        <v>43633</v>
      </c>
      <c r="C789" s="3">
        <f>IFERROR(__xludf.DUMMYFUNCTION("""COMPUTED_VALUE"""),43639.0)</f>
        <v>43639</v>
      </c>
      <c r="D789" s="2">
        <f>IFERROR(__xludf.DUMMYFUNCTION("""COMPUTED_VALUE"""),7.0)</f>
        <v>7</v>
      </c>
      <c r="E789" s="2">
        <f>IFERROR(__xludf.DUMMYFUNCTION("""COMPUTED_VALUE"""),25.0)</f>
        <v>25</v>
      </c>
      <c r="F789" s="2">
        <f>IFERROR(__xludf.DUMMYFUNCTION("""COMPUTED_VALUE"""),2477.0)</f>
        <v>2477</v>
      </c>
      <c r="G789" s="2">
        <f>IFERROR(__xludf.DUMMYFUNCTION("""COMPUTED_VALUE"""),0.0)</f>
        <v>0</v>
      </c>
    </row>
    <row r="790">
      <c r="A790" s="2" t="str">
        <f>IFERROR(__xludf.DUMMYFUNCTION("""COMPUTED_VALUE"""),"Chile")</f>
        <v>Chile</v>
      </c>
      <c r="B790" s="3">
        <f>IFERROR(__xludf.DUMMYFUNCTION("""COMPUTED_VALUE"""),43640.0)</f>
        <v>43640</v>
      </c>
      <c r="C790" s="3">
        <f>IFERROR(__xludf.DUMMYFUNCTION("""COMPUTED_VALUE"""),43646.0)</f>
        <v>43646</v>
      </c>
      <c r="D790" s="2">
        <f>IFERROR(__xludf.DUMMYFUNCTION("""COMPUTED_VALUE"""),7.0)</f>
        <v>7</v>
      </c>
      <c r="E790" s="2">
        <f>IFERROR(__xludf.DUMMYFUNCTION("""COMPUTED_VALUE"""),26.0)</f>
        <v>26</v>
      </c>
      <c r="F790" s="2">
        <f>IFERROR(__xludf.DUMMYFUNCTION("""COMPUTED_VALUE"""),2504.0)</f>
        <v>2504</v>
      </c>
      <c r="G790" s="2">
        <f>IFERROR(__xludf.DUMMYFUNCTION("""COMPUTED_VALUE"""),0.0)</f>
        <v>0</v>
      </c>
    </row>
    <row r="791">
      <c r="A791" s="2" t="str">
        <f>IFERROR(__xludf.DUMMYFUNCTION("""COMPUTED_VALUE"""),"Chile")</f>
        <v>Chile</v>
      </c>
      <c r="B791" s="3">
        <f>IFERROR(__xludf.DUMMYFUNCTION("""COMPUTED_VALUE"""),43647.0)</f>
        <v>43647</v>
      </c>
      <c r="C791" s="3">
        <f>IFERROR(__xludf.DUMMYFUNCTION("""COMPUTED_VALUE"""),43653.0)</f>
        <v>43653</v>
      </c>
      <c r="D791" s="2">
        <f>IFERROR(__xludf.DUMMYFUNCTION("""COMPUTED_VALUE"""),7.0)</f>
        <v>7</v>
      </c>
      <c r="E791" s="2">
        <f>IFERROR(__xludf.DUMMYFUNCTION("""COMPUTED_VALUE"""),27.0)</f>
        <v>27</v>
      </c>
      <c r="F791" s="2">
        <f>IFERROR(__xludf.DUMMYFUNCTION("""COMPUTED_VALUE"""),2458.0)</f>
        <v>2458</v>
      </c>
      <c r="G791" s="2">
        <f>IFERROR(__xludf.DUMMYFUNCTION("""COMPUTED_VALUE"""),0.0)</f>
        <v>0</v>
      </c>
    </row>
    <row r="792">
      <c r="A792" s="2" t="str">
        <f>IFERROR(__xludf.DUMMYFUNCTION("""COMPUTED_VALUE"""),"Chile")</f>
        <v>Chile</v>
      </c>
      <c r="B792" s="3">
        <f>IFERROR(__xludf.DUMMYFUNCTION("""COMPUTED_VALUE"""),43654.0)</f>
        <v>43654</v>
      </c>
      <c r="C792" s="3">
        <f>IFERROR(__xludf.DUMMYFUNCTION("""COMPUTED_VALUE"""),43660.0)</f>
        <v>43660</v>
      </c>
      <c r="D792" s="2">
        <f>IFERROR(__xludf.DUMMYFUNCTION("""COMPUTED_VALUE"""),7.0)</f>
        <v>7</v>
      </c>
      <c r="E792" s="2">
        <f>IFERROR(__xludf.DUMMYFUNCTION("""COMPUTED_VALUE"""),28.0)</f>
        <v>28</v>
      </c>
      <c r="F792" s="2">
        <f>IFERROR(__xludf.DUMMYFUNCTION("""COMPUTED_VALUE"""),2376.0)</f>
        <v>2376</v>
      </c>
      <c r="G792" s="2">
        <f>IFERROR(__xludf.DUMMYFUNCTION("""COMPUTED_VALUE"""),0.0)</f>
        <v>0</v>
      </c>
    </row>
    <row r="793">
      <c r="A793" s="2" t="str">
        <f>IFERROR(__xludf.DUMMYFUNCTION("""COMPUTED_VALUE"""),"Chile")</f>
        <v>Chile</v>
      </c>
      <c r="B793" s="3">
        <f>IFERROR(__xludf.DUMMYFUNCTION("""COMPUTED_VALUE"""),43661.0)</f>
        <v>43661</v>
      </c>
      <c r="C793" s="3">
        <f>IFERROR(__xludf.DUMMYFUNCTION("""COMPUTED_VALUE"""),43667.0)</f>
        <v>43667</v>
      </c>
      <c r="D793" s="2">
        <f>IFERROR(__xludf.DUMMYFUNCTION("""COMPUTED_VALUE"""),7.0)</f>
        <v>7</v>
      </c>
      <c r="E793" s="2">
        <f>IFERROR(__xludf.DUMMYFUNCTION("""COMPUTED_VALUE"""),29.0)</f>
        <v>29</v>
      </c>
      <c r="F793" s="2">
        <f>IFERROR(__xludf.DUMMYFUNCTION("""COMPUTED_VALUE"""),2420.0)</f>
        <v>2420</v>
      </c>
      <c r="G793" s="2">
        <f>IFERROR(__xludf.DUMMYFUNCTION("""COMPUTED_VALUE"""),0.0)</f>
        <v>0</v>
      </c>
    </row>
    <row r="794">
      <c r="A794" s="2" t="str">
        <f>IFERROR(__xludf.DUMMYFUNCTION("""COMPUTED_VALUE"""),"Chile")</f>
        <v>Chile</v>
      </c>
      <c r="B794" s="3">
        <f>IFERROR(__xludf.DUMMYFUNCTION("""COMPUTED_VALUE"""),43668.0)</f>
        <v>43668</v>
      </c>
      <c r="C794" s="3">
        <f>IFERROR(__xludf.DUMMYFUNCTION("""COMPUTED_VALUE"""),43674.0)</f>
        <v>43674</v>
      </c>
      <c r="D794" s="2">
        <f>IFERROR(__xludf.DUMMYFUNCTION("""COMPUTED_VALUE"""),7.0)</f>
        <v>7</v>
      </c>
      <c r="E794" s="2">
        <f>IFERROR(__xludf.DUMMYFUNCTION("""COMPUTED_VALUE"""),30.0)</f>
        <v>30</v>
      </c>
      <c r="F794" s="2">
        <f>IFERROR(__xludf.DUMMYFUNCTION("""COMPUTED_VALUE"""),2343.0)</f>
        <v>2343</v>
      </c>
      <c r="G794" s="2">
        <f>IFERROR(__xludf.DUMMYFUNCTION("""COMPUTED_VALUE"""),0.0)</f>
        <v>0</v>
      </c>
    </row>
    <row r="795">
      <c r="A795" s="2" t="str">
        <f>IFERROR(__xludf.DUMMYFUNCTION("""COMPUTED_VALUE"""),"Chile")</f>
        <v>Chile</v>
      </c>
      <c r="B795" s="3">
        <f>IFERROR(__xludf.DUMMYFUNCTION("""COMPUTED_VALUE"""),43675.0)</f>
        <v>43675</v>
      </c>
      <c r="C795" s="3">
        <f>IFERROR(__xludf.DUMMYFUNCTION("""COMPUTED_VALUE"""),43681.0)</f>
        <v>43681</v>
      </c>
      <c r="D795" s="2">
        <f>IFERROR(__xludf.DUMMYFUNCTION("""COMPUTED_VALUE"""),7.0)</f>
        <v>7</v>
      </c>
      <c r="E795" s="2">
        <f>IFERROR(__xludf.DUMMYFUNCTION("""COMPUTED_VALUE"""),31.0)</f>
        <v>31</v>
      </c>
      <c r="F795" s="2">
        <f>IFERROR(__xludf.DUMMYFUNCTION("""COMPUTED_VALUE"""),2341.0)</f>
        <v>2341</v>
      </c>
      <c r="G795" s="2">
        <f>IFERROR(__xludf.DUMMYFUNCTION("""COMPUTED_VALUE"""),0.0)</f>
        <v>0</v>
      </c>
    </row>
    <row r="796">
      <c r="A796" s="2" t="str">
        <f>IFERROR(__xludf.DUMMYFUNCTION("""COMPUTED_VALUE"""),"Chile")</f>
        <v>Chile</v>
      </c>
      <c r="B796" s="3">
        <f>IFERROR(__xludf.DUMMYFUNCTION("""COMPUTED_VALUE"""),43682.0)</f>
        <v>43682</v>
      </c>
      <c r="C796" s="3">
        <f>IFERROR(__xludf.DUMMYFUNCTION("""COMPUTED_VALUE"""),43688.0)</f>
        <v>43688</v>
      </c>
      <c r="D796" s="2">
        <f>IFERROR(__xludf.DUMMYFUNCTION("""COMPUTED_VALUE"""),7.0)</f>
        <v>7</v>
      </c>
      <c r="E796" s="2">
        <f>IFERROR(__xludf.DUMMYFUNCTION("""COMPUTED_VALUE"""),32.0)</f>
        <v>32</v>
      </c>
      <c r="F796" s="2">
        <f>IFERROR(__xludf.DUMMYFUNCTION("""COMPUTED_VALUE"""),2265.0)</f>
        <v>2265</v>
      </c>
      <c r="G796" s="2">
        <f>IFERROR(__xludf.DUMMYFUNCTION("""COMPUTED_VALUE"""),0.0)</f>
        <v>0</v>
      </c>
    </row>
    <row r="797">
      <c r="A797" s="2" t="str">
        <f>IFERROR(__xludf.DUMMYFUNCTION("""COMPUTED_VALUE"""),"Chile")</f>
        <v>Chile</v>
      </c>
      <c r="B797" s="3">
        <f>IFERROR(__xludf.DUMMYFUNCTION("""COMPUTED_VALUE"""),43689.0)</f>
        <v>43689</v>
      </c>
      <c r="C797" s="3">
        <f>IFERROR(__xludf.DUMMYFUNCTION("""COMPUTED_VALUE"""),43695.0)</f>
        <v>43695</v>
      </c>
      <c r="D797" s="2">
        <f>IFERROR(__xludf.DUMMYFUNCTION("""COMPUTED_VALUE"""),7.0)</f>
        <v>7</v>
      </c>
      <c r="E797" s="2">
        <f>IFERROR(__xludf.DUMMYFUNCTION("""COMPUTED_VALUE"""),33.0)</f>
        <v>33</v>
      </c>
      <c r="F797" s="2">
        <f>IFERROR(__xludf.DUMMYFUNCTION("""COMPUTED_VALUE"""),2296.0)</f>
        <v>2296</v>
      </c>
      <c r="G797" s="2">
        <f>IFERROR(__xludf.DUMMYFUNCTION("""COMPUTED_VALUE"""),0.0)</f>
        <v>0</v>
      </c>
    </row>
    <row r="798">
      <c r="A798" s="2" t="str">
        <f>IFERROR(__xludf.DUMMYFUNCTION("""COMPUTED_VALUE"""),"Chile")</f>
        <v>Chile</v>
      </c>
      <c r="B798" s="3">
        <f>IFERROR(__xludf.DUMMYFUNCTION("""COMPUTED_VALUE"""),43696.0)</f>
        <v>43696</v>
      </c>
      <c r="C798" s="3">
        <f>IFERROR(__xludf.DUMMYFUNCTION("""COMPUTED_VALUE"""),43702.0)</f>
        <v>43702</v>
      </c>
      <c r="D798" s="2">
        <f>IFERROR(__xludf.DUMMYFUNCTION("""COMPUTED_VALUE"""),7.0)</f>
        <v>7</v>
      </c>
      <c r="E798" s="2">
        <f>IFERROR(__xludf.DUMMYFUNCTION("""COMPUTED_VALUE"""),34.0)</f>
        <v>34</v>
      </c>
      <c r="F798" s="2">
        <f>IFERROR(__xludf.DUMMYFUNCTION("""COMPUTED_VALUE"""),2239.0)</f>
        <v>2239</v>
      </c>
      <c r="G798" s="2">
        <f>IFERROR(__xludf.DUMMYFUNCTION("""COMPUTED_VALUE"""),0.0)</f>
        <v>0</v>
      </c>
    </row>
    <row r="799">
      <c r="A799" s="2" t="str">
        <f>IFERROR(__xludf.DUMMYFUNCTION("""COMPUTED_VALUE"""),"Chile")</f>
        <v>Chile</v>
      </c>
      <c r="B799" s="3">
        <f>IFERROR(__xludf.DUMMYFUNCTION("""COMPUTED_VALUE"""),43703.0)</f>
        <v>43703</v>
      </c>
      <c r="C799" s="3">
        <f>IFERROR(__xludf.DUMMYFUNCTION("""COMPUTED_VALUE"""),43709.0)</f>
        <v>43709</v>
      </c>
      <c r="D799" s="2">
        <f>IFERROR(__xludf.DUMMYFUNCTION("""COMPUTED_VALUE"""),7.0)</f>
        <v>7</v>
      </c>
      <c r="E799" s="2">
        <f>IFERROR(__xludf.DUMMYFUNCTION("""COMPUTED_VALUE"""),35.0)</f>
        <v>35</v>
      </c>
      <c r="F799" s="2">
        <f>IFERROR(__xludf.DUMMYFUNCTION("""COMPUTED_VALUE"""),2181.0)</f>
        <v>2181</v>
      </c>
      <c r="G799" s="2">
        <f>IFERROR(__xludf.DUMMYFUNCTION("""COMPUTED_VALUE"""),0.0)</f>
        <v>0</v>
      </c>
    </row>
    <row r="800">
      <c r="A800" s="2" t="str">
        <f>IFERROR(__xludf.DUMMYFUNCTION("""COMPUTED_VALUE"""),"Chile")</f>
        <v>Chile</v>
      </c>
      <c r="B800" s="3">
        <f>IFERROR(__xludf.DUMMYFUNCTION("""COMPUTED_VALUE"""),43710.0)</f>
        <v>43710</v>
      </c>
      <c r="C800" s="3">
        <f>IFERROR(__xludf.DUMMYFUNCTION("""COMPUTED_VALUE"""),43716.0)</f>
        <v>43716</v>
      </c>
      <c r="D800" s="2">
        <f>IFERROR(__xludf.DUMMYFUNCTION("""COMPUTED_VALUE"""),7.0)</f>
        <v>7</v>
      </c>
      <c r="E800" s="2">
        <f>IFERROR(__xludf.DUMMYFUNCTION("""COMPUTED_VALUE"""),36.0)</f>
        <v>36</v>
      </c>
      <c r="F800" s="2">
        <f>IFERROR(__xludf.DUMMYFUNCTION("""COMPUTED_VALUE"""),2181.0)</f>
        <v>2181</v>
      </c>
      <c r="G800" s="2">
        <f>IFERROR(__xludf.DUMMYFUNCTION("""COMPUTED_VALUE"""),0.0)</f>
        <v>0</v>
      </c>
    </row>
    <row r="801">
      <c r="A801" s="2" t="str">
        <f>IFERROR(__xludf.DUMMYFUNCTION("""COMPUTED_VALUE"""),"Chile")</f>
        <v>Chile</v>
      </c>
      <c r="B801" s="3">
        <f>IFERROR(__xludf.DUMMYFUNCTION("""COMPUTED_VALUE"""),43717.0)</f>
        <v>43717</v>
      </c>
      <c r="C801" s="3">
        <f>IFERROR(__xludf.DUMMYFUNCTION("""COMPUTED_VALUE"""),43723.0)</f>
        <v>43723</v>
      </c>
      <c r="D801" s="2">
        <f>IFERROR(__xludf.DUMMYFUNCTION("""COMPUTED_VALUE"""),7.0)</f>
        <v>7</v>
      </c>
      <c r="E801" s="2">
        <f>IFERROR(__xludf.DUMMYFUNCTION("""COMPUTED_VALUE"""),37.0)</f>
        <v>37</v>
      </c>
      <c r="F801" s="2">
        <f>IFERROR(__xludf.DUMMYFUNCTION("""COMPUTED_VALUE"""),2210.0)</f>
        <v>2210</v>
      </c>
      <c r="G801" s="2">
        <f>IFERROR(__xludf.DUMMYFUNCTION("""COMPUTED_VALUE"""),0.0)</f>
        <v>0</v>
      </c>
    </row>
    <row r="802">
      <c r="A802" s="2" t="str">
        <f>IFERROR(__xludf.DUMMYFUNCTION("""COMPUTED_VALUE"""),"Chile")</f>
        <v>Chile</v>
      </c>
      <c r="B802" s="3">
        <f>IFERROR(__xludf.DUMMYFUNCTION("""COMPUTED_VALUE"""),43724.0)</f>
        <v>43724</v>
      </c>
      <c r="C802" s="3">
        <f>IFERROR(__xludf.DUMMYFUNCTION("""COMPUTED_VALUE"""),43730.0)</f>
        <v>43730</v>
      </c>
      <c r="D802" s="2">
        <f>IFERROR(__xludf.DUMMYFUNCTION("""COMPUTED_VALUE"""),7.0)</f>
        <v>7</v>
      </c>
      <c r="E802" s="2">
        <f>IFERROR(__xludf.DUMMYFUNCTION("""COMPUTED_VALUE"""),38.0)</f>
        <v>38</v>
      </c>
      <c r="F802" s="2">
        <f>IFERROR(__xludf.DUMMYFUNCTION("""COMPUTED_VALUE"""),2224.0)</f>
        <v>2224</v>
      </c>
      <c r="G802" s="2">
        <f>IFERROR(__xludf.DUMMYFUNCTION("""COMPUTED_VALUE"""),0.0)</f>
        <v>0</v>
      </c>
    </row>
    <row r="803">
      <c r="A803" s="2" t="str">
        <f>IFERROR(__xludf.DUMMYFUNCTION("""COMPUTED_VALUE"""),"Chile")</f>
        <v>Chile</v>
      </c>
      <c r="B803" s="3">
        <f>IFERROR(__xludf.DUMMYFUNCTION("""COMPUTED_VALUE"""),43731.0)</f>
        <v>43731</v>
      </c>
      <c r="C803" s="3">
        <f>IFERROR(__xludf.DUMMYFUNCTION("""COMPUTED_VALUE"""),43737.0)</f>
        <v>43737</v>
      </c>
      <c r="D803" s="2">
        <f>IFERROR(__xludf.DUMMYFUNCTION("""COMPUTED_VALUE"""),7.0)</f>
        <v>7</v>
      </c>
      <c r="E803" s="2">
        <f>IFERROR(__xludf.DUMMYFUNCTION("""COMPUTED_VALUE"""),39.0)</f>
        <v>39</v>
      </c>
      <c r="F803" s="2">
        <f>IFERROR(__xludf.DUMMYFUNCTION("""COMPUTED_VALUE"""),2270.0)</f>
        <v>2270</v>
      </c>
      <c r="G803" s="2">
        <f>IFERROR(__xludf.DUMMYFUNCTION("""COMPUTED_VALUE"""),0.0)</f>
        <v>0</v>
      </c>
    </row>
    <row r="804">
      <c r="A804" s="2" t="str">
        <f>IFERROR(__xludf.DUMMYFUNCTION("""COMPUTED_VALUE"""),"Chile")</f>
        <v>Chile</v>
      </c>
      <c r="B804" s="3">
        <f>IFERROR(__xludf.DUMMYFUNCTION("""COMPUTED_VALUE"""),43738.0)</f>
        <v>43738</v>
      </c>
      <c r="C804" s="3">
        <f>IFERROR(__xludf.DUMMYFUNCTION("""COMPUTED_VALUE"""),43744.0)</f>
        <v>43744</v>
      </c>
      <c r="D804" s="2">
        <f>IFERROR(__xludf.DUMMYFUNCTION("""COMPUTED_VALUE"""),7.0)</f>
        <v>7</v>
      </c>
      <c r="E804" s="2">
        <f>IFERROR(__xludf.DUMMYFUNCTION("""COMPUTED_VALUE"""),40.0)</f>
        <v>40</v>
      </c>
      <c r="F804" s="2">
        <f>IFERROR(__xludf.DUMMYFUNCTION("""COMPUTED_VALUE"""),2163.0)</f>
        <v>2163</v>
      </c>
      <c r="G804" s="2">
        <f>IFERROR(__xludf.DUMMYFUNCTION("""COMPUTED_VALUE"""),0.0)</f>
        <v>0</v>
      </c>
    </row>
    <row r="805">
      <c r="A805" s="2" t="str">
        <f>IFERROR(__xludf.DUMMYFUNCTION("""COMPUTED_VALUE"""),"Chile")</f>
        <v>Chile</v>
      </c>
      <c r="B805" s="3">
        <f>IFERROR(__xludf.DUMMYFUNCTION("""COMPUTED_VALUE"""),43745.0)</f>
        <v>43745</v>
      </c>
      <c r="C805" s="3">
        <f>IFERROR(__xludf.DUMMYFUNCTION("""COMPUTED_VALUE"""),43751.0)</f>
        <v>43751</v>
      </c>
      <c r="D805" s="2">
        <f>IFERROR(__xludf.DUMMYFUNCTION("""COMPUTED_VALUE"""),7.0)</f>
        <v>7</v>
      </c>
      <c r="E805" s="2">
        <f>IFERROR(__xludf.DUMMYFUNCTION("""COMPUTED_VALUE"""),41.0)</f>
        <v>41</v>
      </c>
      <c r="F805" s="2">
        <f>IFERROR(__xludf.DUMMYFUNCTION("""COMPUTED_VALUE"""),2123.0)</f>
        <v>2123</v>
      </c>
      <c r="G805" s="2">
        <f>IFERROR(__xludf.DUMMYFUNCTION("""COMPUTED_VALUE"""),0.0)</f>
        <v>0</v>
      </c>
    </row>
    <row r="806">
      <c r="A806" s="2" t="str">
        <f>IFERROR(__xludf.DUMMYFUNCTION("""COMPUTED_VALUE"""),"Chile")</f>
        <v>Chile</v>
      </c>
      <c r="B806" s="3">
        <f>IFERROR(__xludf.DUMMYFUNCTION("""COMPUTED_VALUE"""),43752.0)</f>
        <v>43752</v>
      </c>
      <c r="C806" s="3">
        <f>IFERROR(__xludf.DUMMYFUNCTION("""COMPUTED_VALUE"""),43758.0)</f>
        <v>43758</v>
      </c>
      <c r="D806" s="2">
        <f>IFERROR(__xludf.DUMMYFUNCTION("""COMPUTED_VALUE"""),7.0)</f>
        <v>7</v>
      </c>
      <c r="E806" s="2">
        <f>IFERROR(__xludf.DUMMYFUNCTION("""COMPUTED_VALUE"""),42.0)</f>
        <v>42</v>
      </c>
      <c r="F806" s="2">
        <f>IFERROR(__xludf.DUMMYFUNCTION("""COMPUTED_VALUE"""),2067.0)</f>
        <v>2067</v>
      </c>
      <c r="G806" s="2">
        <f>IFERROR(__xludf.DUMMYFUNCTION("""COMPUTED_VALUE"""),0.0)</f>
        <v>0</v>
      </c>
    </row>
    <row r="807">
      <c r="A807" s="2" t="str">
        <f>IFERROR(__xludf.DUMMYFUNCTION("""COMPUTED_VALUE"""),"Chile")</f>
        <v>Chile</v>
      </c>
      <c r="B807" s="3">
        <f>IFERROR(__xludf.DUMMYFUNCTION("""COMPUTED_VALUE"""),43759.0)</f>
        <v>43759</v>
      </c>
      <c r="C807" s="3">
        <f>IFERROR(__xludf.DUMMYFUNCTION("""COMPUTED_VALUE"""),43765.0)</f>
        <v>43765</v>
      </c>
      <c r="D807" s="2">
        <f>IFERROR(__xludf.DUMMYFUNCTION("""COMPUTED_VALUE"""),7.0)</f>
        <v>7</v>
      </c>
      <c r="E807" s="2">
        <f>IFERROR(__xludf.DUMMYFUNCTION("""COMPUTED_VALUE"""),43.0)</f>
        <v>43</v>
      </c>
      <c r="F807" s="2">
        <f>IFERROR(__xludf.DUMMYFUNCTION("""COMPUTED_VALUE"""),2025.0)</f>
        <v>2025</v>
      </c>
      <c r="G807" s="2">
        <f>IFERROR(__xludf.DUMMYFUNCTION("""COMPUTED_VALUE"""),0.0)</f>
        <v>0</v>
      </c>
    </row>
    <row r="808">
      <c r="A808" s="2" t="str">
        <f>IFERROR(__xludf.DUMMYFUNCTION("""COMPUTED_VALUE"""),"Chile")</f>
        <v>Chile</v>
      </c>
      <c r="B808" s="3">
        <f>IFERROR(__xludf.DUMMYFUNCTION("""COMPUTED_VALUE"""),43766.0)</f>
        <v>43766</v>
      </c>
      <c r="C808" s="3">
        <f>IFERROR(__xludf.DUMMYFUNCTION("""COMPUTED_VALUE"""),43772.0)</f>
        <v>43772</v>
      </c>
      <c r="D808" s="2">
        <f>IFERROR(__xludf.DUMMYFUNCTION("""COMPUTED_VALUE"""),7.0)</f>
        <v>7</v>
      </c>
      <c r="E808" s="2">
        <f>IFERROR(__xludf.DUMMYFUNCTION("""COMPUTED_VALUE"""),44.0)</f>
        <v>44</v>
      </c>
      <c r="F808" s="2">
        <f>IFERROR(__xludf.DUMMYFUNCTION("""COMPUTED_VALUE"""),2038.0)</f>
        <v>2038</v>
      </c>
      <c r="G808" s="2">
        <f>IFERROR(__xludf.DUMMYFUNCTION("""COMPUTED_VALUE"""),0.0)</f>
        <v>0</v>
      </c>
    </row>
    <row r="809">
      <c r="A809" s="2" t="str">
        <f>IFERROR(__xludf.DUMMYFUNCTION("""COMPUTED_VALUE"""),"Chile")</f>
        <v>Chile</v>
      </c>
      <c r="B809" s="3">
        <f>IFERROR(__xludf.DUMMYFUNCTION("""COMPUTED_VALUE"""),43773.0)</f>
        <v>43773</v>
      </c>
      <c r="C809" s="3">
        <f>IFERROR(__xludf.DUMMYFUNCTION("""COMPUTED_VALUE"""),43779.0)</f>
        <v>43779</v>
      </c>
      <c r="D809" s="2">
        <f>IFERROR(__xludf.DUMMYFUNCTION("""COMPUTED_VALUE"""),7.0)</f>
        <v>7</v>
      </c>
      <c r="E809" s="2">
        <f>IFERROR(__xludf.DUMMYFUNCTION("""COMPUTED_VALUE"""),45.0)</f>
        <v>45</v>
      </c>
      <c r="F809" s="2">
        <f>IFERROR(__xludf.DUMMYFUNCTION("""COMPUTED_VALUE"""),2039.0)</f>
        <v>2039</v>
      </c>
      <c r="G809" s="2">
        <f>IFERROR(__xludf.DUMMYFUNCTION("""COMPUTED_VALUE"""),0.0)</f>
        <v>0</v>
      </c>
    </row>
    <row r="810">
      <c r="A810" s="2" t="str">
        <f>IFERROR(__xludf.DUMMYFUNCTION("""COMPUTED_VALUE"""),"Chile")</f>
        <v>Chile</v>
      </c>
      <c r="B810" s="3">
        <f>IFERROR(__xludf.DUMMYFUNCTION("""COMPUTED_VALUE"""),43780.0)</f>
        <v>43780</v>
      </c>
      <c r="C810" s="3">
        <f>IFERROR(__xludf.DUMMYFUNCTION("""COMPUTED_VALUE"""),43786.0)</f>
        <v>43786</v>
      </c>
      <c r="D810" s="2">
        <f>IFERROR(__xludf.DUMMYFUNCTION("""COMPUTED_VALUE"""),7.0)</f>
        <v>7</v>
      </c>
      <c r="E810" s="2">
        <f>IFERROR(__xludf.DUMMYFUNCTION("""COMPUTED_VALUE"""),46.0)</f>
        <v>46</v>
      </c>
      <c r="F810" s="2">
        <f>IFERROR(__xludf.DUMMYFUNCTION("""COMPUTED_VALUE"""),2013.0)</f>
        <v>2013</v>
      </c>
      <c r="G810" s="2">
        <f>IFERROR(__xludf.DUMMYFUNCTION("""COMPUTED_VALUE"""),0.0)</f>
        <v>0</v>
      </c>
    </row>
    <row r="811">
      <c r="A811" s="2" t="str">
        <f>IFERROR(__xludf.DUMMYFUNCTION("""COMPUTED_VALUE"""),"Chile")</f>
        <v>Chile</v>
      </c>
      <c r="B811" s="3">
        <f>IFERROR(__xludf.DUMMYFUNCTION("""COMPUTED_VALUE"""),43787.0)</f>
        <v>43787</v>
      </c>
      <c r="C811" s="3">
        <f>IFERROR(__xludf.DUMMYFUNCTION("""COMPUTED_VALUE"""),43793.0)</f>
        <v>43793</v>
      </c>
      <c r="D811" s="2">
        <f>IFERROR(__xludf.DUMMYFUNCTION("""COMPUTED_VALUE"""),7.0)</f>
        <v>7</v>
      </c>
      <c r="E811" s="2">
        <f>IFERROR(__xludf.DUMMYFUNCTION("""COMPUTED_VALUE"""),47.0)</f>
        <v>47</v>
      </c>
      <c r="F811" s="2">
        <f>IFERROR(__xludf.DUMMYFUNCTION("""COMPUTED_VALUE"""),2003.0)</f>
        <v>2003</v>
      </c>
      <c r="G811" s="2">
        <f>IFERROR(__xludf.DUMMYFUNCTION("""COMPUTED_VALUE"""),0.0)</f>
        <v>0</v>
      </c>
    </row>
    <row r="812">
      <c r="A812" s="2" t="str">
        <f>IFERROR(__xludf.DUMMYFUNCTION("""COMPUTED_VALUE"""),"Chile")</f>
        <v>Chile</v>
      </c>
      <c r="B812" s="3">
        <f>IFERROR(__xludf.DUMMYFUNCTION("""COMPUTED_VALUE"""),43794.0)</f>
        <v>43794</v>
      </c>
      <c r="C812" s="3">
        <f>IFERROR(__xludf.DUMMYFUNCTION("""COMPUTED_VALUE"""),43800.0)</f>
        <v>43800</v>
      </c>
      <c r="D812" s="2">
        <f>IFERROR(__xludf.DUMMYFUNCTION("""COMPUTED_VALUE"""),7.0)</f>
        <v>7</v>
      </c>
      <c r="E812" s="2">
        <f>IFERROR(__xludf.DUMMYFUNCTION("""COMPUTED_VALUE"""),48.0)</f>
        <v>48</v>
      </c>
      <c r="F812" s="2">
        <f>IFERROR(__xludf.DUMMYFUNCTION("""COMPUTED_VALUE"""),1978.0)</f>
        <v>1978</v>
      </c>
      <c r="G812" s="2">
        <f>IFERROR(__xludf.DUMMYFUNCTION("""COMPUTED_VALUE"""),0.0)</f>
        <v>0</v>
      </c>
    </row>
    <row r="813">
      <c r="A813" s="2" t="str">
        <f>IFERROR(__xludf.DUMMYFUNCTION("""COMPUTED_VALUE"""),"Chile")</f>
        <v>Chile</v>
      </c>
      <c r="B813" s="3">
        <f>IFERROR(__xludf.DUMMYFUNCTION("""COMPUTED_VALUE"""),43801.0)</f>
        <v>43801</v>
      </c>
      <c r="C813" s="3">
        <f>IFERROR(__xludf.DUMMYFUNCTION("""COMPUTED_VALUE"""),43807.0)</f>
        <v>43807</v>
      </c>
      <c r="D813" s="2">
        <f>IFERROR(__xludf.DUMMYFUNCTION("""COMPUTED_VALUE"""),7.0)</f>
        <v>7</v>
      </c>
      <c r="E813" s="2">
        <f>IFERROR(__xludf.DUMMYFUNCTION("""COMPUTED_VALUE"""),49.0)</f>
        <v>49</v>
      </c>
      <c r="F813" s="2">
        <f>IFERROR(__xludf.DUMMYFUNCTION("""COMPUTED_VALUE"""),1878.0)</f>
        <v>1878</v>
      </c>
      <c r="G813" s="2">
        <f>IFERROR(__xludf.DUMMYFUNCTION("""COMPUTED_VALUE"""),0.0)</f>
        <v>0</v>
      </c>
    </row>
    <row r="814">
      <c r="A814" s="2" t="str">
        <f>IFERROR(__xludf.DUMMYFUNCTION("""COMPUTED_VALUE"""),"Chile")</f>
        <v>Chile</v>
      </c>
      <c r="B814" s="3">
        <f>IFERROR(__xludf.DUMMYFUNCTION("""COMPUTED_VALUE"""),43808.0)</f>
        <v>43808</v>
      </c>
      <c r="C814" s="3">
        <f>IFERROR(__xludf.DUMMYFUNCTION("""COMPUTED_VALUE"""),43814.0)</f>
        <v>43814</v>
      </c>
      <c r="D814" s="2">
        <f>IFERROR(__xludf.DUMMYFUNCTION("""COMPUTED_VALUE"""),7.0)</f>
        <v>7</v>
      </c>
      <c r="E814" s="2">
        <f>IFERROR(__xludf.DUMMYFUNCTION("""COMPUTED_VALUE"""),50.0)</f>
        <v>50</v>
      </c>
      <c r="F814" s="2">
        <f>IFERROR(__xludf.DUMMYFUNCTION("""COMPUTED_VALUE"""),1892.0)</f>
        <v>1892</v>
      </c>
      <c r="G814" s="2">
        <f>IFERROR(__xludf.DUMMYFUNCTION("""COMPUTED_VALUE"""),0.0)</f>
        <v>0</v>
      </c>
    </row>
    <row r="815">
      <c r="A815" s="2" t="str">
        <f>IFERROR(__xludf.DUMMYFUNCTION("""COMPUTED_VALUE"""),"Chile")</f>
        <v>Chile</v>
      </c>
      <c r="B815" s="3">
        <f>IFERROR(__xludf.DUMMYFUNCTION("""COMPUTED_VALUE"""),43815.0)</f>
        <v>43815</v>
      </c>
      <c r="C815" s="3">
        <f>IFERROR(__xludf.DUMMYFUNCTION("""COMPUTED_VALUE"""),43821.0)</f>
        <v>43821</v>
      </c>
      <c r="D815" s="2">
        <f>IFERROR(__xludf.DUMMYFUNCTION("""COMPUTED_VALUE"""),7.0)</f>
        <v>7</v>
      </c>
      <c r="E815" s="2">
        <f>IFERROR(__xludf.DUMMYFUNCTION("""COMPUTED_VALUE"""),51.0)</f>
        <v>51</v>
      </c>
      <c r="F815" s="2">
        <f>IFERROR(__xludf.DUMMYFUNCTION("""COMPUTED_VALUE"""),1963.0)</f>
        <v>1963</v>
      </c>
      <c r="G815" s="2">
        <f>IFERROR(__xludf.DUMMYFUNCTION("""COMPUTED_VALUE"""),0.0)</f>
        <v>0</v>
      </c>
    </row>
    <row r="816">
      <c r="A816" s="2" t="str">
        <f>IFERROR(__xludf.DUMMYFUNCTION("""COMPUTED_VALUE"""),"Chile")</f>
        <v>Chile</v>
      </c>
      <c r="B816" s="3">
        <f>IFERROR(__xludf.DUMMYFUNCTION("""COMPUTED_VALUE"""),43822.0)</f>
        <v>43822</v>
      </c>
      <c r="C816" s="3">
        <f>IFERROR(__xludf.DUMMYFUNCTION("""COMPUTED_VALUE"""),43828.0)</f>
        <v>43828</v>
      </c>
      <c r="D816" s="2">
        <f>IFERROR(__xludf.DUMMYFUNCTION("""COMPUTED_VALUE"""),7.0)</f>
        <v>7</v>
      </c>
      <c r="E816" s="2">
        <f>IFERROR(__xludf.DUMMYFUNCTION("""COMPUTED_VALUE"""),52.0)</f>
        <v>52</v>
      </c>
      <c r="F816" s="2">
        <f>IFERROR(__xludf.DUMMYFUNCTION("""COMPUTED_VALUE"""),2010.0)</f>
        <v>2010</v>
      </c>
      <c r="G816" s="2">
        <f>IFERROR(__xludf.DUMMYFUNCTION("""COMPUTED_VALUE"""),0.0)</f>
        <v>0</v>
      </c>
    </row>
    <row r="817">
      <c r="A817" s="2" t="str">
        <f>IFERROR(__xludf.DUMMYFUNCTION("""COMPUTED_VALUE"""),"Chile")</f>
        <v>Chile</v>
      </c>
      <c r="B817" s="3">
        <f>IFERROR(__xludf.DUMMYFUNCTION("""COMPUTED_VALUE"""),43829.0)</f>
        <v>43829</v>
      </c>
      <c r="C817" s="3">
        <f>IFERROR(__xludf.DUMMYFUNCTION("""COMPUTED_VALUE"""),43835.0)</f>
        <v>43835</v>
      </c>
      <c r="D817" s="2">
        <f>IFERROR(__xludf.DUMMYFUNCTION("""COMPUTED_VALUE"""),7.0)</f>
        <v>7</v>
      </c>
      <c r="E817" s="2">
        <f>IFERROR(__xludf.DUMMYFUNCTION("""COMPUTED_VALUE"""),1.0)</f>
        <v>1</v>
      </c>
      <c r="F817" s="2">
        <f>IFERROR(__xludf.DUMMYFUNCTION("""COMPUTED_VALUE"""),2108.0)</f>
        <v>2108</v>
      </c>
      <c r="G817" s="2">
        <f>IFERROR(__xludf.DUMMYFUNCTION("""COMPUTED_VALUE"""),0.0)</f>
        <v>0</v>
      </c>
    </row>
    <row r="818">
      <c r="A818" s="2" t="str">
        <f>IFERROR(__xludf.DUMMYFUNCTION("""COMPUTED_VALUE"""),"Chile")</f>
        <v>Chile</v>
      </c>
      <c r="B818" s="3">
        <f>IFERROR(__xludf.DUMMYFUNCTION("""COMPUTED_VALUE"""),43836.0)</f>
        <v>43836</v>
      </c>
      <c r="C818" s="3">
        <f>IFERROR(__xludf.DUMMYFUNCTION("""COMPUTED_VALUE"""),43842.0)</f>
        <v>43842</v>
      </c>
      <c r="D818" s="2">
        <f>IFERROR(__xludf.DUMMYFUNCTION("""COMPUTED_VALUE"""),7.0)</f>
        <v>7</v>
      </c>
      <c r="E818" s="2">
        <f>IFERROR(__xludf.DUMMYFUNCTION("""COMPUTED_VALUE"""),2.0)</f>
        <v>2</v>
      </c>
      <c r="F818" s="2">
        <f>IFERROR(__xludf.DUMMYFUNCTION("""COMPUTED_VALUE"""),2053.0)</f>
        <v>2053</v>
      </c>
      <c r="G818" s="2">
        <f>IFERROR(__xludf.DUMMYFUNCTION("""COMPUTED_VALUE"""),0.0)</f>
        <v>0</v>
      </c>
    </row>
    <row r="819">
      <c r="A819" s="2" t="str">
        <f>IFERROR(__xludf.DUMMYFUNCTION("""COMPUTED_VALUE"""),"Chile")</f>
        <v>Chile</v>
      </c>
      <c r="B819" s="3">
        <f>IFERROR(__xludf.DUMMYFUNCTION("""COMPUTED_VALUE"""),43843.0)</f>
        <v>43843</v>
      </c>
      <c r="C819" s="3">
        <f>IFERROR(__xludf.DUMMYFUNCTION("""COMPUTED_VALUE"""),43849.0)</f>
        <v>43849</v>
      </c>
      <c r="D819" s="2">
        <f>IFERROR(__xludf.DUMMYFUNCTION("""COMPUTED_VALUE"""),7.0)</f>
        <v>7</v>
      </c>
      <c r="E819" s="2">
        <f>IFERROR(__xludf.DUMMYFUNCTION("""COMPUTED_VALUE"""),3.0)</f>
        <v>3</v>
      </c>
      <c r="F819" s="2">
        <f>IFERROR(__xludf.DUMMYFUNCTION("""COMPUTED_VALUE"""),2057.0)</f>
        <v>2057</v>
      </c>
      <c r="G819" s="2">
        <f>IFERROR(__xludf.DUMMYFUNCTION("""COMPUTED_VALUE"""),0.0)</f>
        <v>0</v>
      </c>
    </row>
    <row r="820">
      <c r="A820" s="2" t="str">
        <f>IFERROR(__xludf.DUMMYFUNCTION("""COMPUTED_VALUE"""),"Chile")</f>
        <v>Chile</v>
      </c>
      <c r="B820" s="3">
        <f>IFERROR(__xludf.DUMMYFUNCTION("""COMPUTED_VALUE"""),43850.0)</f>
        <v>43850</v>
      </c>
      <c r="C820" s="3">
        <f>IFERROR(__xludf.DUMMYFUNCTION("""COMPUTED_VALUE"""),43856.0)</f>
        <v>43856</v>
      </c>
      <c r="D820" s="2">
        <f>IFERROR(__xludf.DUMMYFUNCTION("""COMPUTED_VALUE"""),7.0)</f>
        <v>7</v>
      </c>
      <c r="E820" s="2">
        <f>IFERROR(__xludf.DUMMYFUNCTION("""COMPUTED_VALUE"""),4.0)</f>
        <v>4</v>
      </c>
      <c r="F820" s="2">
        <f>IFERROR(__xludf.DUMMYFUNCTION("""COMPUTED_VALUE"""),1964.0)</f>
        <v>1964</v>
      </c>
      <c r="G820" s="2">
        <f>IFERROR(__xludf.DUMMYFUNCTION("""COMPUTED_VALUE"""),0.0)</f>
        <v>0</v>
      </c>
    </row>
    <row r="821">
      <c r="A821" s="2" t="str">
        <f>IFERROR(__xludf.DUMMYFUNCTION("""COMPUTED_VALUE"""),"Chile")</f>
        <v>Chile</v>
      </c>
      <c r="B821" s="3">
        <f>IFERROR(__xludf.DUMMYFUNCTION("""COMPUTED_VALUE"""),43857.0)</f>
        <v>43857</v>
      </c>
      <c r="C821" s="3">
        <f>IFERROR(__xludf.DUMMYFUNCTION("""COMPUTED_VALUE"""),43863.0)</f>
        <v>43863</v>
      </c>
      <c r="D821" s="2">
        <f>IFERROR(__xludf.DUMMYFUNCTION("""COMPUTED_VALUE"""),7.0)</f>
        <v>7</v>
      </c>
      <c r="E821" s="2">
        <f>IFERROR(__xludf.DUMMYFUNCTION("""COMPUTED_VALUE"""),5.0)</f>
        <v>5</v>
      </c>
      <c r="F821" s="2">
        <f>IFERROR(__xludf.DUMMYFUNCTION("""COMPUTED_VALUE"""),1970.0)</f>
        <v>1970</v>
      </c>
      <c r="G821" s="2">
        <f>IFERROR(__xludf.DUMMYFUNCTION("""COMPUTED_VALUE"""),0.0)</f>
        <v>0</v>
      </c>
    </row>
    <row r="822">
      <c r="A822" s="2" t="str">
        <f>IFERROR(__xludf.DUMMYFUNCTION("""COMPUTED_VALUE"""),"Chile")</f>
        <v>Chile</v>
      </c>
      <c r="B822" s="3">
        <f>IFERROR(__xludf.DUMMYFUNCTION("""COMPUTED_VALUE"""),43864.0)</f>
        <v>43864</v>
      </c>
      <c r="C822" s="3">
        <f>IFERROR(__xludf.DUMMYFUNCTION("""COMPUTED_VALUE"""),43870.0)</f>
        <v>43870</v>
      </c>
      <c r="D822" s="2">
        <f>IFERROR(__xludf.DUMMYFUNCTION("""COMPUTED_VALUE"""),7.0)</f>
        <v>7</v>
      </c>
      <c r="E822" s="2">
        <f>IFERROR(__xludf.DUMMYFUNCTION("""COMPUTED_VALUE"""),6.0)</f>
        <v>6</v>
      </c>
      <c r="F822" s="2">
        <f>IFERROR(__xludf.DUMMYFUNCTION("""COMPUTED_VALUE"""),1994.0)</f>
        <v>1994</v>
      </c>
      <c r="G822" s="2">
        <f>IFERROR(__xludf.DUMMYFUNCTION("""COMPUTED_VALUE"""),0.0)</f>
        <v>0</v>
      </c>
    </row>
    <row r="823">
      <c r="A823" s="2" t="str">
        <f>IFERROR(__xludf.DUMMYFUNCTION("""COMPUTED_VALUE"""),"Chile")</f>
        <v>Chile</v>
      </c>
      <c r="B823" s="3">
        <f>IFERROR(__xludf.DUMMYFUNCTION("""COMPUTED_VALUE"""),43871.0)</f>
        <v>43871</v>
      </c>
      <c r="C823" s="3">
        <f>IFERROR(__xludf.DUMMYFUNCTION("""COMPUTED_VALUE"""),43877.0)</f>
        <v>43877</v>
      </c>
      <c r="D823" s="2">
        <f>IFERROR(__xludf.DUMMYFUNCTION("""COMPUTED_VALUE"""),7.0)</f>
        <v>7</v>
      </c>
      <c r="E823" s="2">
        <f>IFERROR(__xludf.DUMMYFUNCTION("""COMPUTED_VALUE"""),7.0)</f>
        <v>7</v>
      </c>
      <c r="F823" s="2">
        <f>IFERROR(__xludf.DUMMYFUNCTION("""COMPUTED_VALUE"""),1909.0)</f>
        <v>1909</v>
      </c>
      <c r="G823" s="2">
        <f>IFERROR(__xludf.DUMMYFUNCTION("""COMPUTED_VALUE"""),0.0)</f>
        <v>0</v>
      </c>
    </row>
    <row r="824">
      <c r="A824" s="2" t="str">
        <f>IFERROR(__xludf.DUMMYFUNCTION("""COMPUTED_VALUE"""),"Chile")</f>
        <v>Chile</v>
      </c>
      <c r="B824" s="3">
        <f>IFERROR(__xludf.DUMMYFUNCTION("""COMPUTED_VALUE"""),43878.0)</f>
        <v>43878</v>
      </c>
      <c r="C824" s="3">
        <f>IFERROR(__xludf.DUMMYFUNCTION("""COMPUTED_VALUE"""),43884.0)</f>
        <v>43884</v>
      </c>
      <c r="D824" s="2">
        <f>IFERROR(__xludf.DUMMYFUNCTION("""COMPUTED_VALUE"""),7.0)</f>
        <v>7</v>
      </c>
      <c r="E824" s="2">
        <f>IFERROR(__xludf.DUMMYFUNCTION("""COMPUTED_VALUE"""),8.0)</f>
        <v>8</v>
      </c>
      <c r="F824" s="2">
        <f>IFERROR(__xludf.DUMMYFUNCTION("""COMPUTED_VALUE"""),1899.0)</f>
        <v>1899</v>
      </c>
      <c r="G824" s="2">
        <f>IFERROR(__xludf.DUMMYFUNCTION("""COMPUTED_VALUE"""),0.0)</f>
        <v>0</v>
      </c>
    </row>
    <row r="825">
      <c r="A825" s="2" t="str">
        <f>IFERROR(__xludf.DUMMYFUNCTION("""COMPUTED_VALUE"""),"Chile")</f>
        <v>Chile</v>
      </c>
      <c r="B825" s="3">
        <f>IFERROR(__xludf.DUMMYFUNCTION("""COMPUTED_VALUE"""),43885.0)</f>
        <v>43885</v>
      </c>
      <c r="C825" s="3">
        <f>IFERROR(__xludf.DUMMYFUNCTION("""COMPUTED_VALUE"""),43891.0)</f>
        <v>43891</v>
      </c>
      <c r="D825" s="2">
        <f>IFERROR(__xludf.DUMMYFUNCTION("""COMPUTED_VALUE"""),7.0)</f>
        <v>7</v>
      </c>
      <c r="E825" s="2">
        <f>IFERROR(__xludf.DUMMYFUNCTION("""COMPUTED_VALUE"""),9.0)</f>
        <v>9</v>
      </c>
      <c r="F825" s="2">
        <f>IFERROR(__xludf.DUMMYFUNCTION("""COMPUTED_VALUE"""),1884.0)</f>
        <v>1884</v>
      </c>
      <c r="G825" s="2">
        <f>IFERROR(__xludf.DUMMYFUNCTION("""COMPUTED_VALUE"""),0.0)</f>
        <v>0</v>
      </c>
    </row>
    <row r="826">
      <c r="A826" s="2" t="str">
        <f>IFERROR(__xludf.DUMMYFUNCTION("""COMPUTED_VALUE"""),"Chile")</f>
        <v>Chile</v>
      </c>
      <c r="B826" s="3">
        <f>IFERROR(__xludf.DUMMYFUNCTION("""COMPUTED_VALUE"""),43892.0)</f>
        <v>43892</v>
      </c>
      <c r="C826" s="3">
        <f>IFERROR(__xludf.DUMMYFUNCTION("""COMPUTED_VALUE"""),43898.0)</f>
        <v>43898</v>
      </c>
      <c r="D826" s="2">
        <f>IFERROR(__xludf.DUMMYFUNCTION("""COMPUTED_VALUE"""),7.0)</f>
        <v>7</v>
      </c>
      <c r="E826" s="2">
        <f>IFERROR(__xludf.DUMMYFUNCTION("""COMPUTED_VALUE"""),10.0)</f>
        <v>10</v>
      </c>
      <c r="F826" s="2">
        <f>IFERROR(__xludf.DUMMYFUNCTION("""COMPUTED_VALUE"""),1885.0)</f>
        <v>1885</v>
      </c>
      <c r="G826" s="2">
        <f>IFERROR(__xludf.DUMMYFUNCTION("""COMPUTED_VALUE"""),0.0)</f>
        <v>0</v>
      </c>
    </row>
    <row r="827">
      <c r="A827" s="2" t="str">
        <f>IFERROR(__xludf.DUMMYFUNCTION("""COMPUTED_VALUE"""),"Chile")</f>
        <v>Chile</v>
      </c>
      <c r="B827" s="3">
        <f>IFERROR(__xludf.DUMMYFUNCTION("""COMPUTED_VALUE"""),43899.0)</f>
        <v>43899</v>
      </c>
      <c r="C827" s="3">
        <f>IFERROR(__xludf.DUMMYFUNCTION("""COMPUTED_VALUE"""),43905.0)</f>
        <v>43905</v>
      </c>
      <c r="D827" s="2">
        <f>IFERROR(__xludf.DUMMYFUNCTION("""COMPUTED_VALUE"""),7.0)</f>
        <v>7</v>
      </c>
      <c r="E827" s="2">
        <f>IFERROR(__xludf.DUMMYFUNCTION("""COMPUTED_VALUE"""),11.0)</f>
        <v>11</v>
      </c>
      <c r="F827" s="2">
        <f>IFERROR(__xludf.DUMMYFUNCTION("""COMPUTED_VALUE"""),1928.0)</f>
        <v>1928</v>
      </c>
      <c r="G827" s="2">
        <f>IFERROR(__xludf.DUMMYFUNCTION("""COMPUTED_VALUE"""),0.0)</f>
        <v>0</v>
      </c>
    </row>
    <row r="828">
      <c r="A828" s="2" t="str">
        <f>IFERROR(__xludf.DUMMYFUNCTION("""COMPUTED_VALUE"""),"Chile")</f>
        <v>Chile</v>
      </c>
      <c r="B828" s="3">
        <f>IFERROR(__xludf.DUMMYFUNCTION("""COMPUTED_VALUE"""),43906.0)</f>
        <v>43906</v>
      </c>
      <c r="C828" s="3">
        <f>IFERROR(__xludf.DUMMYFUNCTION("""COMPUTED_VALUE"""),43912.0)</f>
        <v>43912</v>
      </c>
      <c r="D828" s="2">
        <f>IFERROR(__xludf.DUMMYFUNCTION("""COMPUTED_VALUE"""),7.0)</f>
        <v>7</v>
      </c>
      <c r="E828" s="2">
        <f>IFERROR(__xludf.DUMMYFUNCTION("""COMPUTED_VALUE"""),12.0)</f>
        <v>12</v>
      </c>
      <c r="F828" s="2">
        <f>IFERROR(__xludf.DUMMYFUNCTION("""COMPUTED_VALUE"""),2008.0)</f>
        <v>2008</v>
      </c>
      <c r="G828" s="2">
        <f>IFERROR(__xludf.DUMMYFUNCTION("""COMPUTED_VALUE"""),1.0)</f>
        <v>1</v>
      </c>
    </row>
    <row r="829">
      <c r="A829" s="2" t="str">
        <f>IFERROR(__xludf.DUMMYFUNCTION("""COMPUTED_VALUE"""),"Chile")</f>
        <v>Chile</v>
      </c>
      <c r="B829" s="3">
        <f>IFERROR(__xludf.DUMMYFUNCTION("""COMPUTED_VALUE"""),43913.0)</f>
        <v>43913</v>
      </c>
      <c r="C829" s="3">
        <f>IFERROR(__xludf.DUMMYFUNCTION("""COMPUTED_VALUE"""),43919.0)</f>
        <v>43919</v>
      </c>
      <c r="D829" s="2">
        <f>IFERROR(__xludf.DUMMYFUNCTION("""COMPUTED_VALUE"""),7.0)</f>
        <v>7</v>
      </c>
      <c r="E829" s="2">
        <f>IFERROR(__xludf.DUMMYFUNCTION("""COMPUTED_VALUE"""),13.0)</f>
        <v>13</v>
      </c>
      <c r="F829" s="2">
        <f>IFERROR(__xludf.DUMMYFUNCTION("""COMPUTED_VALUE"""),2006.0)</f>
        <v>2006</v>
      </c>
      <c r="G829" s="2">
        <f>IFERROR(__xludf.DUMMYFUNCTION("""COMPUTED_VALUE"""),6.0)</f>
        <v>6</v>
      </c>
    </row>
    <row r="830">
      <c r="A830" s="2" t="str">
        <f>IFERROR(__xludf.DUMMYFUNCTION("""COMPUTED_VALUE"""),"Chile")</f>
        <v>Chile</v>
      </c>
      <c r="B830" s="3">
        <f>IFERROR(__xludf.DUMMYFUNCTION("""COMPUTED_VALUE"""),43920.0)</f>
        <v>43920</v>
      </c>
      <c r="C830" s="3">
        <f>IFERROR(__xludf.DUMMYFUNCTION("""COMPUTED_VALUE"""),43926.0)</f>
        <v>43926</v>
      </c>
      <c r="D830" s="2">
        <f>IFERROR(__xludf.DUMMYFUNCTION("""COMPUTED_VALUE"""),7.0)</f>
        <v>7</v>
      </c>
      <c r="E830" s="2">
        <f>IFERROR(__xludf.DUMMYFUNCTION("""COMPUTED_VALUE"""),14.0)</f>
        <v>14</v>
      </c>
      <c r="F830" s="2">
        <f>IFERROR(__xludf.DUMMYFUNCTION("""COMPUTED_VALUE"""),2081.0)</f>
        <v>2081</v>
      </c>
      <c r="G830" s="2">
        <f>IFERROR(__xludf.DUMMYFUNCTION("""COMPUTED_VALUE"""),27.0)</f>
        <v>27</v>
      </c>
    </row>
    <row r="831">
      <c r="A831" s="2" t="str">
        <f>IFERROR(__xludf.DUMMYFUNCTION("""COMPUTED_VALUE"""),"Chile")</f>
        <v>Chile</v>
      </c>
      <c r="B831" s="3">
        <f>IFERROR(__xludf.DUMMYFUNCTION("""COMPUTED_VALUE"""),43927.0)</f>
        <v>43927</v>
      </c>
      <c r="C831" s="3">
        <f>IFERROR(__xludf.DUMMYFUNCTION("""COMPUTED_VALUE"""),43933.0)</f>
        <v>43933</v>
      </c>
      <c r="D831" s="2">
        <f>IFERROR(__xludf.DUMMYFUNCTION("""COMPUTED_VALUE"""),7.0)</f>
        <v>7</v>
      </c>
      <c r="E831" s="2">
        <f>IFERROR(__xludf.DUMMYFUNCTION("""COMPUTED_VALUE"""),15.0)</f>
        <v>15</v>
      </c>
      <c r="F831" s="2">
        <f>IFERROR(__xludf.DUMMYFUNCTION("""COMPUTED_VALUE"""),2010.0)</f>
        <v>2010</v>
      </c>
      <c r="G831" s="2">
        <f>IFERROR(__xludf.DUMMYFUNCTION("""COMPUTED_VALUE"""),46.0)</f>
        <v>46</v>
      </c>
    </row>
    <row r="832">
      <c r="A832" s="2" t="str">
        <f>IFERROR(__xludf.DUMMYFUNCTION("""COMPUTED_VALUE"""),"Chile")</f>
        <v>Chile</v>
      </c>
      <c r="B832" s="3">
        <f>IFERROR(__xludf.DUMMYFUNCTION("""COMPUTED_VALUE"""),43934.0)</f>
        <v>43934</v>
      </c>
      <c r="C832" s="3">
        <f>IFERROR(__xludf.DUMMYFUNCTION("""COMPUTED_VALUE"""),43940.0)</f>
        <v>43940</v>
      </c>
      <c r="D832" s="2">
        <f>IFERROR(__xludf.DUMMYFUNCTION("""COMPUTED_VALUE"""),7.0)</f>
        <v>7</v>
      </c>
      <c r="E832" s="2">
        <f>IFERROR(__xludf.DUMMYFUNCTION("""COMPUTED_VALUE"""),16.0)</f>
        <v>16</v>
      </c>
      <c r="F832" s="2">
        <f>IFERROR(__xludf.DUMMYFUNCTION("""COMPUTED_VALUE"""),2087.0)</f>
        <v>2087</v>
      </c>
      <c r="G832" s="2">
        <f>IFERROR(__xludf.DUMMYFUNCTION("""COMPUTED_VALUE"""),53.0)</f>
        <v>53</v>
      </c>
    </row>
    <row r="833">
      <c r="A833" s="2" t="str">
        <f>IFERROR(__xludf.DUMMYFUNCTION("""COMPUTED_VALUE"""),"Chile")</f>
        <v>Chile</v>
      </c>
      <c r="B833" s="3">
        <f>IFERROR(__xludf.DUMMYFUNCTION("""COMPUTED_VALUE"""),43941.0)</f>
        <v>43941</v>
      </c>
      <c r="C833" s="3">
        <f>IFERROR(__xludf.DUMMYFUNCTION("""COMPUTED_VALUE"""),43947.0)</f>
        <v>43947</v>
      </c>
      <c r="D833" s="2">
        <f>IFERROR(__xludf.DUMMYFUNCTION("""COMPUTED_VALUE"""),7.0)</f>
        <v>7</v>
      </c>
      <c r="E833" s="2">
        <f>IFERROR(__xludf.DUMMYFUNCTION("""COMPUTED_VALUE"""),17.0)</f>
        <v>17</v>
      </c>
      <c r="F833" s="2">
        <f>IFERROR(__xludf.DUMMYFUNCTION("""COMPUTED_VALUE"""),2095.0)</f>
        <v>2095</v>
      </c>
      <c r="G833" s="2">
        <f>IFERROR(__xludf.DUMMYFUNCTION("""COMPUTED_VALUE"""),56.0)</f>
        <v>56</v>
      </c>
    </row>
    <row r="834">
      <c r="A834" s="2" t="str">
        <f>IFERROR(__xludf.DUMMYFUNCTION("""COMPUTED_VALUE"""),"Chile")</f>
        <v>Chile</v>
      </c>
      <c r="B834" s="3">
        <f>IFERROR(__xludf.DUMMYFUNCTION("""COMPUTED_VALUE"""),43948.0)</f>
        <v>43948</v>
      </c>
      <c r="C834" s="3">
        <f>IFERROR(__xludf.DUMMYFUNCTION("""COMPUTED_VALUE"""),43954.0)</f>
        <v>43954</v>
      </c>
      <c r="D834" s="2">
        <f>IFERROR(__xludf.DUMMYFUNCTION("""COMPUTED_VALUE"""),7.0)</f>
        <v>7</v>
      </c>
      <c r="E834" s="2">
        <f>IFERROR(__xludf.DUMMYFUNCTION("""COMPUTED_VALUE"""),18.0)</f>
        <v>18</v>
      </c>
      <c r="F834" s="2">
        <f>IFERROR(__xludf.DUMMYFUNCTION("""COMPUTED_VALUE"""),2083.0)</f>
        <v>2083</v>
      </c>
      <c r="G834" s="2">
        <f>IFERROR(__xludf.DUMMYFUNCTION("""COMPUTED_VALUE"""),71.0)</f>
        <v>71</v>
      </c>
    </row>
    <row r="835">
      <c r="A835" s="2" t="str">
        <f>IFERROR(__xludf.DUMMYFUNCTION("""COMPUTED_VALUE"""),"Chile")</f>
        <v>Chile</v>
      </c>
      <c r="B835" s="3">
        <f>IFERROR(__xludf.DUMMYFUNCTION("""COMPUTED_VALUE"""),43955.0)</f>
        <v>43955</v>
      </c>
      <c r="C835" s="3">
        <f>IFERROR(__xludf.DUMMYFUNCTION("""COMPUTED_VALUE"""),43961.0)</f>
        <v>43961</v>
      </c>
      <c r="D835" s="2">
        <f>IFERROR(__xludf.DUMMYFUNCTION("""COMPUTED_VALUE"""),7.0)</f>
        <v>7</v>
      </c>
      <c r="E835" s="2">
        <f>IFERROR(__xludf.DUMMYFUNCTION("""COMPUTED_VALUE"""),19.0)</f>
        <v>19</v>
      </c>
      <c r="F835" s="2">
        <f>IFERROR(__xludf.DUMMYFUNCTION("""COMPUTED_VALUE"""),2342.0)</f>
        <v>2342</v>
      </c>
      <c r="G835" s="2">
        <f>IFERROR(__xludf.DUMMYFUNCTION("""COMPUTED_VALUE"""),52.0)</f>
        <v>52</v>
      </c>
    </row>
    <row r="836">
      <c r="A836" s="2" t="str">
        <f>IFERROR(__xludf.DUMMYFUNCTION("""COMPUTED_VALUE"""),"Chile")</f>
        <v>Chile</v>
      </c>
      <c r="B836" s="3">
        <f>IFERROR(__xludf.DUMMYFUNCTION("""COMPUTED_VALUE"""),43962.0)</f>
        <v>43962</v>
      </c>
      <c r="C836" s="3">
        <f>IFERROR(__xludf.DUMMYFUNCTION("""COMPUTED_VALUE"""),43968.0)</f>
        <v>43968</v>
      </c>
      <c r="D836" s="2">
        <f>IFERROR(__xludf.DUMMYFUNCTION("""COMPUTED_VALUE"""),7.0)</f>
        <v>7</v>
      </c>
      <c r="E836" s="2">
        <f>IFERROR(__xludf.DUMMYFUNCTION("""COMPUTED_VALUE"""),20.0)</f>
        <v>20</v>
      </c>
      <c r="F836" s="2">
        <f>IFERROR(__xludf.DUMMYFUNCTION("""COMPUTED_VALUE"""),2438.0)</f>
        <v>2438</v>
      </c>
      <c r="G836" s="2">
        <f>IFERROR(__xludf.DUMMYFUNCTION("""COMPUTED_VALUE"""),138.0)</f>
        <v>138</v>
      </c>
    </row>
    <row r="837">
      <c r="A837" s="2" t="str">
        <f>IFERROR(__xludf.DUMMYFUNCTION("""COMPUTED_VALUE"""),"Chile")</f>
        <v>Chile</v>
      </c>
      <c r="B837" s="3">
        <f>IFERROR(__xludf.DUMMYFUNCTION("""COMPUTED_VALUE"""),43969.0)</f>
        <v>43969</v>
      </c>
      <c r="C837" s="3">
        <f>IFERROR(__xludf.DUMMYFUNCTION("""COMPUTED_VALUE"""),43975.0)</f>
        <v>43975</v>
      </c>
      <c r="D837" s="2">
        <f>IFERROR(__xludf.DUMMYFUNCTION("""COMPUTED_VALUE"""),7.0)</f>
        <v>7</v>
      </c>
      <c r="E837" s="2">
        <f>IFERROR(__xludf.DUMMYFUNCTION("""COMPUTED_VALUE"""),21.0)</f>
        <v>21</v>
      </c>
      <c r="F837" s="2">
        <f>IFERROR(__xludf.DUMMYFUNCTION("""COMPUTED_VALUE"""),2933.0)</f>
        <v>2933</v>
      </c>
      <c r="G837" s="2">
        <f>IFERROR(__xludf.DUMMYFUNCTION("""COMPUTED_VALUE"""),268.0)</f>
        <v>268</v>
      </c>
    </row>
    <row r="838">
      <c r="A838" s="2" t="str">
        <f>IFERROR(__xludf.DUMMYFUNCTION("""COMPUTED_VALUE"""),"Chile")</f>
        <v>Chile</v>
      </c>
      <c r="B838" s="3">
        <f>IFERROR(__xludf.DUMMYFUNCTION("""COMPUTED_VALUE"""),43976.0)</f>
        <v>43976</v>
      </c>
      <c r="C838" s="3">
        <f>IFERROR(__xludf.DUMMYFUNCTION("""COMPUTED_VALUE"""),43982.0)</f>
        <v>43982</v>
      </c>
      <c r="D838" s="2">
        <f>IFERROR(__xludf.DUMMYFUNCTION("""COMPUTED_VALUE"""),7.0)</f>
        <v>7</v>
      </c>
      <c r="E838" s="2">
        <f>IFERROR(__xludf.DUMMYFUNCTION("""COMPUTED_VALUE"""),22.0)</f>
        <v>22</v>
      </c>
      <c r="F838" s="2">
        <f>IFERROR(__xludf.DUMMYFUNCTION("""COMPUTED_VALUE"""),3394.0)</f>
        <v>3394</v>
      </c>
      <c r="G838" s="2">
        <f>IFERROR(__xludf.DUMMYFUNCTION("""COMPUTED_VALUE"""),336.0)</f>
        <v>336</v>
      </c>
    </row>
    <row r="839">
      <c r="A839" s="2" t="str">
        <f>IFERROR(__xludf.DUMMYFUNCTION("""COMPUTED_VALUE"""),"Chile")</f>
        <v>Chile</v>
      </c>
      <c r="B839" s="3">
        <f>IFERROR(__xludf.DUMMYFUNCTION("""COMPUTED_VALUE"""),43983.0)</f>
        <v>43983</v>
      </c>
      <c r="C839" s="3">
        <f>IFERROR(__xludf.DUMMYFUNCTION("""COMPUTED_VALUE"""),43989.0)</f>
        <v>43989</v>
      </c>
      <c r="D839" s="2">
        <f>IFERROR(__xludf.DUMMYFUNCTION("""COMPUTED_VALUE"""),7.0)</f>
        <v>7</v>
      </c>
      <c r="E839" s="2">
        <f>IFERROR(__xludf.DUMMYFUNCTION("""COMPUTED_VALUE"""),23.0)</f>
        <v>23</v>
      </c>
      <c r="F839" s="2">
        <f>IFERROR(__xludf.DUMMYFUNCTION("""COMPUTED_VALUE"""),3899.0)</f>
        <v>3899</v>
      </c>
      <c r="G839" s="2">
        <f>IFERROR(__xludf.DUMMYFUNCTION("""COMPUTED_VALUE"""),583.0)</f>
        <v>583</v>
      </c>
    </row>
    <row r="840">
      <c r="A840" s="2" t="str">
        <f>IFERROR(__xludf.DUMMYFUNCTION("""COMPUTED_VALUE"""),"Chile")</f>
        <v>Chile</v>
      </c>
      <c r="B840" s="3">
        <f>IFERROR(__xludf.DUMMYFUNCTION("""COMPUTED_VALUE"""),43990.0)</f>
        <v>43990</v>
      </c>
      <c r="C840" s="3">
        <f>IFERROR(__xludf.DUMMYFUNCTION("""COMPUTED_VALUE"""),43996.0)</f>
        <v>43996</v>
      </c>
      <c r="D840" s="2">
        <f>IFERROR(__xludf.DUMMYFUNCTION("""COMPUTED_VALUE"""),7.0)</f>
        <v>7</v>
      </c>
      <c r="E840" s="2">
        <f>IFERROR(__xludf.DUMMYFUNCTION("""COMPUTED_VALUE"""),24.0)</f>
        <v>24</v>
      </c>
      <c r="F840" s="2">
        <f>IFERROR(__xludf.DUMMYFUNCTION("""COMPUTED_VALUE"""),3983.0)</f>
        <v>3983</v>
      </c>
      <c r="G840" s="2">
        <f>IFERROR(__xludf.DUMMYFUNCTION("""COMPUTED_VALUE"""),1686.0)</f>
        <v>1686</v>
      </c>
    </row>
    <row r="841">
      <c r="A841" s="2" t="str">
        <f>IFERROR(__xludf.DUMMYFUNCTION("""COMPUTED_VALUE"""),"Chile")</f>
        <v>Chile</v>
      </c>
      <c r="B841" s="3">
        <f>IFERROR(__xludf.DUMMYFUNCTION("""COMPUTED_VALUE"""),43997.0)</f>
        <v>43997</v>
      </c>
      <c r="C841" s="3">
        <f>IFERROR(__xludf.DUMMYFUNCTION("""COMPUTED_VALUE"""),44003.0)</f>
        <v>44003</v>
      </c>
      <c r="D841" s="2">
        <f>IFERROR(__xludf.DUMMYFUNCTION("""COMPUTED_VALUE"""),7.0)</f>
        <v>7</v>
      </c>
      <c r="E841" s="2">
        <f>IFERROR(__xludf.DUMMYFUNCTION("""COMPUTED_VALUE"""),25.0)</f>
        <v>25</v>
      </c>
      <c r="F841" s="2">
        <f>IFERROR(__xludf.DUMMYFUNCTION("""COMPUTED_VALUE"""),3732.0)</f>
        <v>3732</v>
      </c>
      <c r="G841" s="2">
        <f>IFERROR(__xludf.DUMMYFUNCTION("""COMPUTED_VALUE"""),1156.0)</f>
        <v>1156</v>
      </c>
    </row>
    <row r="842">
      <c r="A842" s="2" t="str">
        <f>IFERROR(__xludf.DUMMYFUNCTION("""COMPUTED_VALUE"""),"Chile")</f>
        <v>Chile</v>
      </c>
      <c r="B842" s="3">
        <f>IFERROR(__xludf.DUMMYFUNCTION("""COMPUTED_VALUE"""),44004.0)</f>
        <v>44004</v>
      </c>
      <c r="C842" s="3">
        <f>IFERROR(__xludf.DUMMYFUNCTION("""COMPUTED_VALUE"""),44010.0)</f>
        <v>44010</v>
      </c>
      <c r="D842" s="2">
        <f>IFERROR(__xludf.DUMMYFUNCTION("""COMPUTED_VALUE"""),7.0)</f>
        <v>7</v>
      </c>
      <c r="E842" s="2">
        <f>IFERROR(__xludf.DUMMYFUNCTION("""COMPUTED_VALUE"""),26.0)</f>
        <v>26</v>
      </c>
      <c r="F842" s="2">
        <f>IFERROR(__xludf.DUMMYFUNCTION("""COMPUTED_VALUE"""),3519.0)</f>
        <v>3519</v>
      </c>
      <c r="G842" s="2">
        <f>IFERROR(__xludf.DUMMYFUNCTION("""COMPUTED_VALUE"""),1030.0)</f>
        <v>1030</v>
      </c>
    </row>
    <row r="843">
      <c r="A843" s="2" t="str">
        <f>IFERROR(__xludf.DUMMYFUNCTION("""COMPUTED_VALUE"""),"Chile")</f>
        <v>Chile</v>
      </c>
      <c r="B843" s="3">
        <f>IFERROR(__xludf.DUMMYFUNCTION("""COMPUTED_VALUE"""),44011.0)</f>
        <v>44011</v>
      </c>
      <c r="C843" s="3">
        <f>IFERROR(__xludf.DUMMYFUNCTION("""COMPUTED_VALUE"""),44017.0)</f>
        <v>44017</v>
      </c>
      <c r="D843" s="2">
        <f>IFERROR(__xludf.DUMMYFUNCTION("""COMPUTED_VALUE"""),7.0)</f>
        <v>7</v>
      </c>
      <c r="E843" s="2">
        <f>IFERROR(__xludf.DUMMYFUNCTION("""COMPUTED_VALUE"""),27.0)</f>
        <v>27</v>
      </c>
      <c r="F843" s="2">
        <f>IFERROR(__xludf.DUMMYFUNCTION("""COMPUTED_VALUE"""),3070.0)</f>
        <v>3070</v>
      </c>
      <c r="G843" s="2">
        <f>IFERROR(__xludf.DUMMYFUNCTION("""COMPUTED_VALUE"""),799.0)</f>
        <v>799</v>
      </c>
    </row>
    <row r="844">
      <c r="A844" s="2" t="str">
        <f>IFERROR(__xludf.DUMMYFUNCTION("""COMPUTED_VALUE"""),"Chile")</f>
        <v>Chile</v>
      </c>
      <c r="B844" s="3">
        <f>IFERROR(__xludf.DUMMYFUNCTION("""COMPUTED_VALUE"""),44018.0)</f>
        <v>44018</v>
      </c>
      <c r="C844" s="3">
        <f>IFERROR(__xludf.DUMMYFUNCTION("""COMPUTED_VALUE"""),44024.0)</f>
        <v>44024</v>
      </c>
      <c r="D844" s="2">
        <f>IFERROR(__xludf.DUMMYFUNCTION("""COMPUTED_VALUE"""),7.0)</f>
        <v>7</v>
      </c>
      <c r="E844" s="2">
        <f>IFERROR(__xludf.DUMMYFUNCTION("""COMPUTED_VALUE"""),28.0)</f>
        <v>28</v>
      </c>
      <c r="F844" s="2">
        <f>IFERROR(__xludf.DUMMYFUNCTION("""COMPUTED_VALUE"""),2967.0)</f>
        <v>2967</v>
      </c>
      <c r="G844" s="2">
        <f>IFERROR(__xludf.DUMMYFUNCTION("""COMPUTED_VALUE"""),671.0)</f>
        <v>671</v>
      </c>
    </row>
    <row r="845">
      <c r="A845" s="2" t="str">
        <f>IFERROR(__xludf.DUMMYFUNCTION("""COMPUTED_VALUE"""),"Chile")</f>
        <v>Chile</v>
      </c>
      <c r="B845" s="3">
        <f>IFERROR(__xludf.DUMMYFUNCTION("""COMPUTED_VALUE"""),44025.0)</f>
        <v>44025</v>
      </c>
      <c r="C845" s="3">
        <f>IFERROR(__xludf.DUMMYFUNCTION("""COMPUTED_VALUE"""),44031.0)</f>
        <v>44031</v>
      </c>
      <c r="D845" s="2">
        <f>IFERROR(__xludf.DUMMYFUNCTION("""COMPUTED_VALUE"""),7.0)</f>
        <v>7</v>
      </c>
      <c r="E845" s="2">
        <f>IFERROR(__xludf.DUMMYFUNCTION("""COMPUTED_VALUE"""),29.0)</f>
        <v>29</v>
      </c>
      <c r="F845" s="2">
        <f>IFERROR(__xludf.DUMMYFUNCTION("""COMPUTED_VALUE"""),2814.0)</f>
        <v>2814</v>
      </c>
      <c r="G845" s="2">
        <f>IFERROR(__xludf.DUMMYFUNCTION("""COMPUTED_VALUE"""),1524.0)</f>
        <v>1524</v>
      </c>
    </row>
    <row r="846">
      <c r="A846" s="2" t="str">
        <f>IFERROR(__xludf.DUMMYFUNCTION("""COMPUTED_VALUE"""),"Chile")</f>
        <v>Chile</v>
      </c>
      <c r="B846" s="3">
        <f>IFERROR(__xludf.DUMMYFUNCTION("""COMPUTED_VALUE"""),44032.0)</f>
        <v>44032</v>
      </c>
      <c r="C846" s="3">
        <f>IFERROR(__xludf.DUMMYFUNCTION("""COMPUTED_VALUE"""),44038.0)</f>
        <v>44038</v>
      </c>
      <c r="D846" s="2">
        <f>IFERROR(__xludf.DUMMYFUNCTION("""COMPUTED_VALUE"""),7.0)</f>
        <v>7</v>
      </c>
      <c r="E846" s="2">
        <f>IFERROR(__xludf.DUMMYFUNCTION("""COMPUTED_VALUE"""),30.0)</f>
        <v>30</v>
      </c>
      <c r="F846" s="2">
        <f>IFERROR(__xludf.DUMMYFUNCTION("""COMPUTED_VALUE"""),2698.0)</f>
        <v>2698</v>
      </c>
      <c r="G846" s="2">
        <f>IFERROR(__xludf.DUMMYFUNCTION("""COMPUTED_VALUE"""),609.0)</f>
        <v>609</v>
      </c>
    </row>
    <row r="847">
      <c r="A847" s="2" t="str">
        <f>IFERROR(__xludf.DUMMYFUNCTION("""COMPUTED_VALUE"""),"Chile")</f>
        <v>Chile</v>
      </c>
      <c r="B847" s="3">
        <f>IFERROR(__xludf.DUMMYFUNCTION("""COMPUTED_VALUE"""),44039.0)</f>
        <v>44039</v>
      </c>
      <c r="C847" s="3">
        <f>IFERROR(__xludf.DUMMYFUNCTION("""COMPUTED_VALUE"""),44045.0)</f>
        <v>44045</v>
      </c>
      <c r="D847" s="2">
        <f>IFERROR(__xludf.DUMMYFUNCTION("""COMPUTED_VALUE"""),7.0)</f>
        <v>7</v>
      </c>
      <c r="E847" s="2">
        <f>IFERROR(__xludf.DUMMYFUNCTION("""COMPUTED_VALUE"""),31.0)</f>
        <v>31</v>
      </c>
      <c r="F847" s="2">
        <f>IFERROR(__xludf.DUMMYFUNCTION("""COMPUTED_VALUE"""),2653.0)</f>
        <v>2653</v>
      </c>
      <c r="G847" s="2">
        <f>IFERROR(__xludf.DUMMYFUNCTION("""COMPUTED_VALUE"""),496.0)</f>
        <v>496</v>
      </c>
    </row>
    <row r="848">
      <c r="A848" s="2" t="str">
        <f>IFERROR(__xludf.DUMMYFUNCTION("""COMPUTED_VALUE"""),"Chile")</f>
        <v>Chile</v>
      </c>
      <c r="B848" s="3">
        <f>IFERROR(__xludf.DUMMYFUNCTION("""COMPUTED_VALUE"""),44046.0)</f>
        <v>44046</v>
      </c>
      <c r="C848" s="3">
        <f>IFERROR(__xludf.DUMMYFUNCTION("""COMPUTED_VALUE"""),44052.0)</f>
        <v>44052</v>
      </c>
      <c r="D848" s="2">
        <f>IFERROR(__xludf.DUMMYFUNCTION("""COMPUTED_VALUE"""),7.0)</f>
        <v>7</v>
      </c>
      <c r="E848" s="2">
        <f>IFERROR(__xludf.DUMMYFUNCTION("""COMPUTED_VALUE"""),32.0)</f>
        <v>32</v>
      </c>
      <c r="F848" s="2">
        <f>IFERROR(__xludf.DUMMYFUNCTION("""COMPUTED_VALUE"""),2516.0)</f>
        <v>2516</v>
      </c>
      <c r="G848" s="2">
        <f>IFERROR(__xludf.DUMMYFUNCTION("""COMPUTED_VALUE"""),469.0)</f>
        <v>469</v>
      </c>
    </row>
    <row r="849">
      <c r="A849" s="2" t="str">
        <f>IFERROR(__xludf.DUMMYFUNCTION("""COMPUTED_VALUE"""),"Chile")</f>
        <v>Chile</v>
      </c>
      <c r="B849" s="3">
        <f>IFERROR(__xludf.DUMMYFUNCTION("""COMPUTED_VALUE"""),44053.0)</f>
        <v>44053</v>
      </c>
      <c r="C849" s="3">
        <f>IFERROR(__xludf.DUMMYFUNCTION("""COMPUTED_VALUE"""),44059.0)</f>
        <v>44059</v>
      </c>
      <c r="D849" s="2">
        <f>IFERROR(__xludf.DUMMYFUNCTION("""COMPUTED_VALUE"""),7.0)</f>
        <v>7</v>
      </c>
      <c r="E849" s="2">
        <f>IFERROR(__xludf.DUMMYFUNCTION("""COMPUTED_VALUE"""),33.0)</f>
        <v>33</v>
      </c>
      <c r="F849" s="2">
        <f>IFERROR(__xludf.DUMMYFUNCTION("""COMPUTED_VALUE"""),2431.0)</f>
        <v>2431</v>
      </c>
      <c r="G849" s="2">
        <f>IFERROR(__xludf.DUMMYFUNCTION("""COMPUTED_VALUE"""),375.0)</f>
        <v>375</v>
      </c>
    </row>
    <row r="850">
      <c r="A850" s="2" t="str">
        <f>IFERROR(__xludf.DUMMYFUNCTION("""COMPUTED_VALUE"""),"Chile")</f>
        <v>Chile</v>
      </c>
      <c r="B850" s="3">
        <f>IFERROR(__xludf.DUMMYFUNCTION("""COMPUTED_VALUE"""),44060.0)</f>
        <v>44060</v>
      </c>
      <c r="C850" s="3">
        <f>IFERROR(__xludf.DUMMYFUNCTION("""COMPUTED_VALUE"""),44066.0)</f>
        <v>44066</v>
      </c>
      <c r="D850" s="2">
        <f>IFERROR(__xludf.DUMMYFUNCTION("""COMPUTED_VALUE"""),7.0)</f>
        <v>7</v>
      </c>
      <c r="E850" s="2">
        <f>IFERROR(__xludf.DUMMYFUNCTION("""COMPUTED_VALUE"""),34.0)</f>
        <v>34</v>
      </c>
      <c r="F850" s="2">
        <f>IFERROR(__xludf.DUMMYFUNCTION("""COMPUTED_VALUE"""),2596.0)</f>
        <v>2596</v>
      </c>
      <c r="G850" s="2">
        <f>IFERROR(__xludf.DUMMYFUNCTION("""COMPUTED_VALUE"""),400.0)</f>
        <v>400</v>
      </c>
    </row>
    <row r="851">
      <c r="A851" s="2" t="str">
        <f>IFERROR(__xludf.DUMMYFUNCTION("""COMPUTED_VALUE"""),"Chile")</f>
        <v>Chile</v>
      </c>
      <c r="B851" s="3">
        <f>IFERROR(__xludf.DUMMYFUNCTION("""COMPUTED_VALUE"""),44067.0)</f>
        <v>44067</v>
      </c>
      <c r="C851" s="3">
        <f>IFERROR(__xludf.DUMMYFUNCTION("""COMPUTED_VALUE"""),44073.0)</f>
        <v>44073</v>
      </c>
      <c r="D851" s="2">
        <f>IFERROR(__xludf.DUMMYFUNCTION("""COMPUTED_VALUE"""),7.0)</f>
        <v>7</v>
      </c>
      <c r="E851" s="2">
        <f>IFERROR(__xludf.DUMMYFUNCTION("""COMPUTED_VALUE"""),35.0)</f>
        <v>35</v>
      </c>
      <c r="F851" s="2">
        <f>IFERROR(__xludf.DUMMYFUNCTION("""COMPUTED_VALUE"""),2479.0)</f>
        <v>2479</v>
      </c>
      <c r="G851" s="2">
        <f>IFERROR(__xludf.DUMMYFUNCTION("""COMPUTED_VALUE"""),392.0)</f>
        <v>392</v>
      </c>
    </row>
    <row r="852">
      <c r="A852" s="2" t="str">
        <f>IFERROR(__xludf.DUMMYFUNCTION("""COMPUTED_VALUE"""),"Chile")</f>
        <v>Chile</v>
      </c>
      <c r="B852" s="3">
        <f>IFERROR(__xludf.DUMMYFUNCTION("""COMPUTED_VALUE"""),44074.0)</f>
        <v>44074</v>
      </c>
      <c r="C852" s="3">
        <f>IFERROR(__xludf.DUMMYFUNCTION("""COMPUTED_VALUE"""),44080.0)</f>
        <v>44080</v>
      </c>
      <c r="D852" s="2">
        <f>IFERROR(__xludf.DUMMYFUNCTION("""COMPUTED_VALUE"""),7.0)</f>
        <v>7</v>
      </c>
      <c r="E852" s="2">
        <f>IFERROR(__xludf.DUMMYFUNCTION("""COMPUTED_VALUE"""),36.0)</f>
        <v>36</v>
      </c>
      <c r="F852" s="2">
        <f>IFERROR(__xludf.DUMMYFUNCTION("""COMPUTED_VALUE"""),2395.0)</f>
        <v>2395</v>
      </c>
      <c r="G852" s="2">
        <f>IFERROR(__xludf.DUMMYFUNCTION("""COMPUTED_VALUE"""),348.0)</f>
        <v>348</v>
      </c>
    </row>
    <row r="853">
      <c r="A853" s="2" t="str">
        <f>IFERROR(__xludf.DUMMYFUNCTION("""COMPUTED_VALUE"""),"Chile")</f>
        <v>Chile</v>
      </c>
      <c r="B853" s="3">
        <f>IFERROR(__xludf.DUMMYFUNCTION("""COMPUTED_VALUE"""),44081.0)</f>
        <v>44081</v>
      </c>
      <c r="C853" s="3">
        <f>IFERROR(__xludf.DUMMYFUNCTION("""COMPUTED_VALUE"""),44087.0)</f>
        <v>44087</v>
      </c>
      <c r="D853" s="2">
        <f>IFERROR(__xludf.DUMMYFUNCTION("""COMPUTED_VALUE"""),7.0)</f>
        <v>7</v>
      </c>
      <c r="E853" s="2">
        <f>IFERROR(__xludf.DUMMYFUNCTION("""COMPUTED_VALUE"""),37.0)</f>
        <v>37</v>
      </c>
      <c r="F853" s="2">
        <f>IFERROR(__xludf.DUMMYFUNCTION("""COMPUTED_VALUE"""),2405.0)</f>
        <v>2405</v>
      </c>
      <c r="G853" s="2">
        <f>IFERROR(__xludf.DUMMYFUNCTION("""COMPUTED_VALUE"""),357.0)</f>
        <v>357</v>
      </c>
    </row>
    <row r="854">
      <c r="A854" s="2" t="str">
        <f>IFERROR(__xludf.DUMMYFUNCTION("""COMPUTED_VALUE"""),"Chile")</f>
        <v>Chile</v>
      </c>
      <c r="B854" s="3">
        <f>IFERROR(__xludf.DUMMYFUNCTION("""COMPUTED_VALUE"""),44088.0)</f>
        <v>44088</v>
      </c>
      <c r="C854" s="3">
        <f>IFERROR(__xludf.DUMMYFUNCTION("""COMPUTED_VALUE"""),44094.0)</f>
        <v>44094</v>
      </c>
      <c r="D854" s="2">
        <f>IFERROR(__xludf.DUMMYFUNCTION("""COMPUTED_VALUE"""),7.0)</f>
        <v>7</v>
      </c>
      <c r="E854" s="2">
        <f>IFERROR(__xludf.DUMMYFUNCTION("""COMPUTED_VALUE"""),38.0)</f>
        <v>38</v>
      </c>
      <c r="F854" s="2">
        <f>IFERROR(__xludf.DUMMYFUNCTION("""COMPUTED_VALUE"""),2401.0)</f>
        <v>2401</v>
      </c>
      <c r="G854" s="2">
        <f>IFERROR(__xludf.DUMMYFUNCTION("""COMPUTED_VALUE"""),337.0)</f>
        <v>337</v>
      </c>
    </row>
    <row r="855">
      <c r="A855" s="2" t="str">
        <f>IFERROR(__xludf.DUMMYFUNCTION("""COMPUTED_VALUE"""),"Chile")</f>
        <v>Chile</v>
      </c>
      <c r="B855" s="3">
        <f>IFERROR(__xludf.DUMMYFUNCTION("""COMPUTED_VALUE"""),44095.0)</f>
        <v>44095</v>
      </c>
      <c r="C855" s="3">
        <f>IFERROR(__xludf.DUMMYFUNCTION("""COMPUTED_VALUE"""),44101.0)</f>
        <v>44101</v>
      </c>
      <c r="D855" s="2">
        <f>IFERROR(__xludf.DUMMYFUNCTION("""COMPUTED_VALUE"""),7.0)</f>
        <v>7</v>
      </c>
      <c r="E855" s="2">
        <f>IFERROR(__xludf.DUMMYFUNCTION("""COMPUTED_VALUE"""),39.0)</f>
        <v>39</v>
      </c>
      <c r="F855" s="2">
        <f>IFERROR(__xludf.DUMMYFUNCTION("""COMPUTED_VALUE"""),2364.0)</f>
        <v>2364</v>
      </c>
      <c r="G855" s="2">
        <f>IFERROR(__xludf.DUMMYFUNCTION("""COMPUTED_VALUE"""),355.0)</f>
        <v>355</v>
      </c>
    </row>
    <row r="856">
      <c r="A856" s="2" t="str">
        <f>IFERROR(__xludf.DUMMYFUNCTION("""COMPUTED_VALUE"""),"Chile")</f>
        <v>Chile</v>
      </c>
      <c r="B856" s="3">
        <f>IFERROR(__xludf.DUMMYFUNCTION("""COMPUTED_VALUE"""),44102.0)</f>
        <v>44102</v>
      </c>
      <c r="C856" s="3">
        <f>IFERROR(__xludf.DUMMYFUNCTION("""COMPUTED_VALUE"""),44108.0)</f>
        <v>44108</v>
      </c>
      <c r="D856" s="2">
        <f>IFERROR(__xludf.DUMMYFUNCTION("""COMPUTED_VALUE"""),7.0)</f>
        <v>7</v>
      </c>
      <c r="E856" s="2">
        <f>IFERROR(__xludf.DUMMYFUNCTION("""COMPUTED_VALUE"""),40.0)</f>
        <v>40</v>
      </c>
      <c r="F856" s="2">
        <f>IFERROR(__xludf.DUMMYFUNCTION("""COMPUTED_VALUE"""),2340.0)</f>
        <v>2340</v>
      </c>
      <c r="G856" s="2">
        <f>IFERROR(__xludf.DUMMYFUNCTION("""COMPUTED_VALUE"""),338.0)</f>
        <v>338</v>
      </c>
    </row>
    <row r="857">
      <c r="A857" s="2" t="str">
        <f>IFERROR(__xludf.DUMMYFUNCTION("""COMPUTED_VALUE"""),"Chile")</f>
        <v>Chile</v>
      </c>
      <c r="B857" s="3">
        <f>IFERROR(__xludf.DUMMYFUNCTION("""COMPUTED_VALUE"""),44109.0)</f>
        <v>44109</v>
      </c>
      <c r="C857" s="3">
        <f>IFERROR(__xludf.DUMMYFUNCTION("""COMPUTED_VALUE"""),44115.0)</f>
        <v>44115</v>
      </c>
      <c r="D857" s="2">
        <f>IFERROR(__xludf.DUMMYFUNCTION("""COMPUTED_VALUE"""),7.0)</f>
        <v>7</v>
      </c>
      <c r="E857" s="2">
        <f>IFERROR(__xludf.DUMMYFUNCTION("""COMPUTED_VALUE"""),41.0)</f>
        <v>41</v>
      </c>
      <c r="F857" s="2">
        <f>IFERROR(__xludf.DUMMYFUNCTION("""COMPUTED_VALUE"""),2396.0)</f>
        <v>2396</v>
      </c>
      <c r="G857" s="2">
        <f>IFERROR(__xludf.DUMMYFUNCTION("""COMPUTED_VALUE"""),339.0)</f>
        <v>339</v>
      </c>
    </row>
    <row r="858">
      <c r="A858" s="2" t="str">
        <f>IFERROR(__xludf.DUMMYFUNCTION("""COMPUTED_VALUE"""),"Chile")</f>
        <v>Chile</v>
      </c>
      <c r="B858" s="3">
        <f>IFERROR(__xludf.DUMMYFUNCTION("""COMPUTED_VALUE"""),44116.0)</f>
        <v>44116</v>
      </c>
      <c r="C858" s="3">
        <f>IFERROR(__xludf.DUMMYFUNCTION("""COMPUTED_VALUE"""),44122.0)</f>
        <v>44122</v>
      </c>
      <c r="D858" s="2">
        <f>IFERROR(__xludf.DUMMYFUNCTION("""COMPUTED_VALUE"""),7.0)</f>
        <v>7</v>
      </c>
      <c r="E858" s="2">
        <f>IFERROR(__xludf.DUMMYFUNCTION("""COMPUTED_VALUE"""),42.0)</f>
        <v>42</v>
      </c>
      <c r="F858" s="2">
        <f>IFERROR(__xludf.DUMMYFUNCTION("""COMPUTED_VALUE"""),2307.0)</f>
        <v>2307</v>
      </c>
      <c r="G858" s="2">
        <f>IFERROR(__xludf.DUMMYFUNCTION("""COMPUTED_VALUE"""),317.0)</f>
        <v>317</v>
      </c>
    </row>
    <row r="859">
      <c r="A859" s="2" t="str">
        <f>IFERROR(__xludf.DUMMYFUNCTION("""COMPUTED_VALUE"""),"Chile")</f>
        <v>Chile</v>
      </c>
      <c r="B859" s="3">
        <f>IFERROR(__xludf.DUMMYFUNCTION("""COMPUTED_VALUE"""),44123.0)</f>
        <v>44123</v>
      </c>
      <c r="C859" s="3">
        <f>IFERROR(__xludf.DUMMYFUNCTION("""COMPUTED_VALUE"""),44129.0)</f>
        <v>44129</v>
      </c>
      <c r="D859" s="2">
        <f>IFERROR(__xludf.DUMMYFUNCTION("""COMPUTED_VALUE"""),7.0)</f>
        <v>7</v>
      </c>
      <c r="E859" s="2">
        <f>IFERROR(__xludf.DUMMYFUNCTION("""COMPUTED_VALUE"""),43.0)</f>
        <v>43</v>
      </c>
      <c r="F859" s="2">
        <f>IFERROR(__xludf.DUMMYFUNCTION("""COMPUTED_VALUE"""),2304.0)</f>
        <v>2304</v>
      </c>
      <c r="G859" s="2">
        <f>IFERROR(__xludf.DUMMYFUNCTION("""COMPUTED_VALUE"""),309.0)</f>
        <v>309</v>
      </c>
    </row>
    <row r="860">
      <c r="A860" s="2" t="str">
        <f>IFERROR(__xludf.DUMMYFUNCTION("""COMPUTED_VALUE"""),"Chile")</f>
        <v>Chile</v>
      </c>
      <c r="B860" s="3">
        <f>IFERROR(__xludf.DUMMYFUNCTION("""COMPUTED_VALUE"""),44130.0)</f>
        <v>44130</v>
      </c>
      <c r="C860" s="3">
        <f>IFERROR(__xludf.DUMMYFUNCTION("""COMPUTED_VALUE"""),44136.0)</f>
        <v>44136</v>
      </c>
      <c r="D860" s="2">
        <f>IFERROR(__xludf.DUMMYFUNCTION("""COMPUTED_VALUE"""),7.0)</f>
        <v>7</v>
      </c>
      <c r="E860" s="2">
        <f>IFERROR(__xludf.DUMMYFUNCTION("""COMPUTED_VALUE"""),44.0)</f>
        <v>44</v>
      </c>
      <c r="F860" s="2">
        <f>IFERROR(__xludf.DUMMYFUNCTION("""COMPUTED_VALUE"""),2268.0)</f>
        <v>2268</v>
      </c>
      <c r="G860" s="2">
        <f>IFERROR(__xludf.DUMMYFUNCTION("""COMPUTED_VALUE"""),303.0)</f>
        <v>303</v>
      </c>
    </row>
    <row r="861">
      <c r="A861" s="2" t="str">
        <f>IFERROR(__xludf.DUMMYFUNCTION("""COMPUTED_VALUE"""),"Chile")</f>
        <v>Chile</v>
      </c>
      <c r="B861" s="3">
        <f>IFERROR(__xludf.DUMMYFUNCTION("""COMPUTED_VALUE"""),44137.0)</f>
        <v>44137</v>
      </c>
      <c r="C861" s="3">
        <f>IFERROR(__xludf.DUMMYFUNCTION("""COMPUTED_VALUE"""),44143.0)</f>
        <v>44143</v>
      </c>
      <c r="D861" s="2">
        <f>IFERROR(__xludf.DUMMYFUNCTION("""COMPUTED_VALUE"""),7.0)</f>
        <v>7</v>
      </c>
      <c r="E861" s="2">
        <f>IFERROR(__xludf.DUMMYFUNCTION("""COMPUTED_VALUE"""),45.0)</f>
        <v>45</v>
      </c>
      <c r="F861" s="2">
        <f>IFERROR(__xludf.DUMMYFUNCTION("""COMPUTED_VALUE"""),2239.0)</f>
        <v>2239</v>
      </c>
      <c r="G861" s="2">
        <f>IFERROR(__xludf.DUMMYFUNCTION("""COMPUTED_VALUE"""),296.0)</f>
        <v>296</v>
      </c>
    </row>
    <row r="862">
      <c r="A862" s="2" t="str">
        <f>IFERROR(__xludf.DUMMYFUNCTION("""COMPUTED_VALUE"""),"Chile")</f>
        <v>Chile</v>
      </c>
      <c r="B862" s="3">
        <f>IFERROR(__xludf.DUMMYFUNCTION("""COMPUTED_VALUE"""),44144.0)</f>
        <v>44144</v>
      </c>
      <c r="C862" s="3">
        <f>IFERROR(__xludf.DUMMYFUNCTION("""COMPUTED_VALUE"""),44150.0)</f>
        <v>44150</v>
      </c>
      <c r="D862" s="2">
        <f>IFERROR(__xludf.DUMMYFUNCTION("""COMPUTED_VALUE"""),7.0)</f>
        <v>7</v>
      </c>
      <c r="E862" s="2">
        <f>IFERROR(__xludf.DUMMYFUNCTION("""COMPUTED_VALUE"""),46.0)</f>
        <v>46</v>
      </c>
      <c r="F862" s="2">
        <f>IFERROR(__xludf.DUMMYFUNCTION("""COMPUTED_VALUE"""),2121.0)</f>
        <v>2121</v>
      </c>
      <c r="G862" s="2">
        <f>IFERROR(__xludf.DUMMYFUNCTION("""COMPUTED_VALUE"""),276.0)</f>
        <v>276</v>
      </c>
    </row>
    <row r="863">
      <c r="A863" s="2" t="str">
        <f>IFERROR(__xludf.DUMMYFUNCTION("""COMPUTED_VALUE"""),"Chile")</f>
        <v>Chile</v>
      </c>
      <c r="B863" s="3">
        <f>IFERROR(__xludf.DUMMYFUNCTION("""COMPUTED_VALUE"""),44151.0)</f>
        <v>44151</v>
      </c>
      <c r="C863" s="3">
        <f>IFERROR(__xludf.DUMMYFUNCTION("""COMPUTED_VALUE"""),44157.0)</f>
        <v>44157</v>
      </c>
      <c r="D863" s="2">
        <f>IFERROR(__xludf.DUMMYFUNCTION("""COMPUTED_VALUE"""),7.0)</f>
        <v>7</v>
      </c>
      <c r="E863" s="2">
        <f>IFERROR(__xludf.DUMMYFUNCTION("""COMPUTED_VALUE"""),47.0)</f>
        <v>47</v>
      </c>
      <c r="F863" s="2">
        <f>IFERROR(__xludf.DUMMYFUNCTION("""COMPUTED_VALUE"""),2184.0)</f>
        <v>2184</v>
      </c>
      <c r="G863" s="2">
        <f>IFERROR(__xludf.DUMMYFUNCTION("""COMPUTED_VALUE"""),250.0)</f>
        <v>250</v>
      </c>
    </row>
    <row r="864">
      <c r="A864" s="2" t="str">
        <f>IFERROR(__xludf.DUMMYFUNCTION("""COMPUTED_VALUE"""),"Chile")</f>
        <v>Chile</v>
      </c>
      <c r="B864" s="3">
        <f>IFERROR(__xludf.DUMMYFUNCTION("""COMPUTED_VALUE"""),44158.0)</f>
        <v>44158</v>
      </c>
      <c r="C864" s="3">
        <f>IFERROR(__xludf.DUMMYFUNCTION("""COMPUTED_VALUE"""),44164.0)</f>
        <v>44164</v>
      </c>
      <c r="D864" s="2">
        <f>IFERROR(__xludf.DUMMYFUNCTION("""COMPUTED_VALUE"""),7.0)</f>
        <v>7</v>
      </c>
      <c r="E864" s="2">
        <f>IFERROR(__xludf.DUMMYFUNCTION("""COMPUTED_VALUE"""),48.0)</f>
        <v>48</v>
      </c>
      <c r="F864" s="2">
        <f>IFERROR(__xludf.DUMMYFUNCTION("""COMPUTED_VALUE"""),2203.0)</f>
        <v>2203</v>
      </c>
      <c r="G864" s="2">
        <f>IFERROR(__xludf.DUMMYFUNCTION("""COMPUTED_VALUE"""),287.0)</f>
        <v>287</v>
      </c>
    </row>
    <row r="865">
      <c r="A865" s="2" t="str">
        <f>IFERROR(__xludf.DUMMYFUNCTION("""COMPUTED_VALUE"""),"Chile")</f>
        <v>Chile</v>
      </c>
      <c r="B865" s="3">
        <f>IFERROR(__xludf.DUMMYFUNCTION("""COMPUTED_VALUE"""),44165.0)</f>
        <v>44165</v>
      </c>
      <c r="C865" s="3">
        <f>IFERROR(__xludf.DUMMYFUNCTION("""COMPUTED_VALUE"""),44171.0)</f>
        <v>44171</v>
      </c>
      <c r="D865" s="2">
        <f>IFERROR(__xludf.DUMMYFUNCTION("""COMPUTED_VALUE"""),7.0)</f>
        <v>7</v>
      </c>
      <c r="E865" s="2">
        <f>IFERROR(__xludf.DUMMYFUNCTION("""COMPUTED_VALUE"""),49.0)</f>
        <v>49</v>
      </c>
      <c r="F865" s="2">
        <f>IFERROR(__xludf.DUMMYFUNCTION("""COMPUTED_VALUE"""),2174.0)</f>
        <v>2174</v>
      </c>
      <c r="G865" s="2">
        <f>IFERROR(__xludf.DUMMYFUNCTION("""COMPUTED_VALUE"""),272.0)</f>
        <v>272</v>
      </c>
    </row>
    <row r="866">
      <c r="A866" s="2" t="str">
        <f>IFERROR(__xludf.DUMMYFUNCTION("""COMPUTED_VALUE"""),"Chile")</f>
        <v>Chile</v>
      </c>
      <c r="B866" s="3">
        <f>IFERROR(__xludf.DUMMYFUNCTION("""COMPUTED_VALUE"""),44172.0)</f>
        <v>44172</v>
      </c>
      <c r="C866" s="3">
        <f>IFERROR(__xludf.DUMMYFUNCTION("""COMPUTED_VALUE"""),44178.0)</f>
        <v>44178</v>
      </c>
      <c r="D866" s="2">
        <f>IFERROR(__xludf.DUMMYFUNCTION("""COMPUTED_VALUE"""),7.0)</f>
        <v>7</v>
      </c>
      <c r="E866" s="2">
        <f>IFERROR(__xludf.DUMMYFUNCTION("""COMPUTED_VALUE"""),50.0)</f>
        <v>50</v>
      </c>
      <c r="F866" s="2">
        <f>IFERROR(__xludf.DUMMYFUNCTION("""COMPUTED_VALUE"""),2187.0)</f>
        <v>2187</v>
      </c>
      <c r="G866" s="2">
        <f>IFERROR(__xludf.DUMMYFUNCTION("""COMPUTED_VALUE"""),258.0)</f>
        <v>258</v>
      </c>
    </row>
    <row r="867">
      <c r="A867" s="2" t="str">
        <f>IFERROR(__xludf.DUMMYFUNCTION("""COMPUTED_VALUE"""),"Chile")</f>
        <v>Chile</v>
      </c>
      <c r="B867" s="3">
        <f>IFERROR(__xludf.DUMMYFUNCTION("""COMPUTED_VALUE"""),44179.0)</f>
        <v>44179</v>
      </c>
      <c r="C867" s="3">
        <f>IFERROR(__xludf.DUMMYFUNCTION("""COMPUTED_VALUE"""),44185.0)</f>
        <v>44185</v>
      </c>
      <c r="D867" s="2">
        <f>IFERROR(__xludf.DUMMYFUNCTION("""COMPUTED_VALUE"""),7.0)</f>
        <v>7</v>
      </c>
      <c r="E867" s="2">
        <f>IFERROR(__xludf.DUMMYFUNCTION("""COMPUTED_VALUE"""),51.0)</f>
        <v>51</v>
      </c>
      <c r="F867" s="2">
        <f>IFERROR(__xludf.DUMMYFUNCTION("""COMPUTED_VALUE"""),2155.0)</f>
        <v>2155</v>
      </c>
      <c r="G867" s="2">
        <f>IFERROR(__xludf.DUMMYFUNCTION("""COMPUTED_VALUE"""),268.0)</f>
        <v>268</v>
      </c>
    </row>
    <row r="868">
      <c r="A868" s="2" t="str">
        <f>IFERROR(__xludf.DUMMYFUNCTION("""COMPUTED_VALUE"""),"Chile")</f>
        <v>Chile</v>
      </c>
      <c r="B868" s="3">
        <f>IFERROR(__xludf.DUMMYFUNCTION("""COMPUTED_VALUE"""),44186.0)</f>
        <v>44186</v>
      </c>
      <c r="C868" s="3">
        <f>IFERROR(__xludf.DUMMYFUNCTION("""COMPUTED_VALUE"""),44192.0)</f>
        <v>44192</v>
      </c>
      <c r="D868" s="2">
        <f>IFERROR(__xludf.DUMMYFUNCTION("""COMPUTED_VALUE"""),7.0)</f>
        <v>7</v>
      </c>
      <c r="E868" s="2">
        <f>IFERROR(__xludf.DUMMYFUNCTION("""COMPUTED_VALUE"""),52.0)</f>
        <v>52</v>
      </c>
      <c r="F868" s="2">
        <f>IFERROR(__xludf.DUMMYFUNCTION("""COMPUTED_VALUE"""),2291.0)</f>
        <v>2291</v>
      </c>
      <c r="G868" s="2">
        <f>IFERROR(__xludf.DUMMYFUNCTION("""COMPUTED_VALUE"""),289.0)</f>
        <v>289</v>
      </c>
    </row>
    <row r="869">
      <c r="A869" s="2" t="str">
        <f>IFERROR(__xludf.DUMMYFUNCTION("""COMPUTED_VALUE"""),"Chile")</f>
        <v>Chile</v>
      </c>
      <c r="B869" s="3">
        <f>IFERROR(__xludf.DUMMYFUNCTION("""COMPUTED_VALUE"""),44193.0)</f>
        <v>44193</v>
      </c>
      <c r="C869" s="3">
        <f>IFERROR(__xludf.DUMMYFUNCTION("""COMPUTED_VALUE"""),44199.0)</f>
        <v>44199</v>
      </c>
      <c r="D869" s="2">
        <f>IFERROR(__xludf.DUMMYFUNCTION("""COMPUTED_VALUE"""),7.0)</f>
        <v>7</v>
      </c>
      <c r="E869" s="2">
        <f>IFERROR(__xludf.DUMMYFUNCTION("""COMPUTED_VALUE"""),53.0)</f>
        <v>53</v>
      </c>
      <c r="F869" s="2">
        <f>IFERROR(__xludf.DUMMYFUNCTION("""COMPUTED_VALUE"""),2236.0)</f>
        <v>2236</v>
      </c>
      <c r="G869" s="2">
        <f>IFERROR(__xludf.DUMMYFUNCTION("""COMPUTED_VALUE"""),324.0)</f>
        <v>324</v>
      </c>
    </row>
    <row r="870">
      <c r="A870" s="2" t="str">
        <f>IFERROR(__xludf.DUMMYFUNCTION("""COMPUTED_VALUE"""),"Chile")</f>
        <v>Chile</v>
      </c>
      <c r="B870" s="3">
        <f>IFERROR(__xludf.DUMMYFUNCTION("""COMPUTED_VALUE"""),44200.0)</f>
        <v>44200</v>
      </c>
      <c r="C870" s="3">
        <f>IFERROR(__xludf.DUMMYFUNCTION("""COMPUTED_VALUE"""),44206.0)</f>
        <v>44206</v>
      </c>
      <c r="D870" s="2">
        <f>IFERROR(__xludf.DUMMYFUNCTION("""COMPUTED_VALUE"""),7.0)</f>
        <v>7</v>
      </c>
      <c r="E870" s="2">
        <f>IFERROR(__xludf.DUMMYFUNCTION("""COMPUTED_VALUE"""),1.0)</f>
        <v>1</v>
      </c>
      <c r="F870" s="2">
        <f>IFERROR(__xludf.DUMMYFUNCTION("""COMPUTED_VALUE"""),2445.0)</f>
        <v>2445</v>
      </c>
      <c r="G870" s="2">
        <f>IFERROR(__xludf.DUMMYFUNCTION("""COMPUTED_VALUE"""),329.0)</f>
        <v>329</v>
      </c>
    </row>
    <row r="871">
      <c r="A871" s="2" t="str">
        <f>IFERROR(__xludf.DUMMYFUNCTION("""COMPUTED_VALUE"""),"Chile")</f>
        <v>Chile</v>
      </c>
      <c r="B871" s="3">
        <f>IFERROR(__xludf.DUMMYFUNCTION("""COMPUTED_VALUE"""),44207.0)</f>
        <v>44207</v>
      </c>
      <c r="C871" s="3">
        <f>IFERROR(__xludf.DUMMYFUNCTION("""COMPUTED_VALUE"""),44213.0)</f>
        <v>44213</v>
      </c>
      <c r="D871" s="2">
        <f>IFERROR(__xludf.DUMMYFUNCTION("""COMPUTED_VALUE"""),7.0)</f>
        <v>7</v>
      </c>
      <c r="E871" s="2">
        <f>IFERROR(__xludf.DUMMYFUNCTION("""COMPUTED_VALUE"""),2.0)</f>
        <v>2</v>
      </c>
      <c r="F871" s="2">
        <f>IFERROR(__xludf.DUMMYFUNCTION("""COMPUTED_VALUE"""),2438.0)</f>
        <v>2438</v>
      </c>
      <c r="G871" s="2">
        <f>IFERROR(__xludf.DUMMYFUNCTION("""COMPUTED_VALUE"""),381.0)</f>
        <v>381</v>
      </c>
    </row>
    <row r="872">
      <c r="A872" s="2" t="str">
        <f>IFERROR(__xludf.DUMMYFUNCTION("""COMPUTED_VALUE"""),"Chile")</f>
        <v>Chile</v>
      </c>
      <c r="B872" s="3">
        <f>IFERROR(__xludf.DUMMYFUNCTION("""COMPUTED_VALUE"""),44214.0)</f>
        <v>44214</v>
      </c>
      <c r="C872" s="3">
        <f>IFERROR(__xludf.DUMMYFUNCTION("""COMPUTED_VALUE"""),44220.0)</f>
        <v>44220</v>
      </c>
      <c r="D872" s="2">
        <f>IFERROR(__xludf.DUMMYFUNCTION("""COMPUTED_VALUE"""),7.0)</f>
        <v>7</v>
      </c>
      <c r="E872" s="2">
        <f>IFERROR(__xludf.DUMMYFUNCTION("""COMPUTED_VALUE"""),3.0)</f>
        <v>3</v>
      </c>
      <c r="F872" s="2">
        <f>IFERROR(__xludf.DUMMYFUNCTION("""COMPUTED_VALUE"""),2701.0)</f>
        <v>2701</v>
      </c>
      <c r="G872" s="2">
        <f>IFERROR(__xludf.DUMMYFUNCTION("""COMPUTED_VALUE"""),456.0)</f>
        <v>456</v>
      </c>
    </row>
    <row r="873">
      <c r="A873" s="2" t="str">
        <f>IFERROR(__xludf.DUMMYFUNCTION("""COMPUTED_VALUE"""),"Chile")</f>
        <v>Chile</v>
      </c>
      <c r="B873" s="3">
        <f>IFERROR(__xludf.DUMMYFUNCTION("""COMPUTED_VALUE"""),44221.0)</f>
        <v>44221</v>
      </c>
      <c r="C873" s="3">
        <f>IFERROR(__xludf.DUMMYFUNCTION("""COMPUTED_VALUE"""),44227.0)</f>
        <v>44227</v>
      </c>
      <c r="D873" s="2">
        <f>IFERROR(__xludf.DUMMYFUNCTION("""COMPUTED_VALUE"""),7.0)</f>
        <v>7</v>
      </c>
      <c r="E873" s="2">
        <f>IFERROR(__xludf.DUMMYFUNCTION("""COMPUTED_VALUE"""),4.0)</f>
        <v>4</v>
      </c>
      <c r="F873" s="2">
        <f>IFERROR(__xludf.DUMMYFUNCTION("""COMPUTED_VALUE"""),2557.0)</f>
        <v>2557</v>
      </c>
      <c r="G873" s="2">
        <f>IFERROR(__xludf.DUMMYFUNCTION("""COMPUTED_VALUE"""),519.0)</f>
        <v>519</v>
      </c>
    </row>
    <row r="874">
      <c r="A874" s="2" t="str">
        <f>IFERROR(__xludf.DUMMYFUNCTION("""COMPUTED_VALUE"""),"Chile")</f>
        <v>Chile</v>
      </c>
      <c r="B874" s="3">
        <f>IFERROR(__xludf.DUMMYFUNCTION("""COMPUTED_VALUE"""),44228.0)</f>
        <v>44228</v>
      </c>
      <c r="C874" s="3">
        <f>IFERROR(__xludf.DUMMYFUNCTION("""COMPUTED_VALUE"""),44234.0)</f>
        <v>44234</v>
      </c>
      <c r="D874" s="2">
        <f>IFERROR(__xludf.DUMMYFUNCTION("""COMPUTED_VALUE"""),7.0)</f>
        <v>7</v>
      </c>
      <c r="E874" s="2">
        <f>IFERROR(__xludf.DUMMYFUNCTION("""COMPUTED_VALUE"""),5.0)</f>
        <v>5</v>
      </c>
      <c r="F874" s="2">
        <f>IFERROR(__xludf.DUMMYFUNCTION("""COMPUTED_VALUE"""),2633.0)</f>
        <v>2633</v>
      </c>
      <c r="G874" s="2">
        <f>IFERROR(__xludf.DUMMYFUNCTION("""COMPUTED_VALUE"""),522.0)</f>
        <v>522</v>
      </c>
    </row>
    <row r="875">
      <c r="A875" s="2" t="str">
        <f>IFERROR(__xludf.DUMMYFUNCTION("""COMPUTED_VALUE"""),"Chile")</f>
        <v>Chile</v>
      </c>
      <c r="B875" s="3">
        <f>IFERROR(__xludf.DUMMYFUNCTION("""COMPUTED_VALUE"""),44235.0)</f>
        <v>44235</v>
      </c>
      <c r="C875" s="3">
        <f>IFERROR(__xludf.DUMMYFUNCTION("""COMPUTED_VALUE"""),44241.0)</f>
        <v>44241</v>
      </c>
      <c r="D875" s="2">
        <f>IFERROR(__xludf.DUMMYFUNCTION("""COMPUTED_VALUE"""),7.0)</f>
        <v>7</v>
      </c>
      <c r="E875" s="2">
        <f>IFERROR(__xludf.DUMMYFUNCTION("""COMPUTED_VALUE"""),6.0)</f>
        <v>6</v>
      </c>
      <c r="F875" s="2">
        <f>IFERROR(__xludf.DUMMYFUNCTION("""COMPUTED_VALUE"""),2506.0)</f>
        <v>2506</v>
      </c>
      <c r="G875" s="2">
        <f>IFERROR(__xludf.DUMMYFUNCTION("""COMPUTED_VALUE"""),567.0)</f>
        <v>567</v>
      </c>
    </row>
    <row r="876">
      <c r="A876" s="2" t="str">
        <f>IFERROR(__xludf.DUMMYFUNCTION("""COMPUTED_VALUE"""),"Chile")</f>
        <v>Chile</v>
      </c>
      <c r="B876" s="3">
        <f>IFERROR(__xludf.DUMMYFUNCTION("""COMPUTED_VALUE"""),44242.0)</f>
        <v>44242</v>
      </c>
      <c r="C876" s="3">
        <f>IFERROR(__xludf.DUMMYFUNCTION("""COMPUTED_VALUE"""),44248.0)</f>
        <v>44248</v>
      </c>
      <c r="D876" s="2">
        <f>IFERROR(__xludf.DUMMYFUNCTION("""COMPUTED_VALUE"""),7.0)</f>
        <v>7</v>
      </c>
      <c r="E876" s="2">
        <f>IFERROR(__xludf.DUMMYFUNCTION("""COMPUTED_VALUE"""),7.0)</f>
        <v>7</v>
      </c>
      <c r="F876" s="2">
        <f>IFERROR(__xludf.DUMMYFUNCTION("""COMPUTED_VALUE"""),2502.0)</f>
        <v>2502</v>
      </c>
      <c r="G876" s="2">
        <f>IFERROR(__xludf.DUMMYFUNCTION("""COMPUTED_VALUE"""),501.0)</f>
        <v>501</v>
      </c>
    </row>
    <row r="877">
      <c r="A877" s="2" t="str">
        <f>IFERROR(__xludf.DUMMYFUNCTION("""COMPUTED_VALUE"""),"Chile")</f>
        <v>Chile</v>
      </c>
      <c r="B877" s="3">
        <f>IFERROR(__xludf.DUMMYFUNCTION("""COMPUTED_VALUE"""),44249.0)</f>
        <v>44249</v>
      </c>
      <c r="C877" s="3">
        <f>IFERROR(__xludf.DUMMYFUNCTION("""COMPUTED_VALUE"""),44255.0)</f>
        <v>44255</v>
      </c>
      <c r="D877" s="2">
        <f>IFERROR(__xludf.DUMMYFUNCTION("""COMPUTED_VALUE"""),7.0)</f>
        <v>7</v>
      </c>
      <c r="E877" s="2">
        <f>IFERROR(__xludf.DUMMYFUNCTION("""COMPUTED_VALUE"""),8.0)</f>
        <v>8</v>
      </c>
      <c r="F877" s="2">
        <f>IFERROR(__xludf.DUMMYFUNCTION("""COMPUTED_VALUE"""),2606.0)</f>
        <v>2606</v>
      </c>
      <c r="G877" s="2">
        <f>IFERROR(__xludf.DUMMYFUNCTION("""COMPUTED_VALUE"""),530.0)</f>
        <v>530</v>
      </c>
    </row>
    <row r="878">
      <c r="A878" s="2" t="str">
        <f>IFERROR(__xludf.DUMMYFUNCTION("""COMPUTED_VALUE"""),"Chile")</f>
        <v>Chile</v>
      </c>
      <c r="B878" s="3">
        <f>IFERROR(__xludf.DUMMYFUNCTION("""COMPUTED_VALUE"""),44256.0)</f>
        <v>44256</v>
      </c>
      <c r="C878" s="3">
        <f>IFERROR(__xludf.DUMMYFUNCTION("""COMPUTED_VALUE"""),44262.0)</f>
        <v>44262</v>
      </c>
      <c r="D878" s="2">
        <f>IFERROR(__xludf.DUMMYFUNCTION("""COMPUTED_VALUE"""),7.0)</f>
        <v>7</v>
      </c>
      <c r="E878" s="2">
        <f>IFERROR(__xludf.DUMMYFUNCTION("""COMPUTED_VALUE"""),9.0)</f>
        <v>9</v>
      </c>
      <c r="F878" s="2">
        <f>IFERROR(__xludf.DUMMYFUNCTION("""COMPUTED_VALUE"""),2661.0)</f>
        <v>2661</v>
      </c>
      <c r="G878" s="2">
        <f>IFERROR(__xludf.DUMMYFUNCTION("""COMPUTED_VALUE"""),505.0)</f>
        <v>505</v>
      </c>
    </row>
    <row r="879">
      <c r="A879" s="2" t="str">
        <f>IFERROR(__xludf.DUMMYFUNCTION("""COMPUTED_VALUE"""),"Chile")</f>
        <v>Chile</v>
      </c>
      <c r="B879" s="3">
        <f>IFERROR(__xludf.DUMMYFUNCTION("""COMPUTED_VALUE"""),44263.0)</f>
        <v>44263</v>
      </c>
      <c r="C879" s="3">
        <f>IFERROR(__xludf.DUMMYFUNCTION("""COMPUTED_VALUE"""),44269.0)</f>
        <v>44269</v>
      </c>
      <c r="D879" s="2">
        <f>IFERROR(__xludf.DUMMYFUNCTION("""COMPUTED_VALUE"""),7.0)</f>
        <v>7</v>
      </c>
      <c r="E879" s="2">
        <f>IFERROR(__xludf.DUMMYFUNCTION("""COMPUTED_VALUE"""),10.0)</f>
        <v>10</v>
      </c>
      <c r="F879" s="2">
        <f>IFERROR(__xludf.DUMMYFUNCTION("""COMPUTED_VALUE"""),2656.0)</f>
        <v>2656</v>
      </c>
      <c r="G879" s="2">
        <f>IFERROR(__xludf.DUMMYFUNCTION("""COMPUTED_VALUE"""),597.0)</f>
        <v>597</v>
      </c>
    </row>
    <row r="880">
      <c r="A880" s="2" t="str">
        <f>IFERROR(__xludf.DUMMYFUNCTION("""COMPUTED_VALUE"""),"Chile")</f>
        <v>Chile</v>
      </c>
      <c r="B880" s="3">
        <f>IFERROR(__xludf.DUMMYFUNCTION("""COMPUTED_VALUE"""),44270.0)</f>
        <v>44270</v>
      </c>
      <c r="C880" s="3">
        <f>IFERROR(__xludf.DUMMYFUNCTION("""COMPUTED_VALUE"""),44276.0)</f>
        <v>44276</v>
      </c>
      <c r="D880" s="2">
        <f>IFERROR(__xludf.DUMMYFUNCTION("""COMPUTED_VALUE"""),7.0)</f>
        <v>7</v>
      </c>
      <c r="E880" s="2">
        <f>IFERROR(__xludf.DUMMYFUNCTION("""COMPUTED_VALUE"""),11.0)</f>
        <v>11</v>
      </c>
      <c r="F880" s="2">
        <f>IFERROR(__xludf.DUMMYFUNCTION("""COMPUTED_VALUE"""),2550.0)</f>
        <v>2550</v>
      </c>
      <c r="G880" s="2">
        <f>IFERROR(__xludf.DUMMYFUNCTION("""COMPUTED_VALUE"""),605.0)</f>
        <v>605</v>
      </c>
    </row>
    <row r="881">
      <c r="A881" s="2" t="str">
        <f>IFERROR(__xludf.DUMMYFUNCTION("""COMPUTED_VALUE"""),"Chile")</f>
        <v>Chile</v>
      </c>
      <c r="B881" s="3">
        <f>IFERROR(__xludf.DUMMYFUNCTION("""COMPUTED_VALUE"""),44277.0)</f>
        <v>44277</v>
      </c>
      <c r="C881" s="3">
        <f>IFERROR(__xludf.DUMMYFUNCTION("""COMPUTED_VALUE"""),44283.0)</f>
        <v>44283</v>
      </c>
      <c r="D881" s="2">
        <f>IFERROR(__xludf.DUMMYFUNCTION("""COMPUTED_VALUE"""),7.0)</f>
        <v>7</v>
      </c>
      <c r="E881" s="2">
        <f>IFERROR(__xludf.DUMMYFUNCTION("""COMPUTED_VALUE"""),12.0)</f>
        <v>12</v>
      </c>
      <c r="F881" s="2">
        <f>IFERROR(__xludf.DUMMYFUNCTION("""COMPUTED_VALUE"""),2741.0)</f>
        <v>2741</v>
      </c>
      <c r="G881" s="2">
        <f>IFERROR(__xludf.DUMMYFUNCTION("""COMPUTED_VALUE"""),475.0)</f>
        <v>475</v>
      </c>
    </row>
    <row r="882">
      <c r="A882" s="2" t="str">
        <f>IFERROR(__xludf.DUMMYFUNCTION("""COMPUTED_VALUE"""),"Chile")</f>
        <v>Chile</v>
      </c>
      <c r="B882" s="3">
        <f>IFERROR(__xludf.DUMMYFUNCTION("""COMPUTED_VALUE"""),44284.0)</f>
        <v>44284</v>
      </c>
      <c r="C882" s="3">
        <f>IFERROR(__xludf.DUMMYFUNCTION("""COMPUTED_VALUE"""),44290.0)</f>
        <v>44290</v>
      </c>
      <c r="D882" s="2">
        <f>IFERROR(__xludf.DUMMYFUNCTION("""COMPUTED_VALUE"""),7.0)</f>
        <v>7</v>
      </c>
      <c r="E882" s="2">
        <f>IFERROR(__xludf.DUMMYFUNCTION("""COMPUTED_VALUE"""),13.0)</f>
        <v>13</v>
      </c>
      <c r="F882" s="2">
        <f>IFERROR(__xludf.DUMMYFUNCTION("""COMPUTED_VALUE"""),2833.0)</f>
        <v>2833</v>
      </c>
      <c r="G882" s="2">
        <f>IFERROR(__xludf.DUMMYFUNCTION("""COMPUTED_VALUE"""),890.0)</f>
        <v>890</v>
      </c>
    </row>
    <row r="883">
      <c r="A883" s="2" t="str">
        <f>IFERROR(__xludf.DUMMYFUNCTION("""COMPUTED_VALUE"""),"Chile")</f>
        <v>Chile</v>
      </c>
      <c r="B883" s="3">
        <f>IFERROR(__xludf.DUMMYFUNCTION("""COMPUTED_VALUE"""),44291.0)</f>
        <v>44291</v>
      </c>
      <c r="C883" s="3">
        <f>IFERROR(__xludf.DUMMYFUNCTION("""COMPUTED_VALUE"""),44297.0)</f>
        <v>44297</v>
      </c>
      <c r="D883" s="2">
        <f>IFERROR(__xludf.DUMMYFUNCTION("""COMPUTED_VALUE"""),7.0)</f>
        <v>7</v>
      </c>
      <c r="E883" s="2">
        <f>IFERROR(__xludf.DUMMYFUNCTION("""COMPUTED_VALUE"""),14.0)</f>
        <v>14</v>
      </c>
      <c r="F883" s="2">
        <f>IFERROR(__xludf.DUMMYFUNCTION("""COMPUTED_VALUE"""),2849.0)</f>
        <v>2849</v>
      </c>
      <c r="G883" s="2">
        <f>IFERROR(__xludf.DUMMYFUNCTION("""COMPUTED_VALUE"""),702.0)</f>
        <v>702</v>
      </c>
    </row>
    <row r="884">
      <c r="A884" s="2" t="str">
        <f>IFERROR(__xludf.DUMMYFUNCTION("""COMPUTED_VALUE"""),"Chile")</f>
        <v>Chile</v>
      </c>
      <c r="B884" s="3">
        <f>IFERROR(__xludf.DUMMYFUNCTION("""COMPUTED_VALUE"""),44298.0)</f>
        <v>44298</v>
      </c>
      <c r="C884" s="3">
        <f>IFERROR(__xludf.DUMMYFUNCTION("""COMPUTED_VALUE"""),44304.0)</f>
        <v>44304</v>
      </c>
      <c r="D884" s="2">
        <f>IFERROR(__xludf.DUMMYFUNCTION("""COMPUTED_VALUE"""),7.0)</f>
        <v>7</v>
      </c>
      <c r="E884" s="2">
        <f>IFERROR(__xludf.DUMMYFUNCTION("""COMPUTED_VALUE"""),15.0)</f>
        <v>15</v>
      </c>
      <c r="F884" s="2">
        <f>IFERROR(__xludf.DUMMYFUNCTION("""COMPUTED_VALUE"""),2897.0)</f>
        <v>2897</v>
      </c>
      <c r="G884" s="2">
        <f>IFERROR(__xludf.DUMMYFUNCTION("""COMPUTED_VALUE"""),831.0)</f>
        <v>831</v>
      </c>
    </row>
    <row r="885">
      <c r="A885" s="2" t="str">
        <f>IFERROR(__xludf.DUMMYFUNCTION("""COMPUTED_VALUE"""),"Chile")</f>
        <v>Chile</v>
      </c>
      <c r="B885" s="3">
        <f>IFERROR(__xludf.DUMMYFUNCTION("""COMPUTED_VALUE"""),44305.0)</f>
        <v>44305</v>
      </c>
      <c r="C885" s="3">
        <f>IFERROR(__xludf.DUMMYFUNCTION("""COMPUTED_VALUE"""),44311.0)</f>
        <v>44311</v>
      </c>
      <c r="D885" s="2">
        <f>IFERROR(__xludf.DUMMYFUNCTION("""COMPUTED_VALUE"""),7.0)</f>
        <v>7</v>
      </c>
      <c r="E885" s="2">
        <f>IFERROR(__xludf.DUMMYFUNCTION("""COMPUTED_VALUE"""),16.0)</f>
        <v>16</v>
      </c>
      <c r="F885" s="2">
        <f>IFERROR(__xludf.DUMMYFUNCTION("""COMPUTED_VALUE"""),2664.0)</f>
        <v>2664</v>
      </c>
      <c r="G885" s="2">
        <f>IFERROR(__xludf.DUMMYFUNCTION("""COMPUTED_VALUE"""),679.0)</f>
        <v>679</v>
      </c>
    </row>
    <row r="886">
      <c r="A886" s="2" t="str">
        <f>IFERROR(__xludf.DUMMYFUNCTION("""COMPUTED_VALUE"""),"Chile")</f>
        <v>Chile</v>
      </c>
      <c r="B886" s="3">
        <f>IFERROR(__xludf.DUMMYFUNCTION("""COMPUTED_VALUE"""),44312.0)</f>
        <v>44312</v>
      </c>
      <c r="C886" s="3">
        <f>IFERROR(__xludf.DUMMYFUNCTION("""COMPUTED_VALUE"""),44318.0)</f>
        <v>44318</v>
      </c>
      <c r="D886" s="2">
        <f>IFERROR(__xludf.DUMMYFUNCTION("""COMPUTED_VALUE"""),7.0)</f>
        <v>7</v>
      </c>
      <c r="E886" s="2">
        <f>IFERROR(__xludf.DUMMYFUNCTION("""COMPUTED_VALUE"""),17.0)</f>
        <v>17</v>
      </c>
      <c r="F886" s="2">
        <f>IFERROR(__xludf.DUMMYFUNCTION("""COMPUTED_VALUE"""),2786.0)</f>
        <v>2786</v>
      </c>
      <c r="G886" s="2">
        <f>IFERROR(__xludf.DUMMYFUNCTION("""COMPUTED_VALUE"""),705.0)</f>
        <v>705</v>
      </c>
    </row>
    <row r="887">
      <c r="A887" s="2" t="str">
        <f>IFERROR(__xludf.DUMMYFUNCTION("""COMPUTED_VALUE"""),"Chile")</f>
        <v>Chile</v>
      </c>
      <c r="B887" s="3">
        <f>IFERROR(__xludf.DUMMYFUNCTION("""COMPUTED_VALUE"""),44319.0)</f>
        <v>44319</v>
      </c>
      <c r="C887" s="3">
        <f>IFERROR(__xludf.DUMMYFUNCTION("""COMPUTED_VALUE"""),44325.0)</f>
        <v>44325</v>
      </c>
      <c r="D887" s="2">
        <f>IFERROR(__xludf.DUMMYFUNCTION("""COMPUTED_VALUE"""),7.0)</f>
        <v>7</v>
      </c>
      <c r="E887" s="2">
        <f>IFERROR(__xludf.DUMMYFUNCTION("""COMPUTED_VALUE"""),18.0)</f>
        <v>18</v>
      </c>
      <c r="F887" s="2">
        <f>IFERROR(__xludf.DUMMYFUNCTION("""COMPUTED_VALUE"""),2731.0)</f>
        <v>2731</v>
      </c>
      <c r="G887" s="2">
        <f>IFERROR(__xludf.DUMMYFUNCTION("""COMPUTED_VALUE"""),657.0)</f>
        <v>657</v>
      </c>
    </row>
    <row r="888">
      <c r="A888" s="2" t="str">
        <f>IFERROR(__xludf.DUMMYFUNCTION("""COMPUTED_VALUE"""),"Chile")</f>
        <v>Chile</v>
      </c>
      <c r="B888" s="3">
        <f>IFERROR(__xludf.DUMMYFUNCTION("""COMPUTED_VALUE"""),44326.0)</f>
        <v>44326</v>
      </c>
      <c r="C888" s="3">
        <f>IFERROR(__xludf.DUMMYFUNCTION("""COMPUTED_VALUE"""),44332.0)</f>
        <v>44332</v>
      </c>
      <c r="D888" s="2">
        <f>IFERROR(__xludf.DUMMYFUNCTION("""COMPUTED_VALUE"""),7.0)</f>
        <v>7</v>
      </c>
      <c r="E888" s="2">
        <f>IFERROR(__xludf.DUMMYFUNCTION("""COMPUTED_VALUE"""),19.0)</f>
        <v>19</v>
      </c>
      <c r="F888" s="2">
        <f>IFERROR(__xludf.DUMMYFUNCTION("""COMPUTED_VALUE"""),2766.0)</f>
        <v>2766</v>
      </c>
      <c r="G888" s="2">
        <f>IFERROR(__xludf.DUMMYFUNCTION("""COMPUTED_VALUE"""),614.0)</f>
        <v>614</v>
      </c>
    </row>
    <row r="889">
      <c r="A889" s="2" t="str">
        <f>IFERROR(__xludf.DUMMYFUNCTION("""COMPUTED_VALUE"""),"Chile")</f>
        <v>Chile</v>
      </c>
      <c r="B889" s="3">
        <f>IFERROR(__xludf.DUMMYFUNCTION("""COMPUTED_VALUE"""),44333.0)</f>
        <v>44333</v>
      </c>
      <c r="C889" s="3">
        <f>IFERROR(__xludf.DUMMYFUNCTION("""COMPUTED_VALUE"""),44339.0)</f>
        <v>44339</v>
      </c>
      <c r="D889" s="2">
        <f>IFERROR(__xludf.DUMMYFUNCTION("""COMPUTED_VALUE"""),7.0)</f>
        <v>7</v>
      </c>
      <c r="E889" s="2">
        <f>IFERROR(__xludf.DUMMYFUNCTION("""COMPUTED_VALUE"""),20.0)</f>
        <v>20</v>
      </c>
      <c r="F889" s="2">
        <f>IFERROR(__xludf.DUMMYFUNCTION("""COMPUTED_VALUE"""),2936.0)</f>
        <v>2936</v>
      </c>
      <c r="G889" s="2">
        <f>IFERROR(__xludf.DUMMYFUNCTION("""COMPUTED_VALUE"""),686.0)</f>
        <v>686</v>
      </c>
    </row>
    <row r="890">
      <c r="A890" s="2" t="str">
        <f>IFERROR(__xludf.DUMMYFUNCTION("""COMPUTED_VALUE"""),"Chile")</f>
        <v>Chile</v>
      </c>
      <c r="B890" s="3">
        <f>IFERROR(__xludf.DUMMYFUNCTION("""COMPUTED_VALUE"""),44340.0)</f>
        <v>44340</v>
      </c>
      <c r="C890" s="3">
        <f>IFERROR(__xludf.DUMMYFUNCTION("""COMPUTED_VALUE"""),44346.0)</f>
        <v>44346</v>
      </c>
      <c r="D890" s="2">
        <f>IFERROR(__xludf.DUMMYFUNCTION("""COMPUTED_VALUE"""),7.0)</f>
        <v>7</v>
      </c>
      <c r="E890" s="2">
        <f>IFERROR(__xludf.DUMMYFUNCTION("""COMPUTED_VALUE"""),21.0)</f>
        <v>21</v>
      </c>
      <c r="F890" s="2">
        <f>IFERROR(__xludf.DUMMYFUNCTION("""COMPUTED_VALUE"""),3081.0)</f>
        <v>3081</v>
      </c>
      <c r="G890" s="2">
        <f>IFERROR(__xludf.DUMMYFUNCTION("""COMPUTED_VALUE"""),650.0)</f>
        <v>650</v>
      </c>
    </row>
    <row r="891">
      <c r="A891" s="2" t="str">
        <f>IFERROR(__xludf.DUMMYFUNCTION("""COMPUTED_VALUE"""),"Chile")</f>
        <v>Chile</v>
      </c>
      <c r="B891" s="3">
        <f>IFERROR(__xludf.DUMMYFUNCTION("""COMPUTED_VALUE"""),44347.0)</f>
        <v>44347</v>
      </c>
      <c r="C891" s="3">
        <f>IFERROR(__xludf.DUMMYFUNCTION("""COMPUTED_VALUE"""),44353.0)</f>
        <v>44353</v>
      </c>
      <c r="D891" s="2">
        <f>IFERROR(__xludf.DUMMYFUNCTION("""COMPUTED_VALUE"""),7.0)</f>
        <v>7</v>
      </c>
      <c r="E891" s="2">
        <f>IFERROR(__xludf.DUMMYFUNCTION("""COMPUTED_VALUE"""),22.0)</f>
        <v>22</v>
      </c>
      <c r="F891" s="2">
        <f>IFERROR(__xludf.DUMMYFUNCTION("""COMPUTED_VALUE"""),3014.0)</f>
        <v>3014</v>
      </c>
      <c r="G891" s="2">
        <f>IFERROR(__xludf.DUMMYFUNCTION("""COMPUTED_VALUE"""),769.0)</f>
        <v>769</v>
      </c>
    </row>
    <row r="892">
      <c r="A892" s="2" t="str">
        <f>IFERROR(__xludf.DUMMYFUNCTION("""COMPUTED_VALUE"""),"Chile")</f>
        <v>Chile</v>
      </c>
      <c r="B892" s="3">
        <f>IFERROR(__xludf.DUMMYFUNCTION("""COMPUTED_VALUE"""),44354.0)</f>
        <v>44354</v>
      </c>
      <c r="C892" s="3">
        <f>IFERROR(__xludf.DUMMYFUNCTION("""COMPUTED_VALUE"""),44360.0)</f>
        <v>44360</v>
      </c>
      <c r="D892" s="2">
        <f>IFERROR(__xludf.DUMMYFUNCTION("""COMPUTED_VALUE"""),7.0)</f>
        <v>7</v>
      </c>
      <c r="E892" s="2">
        <f>IFERROR(__xludf.DUMMYFUNCTION("""COMPUTED_VALUE"""),23.0)</f>
        <v>23</v>
      </c>
      <c r="F892" s="2">
        <f>IFERROR(__xludf.DUMMYFUNCTION("""COMPUTED_VALUE"""),3132.0)</f>
        <v>3132</v>
      </c>
      <c r="G892" s="2">
        <f>IFERROR(__xludf.DUMMYFUNCTION("""COMPUTED_VALUE"""),770.0)</f>
        <v>770</v>
      </c>
    </row>
    <row r="893">
      <c r="A893" s="2" t="str">
        <f>IFERROR(__xludf.DUMMYFUNCTION("""COMPUTED_VALUE"""),"Chile")</f>
        <v>Chile</v>
      </c>
      <c r="B893" s="3">
        <f>IFERROR(__xludf.DUMMYFUNCTION("""COMPUTED_VALUE"""),44361.0)</f>
        <v>44361</v>
      </c>
      <c r="C893" s="3">
        <f>IFERROR(__xludf.DUMMYFUNCTION("""COMPUTED_VALUE"""),44367.0)</f>
        <v>44367</v>
      </c>
      <c r="D893" s="2">
        <f>IFERROR(__xludf.DUMMYFUNCTION("""COMPUTED_VALUE"""),7.0)</f>
        <v>7</v>
      </c>
      <c r="E893" s="2">
        <f>IFERROR(__xludf.DUMMYFUNCTION("""COMPUTED_VALUE"""),24.0)</f>
        <v>24</v>
      </c>
      <c r="F893" s="2">
        <f>IFERROR(__xludf.DUMMYFUNCTION("""COMPUTED_VALUE"""),3180.0)</f>
        <v>3180</v>
      </c>
      <c r="G893" s="2">
        <f>IFERROR(__xludf.DUMMYFUNCTION("""COMPUTED_VALUE"""),806.0)</f>
        <v>806</v>
      </c>
    </row>
    <row r="894">
      <c r="A894" s="2" t="str">
        <f>IFERROR(__xludf.DUMMYFUNCTION("""COMPUTED_VALUE"""),"Chile")</f>
        <v>Chile</v>
      </c>
      <c r="B894" s="3">
        <f>IFERROR(__xludf.DUMMYFUNCTION("""COMPUTED_VALUE"""),44368.0)</f>
        <v>44368</v>
      </c>
      <c r="C894" s="3">
        <f>IFERROR(__xludf.DUMMYFUNCTION("""COMPUTED_VALUE"""),44374.0)</f>
        <v>44374</v>
      </c>
      <c r="D894" s="2">
        <f>IFERROR(__xludf.DUMMYFUNCTION("""COMPUTED_VALUE"""),7.0)</f>
        <v>7</v>
      </c>
      <c r="E894" s="2">
        <f>IFERROR(__xludf.DUMMYFUNCTION("""COMPUTED_VALUE"""),25.0)</f>
        <v>25</v>
      </c>
      <c r="F894" s="2">
        <f>IFERROR(__xludf.DUMMYFUNCTION("""COMPUTED_VALUE"""),3194.0)</f>
        <v>3194</v>
      </c>
      <c r="G894" s="2">
        <f>IFERROR(__xludf.DUMMYFUNCTION("""COMPUTED_VALUE"""),785.0)</f>
        <v>785</v>
      </c>
    </row>
    <row r="895">
      <c r="A895" s="2" t="str">
        <f>IFERROR(__xludf.DUMMYFUNCTION("""COMPUTED_VALUE"""),"Chile")</f>
        <v>Chile</v>
      </c>
      <c r="B895" s="3">
        <f>IFERROR(__xludf.DUMMYFUNCTION("""COMPUTED_VALUE"""),44375.0)</f>
        <v>44375</v>
      </c>
      <c r="C895" s="3">
        <f>IFERROR(__xludf.DUMMYFUNCTION("""COMPUTED_VALUE"""),44381.0)</f>
        <v>44381</v>
      </c>
      <c r="D895" s="2">
        <f>IFERROR(__xludf.DUMMYFUNCTION("""COMPUTED_VALUE"""),7.0)</f>
        <v>7</v>
      </c>
      <c r="E895" s="2">
        <f>IFERROR(__xludf.DUMMYFUNCTION("""COMPUTED_VALUE"""),26.0)</f>
        <v>26</v>
      </c>
      <c r="F895" s="2">
        <f>IFERROR(__xludf.DUMMYFUNCTION("""COMPUTED_VALUE"""),3326.0)</f>
        <v>3326</v>
      </c>
      <c r="G895" s="2">
        <f>IFERROR(__xludf.DUMMYFUNCTION("""COMPUTED_VALUE"""),805.0)</f>
        <v>805</v>
      </c>
    </row>
    <row r="896">
      <c r="A896" s="2" t="str">
        <f>IFERROR(__xludf.DUMMYFUNCTION("""COMPUTED_VALUE"""),"Chile")</f>
        <v>Chile</v>
      </c>
      <c r="B896" s="3">
        <f>IFERROR(__xludf.DUMMYFUNCTION("""COMPUTED_VALUE"""),44382.0)</f>
        <v>44382</v>
      </c>
      <c r="C896" s="3">
        <f>IFERROR(__xludf.DUMMYFUNCTION("""COMPUTED_VALUE"""),44388.0)</f>
        <v>44388</v>
      </c>
      <c r="D896" s="2">
        <f>IFERROR(__xludf.DUMMYFUNCTION("""COMPUTED_VALUE"""),7.0)</f>
        <v>7</v>
      </c>
      <c r="E896" s="2">
        <f>IFERROR(__xludf.DUMMYFUNCTION("""COMPUTED_VALUE"""),27.0)</f>
        <v>27</v>
      </c>
      <c r="F896" s="2">
        <f>IFERROR(__xludf.DUMMYFUNCTION("""COMPUTED_VALUE"""),3119.0)</f>
        <v>3119</v>
      </c>
      <c r="G896" s="2">
        <f>IFERROR(__xludf.DUMMYFUNCTION("""COMPUTED_VALUE"""),774.0)</f>
        <v>774</v>
      </c>
    </row>
    <row r="897">
      <c r="A897" s="2" t="str">
        <f>IFERROR(__xludf.DUMMYFUNCTION("""COMPUTED_VALUE"""),"Chile")</f>
        <v>Chile</v>
      </c>
      <c r="B897" s="3">
        <f>IFERROR(__xludf.DUMMYFUNCTION("""COMPUTED_VALUE"""),44389.0)</f>
        <v>44389</v>
      </c>
      <c r="C897" s="3">
        <f>IFERROR(__xludf.DUMMYFUNCTION("""COMPUTED_VALUE"""),44395.0)</f>
        <v>44395</v>
      </c>
      <c r="D897" s="2">
        <f>IFERROR(__xludf.DUMMYFUNCTION("""COMPUTED_VALUE"""),7.0)</f>
        <v>7</v>
      </c>
      <c r="E897" s="2">
        <f>IFERROR(__xludf.DUMMYFUNCTION("""COMPUTED_VALUE"""),28.0)</f>
        <v>28</v>
      </c>
      <c r="F897" s="2">
        <f>IFERROR(__xludf.DUMMYFUNCTION("""COMPUTED_VALUE"""),3042.0)</f>
        <v>3042</v>
      </c>
      <c r="G897" s="2">
        <f>IFERROR(__xludf.DUMMYFUNCTION("""COMPUTED_VALUE"""),637.0)</f>
        <v>637</v>
      </c>
    </row>
    <row r="898">
      <c r="A898" s="2" t="str">
        <f>IFERROR(__xludf.DUMMYFUNCTION("""COMPUTED_VALUE"""),"Chile")</f>
        <v>Chile</v>
      </c>
      <c r="B898" s="3">
        <f>IFERROR(__xludf.DUMMYFUNCTION("""COMPUTED_VALUE"""),44396.0)</f>
        <v>44396</v>
      </c>
      <c r="C898" s="3">
        <f>IFERROR(__xludf.DUMMYFUNCTION("""COMPUTED_VALUE"""),44402.0)</f>
        <v>44402</v>
      </c>
      <c r="D898" s="2">
        <f>IFERROR(__xludf.DUMMYFUNCTION("""COMPUTED_VALUE"""),7.0)</f>
        <v>7</v>
      </c>
      <c r="E898" s="2">
        <f>IFERROR(__xludf.DUMMYFUNCTION("""COMPUTED_VALUE"""),29.0)</f>
        <v>29</v>
      </c>
      <c r="F898" s="2">
        <f>IFERROR(__xludf.DUMMYFUNCTION("""COMPUTED_VALUE"""),2866.0)</f>
        <v>2866</v>
      </c>
      <c r="G898" s="2">
        <f>IFERROR(__xludf.DUMMYFUNCTION("""COMPUTED_VALUE"""),512.0)</f>
        <v>512</v>
      </c>
    </row>
    <row r="899">
      <c r="A899" s="2" t="str">
        <f>IFERROR(__xludf.DUMMYFUNCTION("""COMPUTED_VALUE"""),"Chile")</f>
        <v>Chile</v>
      </c>
      <c r="B899" s="3">
        <f>IFERROR(__xludf.DUMMYFUNCTION("""COMPUTED_VALUE"""),44403.0)</f>
        <v>44403</v>
      </c>
      <c r="C899" s="3">
        <f>IFERROR(__xludf.DUMMYFUNCTION("""COMPUTED_VALUE"""),44409.0)</f>
        <v>44409</v>
      </c>
      <c r="D899" s="2">
        <f>IFERROR(__xludf.DUMMYFUNCTION("""COMPUTED_VALUE"""),7.0)</f>
        <v>7</v>
      </c>
      <c r="E899" s="2">
        <f>IFERROR(__xludf.DUMMYFUNCTION("""COMPUTED_VALUE"""),30.0)</f>
        <v>30</v>
      </c>
      <c r="F899" s="2">
        <f>IFERROR(__xludf.DUMMYFUNCTION("""COMPUTED_VALUE"""),2745.0)</f>
        <v>2745</v>
      </c>
      <c r="G899" s="2">
        <f>IFERROR(__xludf.DUMMYFUNCTION("""COMPUTED_VALUE"""),502.0)</f>
        <v>502</v>
      </c>
    </row>
    <row r="900">
      <c r="A900" s="2" t="str">
        <f>IFERROR(__xludf.DUMMYFUNCTION("""COMPUTED_VALUE"""),"Chile")</f>
        <v>Chile</v>
      </c>
      <c r="B900" s="3">
        <f>IFERROR(__xludf.DUMMYFUNCTION("""COMPUTED_VALUE"""),44410.0)</f>
        <v>44410</v>
      </c>
      <c r="C900" s="3">
        <f>IFERROR(__xludf.DUMMYFUNCTION("""COMPUTED_VALUE"""),44416.0)</f>
        <v>44416</v>
      </c>
      <c r="D900" s="2">
        <f>IFERROR(__xludf.DUMMYFUNCTION("""COMPUTED_VALUE"""),7.0)</f>
        <v>7</v>
      </c>
      <c r="E900" s="2">
        <f>IFERROR(__xludf.DUMMYFUNCTION("""COMPUTED_VALUE"""),31.0)</f>
        <v>31</v>
      </c>
      <c r="F900" s="2">
        <f>IFERROR(__xludf.DUMMYFUNCTION("""COMPUTED_VALUE"""),2639.0)</f>
        <v>2639</v>
      </c>
      <c r="G900" s="2">
        <f>IFERROR(__xludf.DUMMYFUNCTION("""COMPUTED_VALUE"""),488.0)</f>
        <v>488</v>
      </c>
    </row>
    <row r="901">
      <c r="A901" s="2" t="str">
        <f>IFERROR(__xludf.DUMMYFUNCTION("""COMPUTED_VALUE"""),"Chile")</f>
        <v>Chile</v>
      </c>
      <c r="B901" s="3">
        <f>IFERROR(__xludf.DUMMYFUNCTION("""COMPUTED_VALUE"""),44417.0)</f>
        <v>44417</v>
      </c>
      <c r="C901" s="3">
        <f>IFERROR(__xludf.DUMMYFUNCTION("""COMPUTED_VALUE"""),44423.0)</f>
        <v>44423</v>
      </c>
      <c r="D901" s="2">
        <f>IFERROR(__xludf.DUMMYFUNCTION("""COMPUTED_VALUE"""),7.0)</f>
        <v>7</v>
      </c>
      <c r="E901" s="2">
        <f>IFERROR(__xludf.DUMMYFUNCTION("""COMPUTED_VALUE"""),32.0)</f>
        <v>32</v>
      </c>
      <c r="F901" s="2">
        <f>IFERROR(__xludf.DUMMYFUNCTION("""COMPUTED_VALUE"""),2625.0)</f>
        <v>2625</v>
      </c>
      <c r="G901" s="2">
        <f>IFERROR(__xludf.DUMMYFUNCTION("""COMPUTED_VALUE"""),364.0)</f>
        <v>364</v>
      </c>
    </row>
    <row r="902">
      <c r="A902" s="2" t="str">
        <f>IFERROR(__xludf.DUMMYFUNCTION("""COMPUTED_VALUE"""),"Chile")</f>
        <v>Chile</v>
      </c>
      <c r="B902" s="3">
        <f>IFERROR(__xludf.DUMMYFUNCTION("""COMPUTED_VALUE"""),44424.0)</f>
        <v>44424</v>
      </c>
      <c r="C902" s="3">
        <f>IFERROR(__xludf.DUMMYFUNCTION("""COMPUTED_VALUE"""),44430.0)</f>
        <v>44430</v>
      </c>
      <c r="D902" s="2">
        <f>IFERROR(__xludf.DUMMYFUNCTION("""COMPUTED_VALUE"""),7.0)</f>
        <v>7</v>
      </c>
      <c r="E902" s="2">
        <f>IFERROR(__xludf.DUMMYFUNCTION("""COMPUTED_VALUE"""),33.0)</f>
        <v>33</v>
      </c>
      <c r="F902" s="2">
        <f>IFERROR(__xludf.DUMMYFUNCTION("""COMPUTED_VALUE"""),2608.0)</f>
        <v>2608</v>
      </c>
      <c r="G902" s="2">
        <f>IFERROR(__xludf.DUMMYFUNCTION("""COMPUTED_VALUE"""),270.0)</f>
        <v>270</v>
      </c>
    </row>
    <row r="903">
      <c r="A903" s="2" t="str">
        <f>IFERROR(__xludf.DUMMYFUNCTION("""COMPUTED_VALUE"""),"Chile")</f>
        <v>Chile</v>
      </c>
      <c r="B903" s="3">
        <f>IFERROR(__xludf.DUMMYFUNCTION("""COMPUTED_VALUE"""),44431.0)</f>
        <v>44431</v>
      </c>
      <c r="C903" s="3">
        <f>IFERROR(__xludf.DUMMYFUNCTION("""COMPUTED_VALUE"""),44437.0)</f>
        <v>44437</v>
      </c>
      <c r="D903" s="2">
        <f>IFERROR(__xludf.DUMMYFUNCTION("""COMPUTED_VALUE"""),7.0)</f>
        <v>7</v>
      </c>
      <c r="E903" s="2">
        <f>IFERROR(__xludf.DUMMYFUNCTION("""COMPUTED_VALUE"""),34.0)</f>
        <v>34</v>
      </c>
      <c r="F903" s="2">
        <f>IFERROR(__xludf.DUMMYFUNCTION("""COMPUTED_VALUE"""),2357.0)</f>
        <v>2357</v>
      </c>
      <c r="G903" s="2">
        <f>IFERROR(__xludf.DUMMYFUNCTION("""COMPUTED_VALUE"""),235.0)</f>
        <v>235</v>
      </c>
    </row>
    <row r="904">
      <c r="A904" s="2" t="str">
        <f>IFERROR(__xludf.DUMMYFUNCTION("""COMPUTED_VALUE"""),"Chile")</f>
        <v>Chile</v>
      </c>
      <c r="B904" s="3">
        <f>IFERROR(__xludf.DUMMYFUNCTION("""COMPUTED_VALUE"""),44438.0)</f>
        <v>44438</v>
      </c>
      <c r="C904" s="3">
        <f>IFERROR(__xludf.DUMMYFUNCTION("""COMPUTED_VALUE"""),44444.0)</f>
        <v>44444</v>
      </c>
      <c r="D904" s="2">
        <f>IFERROR(__xludf.DUMMYFUNCTION("""COMPUTED_VALUE"""),7.0)</f>
        <v>7</v>
      </c>
      <c r="E904" s="2">
        <f>IFERROR(__xludf.DUMMYFUNCTION("""COMPUTED_VALUE"""),35.0)</f>
        <v>35</v>
      </c>
      <c r="F904" s="2">
        <f>IFERROR(__xludf.DUMMYFUNCTION("""COMPUTED_VALUE"""),2332.0)</f>
        <v>2332</v>
      </c>
      <c r="G904" s="2">
        <f>IFERROR(__xludf.DUMMYFUNCTION("""COMPUTED_VALUE"""),205.0)</f>
        <v>205</v>
      </c>
    </row>
    <row r="905">
      <c r="A905" s="2" t="str">
        <f>IFERROR(__xludf.DUMMYFUNCTION("""COMPUTED_VALUE"""),"Chile")</f>
        <v>Chile</v>
      </c>
      <c r="B905" s="3">
        <f>IFERROR(__xludf.DUMMYFUNCTION("""COMPUTED_VALUE"""),44445.0)</f>
        <v>44445</v>
      </c>
      <c r="C905" s="3">
        <f>IFERROR(__xludf.DUMMYFUNCTION("""COMPUTED_VALUE"""),44451.0)</f>
        <v>44451</v>
      </c>
      <c r="D905" s="2">
        <f>IFERROR(__xludf.DUMMYFUNCTION("""COMPUTED_VALUE"""),7.0)</f>
        <v>7</v>
      </c>
      <c r="E905" s="2">
        <f>IFERROR(__xludf.DUMMYFUNCTION("""COMPUTED_VALUE"""),36.0)</f>
        <v>36</v>
      </c>
      <c r="F905" s="2">
        <f>IFERROR(__xludf.DUMMYFUNCTION("""COMPUTED_VALUE"""),2394.0)</f>
        <v>2394</v>
      </c>
      <c r="G905" s="2">
        <f>IFERROR(__xludf.DUMMYFUNCTION("""COMPUTED_VALUE"""),142.0)</f>
        <v>142</v>
      </c>
    </row>
    <row r="906">
      <c r="A906" s="2" t="str">
        <f>IFERROR(__xludf.DUMMYFUNCTION("""COMPUTED_VALUE"""),"Chile")</f>
        <v>Chile</v>
      </c>
      <c r="B906" s="3">
        <f>IFERROR(__xludf.DUMMYFUNCTION("""COMPUTED_VALUE"""),44452.0)</f>
        <v>44452</v>
      </c>
      <c r="C906" s="3">
        <f>IFERROR(__xludf.DUMMYFUNCTION("""COMPUTED_VALUE"""),44458.0)</f>
        <v>44458</v>
      </c>
      <c r="D906" s="2">
        <f>IFERROR(__xludf.DUMMYFUNCTION("""COMPUTED_VALUE"""),7.0)</f>
        <v>7</v>
      </c>
      <c r="E906" s="2">
        <f>IFERROR(__xludf.DUMMYFUNCTION("""COMPUTED_VALUE"""),37.0)</f>
        <v>37</v>
      </c>
      <c r="F906" s="2">
        <f>IFERROR(__xludf.DUMMYFUNCTION("""COMPUTED_VALUE"""),2383.0)</f>
        <v>2383</v>
      </c>
      <c r="G906" s="2">
        <f>IFERROR(__xludf.DUMMYFUNCTION("""COMPUTED_VALUE"""),127.0)</f>
        <v>127</v>
      </c>
    </row>
    <row r="907">
      <c r="A907" s="2" t="str">
        <f>IFERROR(__xludf.DUMMYFUNCTION("""COMPUTED_VALUE"""),"Chile")</f>
        <v>Chile</v>
      </c>
      <c r="B907" s="3">
        <f>IFERROR(__xludf.DUMMYFUNCTION("""COMPUTED_VALUE"""),44459.0)</f>
        <v>44459</v>
      </c>
      <c r="C907" s="3">
        <f>IFERROR(__xludf.DUMMYFUNCTION("""COMPUTED_VALUE"""),44465.0)</f>
        <v>44465</v>
      </c>
      <c r="D907" s="2">
        <f>IFERROR(__xludf.DUMMYFUNCTION("""COMPUTED_VALUE"""),7.0)</f>
        <v>7</v>
      </c>
      <c r="E907" s="2">
        <f>IFERROR(__xludf.DUMMYFUNCTION("""COMPUTED_VALUE"""),38.0)</f>
        <v>38</v>
      </c>
      <c r="F907" s="2">
        <f>IFERROR(__xludf.DUMMYFUNCTION("""COMPUTED_VALUE"""),2354.0)</f>
        <v>2354</v>
      </c>
      <c r="G907" s="2">
        <f>IFERROR(__xludf.DUMMYFUNCTION("""COMPUTED_VALUE"""),81.0)</f>
        <v>81</v>
      </c>
    </row>
    <row r="908">
      <c r="A908" s="2" t="str">
        <f>IFERROR(__xludf.DUMMYFUNCTION("""COMPUTED_VALUE"""),"Chile")</f>
        <v>Chile</v>
      </c>
      <c r="B908" s="3">
        <f>IFERROR(__xludf.DUMMYFUNCTION("""COMPUTED_VALUE"""),44466.0)</f>
        <v>44466</v>
      </c>
      <c r="C908" s="3">
        <f>IFERROR(__xludf.DUMMYFUNCTION("""COMPUTED_VALUE"""),44472.0)</f>
        <v>44472</v>
      </c>
      <c r="D908" s="2">
        <f>IFERROR(__xludf.DUMMYFUNCTION("""COMPUTED_VALUE"""),7.0)</f>
        <v>7</v>
      </c>
      <c r="E908" s="2">
        <f>IFERROR(__xludf.DUMMYFUNCTION("""COMPUTED_VALUE"""),39.0)</f>
        <v>39</v>
      </c>
      <c r="F908" s="2">
        <f>IFERROR(__xludf.DUMMYFUNCTION("""COMPUTED_VALUE"""),2244.0)</f>
        <v>2244</v>
      </c>
      <c r="G908" s="2">
        <f>IFERROR(__xludf.DUMMYFUNCTION("""COMPUTED_VALUE"""),54.0)</f>
        <v>54</v>
      </c>
    </row>
    <row r="909">
      <c r="A909" s="2" t="str">
        <f>IFERROR(__xludf.DUMMYFUNCTION("""COMPUTED_VALUE"""),"Chile")</f>
        <v>Chile</v>
      </c>
      <c r="B909" s="3">
        <f>IFERROR(__xludf.DUMMYFUNCTION("""COMPUTED_VALUE"""),44473.0)</f>
        <v>44473</v>
      </c>
      <c r="C909" s="3">
        <f>IFERROR(__xludf.DUMMYFUNCTION("""COMPUTED_VALUE"""),44479.0)</f>
        <v>44479</v>
      </c>
      <c r="D909" s="2">
        <f>IFERROR(__xludf.DUMMYFUNCTION("""COMPUTED_VALUE"""),7.0)</f>
        <v>7</v>
      </c>
      <c r="E909" s="2">
        <f>IFERROR(__xludf.DUMMYFUNCTION("""COMPUTED_VALUE"""),40.0)</f>
        <v>40</v>
      </c>
      <c r="F909" s="2">
        <f>IFERROR(__xludf.DUMMYFUNCTION("""COMPUTED_VALUE"""),2316.0)</f>
        <v>2316</v>
      </c>
      <c r="G909" s="2">
        <f>IFERROR(__xludf.DUMMYFUNCTION("""COMPUTED_VALUE"""),70.0)</f>
        <v>70</v>
      </c>
    </row>
    <row r="910">
      <c r="A910" s="2" t="str">
        <f>IFERROR(__xludf.DUMMYFUNCTION("""COMPUTED_VALUE"""),"Chile")</f>
        <v>Chile</v>
      </c>
      <c r="B910" s="3">
        <f>IFERROR(__xludf.DUMMYFUNCTION("""COMPUTED_VALUE"""),44480.0)</f>
        <v>44480</v>
      </c>
      <c r="C910" s="3">
        <f>IFERROR(__xludf.DUMMYFUNCTION("""COMPUTED_VALUE"""),44486.0)</f>
        <v>44486</v>
      </c>
      <c r="D910" s="2">
        <f>IFERROR(__xludf.DUMMYFUNCTION("""COMPUTED_VALUE"""),7.0)</f>
        <v>7</v>
      </c>
      <c r="E910" s="2">
        <f>IFERROR(__xludf.DUMMYFUNCTION("""COMPUTED_VALUE"""),41.0)</f>
        <v>41</v>
      </c>
      <c r="F910" s="2">
        <f>IFERROR(__xludf.DUMMYFUNCTION("""COMPUTED_VALUE"""),2325.0)</f>
        <v>2325</v>
      </c>
      <c r="G910" s="2">
        <f>IFERROR(__xludf.DUMMYFUNCTION("""COMPUTED_VALUE"""),45.0)</f>
        <v>45</v>
      </c>
    </row>
    <row r="911">
      <c r="A911" s="2" t="str">
        <f>IFERROR(__xludf.DUMMYFUNCTION("""COMPUTED_VALUE"""),"Chile")</f>
        <v>Chile</v>
      </c>
      <c r="B911" s="3">
        <f>IFERROR(__xludf.DUMMYFUNCTION("""COMPUTED_VALUE"""),44487.0)</f>
        <v>44487</v>
      </c>
      <c r="C911" s="3">
        <f>IFERROR(__xludf.DUMMYFUNCTION("""COMPUTED_VALUE"""),44493.0)</f>
        <v>44493</v>
      </c>
      <c r="D911" s="2">
        <f>IFERROR(__xludf.DUMMYFUNCTION("""COMPUTED_VALUE"""),7.0)</f>
        <v>7</v>
      </c>
      <c r="E911" s="2">
        <f>IFERROR(__xludf.DUMMYFUNCTION("""COMPUTED_VALUE"""),42.0)</f>
        <v>42</v>
      </c>
      <c r="F911" s="2">
        <f>IFERROR(__xludf.DUMMYFUNCTION("""COMPUTED_VALUE"""),2112.0)</f>
        <v>2112</v>
      </c>
      <c r="G911" s="2">
        <f>IFERROR(__xludf.DUMMYFUNCTION("""COMPUTED_VALUE"""),60.0)</f>
        <v>60</v>
      </c>
    </row>
    <row r="912">
      <c r="A912" s="2" t="str">
        <f>IFERROR(__xludf.DUMMYFUNCTION("""COMPUTED_VALUE"""),"Colombia")</f>
        <v>Colombia</v>
      </c>
      <c r="B912" s="3">
        <f>IFERROR(__xludf.DUMMYFUNCTION("""COMPUTED_VALUE"""),42002.0)</f>
        <v>42002</v>
      </c>
      <c r="C912" s="3">
        <f>IFERROR(__xludf.DUMMYFUNCTION("""COMPUTED_VALUE"""),42008.0)</f>
        <v>42008</v>
      </c>
      <c r="D912" s="2">
        <f>IFERROR(__xludf.DUMMYFUNCTION("""COMPUTED_VALUE"""),7.0)</f>
        <v>7</v>
      </c>
      <c r="E912" s="2">
        <f>IFERROR(__xludf.DUMMYFUNCTION("""COMPUTED_VALUE"""),1.0)</f>
        <v>1</v>
      </c>
      <c r="F912" s="2">
        <f>IFERROR(__xludf.DUMMYFUNCTION("""COMPUTED_VALUE"""),4746.0)</f>
        <v>4746</v>
      </c>
      <c r="G912" s="2">
        <f>IFERROR(__xludf.DUMMYFUNCTION("""COMPUTED_VALUE"""),0.0)</f>
        <v>0</v>
      </c>
    </row>
    <row r="913">
      <c r="A913" s="2" t="str">
        <f>IFERROR(__xludf.DUMMYFUNCTION("""COMPUTED_VALUE"""),"Colombia")</f>
        <v>Colombia</v>
      </c>
      <c r="B913" s="3">
        <f>IFERROR(__xludf.DUMMYFUNCTION("""COMPUTED_VALUE"""),42009.0)</f>
        <v>42009</v>
      </c>
      <c r="C913" s="3">
        <f>IFERROR(__xludf.DUMMYFUNCTION("""COMPUTED_VALUE"""),42015.0)</f>
        <v>42015</v>
      </c>
      <c r="D913" s="2">
        <f>IFERROR(__xludf.DUMMYFUNCTION("""COMPUTED_VALUE"""),7.0)</f>
        <v>7</v>
      </c>
      <c r="E913" s="2">
        <f>IFERROR(__xludf.DUMMYFUNCTION("""COMPUTED_VALUE"""),2.0)</f>
        <v>2</v>
      </c>
      <c r="F913" s="2">
        <f>IFERROR(__xludf.DUMMYFUNCTION("""COMPUTED_VALUE"""),4588.0)</f>
        <v>4588</v>
      </c>
      <c r="G913" s="2">
        <f>IFERROR(__xludf.DUMMYFUNCTION("""COMPUTED_VALUE"""),0.0)</f>
        <v>0</v>
      </c>
    </row>
    <row r="914">
      <c r="A914" s="2" t="str">
        <f>IFERROR(__xludf.DUMMYFUNCTION("""COMPUTED_VALUE"""),"Colombia")</f>
        <v>Colombia</v>
      </c>
      <c r="B914" s="3">
        <f>IFERROR(__xludf.DUMMYFUNCTION("""COMPUTED_VALUE"""),42016.0)</f>
        <v>42016</v>
      </c>
      <c r="C914" s="3">
        <f>IFERROR(__xludf.DUMMYFUNCTION("""COMPUTED_VALUE"""),42022.0)</f>
        <v>42022</v>
      </c>
      <c r="D914" s="2">
        <f>IFERROR(__xludf.DUMMYFUNCTION("""COMPUTED_VALUE"""),7.0)</f>
        <v>7</v>
      </c>
      <c r="E914" s="2">
        <f>IFERROR(__xludf.DUMMYFUNCTION("""COMPUTED_VALUE"""),3.0)</f>
        <v>3</v>
      </c>
      <c r="F914" s="2">
        <f>IFERROR(__xludf.DUMMYFUNCTION("""COMPUTED_VALUE"""),4525.0)</f>
        <v>4525</v>
      </c>
      <c r="G914" s="2">
        <f>IFERROR(__xludf.DUMMYFUNCTION("""COMPUTED_VALUE"""),0.0)</f>
        <v>0</v>
      </c>
    </row>
    <row r="915">
      <c r="A915" s="2" t="str">
        <f>IFERROR(__xludf.DUMMYFUNCTION("""COMPUTED_VALUE"""),"Colombia")</f>
        <v>Colombia</v>
      </c>
      <c r="B915" s="3">
        <f>IFERROR(__xludf.DUMMYFUNCTION("""COMPUTED_VALUE"""),42023.0)</f>
        <v>42023</v>
      </c>
      <c r="C915" s="3">
        <f>IFERROR(__xludf.DUMMYFUNCTION("""COMPUTED_VALUE"""),42029.0)</f>
        <v>42029</v>
      </c>
      <c r="D915" s="2">
        <f>IFERROR(__xludf.DUMMYFUNCTION("""COMPUTED_VALUE"""),7.0)</f>
        <v>7</v>
      </c>
      <c r="E915" s="2">
        <f>IFERROR(__xludf.DUMMYFUNCTION("""COMPUTED_VALUE"""),4.0)</f>
        <v>4</v>
      </c>
      <c r="F915" s="2">
        <f>IFERROR(__xludf.DUMMYFUNCTION("""COMPUTED_VALUE"""),4280.0)</f>
        <v>4280</v>
      </c>
      <c r="G915" s="2">
        <f>IFERROR(__xludf.DUMMYFUNCTION("""COMPUTED_VALUE"""),0.0)</f>
        <v>0</v>
      </c>
    </row>
    <row r="916">
      <c r="A916" s="2" t="str">
        <f>IFERROR(__xludf.DUMMYFUNCTION("""COMPUTED_VALUE"""),"Colombia")</f>
        <v>Colombia</v>
      </c>
      <c r="B916" s="3">
        <f>IFERROR(__xludf.DUMMYFUNCTION("""COMPUTED_VALUE"""),42030.0)</f>
        <v>42030</v>
      </c>
      <c r="C916" s="3">
        <f>IFERROR(__xludf.DUMMYFUNCTION("""COMPUTED_VALUE"""),42036.0)</f>
        <v>42036</v>
      </c>
      <c r="D916" s="2">
        <f>IFERROR(__xludf.DUMMYFUNCTION("""COMPUTED_VALUE"""),7.0)</f>
        <v>7</v>
      </c>
      <c r="E916" s="2">
        <f>IFERROR(__xludf.DUMMYFUNCTION("""COMPUTED_VALUE"""),5.0)</f>
        <v>5</v>
      </c>
      <c r="F916" s="2">
        <f>IFERROR(__xludf.DUMMYFUNCTION("""COMPUTED_VALUE"""),4185.0)</f>
        <v>4185</v>
      </c>
      <c r="G916" s="2">
        <f>IFERROR(__xludf.DUMMYFUNCTION("""COMPUTED_VALUE"""),0.0)</f>
        <v>0</v>
      </c>
    </row>
    <row r="917">
      <c r="A917" s="2" t="str">
        <f>IFERROR(__xludf.DUMMYFUNCTION("""COMPUTED_VALUE"""),"Colombia")</f>
        <v>Colombia</v>
      </c>
      <c r="B917" s="3">
        <f>IFERROR(__xludf.DUMMYFUNCTION("""COMPUTED_VALUE"""),42037.0)</f>
        <v>42037</v>
      </c>
      <c r="C917" s="3">
        <f>IFERROR(__xludf.DUMMYFUNCTION("""COMPUTED_VALUE"""),42043.0)</f>
        <v>42043</v>
      </c>
      <c r="D917" s="2">
        <f>IFERROR(__xludf.DUMMYFUNCTION("""COMPUTED_VALUE"""),7.0)</f>
        <v>7</v>
      </c>
      <c r="E917" s="2">
        <f>IFERROR(__xludf.DUMMYFUNCTION("""COMPUTED_VALUE"""),6.0)</f>
        <v>6</v>
      </c>
      <c r="F917" s="2">
        <f>IFERROR(__xludf.DUMMYFUNCTION("""COMPUTED_VALUE"""),4090.0)</f>
        <v>4090</v>
      </c>
      <c r="G917" s="2">
        <f>IFERROR(__xludf.DUMMYFUNCTION("""COMPUTED_VALUE"""),0.0)</f>
        <v>0</v>
      </c>
    </row>
    <row r="918">
      <c r="A918" s="2" t="str">
        <f>IFERROR(__xludf.DUMMYFUNCTION("""COMPUTED_VALUE"""),"Colombia")</f>
        <v>Colombia</v>
      </c>
      <c r="B918" s="3">
        <f>IFERROR(__xludf.DUMMYFUNCTION("""COMPUTED_VALUE"""),42044.0)</f>
        <v>42044</v>
      </c>
      <c r="C918" s="3">
        <f>IFERROR(__xludf.DUMMYFUNCTION("""COMPUTED_VALUE"""),42050.0)</f>
        <v>42050</v>
      </c>
      <c r="D918" s="2">
        <f>IFERROR(__xludf.DUMMYFUNCTION("""COMPUTED_VALUE"""),7.0)</f>
        <v>7</v>
      </c>
      <c r="E918" s="2">
        <f>IFERROR(__xludf.DUMMYFUNCTION("""COMPUTED_VALUE"""),7.0)</f>
        <v>7</v>
      </c>
      <c r="F918" s="2">
        <f>IFERROR(__xludf.DUMMYFUNCTION("""COMPUTED_VALUE"""),4070.0)</f>
        <v>4070</v>
      </c>
      <c r="G918" s="2">
        <f>IFERROR(__xludf.DUMMYFUNCTION("""COMPUTED_VALUE"""),0.0)</f>
        <v>0</v>
      </c>
    </row>
    <row r="919">
      <c r="A919" s="2" t="str">
        <f>IFERROR(__xludf.DUMMYFUNCTION("""COMPUTED_VALUE"""),"Colombia")</f>
        <v>Colombia</v>
      </c>
      <c r="B919" s="3">
        <f>IFERROR(__xludf.DUMMYFUNCTION("""COMPUTED_VALUE"""),42051.0)</f>
        <v>42051</v>
      </c>
      <c r="C919" s="3">
        <f>IFERROR(__xludf.DUMMYFUNCTION("""COMPUTED_VALUE"""),42057.0)</f>
        <v>42057</v>
      </c>
      <c r="D919" s="2">
        <f>IFERROR(__xludf.DUMMYFUNCTION("""COMPUTED_VALUE"""),7.0)</f>
        <v>7</v>
      </c>
      <c r="E919" s="2">
        <f>IFERROR(__xludf.DUMMYFUNCTION("""COMPUTED_VALUE"""),8.0)</f>
        <v>8</v>
      </c>
      <c r="F919" s="2">
        <f>IFERROR(__xludf.DUMMYFUNCTION("""COMPUTED_VALUE"""),4104.0)</f>
        <v>4104</v>
      </c>
      <c r="G919" s="2">
        <f>IFERROR(__xludf.DUMMYFUNCTION("""COMPUTED_VALUE"""),0.0)</f>
        <v>0</v>
      </c>
    </row>
    <row r="920">
      <c r="A920" s="2" t="str">
        <f>IFERROR(__xludf.DUMMYFUNCTION("""COMPUTED_VALUE"""),"Colombia")</f>
        <v>Colombia</v>
      </c>
      <c r="B920" s="3">
        <f>IFERROR(__xludf.DUMMYFUNCTION("""COMPUTED_VALUE"""),42058.0)</f>
        <v>42058</v>
      </c>
      <c r="C920" s="3">
        <f>IFERROR(__xludf.DUMMYFUNCTION("""COMPUTED_VALUE"""),42064.0)</f>
        <v>42064</v>
      </c>
      <c r="D920" s="2">
        <f>IFERROR(__xludf.DUMMYFUNCTION("""COMPUTED_VALUE"""),7.0)</f>
        <v>7</v>
      </c>
      <c r="E920" s="2">
        <f>IFERROR(__xludf.DUMMYFUNCTION("""COMPUTED_VALUE"""),9.0)</f>
        <v>9</v>
      </c>
      <c r="F920" s="2">
        <f>IFERROR(__xludf.DUMMYFUNCTION("""COMPUTED_VALUE"""),4137.0)</f>
        <v>4137</v>
      </c>
      <c r="G920" s="2">
        <f>IFERROR(__xludf.DUMMYFUNCTION("""COMPUTED_VALUE"""),0.0)</f>
        <v>0</v>
      </c>
    </row>
    <row r="921">
      <c r="A921" s="2" t="str">
        <f>IFERROR(__xludf.DUMMYFUNCTION("""COMPUTED_VALUE"""),"Colombia")</f>
        <v>Colombia</v>
      </c>
      <c r="B921" s="3">
        <f>IFERROR(__xludf.DUMMYFUNCTION("""COMPUTED_VALUE"""),42065.0)</f>
        <v>42065</v>
      </c>
      <c r="C921" s="3">
        <f>IFERROR(__xludf.DUMMYFUNCTION("""COMPUTED_VALUE"""),42071.0)</f>
        <v>42071</v>
      </c>
      <c r="D921" s="2">
        <f>IFERROR(__xludf.DUMMYFUNCTION("""COMPUTED_VALUE"""),7.0)</f>
        <v>7</v>
      </c>
      <c r="E921" s="2">
        <f>IFERROR(__xludf.DUMMYFUNCTION("""COMPUTED_VALUE"""),10.0)</f>
        <v>10</v>
      </c>
      <c r="F921" s="2">
        <f>IFERROR(__xludf.DUMMYFUNCTION("""COMPUTED_VALUE"""),4109.0)</f>
        <v>4109</v>
      </c>
      <c r="G921" s="2">
        <f>IFERROR(__xludf.DUMMYFUNCTION("""COMPUTED_VALUE"""),0.0)</f>
        <v>0</v>
      </c>
    </row>
    <row r="922">
      <c r="A922" s="2" t="str">
        <f>IFERROR(__xludf.DUMMYFUNCTION("""COMPUTED_VALUE"""),"Colombia")</f>
        <v>Colombia</v>
      </c>
      <c r="B922" s="3">
        <f>IFERROR(__xludf.DUMMYFUNCTION("""COMPUTED_VALUE"""),42072.0)</f>
        <v>42072</v>
      </c>
      <c r="C922" s="3">
        <f>IFERROR(__xludf.DUMMYFUNCTION("""COMPUTED_VALUE"""),42078.0)</f>
        <v>42078</v>
      </c>
      <c r="D922" s="2">
        <f>IFERROR(__xludf.DUMMYFUNCTION("""COMPUTED_VALUE"""),7.0)</f>
        <v>7</v>
      </c>
      <c r="E922" s="2">
        <f>IFERROR(__xludf.DUMMYFUNCTION("""COMPUTED_VALUE"""),11.0)</f>
        <v>11</v>
      </c>
      <c r="F922" s="2">
        <f>IFERROR(__xludf.DUMMYFUNCTION("""COMPUTED_VALUE"""),4265.0)</f>
        <v>4265</v>
      </c>
      <c r="G922" s="2">
        <f>IFERROR(__xludf.DUMMYFUNCTION("""COMPUTED_VALUE"""),0.0)</f>
        <v>0</v>
      </c>
    </row>
    <row r="923">
      <c r="A923" s="2" t="str">
        <f>IFERROR(__xludf.DUMMYFUNCTION("""COMPUTED_VALUE"""),"Colombia")</f>
        <v>Colombia</v>
      </c>
      <c r="B923" s="3">
        <f>IFERROR(__xludf.DUMMYFUNCTION("""COMPUTED_VALUE"""),42079.0)</f>
        <v>42079</v>
      </c>
      <c r="C923" s="3">
        <f>IFERROR(__xludf.DUMMYFUNCTION("""COMPUTED_VALUE"""),42085.0)</f>
        <v>42085</v>
      </c>
      <c r="D923" s="2">
        <f>IFERROR(__xludf.DUMMYFUNCTION("""COMPUTED_VALUE"""),7.0)</f>
        <v>7</v>
      </c>
      <c r="E923" s="2">
        <f>IFERROR(__xludf.DUMMYFUNCTION("""COMPUTED_VALUE"""),12.0)</f>
        <v>12</v>
      </c>
      <c r="F923" s="2">
        <f>IFERROR(__xludf.DUMMYFUNCTION("""COMPUTED_VALUE"""),4071.0)</f>
        <v>4071</v>
      </c>
      <c r="G923" s="2">
        <f>IFERROR(__xludf.DUMMYFUNCTION("""COMPUTED_VALUE"""),0.0)</f>
        <v>0</v>
      </c>
    </row>
    <row r="924">
      <c r="A924" s="2" t="str">
        <f>IFERROR(__xludf.DUMMYFUNCTION("""COMPUTED_VALUE"""),"Colombia")</f>
        <v>Colombia</v>
      </c>
      <c r="B924" s="3">
        <f>IFERROR(__xludf.DUMMYFUNCTION("""COMPUTED_VALUE"""),42086.0)</f>
        <v>42086</v>
      </c>
      <c r="C924" s="3">
        <f>IFERROR(__xludf.DUMMYFUNCTION("""COMPUTED_VALUE"""),42092.0)</f>
        <v>42092</v>
      </c>
      <c r="D924" s="2">
        <f>IFERROR(__xludf.DUMMYFUNCTION("""COMPUTED_VALUE"""),7.0)</f>
        <v>7</v>
      </c>
      <c r="E924" s="2">
        <f>IFERROR(__xludf.DUMMYFUNCTION("""COMPUTED_VALUE"""),13.0)</f>
        <v>13</v>
      </c>
      <c r="F924" s="2">
        <f>IFERROR(__xludf.DUMMYFUNCTION("""COMPUTED_VALUE"""),4192.0)</f>
        <v>4192</v>
      </c>
      <c r="G924" s="2">
        <f>IFERROR(__xludf.DUMMYFUNCTION("""COMPUTED_VALUE"""),0.0)</f>
        <v>0</v>
      </c>
    </row>
    <row r="925">
      <c r="A925" s="2" t="str">
        <f>IFERROR(__xludf.DUMMYFUNCTION("""COMPUTED_VALUE"""),"Colombia")</f>
        <v>Colombia</v>
      </c>
      <c r="B925" s="3">
        <f>IFERROR(__xludf.DUMMYFUNCTION("""COMPUTED_VALUE"""),42093.0)</f>
        <v>42093</v>
      </c>
      <c r="C925" s="3">
        <f>IFERROR(__xludf.DUMMYFUNCTION("""COMPUTED_VALUE"""),42099.0)</f>
        <v>42099</v>
      </c>
      <c r="D925" s="2">
        <f>IFERROR(__xludf.DUMMYFUNCTION("""COMPUTED_VALUE"""),7.0)</f>
        <v>7</v>
      </c>
      <c r="E925" s="2">
        <f>IFERROR(__xludf.DUMMYFUNCTION("""COMPUTED_VALUE"""),14.0)</f>
        <v>14</v>
      </c>
      <c r="F925" s="2">
        <f>IFERROR(__xludf.DUMMYFUNCTION("""COMPUTED_VALUE"""),4067.0)</f>
        <v>4067</v>
      </c>
      <c r="G925" s="2">
        <f>IFERROR(__xludf.DUMMYFUNCTION("""COMPUTED_VALUE"""),0.0)</f>
        <v>0</v>
      </c>
    </row>
    <row r="926">
      <c r="A926" s="2" t="str">
        <f>IFERROR(__xludf.DUMMYFUNCTION("""COMPUTED_VALUE"""),"Colombia")</f>
        <v>Colombia</v>
      </c>
      <c r="B926" s="3">
        <f>IFERROR(__xludf.DUMMYFUNCTION("""COMPUTED_VALUE"""),42100.0)</f>
        <v>42100</v>
      </c>
      <c r="C926" s="3">
        <f>IFERROR(__xludf.DUMMYFUNCTION("""COMPUTED_VALUE"""),42106.0)</f>
        <v>42106</v>
      </c>
      <c r="D926" s="2">
        <f>IFERROR(__xludf.DUMMYFUNCTION("""COMPUTED_VALUE"""),7.0)</f>
        <v>7</v>
      </c>
      <c r="E926" s="2">
        <f>IFERROR(__xludf.DUMMYFUNCTION("""COMPUTED_VALUE"""),15.0)</f>
        <v>15</v>
      </c>
      <c r="F926" s="2">
        <f>IFERROR(__xludf.DUMMYFUNCTION("""COMPUTED_VALUE"""),4059.0)</f>
        <v>4059</v>
      </c>
      <c r="G926" s="2">
        <f>IFERROR(__xludf.DUMMYFUNCTION("""COMPUTED_VALUE"""),0.0)</f>
        <v>0</v>
      </c>
    </row>
    <row r="927">
      <c r="A927" s="2" t="str">
        <f>IFERROR(__xludf.DUMMYFUNCTION("""COMPUTED_VALUE"""),"Colombia")</f>
        <v>Colombia</v>
      </c>
      <c r="B927" s="3">
        <f>IFERROR(__xludf.DUMMYFUNCTION("""COMPUTED_VALUE"""),42107.0)</f>
        <v>42107</v>
      </c>
      <c r="C927" s="3">
        <f>IFERROR(__xludf.DUMMYFUNCTION("""COMPUTED_VALUE"""),42113.0)</f>
        <v>42113</v>
      </c>
      <c r="D927" s="2">
        <f>IFERROR(__xludf.DUMMYFUNCTION("""COMPUTED_VALUE"""),7.0)</f>
        <v>7</v>
      </c>
      <c r="E927" s="2">
        <f>IFERROR(__xludf.DUMMYFUNCTION("""COMPUTED_VALUE"""),16.0)</f>
        <v>16</v>
      </c>
      <c r="F927" s="2">
        <f>IFERROR(__xludf.DUMMYFUNCTION("""COMPUTED_VALUE"""),4063.0)</f>
        <v>4063</v>
      </c>
      <c r="G927" s="2">
        <f>IFERROR(__xludf.DUMMYFUNCTION("""COMPUTED_VALUE"""),0.0)</f>
        <v>0</v>
      </c>
    </row>
    <row r="928">
      <c r="A928" s="2" t="str">
        <f>IFERROR(__xludf.DUMMYFUNCTION("""COMPUTED_VALUE"""),"Colombia")</f>
        <v>Colombia</v>
      </c>
      <c r="B928" s="3">
        <f>IFERROR(__xludf.DUMMYFUNCTION("""COMPUTED_VALUE"""),42114.0)</f>
        <v>42114</v>
      </c>
      <c r="C928" s="3">
        <f>IFERROR(__xludf.DUMMYFUNCTION("""COMPUTED_VALUE"""),42120.0)</f>
        <v>42120</v>
      </c>
      <c r="D928" s="2">
        <f>IFERROR(__xludf.DUMMYFUNCTION("""COMPUTED_VALUE"""),7.0)</f>
        <v>7</v>
      </c>
      <c r="E928" s="2">
        <f>IFERROR(__xludf.DUMMYFUNCTION("""COMPUTED_VALUE"""),17.0)</f>
        <v>17</v>
      </c>
      <c r="F928" s="2">
        <f>IFERROR(__xludf.DUMMYFUNCTION("""COMPUTED_VALUE"""),4042.0)</f>
        <v>4042</v>
      </c>
      <c r="G928" s="2">
        <f>IFERROR(__xludf.DUMMYFUNCTION("""COMPUTED_VALUE"""),0.0)</f>
        <v>0</v>
      </c>
    </row>
    <row r="929">
      <c r="A929" s="2" t="str">
        <f>IFERROR(__xludf.DUMMYFUNCTION("""COMPUTED_VALUE"""),"Colombia")</f>
        <v>Colombia</v>
      </c>
      <c r="B929" s="3">
        <f>IFERROR(__xludf.DUMMYFUNCTION("""COMPUTED_VALUE"""),42121.0)</f>
        <v>42121</v>
      </c>
      <c r="C929" s="3">
        <f>IFERROR(__xludf.DUMMYFUNCTION("""COMPUTED_VALUE"""),42127.0)</f>
        <v>42127</v>
      </c>
      <c r="D929" s="2">
        <f>IFERROR(__xludf.DUMMYFUNCTION("""COMPUTED_VALUE"""),7.0)</f>
        <v>7</v>
      </c>
      <c r="E929" s="2">
        <f>IFERROR(__xludf.DUMMYFUNCTION("""COMPUTED_VALUE"""),18.0)</f>
        <v>18</v>
      </c>
      <c r="F929" s="2">
        <f>IFERROR(__xludf.DUMMYFUNCTION("""COMPUTED_VALUE"""),4186.0)</f>
        <v>4186</v>
      </c>
      <c r="G929" s="2">
        <f>IFERROR(__xludf.DUMMYFUNCTION("""COMPUTED_VALUE"""),0.0)</f>
        <v>0</v>
      </c>
    </row>
    <row r="930">
      <c r="A930" s="2" t="str">
        <f>IFERROR(__xludf.DUMMYFUNCTION("""COMPUTED_VALUE"""),"Colombia")</f>
        <v>Colombia</v>
      </c>
      <c r="B930" s="3">
        <f>IFERROR(__xludf.DUMMYFUNCTION("""COMPUTED_VALUE"""),42128.0)</f>
        <v>42128</v>
      </c>
      <c r="C930" s="3">
        <f>IFERROR(__xludf.DUMMYFUNCTION("""COMPUTED_VALUE"""),42134.0)</f>
        <v>42134</v>
      </c>
      <c r="D930" s="2">
        <f>IFERROR(__xludf.DUMMYFUNCTION("""COMPUTED_VALUE"""),7.0)</f>
        <v>7</v>
      </c>
      <c r="E930" s="2">
        <f>IFERROR(__xludf.DUMMYFUNCTION("""COMPUTED_VALUE"""),19.0)</f>
        <v>19</v>
      </c>
      <c r="F930" s="2">
        <f>IFERROR(__xludf.DUMMYFUNCTION("""COMPUTED_VALUE"""),4241.0)</f>
        <v>4241</v>
      </c>
      <c r="G930" s="2">
        <f>IFERROR(__xludf.DUMMYFUNCTION("""COMPUTED_VALUE"""),0.0)</f>
        <v>0</v>
      </c>
    </row>
    <row r="931">
      <c r="A931" s="2" t="str">
        <f>IFERROR(__xludf.DUMMYFUNCTION("""COMPUTED_VALUE"""),"Colombia")</f>
        <v>Colombia</v>
      </c>
      <c r="B931" s="3">
        <f>IFERROR(__xludf.DUMMYFUNCTION("""COMPUTED_VALUE"""),42135.0)</f>
        <v>42135</v>
      </c>
      <c r="C931" s="3">
        <f>IFERROR(__xludf.DUMMYFUNCTION("""COMPUTED_VALUE"""),42141.0)</f>
        <v>42141</v>
      </c>
      <c r="D931" s="2">
        <f>IFERROR(__xludf.DUMMYFUNCTION("""COMPUTED_VALUE"""),7.0)</f>
        <v>7</v>
      </c>
      <c r="E931" s="2">
        <f>IFERROR(__xludf.DUMMYFUNCTION("""COMPUTED_VALUE"""),20.0)</f>
        <v>20</v>
      </c>
      <c r="F931" s="2">
        <f>IFERROR(__xludf.DUMMYFUNCTION("""COMPUTED_VALUE"""),4277.0)</f>
        <v>4277</v>
      </c>
      <c r="G931" s="2">
        <f>IFERROR(__xludf.DUMMYFUNCTION("""COMPUTED_VALUE"""),0.0)</f>
        <v>0</v>
      </c>
    </row>
    <row r="932">
      <c r="A932" s="2" t="str">
        <f>IFERROR(__xludf.DUMMYFUNCTION("""COMPUTED_VALUE"""),"Colombia")</f>
        <v>Colombia</v>
      </c>
      <c r="B932" s="3">
        <f>IFERROR(__xludf.DUMMYFUNCTION("""COMPUTED_VALUE"""),42142.0)</f>
        <v>42142</v>
      </c>
      <c r="C932" s="3">
        <f>IFERROR(__xludf.DUMMYFUNCTION("""COMPUTED_VALUE"""),42148.0)</f>
        <v>42148</v>
      </c>
      <c r="D932" s="2">
        <f>IFERROR(__xludf.DUMMYFUNCTION("""COMPUTED_VALUE"""),7.0)</f>
        <v>7</v>
      </c>
      <c r="E932" s="2">
        <f>IFERROR(__xludf.DUMMYFUNCTION("""COMPUTED_VALUE"""),21.0)</f>
        <v>21</v>
      </c>
      <c r="F932" s="2">
        <f>IFERROR(__xludf.DUMMYFUNCTION("""COMPUTED_VALUE"""),4165.0)</f>
        <v>4165</v>
      </c>
      <c r="G932" s="2">
        <f>IFERROR(__xludf.DUMMYFUNCTION("""COMPUTED_VALUE"""),0.0)</f>
        <v>0</v>
      </c>
    </row>
    <row r="933">
      <c r="A933" s="2" t="str">
        <f>IFERROR(__xludf.DUMMYFUNCTION("""COMPUTED_VALUE"""),"Colombia")</f>
        <v>Colombia</v>
      </c>
      <c r="B933" s="3">
        <f>IFERROR(__xludf.DUMMYFUNCTION("""COMPUTED_VALUE"""),42149.0)</f>
        <v>42149</v>
      </c>
      <c r="C933" s="3">
        <f>IFERROR(__xludf.DUMMYFUNCTION("""COMPUTED_VALUE"""),42155.0)</f>
        <v>42155</v>
      </c>
      <c r="D933" s="2">
        <f>IFERROR(__xludf.DUMMYFUNCTION("""COMPUTED_VALUE"""),7.0)</f>
        <v>7</v>
      </c>
      <c r="E933" s="2">
        <f>IFERROR(__xludf.DUMMYFUNCTION("""COMPUTED_VALUE"""),22.0)</f>
        <v>22</v>
      </c>
      <c r="F933" s="2">
        <f>IFERROR(__xludf.DUMMYFUNCTION("""COMPUTED_VALUE"""),4024.0)</f>
        <v>4024</v>
      </c>
      <c r="G933" s="2">
        <f>IFERROR(__xludf.DUMMYFUNCTION("""COMPUTED_VALUE"""),0.0)</f>
        <v>0</v>
      </c>
    </row>
    <row r="934">
      <c r="A934" s="2" t="str">
        <f>IFERROR(__xludf.DUMMYFUNCTION("""COMPUTED_VALUE"""),"Colombia")</f>
        <v>Colombia</v>
      </c>
      <c r="B934" s="3">
        <f>IFERROR(__xludf.DUMMYFUNCTION("""COMPUTED_VALUE"""),42156.0)</f>
        <v>42156</v>
      </c>
      <c r="C934" s="3">
        <f>IFERROR(__xludf.DUMMYFUNCTION("""COMPUTED_VALUE"""),42162.0)</f>
        <v>42162</v>
      </c>
      <c r="D934" s="2">
        <f>IFERROR(__xludf.DUMMYFUNCTION("""COMPUTED_VALUE"""),7.0)</f>
        <v>7</v>
      </c>
      <c r="E934" s="2">
        <f>IFERROR(__xludf.DUMMYFUNCTION("""COMPUTED_VALUE"""),23.0)</f>
        <v>23</v>
      </c>
      <c r="F934" s="2">
        <f>IFERROR(__xludf.DUMMYFUNCTION("""COMPUTED_VALUE"""),4102.0)</f>
        <v>4102</v>
      </c>
      <c r="G934" s="2">
        <f>IFERROR(__xludf.DUMMYFUNCTION("""COMPUTED_VALUE"""),0.0)</f>
        <v>0</v>
      </c>
    </row>
    <row r="935">
      <c r="A935" s="2" t="str">
        <f>IFERROR(__xludf.DUMMYFUNCTION("""COMPUTED_VALUE"""),"Colombia")</f>
        <v>Colombia</v>
      </c>
      <c r="B935" s="3">
        <f>IFERROR(__xludf.DUMMYFUNCTION("""COMPUTED_VALUE"""),42163.0)</f>
        <v>42163</v>
      </c>
      <c r="C935" s="3">
        <f>IFERROR(__xludf.DUMMYFUNCTION("""COMPUTED_VALUE"""),42169.0)</f>
        <v>42169</v>
      </c>
      <c r="D935" s="2">
        <f>IFERROR(__xludf.DUMMYFUNCTION("""COMPUTED_VALUE"""),7.0)</f>
        <v>7</v>
      </c>
      <c r="E935" s="2">
        <f>IFERROR(__xludf.DUMMYFUNCTION("""COMPUTED_VALUE"""),24.0)</f>
        <v>24</v>
      </c>
      <c r="F935" s="2">
        <f>IFERROR(__xludf.DUMMYFUNCTION("""COMPUTED_VALUE"""),4142.0)</f>
        <v>4142</v>
      </c>
      <c r="G935" s="2">
        <f>IFERROR(__xludf.DUMMYFUNCTION("""COMPUTED_VALUE"""),0.0)</f>
        <v>0</v>
      </c>
    </row>
    <row r="936">
      <c r="A936" s="2" t="str">
        <f>IFERROR(__xludf.DUMMYFUNCTION("""COMPUTED_VALUE"""),"Colombia")</f>
        <v>Colombia</v>
      </c>
      <c r="B936" s="3">
        <f>IFERROR(__xludf.DUMMYFUNCTION("""COMPUTED_VALUE"""),42170.0)</f>
        <v>42170</v>
      </c>
      <c r="C936" s="3">
        <f>IFERROR(__xludf.DUMMYFUNCTION("""COMPUTED_VALUE"""),42176.0)</f>
        <v>42176</v>
      </c>
      <c r="D936" s="2">
        <f>IFERROR(__xludf.DUMMYFUNCTION("""COMPUTED_VALUE"""),7.0)</f>
        <v>7</v>
      </c>
      <c r="E936" s="2">
        <f>IFERROR(__xludf.DUMMYFUNCTION("""COMPUTED_VALUE"""),25.0)</f>
        <v>25</v>
      </c>
      <c r="F936" s="2">
        <f>IFERROR(__xludf.DUMMYFUNCTION("""COMPUTED_VALUE"""),4284.0)</f>
        <v>4284</v>
      </c>
      <c r="G936" s="2">
        <f>IFERROR(__xludf.DUMMYFUNCTION("""COMPUTED_VALUE"""),0.0)</f>
        <v>0</v>
      </c>
    </row>
    <row r="937">
      <c r="A937" s="2" t="str">
        <f>IFERROR(__xludf.DUMMYFUNCTION("""COMPUTED_VALUE"""),"Colombia")</f>
        <v>Colombia</v>
      </c>
      <c r="B937" s="3">
        <f>IFERROR(__xludf.DUMMYFUNCTION("""COMPUTED_VALUE"""),42177.0)</f>
        <v>42177</v>
      </c>
      <c r="C937" s="3">
        <f>IFERROR(__xludf.DUMMYFUNCTION("""COMPUTED_VALUE"""),42183.0)</f>
        <v>42183</v>
      </c>
      <c r="D937" s="2">
        <f>IFERROR(__xludf.DUMMYFUNCTION("""COMPUTED_VALUE"""),7.0)</f>
        <v>7</v>
      </c>
      <c r="E937" s="2">
        <f>IFERROR(__xludf.DUMMYFUNCTION("""COMPUTED_VALUE"""),26.0)</f>
        <v>26</v>
      </c>
      <c r="F937" s="2">
        <f>IFERROR(__xludf.DUMMYFUNCTION("""COMPUTED_VALUE"""),4343.0)</f>
        <v>4343</v>
      </c>
      <c r="G937" s="2">
        <f>IFERROR(__xludf.DUMMYFUNCTION("""COMPUTED_VALUE"""),0.0)</f>
        <v>0</v>
      </c>
    </row>
    <row r="938">
      <c r="A938" s="2" t="str">
        <f>IFERROR(__xludf.DUMMYFUNCTION("""COMPUTED_VALUE"""),"Colombia")</f>
        <v>Colombia</v>
      </c>
      <c r="B938" s="3">
        <f>IFERROR(__xludf.DUMMYFUNCTION("""COMPUTED_VALUE"""),42184.0)</f>
        <v>42184</v>
      </c>
      <c r="C938" s="3">
        <f>IFERROR(__xludf.DUMMYFUNCTION("""COMPUTED_VALUE"""),42190.0)</f>
        <v>42190</v>
      </c>
      <c r="D938" s="2">
        <f>IFERROR(__xludf.DUMMYFUNCTION("""COMPUTED_VALUE"""),7.0)</f>
        <v>7</v>
      </c>
      <c r="E938" s="2">
        <f>IFERROR(__xludf.DUMMYFUNCTION("""COMPUTED_VALUE"""),27.0)</f>
        <v>27</v>
      </c>
      <c r="F938" s="2">
        <f>IFERROR(__xludf.DUMMYFUNCTION("""COMPUTED_VALUE"""),4369.0)</f>
        <v>4369</v>
      </c>
      <c r="G938" s="2">
        <f>IFERROR(__xludf.DUMMYFUNCTION("""COMPUTED_VALUE"""),0.0)</f>
        <v>0</v>
      </c>
    </row>
    <row r="939">
      <c r="A939" s="2" t="str">
        <f>IFERROR(__xludf.DUMMYFUNCTION("""COMPUTED_VALUE"""),"Colombia")</f>
        <v>Colombia</v>
      </c>
      <c r="B939" s="3">
        <f>IFERROR(__xludf.DUMMYFUNCTION("""COMPUTED_VALUE"""),42191.0)</f>
        <v>42191</v>
      </c>
      <c r="C939" s="3">
        <f>IFERROR(__xludf.DUMMYFUNCTION("""COMPUTED_VALUE"""),42197.0)</f>
        <v>42197</v>
      </c>
      <c r="D939" s="2">
        <f>IFERROR(__xludf.DUMMYFUNCTION("""COMPUTED_VALUE"""),7.0)</f>
        <v>7</v>
      </c>
      <c r="E939" s="2">
        <f>IFERROR(__xludf.DUMMYFUNCTION("""COMPUTED_VALUE"""),28.0)</f>
        <v>28</v>
      </c>
      <c r="F939" s="2">
        <f>IFERROR(__xludf.DUMMYFUNCTION("""COMPUTED_VALUE"""),4334.0)</f>
        <v>4334</v>
      </c>
      <c r="G939" s="2">
        <f>IFERROR(__xludf.DUMMYFUNCTION("""COMPUTED_VALUE"""),0.0)</f>
        <v>0</v>
      </c>
    </row>
    <row r="940">
      <c r="A940" s="2" t="str">
        <f>IFERROR(__xludf.DUMMYFUNCTION("""COMPUTED_VALUE"""),"Colombia")</f>
        <v>Colombia</v>
      </c>
      <c r="B940" s="3">
        <f>IFERROR(__xludf.DUMMYFUNCTION("""COMPUTED_VALUE"""),42198.0)</f>
        <v>42198</v>
      </c>
      <c r="C940" s="3">
        <f>IFERROR(__xludf.DUMMYFUNCTION("""COMPUTED_VALUE"""),42204.0)</f>
        <v>42204</v>
      </c>
      <c r="D940" s="2">
        <f>IFERROR(__xludf.DUMMYFUNCTION("""COMPUTED_VALUE"""),7.0)</f>
        <v>7</v>
      </c>
      <c r="E940" s="2">
        <f>IFERROR(__xludf.DUMMYFUNCTION("""COMPUTED_VALUE"""),29.0)</f>
        <v>29</v>
      </c>
      <c r="F940" s="2">
        <f>IFERROR(__xludf.DUMMYFUNCTION("""COMPUTED_VALUE"""),4139.0)</f>
        <v>4139</v>
      </c>
      <c r="G940" s="2">
        <f>IFERROR(__xludf.DUMMYFUNCTION("""COMPUTED_VALUE"""),0.0)</f>
        <v>0</v>
      </c>
    </row>
    <row r="941">
      <c r="A941" s="2" t="str">
        <f>IFERROR(__xludf.DUMMYFUNCTION("""COMPUTED_VALUE"""),"Colombia")</f>
        <v>Colombia</v>
      </c>
      <c r="B941" s="3">
        <f>IFERROR(__xludf.DUMMYFUNCTION("""COMPUTED_VALUE"""),42205.0)</f>
        <v>42205</v>
      </c>
      <c r="C941" s="3">
        <f>IFERROR(__xludf.DUMMYFUNCTION("""COMPUTED_VALUE"""),42211.0)</f>
        <v>42211</v>
      </c>
      <c r="D941" s="2">
        <f>IFERROR(__xludf.DUMMYFUNCTION("""COMPUTED_VALUE"""),7.0)</f>
        <v>7</v>
      </c>
      <c r="E941" s="2">
        <f>IFERROR(__xludf.DUMMYFUNCTION("""COMPUTED_VALUE"""),30.0)</f>
        <v>30</v>
      </c>
      <c r="F941" s="2">
        <f>IFERROR(__xludf.DUMMYFUNCTION("""COMPUTED_VALUE"""),3970.0)</f>
        <v>3970</v>
      </c>
      <c r="G941" s="2">
        <f>IFERROR(__xludf.DUMMYFUNCTION("""COMPUTED_VALUE"""),0.0)</f>
        <v>0</v>
      </c>
    </row>
    <row r="942">
      <c r="A942" s="2" t="str">
        <f>IFERROR(__xludf.DUMMYFUNCTION("""COMPUTED_VALUE"""),"Colombia")</f>
        <v>Colombia</v>
      </c>
      <c r="B942" s="3">
        <f>IFERROR(__xludf.DUMMYFUNCTION("""COMPUTED_VALUE"""),42212.0)</f>
        <v>42212</v>
      </c>
      <c r="C942" s="3">
        <f>IFERROR(__xludf.DUMMYFUNCTION("""COMPUTED_VALUE"""),42218.0)</f>
        <v>42218</v>
      </c>
      <c r="D942" s="2">
        <f>IFERROR(__xludf.DUMMYFUNCTION("""COMPUTED_VALUE"""),7.0)</f>
        <v>7</v>
      </c>
      <c r="E942" s="2">
        <f>IFERROR(__xludf.DUMMYFUNCTION("""COMPUTED_VALUE"""),31.0)</f>
        <v>31</v>
      </c>
      <c r="F942" s="2">
        <f>IFERROR(__xludf.DUMMYFUNCTION("""COMPUTED_VALUE"""),4069.0)</f>
        <v>4069</v>
      </c>
      <c r="G942" s="2">
        <f>IFERROR(__xludf.DUMMYFUNCTION("""COMPUTED_VALUE"""),0.0)</f>
        <v>0</v>
      </c>
    </row>
    <row r="943">
      <c r="A943" s="2" t="str">
        <f>IFERROR(__xludf.DUMMYFUNCTION("""COMPUTED_VALUE"""),"Colombia")</f>
        <v>Colombia</v>
      </c>
      <c r="B943" s="3">
        <f>IFERROR(__xludf.DUMMYFUNCTION("""COMPUTED_VALUE"""),42219.0)</f>
        <v>42219</v>
      </c>
      <c r="C943" s="3">
        <f>IFERROR(__xludf.DUMMYFUNCTION("""COMPUTED_VALUE"""),42225.0)</f>
        <v>42225</v>
      </c>
      <c r="D943" s="2">
        <f>IFERROR(__xludf.DUMMYFUNCTION("""COMPUTED_VALUE"""),7.0)</f>
        <v>7</v>
      </c>
      <c r="E943" s="2">
        <f>IFERROR(__xludf.DUMMYFUNCTION("""COMPUTED_VALUE"""),32.0)</f>
        <v>32</v>
      </c>
      <c r="F943" s="2">
        <f>IFERROR(__xludf.DUMMYFUNCTION("""COMPUTED_VALUE"""),4296.0)</f>
        <v>4296</v>
      </c>
      <c r="G943" s="2">
        <f>IFERROR(__xludf.DUMMYFUNCTION("""COMPUTED_VALUE"""),0.0)</f>
        <v>0</v>
      </c>
    </row>
    <row r="944">
      <c r="A944" s="2" t="str">
        <f>IFERROR(__xludf.DUMMYFUNCTION("""COMPUTED_VALUE"""),"Colombia")</f>
        <v>Colombia</v>
      </c>
      <c r="B944" s="3">
        <f>IFERROR(__xludf.DUMMYFUNCTION("""COMPUTED_VALUE"""),42226.0)</f>
        <v>42226</v>
      </c>
      <c r="C944" s="3">
        <f>IFERROR(__xludf.DUMMYFUNCTION("""COMPUTED_VALUE"""),42232.0)</f>
        <v>42232</v>
      </c>
      <c r="D944" s="2">
        <f>IFERROR(__xludf.DUMMYFUNCTION("""COMPUTED_VALUE"""),7.0)</f>
        <v>7</v>
      </c>
      <c r="E944" s="2">
        <f>IFERROR(__xludf.DUMMYFUNCTION("""COMPUTED_VALUE"""),33.0)</f>
        <v>33</v>
      </c>
      <c r="F944" s="2">
        <f>IFERROR(__xludf.DUMMYFUNCTION("""COMPUTED_VALUE"""),4101.0)</f>
        <v>4101</v>
      </c>
      <c r="G944" s="2">
        <f>IFERROR(__xludf.DUMMYFUNCTION("""COMPUTED_VALUE"""),0.0)</f>
        <v>0</v>
      </c>
    </row>
    <row r="945">
      <c r="A945" s="2" t="str">
        <f>IFERROR(__xludf.DUMMYFUNCTION("""COMPUTED_VALUE"""),"Colombia")</f>
        <v>Colombia</v>
      </c>
      <c r="B945" s="3">
        <f>IFERROR(__xludf.DUMMYFUNCTION("""COMPUTED_VALUE"""),42233.0)</f>
        <v>42233</v>
      </c>
      <c r="C945" s="3">
        <f>IFERROR(__xludf.DUMMYFUNCTION("""COMPUTED_VALUE"""),42239.0)</f>
        <v>42239</v>
      </c>
      <c r="D945" s="2">
        <f>IFERROR(__xludf.DUMMYFUNCTION("""COMPUTED_VALUE"""),7.0)</f>
        <v>7</v>
      </c>
      <c r="E945" s="2">
        <f>IFERROR(__xludf.DUMMYFUNCTION("""COMPUTED_VALUE"""),34.0)</f>
        <v>34</v>
      </c>
      <c r="F945" s="2">
        <f>IFERROR(__xludf.DUMMYFUNCTION("""COMPUTED_VALUE"""),4000.0)</f>
        <v>4000</v>
      </c>
      <c r="G945" s="2">
        <f>IFERROR(__xludf.DUMMYFUNCTION("""COMPUTED_VALUE"""),0.0)</f>
        <v>0</v>
      </c>
    </row>
    <row r="946">
      <c r="A946" s="2" t="str">
        <f>IFERROR(__xludf.DUMMYFUNCTION("""COMPUTED_VALUE"""),"Colombia")</f>
        <v>Colombia</v>
      </c>
      <c r="B946" s="3">
        <f>IFERROR(__xludf.DUMMYFUNCTION("""COMPUTED_VALUE"""),42240.0)</f>
        <v>42240</v>
      </c>
      <c r="C946" s="3">
        <f>IFERROR(__xludf.DUMMYFUNCTION("""COMPUTED_VALUE"""),42246.0)</f>
        <v>42246</v>
      </c>
      <c r="D946" s="2">
        <f>IFERROR(__xludf.DUMMYFUNCTION("""COMPUTED_VALUE"""),7.0)</f>
        <v>7</v>
      </c>
      <c r="E946" s="2">
        <f>IFERROR(__xludf.DUMMYFUNCTION("""COMPUTED_VALUE"""),35.0)</f>
        <v>35</v>
      </c>
      <c r="F946" s="2">
        <f>IFERROR(__xludf.DUMMYFUNCTION("""COMPUTED_VALUE"""),4083.0)</f>
        <v>4083</v>
      </c>
      <c r="G946" s="2">
        <f>IFERROR(__xludf.DUMMYFUNCTION("""COMPUTED_VALUE"""),0.0)</f>
        <v>0</v>
      </c>
    </row>
    <row r="947">
      <c r="A947" s="2" t="str">
        <f>IFERROR(__xludf.DUMMYFUNCTION("""COMPUTED_VALUE"""),"Colombia")</f>
        <v>Colombia</v>
      </c>
      <c r="B947" s="3">
        <f>IFERROR(__xludf.DUMMYFUNCTION("""COMPUTED_VALUE"""),42247.0)</f>
        <v>42247</v>
      </c>
      <c r="C947" s="3">
        <f>IFERROR(__xludf.DUMMYFUNCTION("""COMPUTED_VALUE"""),42253.0)</f>
        <v>42253</v>
      </c>
      <c r="D947" s="2">
        <f>IFERROR(__xludf.DUMMYFUNCTION("""COMPUTED_VALUE"""),7.0)</f>
        <v>7</v>
      </c>
      <c r="E947" s="2">
        <f>IFERROR(__xludf.DUMMYFUNCTION("""COMPUTED_VALUE"""),36.0)</f>
        <v>36</v>
      </c>
      <c r="F947" s="2">
        <f>IFERROR(__xludf.DUMMYFUNCTION("""COMPUTED_VALUE"""),4233.0)</f>
        <v>4233</v>
      </c>
      <c r="G947" s="2">
        <f>IFERROR(__xludf.DUMMYFUNCTION("""COMPUTED_VALUE"""),0.0)</f>
        <v>0</v>
      </c>
    </row>
    <row r="948">
      <c r="A948" s="2" t="str">
        <f>IFERROR(__xludf.DUMMYFUNCTION("""COMPUTED_VALUE"""),"Colombia")</f>
        <v>Colombia</v>
      </c>
      <c r="B948" s="3">
        <f>IFERROR(__xludf.DUMMYFUNCTION("""COMPUTED_VALUE"""),42254.0)</f>
        <v>42254</v>
      </c>
      <c r="C948" s="3">
        <f>IFERROR(__xludf.DUMMYFUNCTION("""COMPUTED_VALUE"""),42260.0)</f>
        <v>42260</v>
      </c>
      <c r="D948" s="2">
        <f>IFERROR(__xludf.DUMMYFUNCTION("""COMPUTED_VALUE"""),7.0)</f>
        <v>7</v>
      </c>
      <c r="E948" s="2">
        <f>IFERROR(__xludf.DUMMYFUNCTION("""COMPUTED_VALUE"""),37.0)</f>
        <v>37</v>
      </c>
      <c r="F948" s="2">
        <f>IFERROR(__xludf.DUMMYFUNCTION("""COMPUTED_VALUE"""),4135.0)</f>
        <v>4135</v>
      </c>
      <c r="G948" s="2">
        <f>IFERROR(__xludf.DUMMYFUNCTION("""COMPUTED_VALUE"""),0.0)</f>
        <v>0</v>
      </c>
    </row>
    <row r="949">
      <c r="A949" s="2" t="str">
        <f>IFERROR(__xludf.DUMMYFUNCTION("""COMPUTED_VALUE"""),"Colombia")</f>
        <v>Colombia</v>
      </c>
      <c r="B949" s="3">
        <f>IFERROR(__xludf.DUMMYFUNCTION("""COMPUTED_VALUE"""),42261.0)</f>
        <v>42261</v>
      </c>
      <c r="C949" s="3">
        <f>IFERROR(__xludf.DUMMYFUNCTION("""COMPUTED_VALUE"""),42267.0)</f>
        <v>42267</v>
      </c>
      <c r="D949" s="2">
        <f>IFERROR(__xludf.DUMMYFUNCTION("""COMPUTED_VALUE"""),7.0)</f>
        <v>7</v>
      </c>
      <c r="E949" s="2">
        <f>IFERROR(__xludf.DUMMYFUNCTION("""COMPUTED_VALUE"""),38.0)</f>
        <v>38</v>
      </c>
      <c r="F949" s="2">
        <f>IFERROR(__xludf.DUMMYFUNCTION("""COMPUTED_VALUE"""),4203.0)</f>
        <v>4203</v>
      </c>
      <c r="G949" s="2">
        <f>IFERROR(__xludf.DUMMYFUNCTION("""COMPUTED_VALUE"""),0.0)</f>
        <v>0</v>
      </c>
    </row>
    <row r="950">
      <c r="A950" s="2" t="str">
        <f>IFERROR(__xludf.DUMMYFUNCTION("""COMPUTED_VALUE"""),"Colombia")</f>
        <v>Colombia</v>
      </c>
      <c r="B950" s="3">
        <f>IFERROR(__xludf.DUMMYFUNCTION("""COMPUTED_VALUE"""),42268.0)</f>
        <v>42268</v>
      </c>
      <c r="C950" s="3">
        <f>IFERROR(__xludf.DUMMYFUNCTION("""COMPUTED_VALUE"""),42274.0)</f>
        <v>42274</v>
      </c>
      <c r="D950" s="2">
        <f>IFERROR(__xludf.DUMMYFUNCTION("""COMPUTED_VALUE"""),7.0)</f>
        <v>7</v>
      </c>
      <c r="E950" s="2">
        <f>IFERROR(__xludf.DUMMYFUNCTION("""COMPUTED_VALUE"""),39.0)</f>
        <v>39</v>
      </c>
      <c r="F950" s="2">
        <f>IFERROR(__xludf.DUMMYFUNCTION("""COMPUTED_VALUE"""),4217.0)</f>
        <v>4217</v>
      </c>
      <c r="G950" s="2">
        <f>IFERROR(__xludf.DUMMYFUNCTION("""COMPUTED_VALUE"""),0.0)</f>
        <v>0</v>
      </c>
    </row>
    <row r="951">
      <c r="A951" s="2" t="str">
        <f>IFERROR(__xludf.DUMMYFUNCTION("""COMPUTED_VALUE"""),"Colombia")</f>
        <v>Colombia</v>
      </c>
      <c r="B951" s="3">
        <f>IFERROR(__xludf.DUMMYFUNCTION("""COMPUTED_VALUE"""),42275.0)</f>
        <v>42275</v>
      </c>
      <c r="C951" s="3">
        <f>IFERROR(__xludf.DUMMYFUNCTION("""COMPUTED_VALUE"""),42281.0)</f>
        <v>42281</v>
      </c>
      <c r="D951" s="2">
        <f>IFERROR(__xludf.DUMMYFUNCTION("""COMPUTED_VALUE"""),7.0)</f>
        <v>7</v>
      </c>
      <c r="E951" s="2">
        <f>IFERROR(__xludf.DUMMYFUNCTION("""COMPUTED_VALUE"""),40.0)</f>
        <v>40</v>
      </c>
      <c r="F951" s="2">
        <f>IFERROR(__xludf.DUMMYFUNCTION("""COMPUTED_VALUE"""),4232.0)</f>
        <v>4232</v>
      </c>
      <c r="G951" s="2">
        <f>IFERROR(__xludf.DUMMYFUNCTION("""COMPUTED_VALUE"""),0.0)</f>
        <v>0</v>
      </c>
    </row>
    <row r="952">
      <c r="A952" s="2" t="str">
        <f>IFERROR(__xludf.DUMMYFUNCTION("""COMPUTED_VALUE"""),"Colombia")</f>
        <v>Colombia</v>
      </c>
      <c r="B952" s="3">
        <f>IFERROR(__xludf.DUMMYFUNCTION("""COMPUTED_VALUE"""),42282.0)</f>
        <v>42282</v>
      </c>
      <c r="C952" s="3">
        <f>IFERROR(__xludf.DUMMYFUNCTION("""COMPUTED_VALUE"""),42288.0)</f>
        <v>42288</v>
      </c>
      <c r="D952" s="2">
        <f>IFERROR(__xludf.DUMMYFUNCTION("""COMPUTED_VALUE"""),7.0)</f>
        <v>7</v>
      </c>
      <c r="E952" s="2">
        <f>IFERROR(__xludf.DUMMYFUNCTION("""COMPUTED_VALUE"""),41.0)</f>
        <v>41</v>
      </c>
      <c r="F952" s="2">
        <f>IFERROR(__xludf.DUMMYFUNCTION("""COMPUTED_VALUE"""),4162.0)</f>
        <v>4162</v>
      </c>
      <c r="G952" s="2">
        <f>IFERROR(__xludf.DUMMYFUNCTION("""COMPUTED_VALUE"""),0.0)</f>
        <v>0</v>
      </c>
    </row>
    <row r="953">
      <c r="A953" s="2" t="str">
        <f>IFERROR(__xludf.DUMMYFUNCTION("""COMPUTED_VALUE"""),"Colombia")</f>
        <v>Colombia</v>
      </c>
      <c r="B953" s="3">
        <f>IFERROR(__xludf.DUMMYFUNCTION("""COMPUTED_VALUE"""),42289.0)</f>
        <v>42289</v>
      </c>
      <c r="C953" s="3">
        <f>IFERROR(__xludf.DUMMYFUNCTION("""COMPUTED_VALUE"""),42295.0)</f>
        <v>42295</v>
      </c>
      <c r="D953" s="2">
        <f>IFERROR(__xludf.DUMMYFUNCTION("""COMPUTED_VALUE"""),7.0)</f>
        <v>7</v>
      </c>
      <c r="E953" s="2">
        <f>IFERROR(__xludf.DUMMYFUNCTION("""COMPUTED_VALUE"""),42.0)</f>
        <v>42</v>
      </c>
      <c r="F953" s="2">
        <f>IFERROR(__xludf.DUMMYFUNCTION("""COMPUTED_VALUE"""),4045.0)</f>
        <v>4045</v>
      </c>
      <c r="G953" s="2">
        <f>IFERROR(__xludf.DUMMYFUNCTION("""COMPUTED_VALUE"""),0.0)</f>
        <v>0</v>
      </c>
    </row>
    <row r="954">
      <c r="A954" s="2" t="str">
        <f>IFERROR(__xludf.DUMMYFUNCTION("""COMPUTED_VALUE"""),"Colombia")</f>
        <v>Colombia</v>
      </c>
      <c r="B954" s="3">
        <f>IFERROR(__xludf.DUMMYFUNCTION("""COMPUTED_VALUE"""),42296.0)</f>
        <v>42296</v>
      </c>
      <c r="C954" s="3">
        <f>IFERROR(__xludf.DUMMYFUNCTION("""COMPUTED_VALUE"""),42302.0)</f>
        <v>42302</v>
      </c>
      <c r="D954" s="2">
        <f>IFERROR(__xludf.DUMMYFUNCTION("""COMPUTED_VALUE"""),7.0)</f>
        <v>7</v>
      </c>
      <c r="E954" s="2">
        <f>IFERROR(__xludf.DUMMYFUNCTION("""COMPUTED_VALUE"""),43.0)</f>
        <v>43</v>
      </c>
      <c r="F954" s="2">
        <f>IFERROR(__xludf.DUMMYFUNCTION("""COMPUTED_VALUE"""),4027.0)</f>
        <v>4027</v>
      </c>
      <c r="G954" s="2">
        <f>IFERROR(__xludf.DUMMYFUNCTION("""COMPUTED_VALUE"""),0.0)</f>
        <v>0</v>
      </c>
    </row>
    <row r="955">
      <c r="A955" s="2" t="str">
        <f>IFERROR(__xludf.DUMMYFUNCTION("""COMPUTED_VALUE"""),"Colombia")</f>
        <v>Colombia</v>
      </c>
      <c r="B955" s="3">
        <f>IFERROR(__xludf.DUMMYFUNCTION("""COMPUTED_VALUE"""),42303.0)</f>
        <v>42303</v>
      </c>
      <c r="C955" s="3">
        <f>IFERROR(__xludf.DUMMYFUNCTION("""COMPUTED_VALUE"""),42309.0)</f>
        <v>42309</v>
      </c>
      <c r="D955" s="2">
        <f>IFERROR(__xludf.DUMMYFUNCTION("""COMPUTED_VALUE"""),7.0)</f>
        <v>7</v>
      </c>
      <c r="E955" s="2">
        <f>IFERROR(__xludf.DUMMYFUNCTION("""COMPUTED_VALUE"""),44.0)</f>
        <v>44</v>
      </c>
      <c r="F955" s="2">
        <f>IFERROR(__xludf.DUMMYFUNCTION("""COMPUTED_VALUE"""),4238.0)</f>
        <v>4238</v>
      </c>
      <c r="G955" s="2">
        <f>IFERROR(__xludf.DUMMYFUNCTION("""COMPUTED_VALUE"""),0.0)</f>
        <v>0</v>
      </c>
    </row>
    <row r="956">
      <c r="A956" s="2" t="str">
        <f>IFERROR(__xludf.DUMMYFUNCTION("""COMPUTED_VALUE"""),"Colombia")</f>
        <v>Colombia</v>
      </c>
      <c r="B956" s="3">
        <f>IFERROR(__xludf.DUMMYFUNCTION("""COMPUTED_VALUE"""),42310.0)</f>
        <v>42310</v>
      </c>
      <c r="C956" s="3">
        <f>IFERROR(__xludf.DUMMYFUNCTION("""COMPUTED_VALUE"""),42316.0)</f>
        <v>42316</v>
      </c>
      <c r="D956" s="2">
        <f>IFERROR(__xludf.DUMMYFUNCTION("""COMPUTED_VALUE"""),7.0)</f>
        <v>7</v>
      </c>
      <c r="E956" s="2">
        <f>IFERROR(__xludf.DUMMYFUNCTION("""COMPUTED_VALUE"""),45.0)</f>
        <v>45</v>
      </c>
      <c r="F956" s="2">
        <f>IFERROR(__xludf.DUMMYFUNCTION("""COMPUTED_VALUE"""),4174.0)</f>
        <v>4174</v>
      </c>
      <c r="G956" s="2">
        <f>IFERROR(__xludf.DUMMYFUNCTION("""COMPUTED_VALUE"""),0.0)</f>
        <v>0</v>
      </c>
    </row>
    <row r="957">
      <c r="A957" s="2" t="str">
        <f>IFERROR(__xludf.DUMMYFUNCTION("""COMPUTED_VALUE"""),"Colombia")</f>
        <v>Colombia</v>
      </c>
      <c r="B957" s="3">
        <f>IFERROR(__xludf.DUMMYFUNCTION("""COMPUTED_VALUE"""),42317.0)</f>
        <v>42317</v>
      </c>
      <c r="C957" s="3">
        <f>IFERROR(__xludf.DUMMYFUNCTION("""COMPUTED_VALUE"""),42323.0)</f>
        <v>42323</v>
      </c>
      <c r="D957" s="2">
        <f>IFERROR(__xludf.DUMMYFUNCTION("""COMPUTED_VALUE"""),7.0)</f>
        <v>7</v>
      </c>
      <c r="E957" s="2">
        <f>IFERROR(__xludf.DUMMYFUNCTION("""COMPUTED_VALUE"""),46.0)</f>
        <v>46</v>
      </c>
      <c r="F957" s="2">
        <f>IFERROR(__xludf.DUMMYFUNCTION("""COMPUTED_VALUE"""),4363.0)</f>
        <v>4363</v>
      </c>
      <c r="G957" s="2">
        <f>IFERROR(__xludf.DUMMYFUNCTION("""COMPUTED_VALUE"""),0.0)</f>
        <v>0</v>
      </c>
    </row>
    <row r="958">
      <c r="A958" s="2" t="str">
        <f>IFERROR(__xludf.DUMMYFUNCTION("""COMPUTED_VALUE"""),"Colombia")</f>
        <v>Colombia</v>
      </c>
      <c r="B958" s="3">
        <f>IFERROR(__xludf.DUMMYFUNCTION("""COMPUTED_VALUE"""),42324.0)</f>
        <v>42324</v>
      </c>
      <c r="C958" s="3">
        <f>IFERROR(__xludf.DUMMYFUNCTION("""COMPUTED_VALUE"""),42330.0)</f>
        <v>42330</v>
      </c>
      <c r="D958" s="2">
        <f>IFERROR(__xludf.DUMMYFUNCTION("""COMPUTED_VALUE"""),7.0)</f>
        <v>7</v>
      </c>
      <c r="E958" s="2">
        <f>IFERROR(__xludf.DUMMYFUNCTION("""COMPUTED_VALUE"""),47.0)</f>
        <v>47</v>
      </c>
      <c r="F958" s="2">
        <f>IFERROR(__xludf.DUMMYFUNCTION("""COMPUTED_VALUE"""),4303.0)</f>
        <v>4303</v>
      </c>
      <c r="G958" s="2">
        <f>IFERROR(__xludf.DUMMYFUNCTION("""COMPUTED_VALUE"""),0.0)</f>
        <v>0</v>
      </c>
    </row>
    <row r="959">
      <c r="A959" s="2" t="str">
        <f>IFERROR(__xludf.DUMMYFUNCTION("""COMPUTED_VALUE"""),"Colombia")</f>
        <v>Colombia</v>
      </c>
      <c r="B959" s="3">
        <f>IFERROR(__xludf.DUMMYFUNCTION("""COMPUTED_VALUE"""),42331.0)</f>
        <v>42331</v>
      </c>
      <c r="C959" s="3">
        <f>IFERROR(__xludf.DUMMYFUNCTION("""COMPUTED_VALUE"""),42337.0)</f>
        <v>42337</v>
      </c>
      <c r="D959" s="2">
        <f>IFERROR(__xludf.DUMMYFUNCTION("""COMPUTED_VALUE"""),7.0)</f>
        <v>7</v>
      </c>
      <c r="E959" s="2">
        <f>IFERROR(__xludf.DUMMYFUNCTION("""COMPUTED_VALUE"""),48.0)</f>
        <v>48</v>
      </c>
      <c r="F959" s="2">
        <f>IFERROR(__xludf.DUMMYFUNCTION("""COMPUTED_VALUE"""),4289.0)</f>
        <v>4289</v>
      </c>
      <c r="G959" s="2">
        <f>IFERROR(__xludf.DUMMYFUNCTION("""COMPUTED_VALUE"""),0.0)</f>
        <v>0</v>
      </c>
    </row>
    <row r="960">
      <c r="A960" s="2" t="str">
        <f>IFERROR(__xludf.DUMMYFUNCTION("""COMPUTED_VALUE"""),"Colombia")</f>
        <v>Colombia</v>
      </c>
      <c r="B960" s="3">
        <f>IFERROR(__xludf.DUMMYFUNCTION("""COMPUTED_VALUE"""),42338.0)</f>
        <v>42338</v>
      </c>
      <c r="C960" s="3">
        <f>IFERROR(__xludf.DUMMYFUNCTION("""COMPUTED_VALUE"""),42344.0)</f>
        <v>42344</v>
      </c>
      <c r="D960" s="2">
        <f>IFERROR(__xludf.DUMMYFUNCTION("""COMPUTED_VALUE"""),7.0)</f>
        <v>7</v>
      </c>
      <c r="E960" s="2">
        <f>IFERROR(__xludf.DUMMYFUNCTION("""COMPUTED_VALUE"""),49.0)</f>
        <v>49</v>
      </c>
      <c r="F960" s="2">
        <f>IFERROR(__xludf.DUMMYFUNCTION("""COMPUTED_VALUE"""),4368.0)</f>
        <v>4368</v>
      </c>
      <c r="G960" s="2">
        <f>IFERROR(__xludf.DUMMYFUNCTION("""COMPUTED_VALUE"""),0.0)</f>
        <v>0</v>
      </c>
    </row>
    <row r="961">
      <c r="A961" s="2" t="str">
        <f>IFERROR(__xludf.DUMMYFUNCTION("""COMPUTED_VALUE"""),"Colombia")</f>
        <v>Colombia</v>
      </c>
      <c r="B961" s="3">
        <f>IFERROR(__xludf.DUMMYFUNCTION("""COMPUTED_VALUE"""),42345.0)</f>
        <v>42345</v>
      </c>
      <c r="C961" s="3">
        <f>IFERROR(__xludf.DUMMYFUNCTION("""COMPUTED_VALUE"""),42351.0)</f>
        <v>42351</v>
      </c>
      <c r="D961" s="2">
        <f>IFERROR(__xludf.DUMMYFUNCTION("""COMPUTED_VALUE"""),7.0)</f>
        <v>7</v>
      </c>
      <c r="E961" s="2">
        <f>IFERROR(__xludf.DUMMYFUNCTION("""COMPUTED_VALUE"""),50.0)</f>
        <v>50</v>
      </c>
      <c r="F961" s="2">
        <f>IFERROR(__xludf.DUMMYFUNCTION("""COMPUTED_VALUE"""),4324.0)</f>
        <v>4324</v>
      </c>
      <c r="G961" s="2">
        <f>IFERROR(__xludf.DUMMYFUNCTION("""COMPUTED_VALUE"""),0.0)</f>
        <v>0</v>
      </c>
    </row>
    <row r="962">
      <c r="A962" s="2" t="str">
        <f>IFERROR(__xludf.DUMMYFUNCTION("""COMPUTED_VALUE"""),"Colombia")</f>
        <v>Colombia</v>
      </c>
      <c r="B962" s="3">
        <f>IFERROR(__xludf.DUMMYFUNCTION("""COMPUTED_VALUE"""),42352.0)</f>
        <v>42352</v>
      </c>
      <c r="C962" s="3">
        <f>IFERROR(__xludf.DUMMYFUNCTION("""COMPUTED_VALUE"""),42358.0)</f>
        <v>42358</v>
      </c>
      <c r="D962" s="2">
        <f>IFERROR(__xludf.DUMMYFUNCTION("""COMPUTED_VALUE"""),7.0)</f>
        <v>7</v>
      </c>
      <c r="E962" s="2">
        <f>IFERROR(__xludf.DUMMYFUNCTION("""COMPUTED_VALUE"""),51.0)</f>
        <v>51</v>
      </c>
      <c r="F962" s="2">
        <f>IFERROR(__xludf.DUMMYFUNCTION("""COMPUTED_VALUE"""),4301.0)</f>
        <v>4301</v>
      </c>
      <c r="G962" s="2">
        <f>IFERROR(__xludf.DUMMYFUNCTION("""COMPUTED_VALUE"""),0.0)</f>
        <v>0</v>
      </c>
    </row>
    <row r="963">
      <c r="A963" s="2" t="str">
        <f>IFERROR(__xludf.DUMMYFUNCTION("""COMPUTED_VALUE"""),"Colombia")</f>
        <v>Colombia</v>
      </c>
      <c r="B963" s="3">
        <f>IFERROR(__xludf.DUMMYFUNCTION("""COMPUTED_VALUE"""),42359.0)</f>
        <v>42359</v>
      </c>
      <c r="C963" s="3">
        <f>IFERROR(__xludf.DUMMYFUNCTION("""COMPUTED_VALUE"""),42365.0)</f>
        <v>42365</v>
      </c>
      <c r="D963" s="2">
        <f>IFERROR(__xludf.DUMMYFUNCTION("""COMPUTED_VALUE"""),7.0)</f>
        <v>7</v>
      </c>
      <c r="E963" s="2">
        <f>IFERROR(__xludf.DUMMYFUNCTION("""COMPUTED_VALUE"""),52.0)</f>
        <v>52</v>
      </c>
      <c r="F963" s="2">
        <f>IFERROR(__xludf.DUMMYFUNCTION("""COMPUTED_VALUE"""),4553.0)</f>
        <v>4553</v>
      </c>
      <c r="G963" s="2">
        <f>IFERROR(__xludf.DUMMYFUNCTION("""COMPUTED_VALUE"""),0.0)</f>
        <v>0</v>
      </c>
    </row>
    <row r="964">
      <c r="A964" s="2" t="str">
        <f>IFERROR(__xludf.DUMMYFUNCTION("""COMPUTED_VALUE"""),"Colombia")</f>
        <v>Colombia</v>
      </c>
      <c r="B964" s="3">
        <f>IFERROR(__xludf.DUMMYFUNCTION("""COMPUTED_VALUE"""),42366.0)</f>
        <v>42366</v>
      </c>
      <c r="C964" s="3">
        <f>IFERROR(__xludf.DUMMYFUNCTION("""COMPUTED_VALUE"""),42372.0)</f>
        <v>42372</v>
      </c>
      <c r="D964" s="2">
        <f>IFERROR(__xludf.DUMMYFUNCTION("""COMPUTED_VALUE"""),7.0)</f>
        <v>7</v>
      </c>
      <c r="E964" s="2">
        <f>IFERROR(__xludf.DUMMYFUNCTION("""COMPUTED_VALUE"""),53.0)</f>
        <v>53</v>
      </c>
      <c r="F964" s="2">
        <f>IFERROR(__xludf.DUMMYFUNCTION("""COMPUTED_VALUE"""),4609.0)</f>
        <v>4609</v>
      </c>
      <c r="G964" s="2">
        <f>IFERROR(__xludf.DUMMYFUNCTION("""COMPUTED_VALUE"""),0.0)</f>
        <v>0</v>
      </c>
    </row>
    <row r="965">
      <c r="A965" s="2" t="str">
        <f>IFERROR(__xludf.DUMMYFUNCTION("""COMPUTED_VALUE"""),"Colombia")</f>
        <v>Colombia</v>
      </c>
      <c r="B965" s="3">
        <f>IFERROR(__xludf.DUMMYFUNCTION("""COMPUTED_VALUE"""),42373.0)</f>
        <v>42373</v>
      </c>
      <c r="C965" s="3">
        <f>IFERROR(__xludf.DUMMYFUNCTION("""COMPUTED_VALUE"""),42379.0)</f>
        <v>42379</v>
      </c>
      <c r="D965" s="2">
        <f>IFERROR(__xludf.DUMMYFUNCTION("""COMPUTED_VALUE"""),7.0)</f>
        <v>7</v>
      </c>
      <c r="E965" s="2">
        <f>IFERROR(__xludf.DUMMYFUNCTION("""COMPUTED_VALUE"""),1.0)</f>
        <v>1</v>
      </c>
      <c r="F965" s="2">
        <f>IFERROR(__xludf.DUMMYFUNCTION("""COMPUTED_VALUE"""),4474.0)</f>
        <v>4474</v>
      </c>
      <c r="G965" s="2">
        <f>IFERROR(__xludf.DUMMYFUNCTION("""COMPUTED_VALUE"""),0.0)</f>
        <v>0</v>
      </c>
    </row>
    <row r="966">
      <c r="A966" s="2" t="str">
        <f>IFERROR(__xludf.DUMMYFUNCTION("""COMPUTED_VALUE"""),"Colombia")</f>
        <v>Colombia</v>
      </c>
      <c r="B966" s="3">
        <f>IFERROR(__xludf.DUMMYFUNCTION("""COMPUTED_VALUE"""),42380.0)</f>
        <v>42380</v>
      </c>
      <c r="C966" s="3">
        <f>IFERROR(__xludf.DUMMYFUNCTION("""COMPUTED_VALUE"""),42386.0)</f>
        <v>42386</v>
      </c>
      <c r="D966" s="2">
        <f>IFERROR(__xludf.DUMMYFUNCTION("""COMPUTED_VALUE"""),7.0)</f>
        <v>7</v>
      </c>
      <c r="E966" s="2">
        <f>IFERROR(__xludf.DUMMYFUNCTION("""COMPUTED_VALUE"""),2.0)</f>
        <v>2</v>
      </c>
      <c r="F966" s="2">
        <f>IFERROR(__xludf.DUMMYFUNCTION("""COMPUTED_VALUE"""),4435.0)</f>
        <v>4435</v>
      </c>
      <c r="G966" s="2">
        <f>IFERROR(__xludf.DUMMYFUNCTION("""COMPUTED_VALUE"""),0.0)</f>
        <v>0</v>
      </c>
    </row>
    <row r="967">
      <c r="A967" s="2" t="str">
        <f>IFERROR(__xludf.DUMMYFUNCTION("""COMPUTED_VALUE"""),"Colombia")</f>
        <v>Colombia</v>
      </c>
      <c r="B967" s="3">
        <f>IFERROR(__xludf.DUMMYFUNCTION("""COMPUTED_VALUE"""),42387.0)</f>
        <v>42387</v>
      </c>
      <c r="C967" s="3">
        <f>IFERROR(__xludf.DUMMYFUNCTION("""COMPUTED_VALUE"""),42393.0)</f>
        <v>42393</v>
      </c>
      <c r="D967" s="2">
        <f>IFERROR(__xludf.DUMMYFUNCTION("""COMPUTED_VALUE"""),7.0)</f>
        <v>7</v>
      </c>
      <c r="E967" s="2">
        <f>IFERROR(__xludf.DUMMYFUNCTION("""COMPUTED_VALUE"""),3.0)</f>
        <v>3</v>
      </c>
      <c r="F967" s="2">
        <f>IFERROR(__xludf.DUMMYFUNCTION("""COMPUTED_VALUE"""),4389.0)</f>
        <v>4389</v>
      </c>
      <c r="G967" s="2">
        <f>IFERROR(__xludf.DUMMYFUNCTION("""COMPUTED_VALUE"""),0.0)</f>
        <v>0</v>
      </c>
    </row>
    <row r="968">
      <c r="A968" s="2" t="str">
        <f>IFERROR(__xludf.DUMMYFUNCTION("""COMPUTED_VALUE"""),"Colombia")</f>
        <v>Colombia</v>
      </c>
      <c r="B968" s="3">
        <f>IFERROR(__xludf.DUMMYFUNCTION("""COMPUTED_VALUE"""),42394.0)</f>
        <v>42394</v>
      </c>
      <c r="C968" s="3">
        <f>IFERROR(__xludf.DUMMYFUNCTION("""COMPUTED_VALUE"""),42400.0)</f>
        <v>42400</v>
      </c>
      <c r="D968" s="2">
        <f>IFERROR(__xludf.DUMMYFUNCTION("""COMPUTED_VALUE"""),7.0)</f>
        <v>7</v>
      </c>
      <c r="E968" s="2">
        <f>IFERROR(__xludf.DUMMYFUNCTION("""COMPUTED_VALUE"""),4.0)</f>
        <v>4</v>
      </c>
      <c r="F968" s="2">
        <f>IFERROR(__xludf.DUMMYFUNCTION("""COMPUTED_VALUE"""),4253.0)</f>
        <v>4253</v>
      </c>
      <c r="G968" s="2">
        <f>IFERROR(__xludf.DUMMYFUNCTION("""COMPUTED_VALUE"""),0.0)</f>
        <v>0</v>
      </c>
    </row>
    <row r="969">
      <c r="A969" s="2" t="str">
        <f>IFERROR(__xludf.DUMMYFUNCTION("""COMPUTED_VALUE"""),"Colombia")</f>
        <v>Colombia</v>
      </c>
      <c r="B969" s="3">
        <f>IFERROR(__xludf.DUMMYFUNCTION("""COMPUTED_VALUE"""),42401.0)</f>
        <v>42401</v>
      </c>
      <c r="C969" s="3">
        <f>IFERROR(__xludf.DUMMYFUNCTION("""COMPUTED_VALUE"""),42407.0)</f>
        <v>42407</v>
      </c>
      <c r="D969" s="2">
        <f>IFERROR(__xludf.DUMMYFUNCTION("""COMPUTED_VALUE"""),7.0)</f>
        <v>7</v>
      </c>
      <c r="E969" s="2">
        <f>IFERROR(__xludf.DUMMYFUNCTION("""COMPUTED_VALUE"""),5.0)</f>
        <v>5</v>
      </c>
      <c r="F969" s="2">
        <f>IFERROR(__xludf.DUMMYFUNCTION("""COMPUTED_VALUE"""),4183.0)</f>
        <v>4183</v>
      </c>
      <c r="G969" s="2">
        <f>IFERROR(__xludf.DUMMYFUNCTION("""COMPUTED_VALUE"""),0.0)</f>
        <v>0</v>
      </c>
    </row>
    <row r="970">
      <c r="A970" s="2" t="str">
        <f>IFERROR(__xludf.DUMMYFUNCTION("""COMPUTED_VALUE"""),"Colombia")</f>
        <v>Colombia</v>
      </c>
      <c r="B970" s="3">
        <f>IFERROR(__xludf.DUMMYFUNCTION("""COMPUTED_VALUE"""),42408.0)</f>
        <v>42408</v>
      </c>
      <c r="C970" s="3">
        <f>IFERROR(__xludf.DUMMYFUNCTION("""COMPUTED_VALUE"""),42414.0)</f>
        <v>42414</v>
      </c>
      <c r="D970" s="2">
        <f>IFERROR(__xludf.DUMMYFUNCTION("""COMPUTED_VALUE"""),7.0)</f>
        <v>7</v>
      </c>
      <c r="E970" s="2">
        <f>IFERROR(__xludf.DUMMYFUNCTION("""COMPUTED_VALUE"""),6.0)</f>
        <v>6</v>
      </c>
      <c r="F970" s="2">
        <f>IFERROR(__xludf.DUMMYFUNCTION("""COMPUTED_VALUE"""),4113.0)</f>
        <v>4113</v>
      </c>
      <c r="G970" s="2">
        <f>IFERROR(__xludf.DUMMYFUNCTION("""COMPUTED_VALUE"""),0.0)</f>
        <v>0</v>
      </c>
    </row>
    <row r="971">
      <c r="A971" s="2" t="str">
        <f>IFERROR(__xludf.DUMMYFUNCTION("""COMPUTED_VALUE"""),"Colombia")</f>
        <v>Colombia</v>
      </c>
      <c r="B971" s="3">
        <f>IFERROR(__xludf.DUMMYFUNCTION("""COMPUTED_VALUE"""),42415.0)</f>
        <v>42415</v>
      </c>
      <c r="C971" s="3">
        <f>IFERROR(__xludf.DUMMYFUNCTION("""COMPUTED_VALUE"""),42421.0)</f>
        <v>42421</v>
      </c>
      <c r="D971" s="2">
        <f>IFERROR(__xludf.DUMMYFUNCTION("""COMPUTED_VALUE"""),7.0)</f>
        <v>7</v>
      </c>
      <c r="E971" s="2">
        <f>IFERROR(__xludf.DUMMYFUNCTION("""COMPUTED_VALUE"""),7.0)</f>
        <v>7</v>
      </c>
      <c r="F971" s="2">
        <f>IFERROR(__xludf.DUMMYFUNCTION("""COMPUTED_VALUE"""),4131.0)</f>
        <v>4131</v>
      </c>
      <c r="G971" s="2">
        <f>IFERROR(__xludf.DUMMYFUNCTION("""COMPUTED_VALUE"""),0.0)</f>
        <v>0</v>
      </c>
    </row>
    <row r="972">
      <c r="A972" s="2" t="str">
        <f>IFERROR(__xludf.DUMMYFUNCTION("""COMPUTED_VALUE"""),"Colombia")</f>
        <v>Colombia</v>
      </c>
      <c r="B972" s="3">
        <f>IFERROR(__xludf.DUMMYFUNCTION("""COMPUTED_VALUE"""),42422.0)</f>
        <v>42422</v>
      </c>
      <c r="C972" s="3">
        <f>IFERROR(__xludf.DUMMYFUNCTION("""COMPUTED_VALUE"""),42428.0)</f>
        <v>42428</v>
      </c>
      <c r="D972" s="2">
        <f>IFERROR(__xludf.DUMMYFUNCTION("""COMPUTED_VALUE"""),7.0)</f>
        <v>7</v>
      </c>
      <c r="E972" s="2">
        <f>IFERROR(__xludf.DUMMYFUNCTION("""COMPUTED_VALUE"""),8.0)</f>
        <v>8</v>
      </c>
      <c r="F972" s="2">
        <f>IFERROR(__xludf.DUMMYFUNCTION("""COMPUTED_VALUE"""),4100.0)</f>
        <v>4100</v>
      </c>
      <c r="G972" s="2">
        <f>IFERROR(__xludf.DUMMYFUNCTION("""COMPUTED_VALUE"""),0.0)</f>
        <v>0</v>
      </c>
    </row>
    <row r="973">
      <c r="A973" s="2" t="str">
        <f>IFERROR(__xludf.DUMMYFUNCTION("""COMPUTED_VALUE"""),"Colombia")</f>
        <v>Colombia</v>
      </c>
      <c r="B973" s="3">
        <f>IFERROR(__xludf.DUMMYFUNCTION("""COMPUTED_VALUE"""),42429.0)</f>
        <v>42429</v>
      </c>
      <c r="C973" s="3">
        <f>IFERROR(__xludf.DUMMYFUNCTION("""COMPUTED_VALUE"""),42435.0)</f>
        <v>42435</v>
      </c>
      <c r="D973" s="2">
        <f>IFERROR(__xludf.DUMMYFUNCTION("""COMPUTED_VALUE"""),7.0)</f>
        <v>7</v>
      </c>
      <c r="E973" s="2">
        <f>IFERROR(__xludf.DUMMYFUNCTION("""COMPUTED_VALUE"""),9.0)</f>
        <v>9</v>
      </c>
      <c r="F973" s="2">
        <f>IFERROR(__xludf.DUMMYFUNCTION("""COMPUTED_VALUE"""),4190.0)</f>
        <v>4190</v>
      </c>
      <c r="G973" s="2">
        <f>IFERROR(__xludf.DUMMYFUNCTION("""COMPUTED_VALUE"""),0.0)</f>
        <v>0</v>
      </c>
    </row>
    <row r="974">
      <c r="A974" s="2" t="str">
        <f>IFERROR(__xludf.DUMMYFUNCTION("""COMPUTED_VALUE"""),"Colombia")</f>
        <v>Colombia</v>
      </c>
      <c r="B974" s="3">
        <f>IFERROR(__xludf.DUMMYFUNCTION("""COMPUTED_VALUE"""),42436.0)</f>
        <v>42436</v>
      </c>
      <c r="C974" s="3">
        <f>IFERROR(__xludf.DUMMYFUNCTION("""COMPUTED_VALUE"""),42442.0)</f>
        <v>42442</v>
      </c>
      <c r="D974" s="2">
        <f>IFERROR(__xludf.DUMMYFUNCTION("""COMPUTED_VALUE"""),7.0)</f>
        <v>7</v>
      </c>
      <c r="E974" s="2">
        <f>IFERROR(__xludf.DUMMYFUNCTION("""COMPUTED_VALUE"""),10.0)</f>
        <v>10</v>
      </c>
      <c r="F974" s="2">
        <f>IFERROR(__xludf.DUMMYFUNCTION("""COMPUTED_VALUE"""),4218.0)</f>
        <v>4218</v>
      </c>
      <c r="G974" s="2">
        <f>IFERROR(__xludf.DUMMYFUNCTION("""COMPUTED_VALUE"""),0.0)</f>
        <v>0</v>
      </c>
    </row>
    <row r="975">
      <c r="A975" s="2" t="str">
        <f>IFERROR(__xludf.DUMMYFUNCTION("""COMPUTED_VALUE"""),"Colombia")</f>
        <v>Colombia</v>
      </c>
      <c r="B975" s="3">
        <f>IFERROR(__xludf.DUMMYFUNCTION("""COMPUTED_VALUE"""),42443.0)</f>
        <v>42443</v>
      </c>
      <c r="C975" s="3">
        <f>IFERROR(__xludf.DUMMYFUNCTION("""COMPUTED_VALUE"""),42449.0)</f>
        <v>42449</v>
      </c>
      <c r="D975" s="2">
        <f>IFERROR(__xludf.DUMMYFUNCTION("""COMPUTED_VALUE"""),7.0)</f>
        <v>7</v>
      </c>
      <c r="E975" s="2">
        <f>IFERROR(__xludf.DUMMYFUNCTION("""COMPUTED_VALUE"""),11.0)</f>
        <v>11</v>
      </c>
      <c r="F975" s="2">
        <f>IFERROR(__xludf.DUMMYFUNCTION("""COMPUTED_VALUE"""),4228.0)</f>
        <v>4228</v>
      </c>
      <c r="G975" s="2">
        <f>IFERROR(__xludf.DUMMYFUNCTION("""COMPUTED_VALUE"""),0.0)</f>
        <v>0</v>
      </c>
    </row>
    <row r="976">
      <c r="A976" s="2" t="str">
        <f>IFERROR(__xludf.DUMMYFUNCTION("""COMPUTED_VALUE"""),"Colombia")</f>
        <v>Colombia</v>
      </c>
      <c r="B976" s="3">
        <f>IFERROR(__xludf.DUMMYFUNCTION("""COMPUTED_VALUE"""),42450.0)</f>
        <v>42450</v>
      </c>
      <c r="C976" s="3">
        <f>IFERROR(__xludf.DUMMYFUNCTION("""COMPUTED_VALUE"""),42456.0)</f>
        <v>42456</v>
      </c>
      <c r="D976" s="2">
        <f>IFERROR(__xludf.DUMMYFUNCTION("""COMPUTED_VALUE"""),7.0)</f>
        <v>7</v>
      </c>
      <c r="E976" s="2">
        <f>IFERROR(__xludf.DUMMYFUNCTION("""COMPUTED_VALUE"""),12.0)</f>
        <v>12</v>
      </c>
      <c r="F976" s="2">
        <f>IFERROR(__xludf.DUMMYFUNCTION("""COMPUTED_VALUE"""),4275.0)</f>
        <v>4275</v>
      </c>
      <c r="G976" s="2">
        <f>IFERROR(__xludf.DUMMYFUNCTION("""COMPUTED_VALUE"""),0.0)</f>
        <v>0</v>
      </c>
    </row>
    <row r="977">
      <c r="A977" s="2" t="str">
        <f>IFERROR(__xludf.DUMMYFUNCTION("""COMPUTED_VALUE"""),"Colombia")</f>
        <v>Colombia</v>
      </c>
      <c r="B977" s="3">
        <f>IFERROR(__xludf.DUMMYFUNCTION("""COMPUTED_VALUE"""),42457.0)</f>
        <v>42457</v>
      </c>
      <c r="C977" s="3">
        <f>IFERROR(__xludf.DUMMYFUNCTION("""COMPUTED_VALUE"""),42463.0)</f>
        <v>42463</v>
      </c>
      <c r="D977" s="2">
        <f>IFERROR(__xludf.DUMMYFUNCTION("""COMPUTED_VALUE"""),7.0)</f>
        <v>7</v>
      </c>
      <c r="E977" s="2">
        <f>IFERROR(__xludf.DUMMYFUNCTION("""COMPUTED_VALUE"""),13.0)</f>
        <v>13</v>
      </c>
      <c r="F977" s="2">
        <f>IFERROR(__xludf.DUMMYFUNCTION("""COMPUTED_VALUE"""),4092.0)</f>
        <v>4092</v>
      </c>
      <c r="G977" s="2">
        <f>IFERROR(__xludf.DUMMYFUNCTION("""COMPUTED_VALUE"""),0.0)</f>
        <v>0</v>
      </c>
    </row>
    <row r="978">
      <c r="A978" s="2" t="str">
        <f>IFERROR(__xludf.DUMMYFUNCTION("""COMPUTED_VALUE"""),"Colombia")</f>
        <v>Colombia</v>
      </c>
      <c r="B978" s="3">
        <f>IFERROR(__xludf.DUMMYFUNCTION("""COMPUTED_VALUE"""),42464.0)</f>
        <v>42464</v>
      </c>
      <c r="C978" s="3">
        <f>IFERROR(__xludf.DUMMYFUNCTION("""COMPUTED_VALUE"""),42470.0)</f>
        <v>42470</v>
      </c>
      <c r="D978" s="2">
        <f>IFERROR(__xludf.DUMMYFUNCTION("""COMPUTED_VALUE"""),7.0)</f>
        <v>7</v>
      </c>
      <c r="E978" s="2">
        <f>IFERROR(__xludf.DUMMYFUNCTION("""COMPUTED_VALUE"""),14.0)</f>
        <v>14</v>
      </c>
      <c r="F978" s="2">
        <f>IFERROR(__xludf.DUMMYFUNCTION("""COMPUTED_VALUE"""),4112.0)</f>
        <v>4112</v>
      </c>
      <c r="G978" s="2">
        <f>IFERROR(__xludf.DUMMYFUNCTION("""COMPUTED_VALUE"""),0.0)</f>
        <v>0</v>
      </c>
    </row>
    <row r="979">
      <c r="A979" s="2" t="str">
        <f>IFERROR(__xludf.DUMMYFUNCTION("""COMPUTED_VALUE"""),"Colombia")</f>
        <v>Colombia</v>
      </c>
      <c r="B979" s="3">
        <f>IFERROR(__xludf.DUMMYFUNCTION("""COMPUTED_VALUE"""),42471.0)</f>
        <v>42471</v>
      </c>
      <c r="C979" s="3">
        <f>IFERROR(__xludf.DUMMYFUNCTION("""COMPUTED_VALUE"""),42477.0)</f>
        <v>42477</v>
      </c>
      <c r="D979" s="2">
        <f>IFERROR(__xludf.DUMMYFUNCTION("""COMPUTED_VALUE"""),7.0)</f>
        <v>7</v>
      </c>
      <c r="E979" s="2">
        <f>IFERROR(__xludf.DUMMYFUNCTION("""COMPUTED_VALUE"""),15.0)</f>
        <v>15</v>
      </c>
      <c r="F979" s="2">
        <f>IFERROR(__xludf.DUMMYFUNCTION("""COMPUTED_VALUE"""),4153.0)</f>
        <v>4153</v>
      </c>
      <c r="G979" s="2">
        <f>IFERROR(__xludf.DUMMYFUNCTION("""COMPUTED_VALUE"""),0.0)</f>
        <v>0</v>
      </c>
    </row>
    <row r="980">
      <c r="A980" s="2" t="str">
        <f>IFERROR(__xludf.DUMMYFUNCTION("""COMPUTED_VALUE"""),"Colombia")</f>
        <v>Colombia</v>
      </c>
      <c r="B980" s="3">
        <f>IFERROR(__xludf.DUMMYFUNCTION("""COMPUTED_VALUE"""),42478.0)</f>
        <v>42478</v>
      </c>
      <c r="C980" s="3">
        <f>IFERROR(__xludf.DUMMYFUNCTION("""COMPUTED_VALUE"""),42484.0)</f>
        <v>42484</v>
      </c>
      <c r="D980" s="2">
        <f>IFERROR(__xludf.DUMMYFUNCTION("""COMPUTED_VALUE"""),7.0)</f>
        <v>7</v>
      </c>
      <c r="E980" s="2">
        <f>IFERROR(__xludf.DUMMYFUNCTION("""COMPUTED_VALUE"""),16.0)</f>
        <v>16</v>
      </c>
      <c r="F980" s="2">
        <f>IFERROR(__xludf.DUMMYFUNCTION("""COMPUTED_VALUE"""),4211.0)</f>
        <v>4211</v>
      </c>
      <c r="G980" s="2">
        <f>IFERROR(__xludf.DUMMYFUNCTION("""COMPUTED_VALUE"""),0.0)</f>
        <v>0</v>
      </c>
    </row>
    <row r="981">
      <c r="A981" s="2" t="str">
        <f>IFERROR(__xludf.DUMMYFUNCTION("""COMPUTED_VALUE"""),"Colombia")</f>
        <v>Colombia</v>
      </c>
      <c r="B981" s="3">
        <f>IFERROR(__xludf.DUMMYFUNCTION("""COMPUTED_VALUE"""),42485.0)</f>
        <v>42485</v>
      </c>
      <c r="C981" s="3">
        <f>IFERROR(__xludf.DUMMYFUNCTION("""COMPUTED_VALUE"""),42491.0)</f>
        <v>42491</v>
      </c>
      <c r="D981" s="2">
        <f>IFERROR(__xludf.DUMMYFUNCTION("""COMPUTED_VALUE"""),7.0)</f>
        <v>7</v>
      </c>
      <c r="E981" s="2">
        <f>IFERROR(__xludf.DUMMYFUNCTION("""COMPUTED_VALUE"""),17.0)</f>
        <v>17</v>
      </c>
      <c r="F981" s="2">
        <f>IFERROR(__xludf.DUMMYFUNCTION("""COMPUTED_VALUE"""),4110.0)</f>
        <v>4110</v>
      </c>
      <c r="G981" s="2">
        <f>IFERROR(__xludf.DUMMYFUNCTION("""COMPUTED_VALUE"""),0.0)</f>
        <v>0</v>
      </c>
    </row>
    <row r="982">
      <c r="A982" s="2" t="str">
        <f>IFERROR(__xludf.DUMMYFUNCTION("""COMPUTED_VALUE"""),"Colombia")</f>
        <v>Colombia</v>
      </c>
      <c r="B982" s="3">
        <f>IFERROR(__xludf.DUMMYFUNCTION("""COMPUTED_VALUE"""),42492.0)</f>
        <v>42492</v>
      </c>
      <c r="C982" s="3">
        <f>IFERROR(__xludf.DUMMYFUNCTION("""COMPUTED_VALUE"""),42498.0)</f>
        <v>42498</v>
      </c>
      <c r="D982" s="2">
        <f>IFERROR(__xludf.DUMMYFUNCTION("""COMPUTED_VALUE"""),7.0)</f>
        <v>7</v>
      </c>
      <c r="E982" s="2">
        <f>IFERROR(__xludf.DUMMYFUNCTION("""COMPUTED_VALUE"""),18.0)</f>
        <v>18</v>
      </c>
      <c r="F982" s="2">
        <f>IFERROR(__xludf.DUMMYFUNCTION("""COMPUTED_VALUE"""),4175.0)</f>
        <v>4175</v>
      </c>
      <c r="G982" s="2">
        <f>IFERROR(__xludf.DUMMYFUNCTION("""COMPUTED_VALUE"""),0.0)</f>
        <v>0</v>
      </c>
    </row>
    <row r="983">
      <c r="A983" s="2" t="str">
        <f>IFERROR(__xludf.DUMMYFUNCTION("""COMPUTED_VALUE"""),"Colombia")</f>
        <v>Colombia</v>
      </c>
      <c r="B983" s="3">
        <f>IFERROR(__xludf.DUMMYFUNCTION("""COMPUTED_VALUE"""),42499.0)</f>
        <v>42499</v>
      </c>
      <c r="C983" s="3">
        <f>IFERROR(__xludf.DUMMYFUNCTION("""COMPUTED_VALUE"""),42505.0)</f>
        <v>42505</v>
      </c>
      <c r="D983" s="2">
        <f>IFERROR(__xludf.DUMMYFUNCTION("""COMPUTED_VALUE"""),7.0)</f>
        <v>7</v>
      </c>
      <c r="E983" s="2">
        <f>IFERROR(__xludf.DUMMYFUNCTION("""COMPUTED_VALUE"""),19.0)</f>
        <v>19</v>
      </c>
      <c r="F983" s="2">
        <f>IFERROR(__xludf.DUMMYFUNCTION("""COMPUTED_VALUE"""),4320.0)</f>
        <v>4320</v>
      </c>
      <c r="G983" s="2">
        <f>IFERROR(__xludf.DUMMYFUNCTION("""COMPUTED_VALUE"""),0.0)</f>
        <v>0</v>
      </c>
    </row>
    <row r="984">
      <c r="A984" s="2" t="str">
        <f>IFERROR(__xludf.DUMMYFUNCTION("""COMPUTED_VALUE"""),"Colombia")</f>
        <v>Colombia</v>
      </c>
      <c r="B984" s="3">
        <f>IFERROR(__xludf.DUMMYFUNCTION("""COMPUTED_VALUE"""),42506.0)</f>
        <v>42506</v>
      </c>
      <c r="C984" s="3">
        <f>IFERROR(__xludf.DUMMYFUNCTION("""COMPUTED_VALUE"""),42512.0)</f>
        <v>42512</v>
      </c>
      <c r="D984" s="2">
        <f>IFERROR(__xludf.DUMMYFUNCTION("""COMPUTED_VALUE"""),7.0)</f>
        <v>7</v>
      </c>
      <c r="E984" s="2">
        <f>IFERROR(__xludf.DUMMYFUNCTION("""COMPUTED_VALUE"""),20.0)</f>
        <v>20</v>
      </c>
      <c r="F984" s="2">
        <f>IFERROR(__xludf.DUMMYFUNCTION("""COMPUTED_VALUE"""),4632.0)</f>
        <v>4632</v>
      </c>
      <c r="G984" s="2">
        <f>IFERROR(__xludf.DUMMYFUNCTION("""COMPUTED_VALUE"""),0.0)</f>
        <v>0</v>
      </c>
    </row>
    <row r="985">
      <c r="A985" s="2" t="str">
        <f>IFERROR(__xludf.DUMMYFUNCTION("""COMPUTED_VALUE"""),"Colombia")</f>
        <v>Colombia</v>
      </c>
      <c r="B985" s="3">
        <f>IFERROR(__xludf.DUMMYFUNCTION("""COMPUTED_VALUE"""),42513.0)</f>
        <v>42513</v>
      </c>
      <c r="C985" s="3">
        <f>IFERROR(__xludf.DUMMYFUNCTION("""COMPUTED_VALUE"""),42519.0)</f>
        <v>42519</v>
      </c>
      <c r="D985" s="2">
        <f>IFERROR(__xludf.DUMMYFUNCTION("""COMPUTED_VALUE"""),7.0)</f>
        <v>7</v>
      </c>
      <c r="E985" s="2">
        <f>IFERROR(__xludf.DUMMYFUNCTION("""COMPUTED_VALUE"""),21.0)</f>
        <v>21</v>
      </c>
      <c r="F985" s="2">
        <f>IFERROR(__xludf.DUMMYFUNCTION("""COMPUTED_VALUE"""),4532.0)</f>
        <v>4532</v>
      </c>
      <c r="G985" s="2">
        <f>IFERROR(__xludf.DUMMYFUNCTION("""COMPUTED_VALUE"""),0.0)</f>
        <v>0</v>
      </c>
    </row>
    <row r="986">
      <c r="A986" s="2" t="str">
        <f>IFERROR(__xludf.DUMMYFUNCTION("""COMPUTED_VALUE"""),"Colombia")</f>
        <v>Colombia</v>
      </c>
      <c r="B986" s="3">
        <f>IFERROR(__xludf.DUMMYFUNCTION("""COMPUTED_VALUE"""),42520.0)</f>
        <v>42520</v>
      </c>
      <c r="C986" s="3">
        <f>IFERROR(__xludf.DUMMYFUNCTION("""COMPUTED_VALUE"""),42526.0)</f>
        <v>42526</v>
      </c>
      <c r="D986" s="2">
        <f>IFERROR(__xludf.DUMMYFUNCTION("""COMPUTED_VALUE"""),7.0)</f>
        <v>7</v>
      </c>
      <c r="E986" s="2">
        <f>IFERROR(__xludf.DUMMYFUNCTION("""COMPUTED_VALUE"""),22.0)</f>
        <v>22</v>
      </c>
      <c r="F986" s="2">
        <f>IFERROR(__xludf.DUMMYFUNCTION("""COMPUTED_VALUE"""),4582.0)</f>
        <v>4582</v>
      </c>
      <c r="G986" s="2">
        <f>IFERROR(__xludf.DUMMYFUNCTION("""COMPUTED_VALUE"""),0.0)</f>
        <v>0</v>
      </c>
    </row>
    <row r="987">
      <c r="A987" s="2" t="str">
        <f>IFERROR(__xludf.DUMMYFUNCTION("""COMPUTED_VALUE"""),"Colombia")</f>
        <v>Colombia</v>
      </c>
      <c r="B987" s="3">
        <f>IFERROR(__xludf.DUMMYFUNCTION("""COMPUTED_VALUE"""),42527.0)</f>
        <v>42527</v>
      </c>
      <c r="C987" s="3">
        <f>IFERROR(__xludf.DUMMYFUNCTION("""COMPUTED_VALUE"""),42533.0)</f>
        <v>42533</v>
      </c>
      <c r="D987" s="2">
        <f>IFERROR(__xludf.DUMMYFUNCTION("""COMPUTED_VALUE"""),7.0)</f>
        <v>7</v>
      </c>
      <c r="E987" s="2">
        <f>IFERROR(__xludf.DUMMYFUNCTION("""COMPUTED_VALUE"""),23.0)</f>
        <v>23</v>
      </c>
      <c r="F987" s="2">
        <f>IFERROR(__xludf.DUMMYFUNCTION("""COMPUTED_VALUE"""),4561.0)</f>
        <v>4561</v>
      </c>
      <c r="G987" s="2">
        <f>IFERROR(__xludf.DUMMYFUNCTION("""COMPUTED_VALUE"""),0.0)</f>
        <v>0</v>
      </c>
    </row>
    <row r="988">
      <c r="A988" s="2" t="str">
        <f>IFERROR(__xludf.DUMMYFUNCTION("""COMPUTED_VALUE"""),"Colombia")</f>
        <v>Colombia</v>
      </c>
      <c r="B988" s="3">
        <f>IFERROR(__xludf.DUMMYFUNCTION("""COMPUTED_VALUE"""),42534.0)</f>
        <v>42534</v>
      </c>
      <c r="C988" s="3">
        <f>IFERROR(__xludf.DUMMYFUNCTION("""COMPUTED_VALUE"""),42540.0)</f>
        <v>42540</v>
      </c>
      <c r="D988" s="2">
        <f>IFERROR(__xludf.DUMMYFUNCTION("""COMPUTED_VALUE"""),7.0)</f>
        <v>7</v>
      </c>
      <c r="E988" s="2">
        <f>IFERROR(__xludf.DUMMYFUNCTION("""COMPUTED_VALUE"""),24.0)</f>
        <v>24</v>
      </c>
      <c r="F988" s="2">
        <f>IFERROR(__xludf.DUMMYFUNCTION("""COMPUTED_VALUE"""),4537.0)</f>
        <v>4537</v>
      </c>
      <c r="G988" s="2">
        <f>IFERROR(__xludf.DUMMYFUNCTION("""COMPUTED_VALUE"""),0.0)</f>
        <v>0</v>
      </c>
    </row>
    <row r="989">
      <c r="A989" s="2" t="str">
        <f>IFERROR(__xludf.DUMMYFUNCTION("""COMPUTED_VALUE"""),"Colombia")</f>
        <v>Colombia</v>
      </c>
      <c r="B989" s="3">
        <f>IFERROR(__xludf.DUMMYFUNCTION("""COMPUTED_VALUE"""),42541.0)</f>
        <v>42541</v>
      </c>
      <c r="C989" s="3">
        <f>IFERROR(__xludf.DUMMYFUNCTION("""COMPUTED_VALUE"""),42547.0)</f>
        <v>42547</v>
      </c>
      <c r="D989" s="2">
        <f>IFERROR(__xludf.DUMMYFUNCTION("""COMPUTED_VALUE"""),7.0)</f>
        <v>7</v>
      </c>
      <c r="E989" s="2">
        <f>IFERROR(__xludf.DUMMYFUNCTION("""COMPUTED_VALUE"""),25.0)</f>
        <v>25</v>
      </c>
      <c r="F989" s="2">
        <f>IFERROR(__xludf.DUMMYFUNCTION("""COMPUTED_VALUE"""),4503.0)</f>
        <v>4503</v>
      </c>
      <c r="G989" s="2">
        <f>IFERROR(__xludf.DUMMYFUNCTION("""COMPUTED_VALUE"""),0.0)</f>
        <v>0</v>
      </c>
    </row>
    <row r="990">
      <c r="A990" s="2" t="str">
        <f>IFERROR(__xludf.DUMMYFUNCTION("""COMPUTED_VALUE"""),"Colombia")</f>
        <v>Colombia</v>
      </c>
      <c r="B990" s="3">
        <f>IFERROR(__xludf.DUMMYFUNCTION("""COMPUTED_VALUE"""),42548.0)</f>
        <v>42548</v>
      </c>
      <c r="C990" s="3">
        <f>IFERROR(__xludf.DUMMYFUNCTION("""COMPUTED_VALUE"""),42554.0)</f>
        <v>42554</v>
      </c>
      <c r="D990" s="2">
        <f>IFERROR(__xludf.DUMMYFUNCTION("""COMPUTED_VALUE"""),7.0)</f>
        <v>7</v>
      </c>
      <c r="E990" s="2">
        <f>IFERROR(__xludf.DUMMYFUNCTION("""COMPUTED_VALUE"""),26.0)</f>
        <v>26</v>
      </c>
      <c r="F990" s="2">
        <f>IFERROR(__xludf.DUMMYFUNCTION("""COMPUTED_VALUE"""),4530.0)</f>
        <v>4530</v>
      </c>
      <c r="G990" s="2">
        <f>IFERROR(__xludf.DUMMYFUNCTION("""COMPUTED_VALUE"""),0.0)</f>
        <v>0</v>
      </c>
    </row>
    <row r="991">
      <c r="A991" s="2" t="str">
        <f>IFERROR(__xludf.DUMMYFUNCTION("""COMPUTED_VALUE"""),"Colombia")</f>
        <v>Colombia</v>
      </c>
      <c r="B991" s="3">
        <f>IFERROR(__xludf.DUMMYFUNCTION("""COMPUTED_VALUE"""),42555.0)</f>
        <v>42555</v>
      </c>
      <c r="C991" s="3">
        <f>IFERROR(__xludf.DUMMYFUNCTION("""COMPUTED_VALUE"""),42561.0)</f>
        <v>42561</v>
      </c>
      <c r="D991" s="2">
        <f>IFERROR(__xludf.DUMMYFUNCTION("""COMPUTED_VALUE"""),7.0)</f>
        <v>7</v>
      </c>
      <c r="E991" s="2">
        <f>IFERROR(__xludf.DUMMYFUNCTION("""COMPUTED_VALUE"""),27.0)</f>
        <v>27</v>
      </c>
      <c r="F991" s="2">
        <f>IFERROR(__xludf.DUMMYFUNCTION("""COMPUTED_VALUE"""),4349.0)</f>
        <v>4349</v>
      </c>
      <c r="G991" s="2">
        <f>IFERROR(__xludf.DUMMYFUNCTION("""COMPUTED_VALUE"""),0.0)</f>
        <v>0</v>
      </c>
    </row>
    <row r="992">
      <c r="A992" s="2" t="str">
        <f>IFERROR(__xludf.DUMMYFUNCTION("""COMPUTED_VALUE"""),"Colombia")</f>
        <v>Colombia</v>
      </c>
      <c r="B992" s="3">
        <f>IFERROR(__xludf.DUMMYFUNCTION("""COMPUTED_VALUE"""),42562.0)</f>
        <v>42562</v>
      </c>
      <c r="C992" s="3">
        <f>IFERROR(__xludf.DUMMYFUNCTION("""COMPUTED_VALUE"""),42568.0)</f>
        <v>42568</v>
      </c>
      <c r="D992" s="2">
        <f>IFERROR(__xludf.DUMMYFUNCTION("""COMPUTED_VALUE"""),7.0)</f>
        <v>7</v>
      </c>
      <c r="E992" s="2">
        <f>IFERROR(__xludf.DUMMYFUNCTION("""COMPUTED_VALUE"""),28.0)</f>
        <v>28</v>
      </c>
      <c r="F992" s="2">
        <f>IFERROR(__xludf.DUMMYFUNCTION("""COMPUTED_VALUE"""),4315.0)</f>
        <v>4315</v>
      </c>
      <c r="G992" s="2">
        <f>IFERROR(__xludf.DUMMYFUNCTION("""COMPUTED_VALUE"""),0.0)</f>
        <v>0</v>
      </c>
    </row>
    <row r="993">
      <c r="A993" s="2" t="str">
        <f>IFERROR(__xludf.DUMMYFUNCTION("""COMPUTED_VALUE"""),"Colombia")</f>
        <v>Colombia</v>
      </c>
      <c r="B993" s="3">
        <f>IFERROR(__xludf.DUMMYFUNCTION("""COMPUTED_VALUE"""),42569.0)</f>
        <v>42569</v>
      </c>
      <c r="C993" s="3">
        <f>IFERROR(__xludf.DUMMYFUNCTION("""COMPUTED_VALUE"""),42575.0)</f>
        <v>42575</v>
      </c>
      <c r="D993" s="2">
        <f>IFERROR(__xludf.DUMMYFUNCTION("""COMPUTED_VALUE"""),7.0)</f>
        <v>7</v>
      </c>
      <c r="E993" s="2">
        <f>IFERROR(__xludf.DUMMYFUNCTION("""COMPUTED_VALUE"""),29.0)</f>
        <v>29</v>
      </c>
      <c r="F993" s="2">
        <f>IFERROR(__xludf.DUMMYFUNCTION("""COMPUTED_VALUE"""),4088.0)</f>
        <v>4088</v>
      </c>
      <c r="G993" s="2">
        <f>IFERROR(__xludf.DUMMYFUNCTION("""COMPUTED_VALUE"""),0.0)</f>
        <v>0</v>
      </c>
    </row>
    <row r="994">
      <c r="A994" s="2" t="str">
        <f>IFERROR(__xludf.DUMMYFUNCTION("""COMPUTED_VALUE"""),"Colombia")</f>
        <v>Colombia</v>
      </c>
      <c r="B994" s="3">
        <f>IFERROR(__xludf.DUMMYFUNCTION("""COMPUTED_VALUE"""),42576.0)</f>
        <v>42576</v>
      </c>
      <c r="C994" s="3">
        <f>IFERROR(__xludf.DUMMYFUNCTION("""COMPUTED_VALUE"""),42582.0)</f>
        <v>42582</v>
      </c>
      <c r="D994" s="2">
        <f>IFERROR(__xludf.DUMMYFUNCTION("""COMPUTED_VALUE"""),7.0)</f>
        <v>7</v>
      </c>
      <c r="E994" s="2">
        <f>IFERROR(__xludf.DUMMYFUNCTION("""COMPUTED_VALUE"""),30.0)</f>
        <v>30</v>
      </c>
      <c r="F994" s="2">
        <f>IFERROR(__xludf.DUMMYFUNCTION("""COMPUTED_VALUE"""),4188.0)</f>
        <v>4188</v>
      </c>
      <c r="G994" s="2">
        <f>IFERROR(__xludf.DUMMYFUNCTION("""COMPUTED_VALUE"""),0.0)</f>
        <v>0</v>
      </c>
    </row>
    <row r="995">
      <c r="A995" s="2" t="str">
        <f>IFERROR(__xludf.DUMMYFUNCTION("""COMPUTED_VALUE"""),"Colombia")</f>
        <v>Colombia</v>
      </c>
      <c r="B995" s="3">
        <f>IFERROR(__xludf.DUMMYFUNCTION("""COMPUTED_VALUE"""),42583.0)</f>
        <v>42583</v>
      </c>
      <c r="C995" s="3">
        <f>IFERROR(__xludf.DUMMYFUNCTION("""COMPUTED_VALUE"""),42589.0)</f>
        <v>42589</v>
      </c>
      <c r="D995" s="2">
        <f>IFERROR(__xludf.DUMMYFUNCTION("""COMPUTED_VALUE"""),7.0)</f>
        <v>7</v>
      </c>
      <c r="E995" s="2">
        <f>IFERROR(__xludf.DUMMYFUNCTION("""COMPUTED_VALUE"""),31.0)</f>
        <v>31</v>
      </c>
      <c r="F995" s="2">
        <f>IFERROR(__xludf.DUMMYFUNCTION("""COMPUTED_VALUE"""),4175.0)</f>
        <v>4175</v>
      </c>
      <c r="G995" s="2">
        <f>IFERROR(__xludf.DUMMYFUNCTION("""COMPUTED_VALUE"""),0.0)</f>
        <v>0</v>
      </c>
    </row>
    <row r="996">
      <c r="A996" s="2" t="str">
        <f>IFERROR(__xludf.DUMMYFUNCTION("""COMPUTED_VALUE"""),"Colombia")</f>
        <v>Colombia</v>
      </c>
      <c r="B996" s="3">
        <f>IFERROR(__xludf.DUMMYFUNCTION("""COMPUTED_VALUE"""),42590.0)</f>
        <v>42590</v>
      </c>
      <c r="C996" s="3">
        <f>IFERROR(__xludf.DUMMYFUNCTION("""COMPUTED_VALUE"""),42596.0)</f>
        <v>42596</v>
      </c>
      <c r="D996" s="2">
        <f>IFERROR(__xludf.DUMMYFUNCTION("""COMPUTED_VALUE"""),7.0)</f>
        <v>7</v>
      </c>
      <c r="E996" s="2">
        <f>IFERROR(__xludf.DUMMYFUNCTION("""COMPUTED_VALUE"""),32.0)</f>
        <v>32</v>
      </c>
      <c r="F996" s="2">
        <f>IFERROR(__xludf.DUMMYFUNCTION("""COMPUTED_VALUE"""),4291.0)</f>
        <v>4291</v>
      </c>
      <c r="G996" s="2">
        <f>IFERROR(__xludf.DUMMYFUNCTION("""COMPUTED_VALUE"""),0.0)</f>
        <v>0</v>
      </c>
    </row>
    <row r="997">
      <c r="A997" s="2" t="str">
        <f>IFERROR(__xludf.DUMMYFUNCTION("""COMPUTED_VALUE"""),"Colombia")</f>
        <v>Colombia</v>
      </c>
      <c r="B997" s="3">
        <f>IFERROR(__xludf.DUMMYFUNCTION("""COMPUTED_VALUE"""),42597.0)</f>
        <v>42597</v>
      </c>
      <c r="C997" s="3">
        <f>IFERROR(__xludf.DUMMYFUNCTION("""COMPUTED_VALUE"""),42603.0)</f>
        <v>42603</v>
      </c>
      <c r="D997" s="2">
        <f>IFERROR(__xludf.DUMMYFUNCTION("""COMPUTED_VALUE"""),7.0)</f>
        <v>7</v>
      </c>
      <c r="E997" s="2">
        <f>IFERROR(__xludf.DUMMYFUNCTION("""COMPUTED_VALUE"""),33.0)</f>
        <v>33</v>
      </c>
      <c r="F997" s="2">
        <f>IFERROR(__xludf.DUMMYFUNCTION("""COMPUTED_VALUE"""),4176.0)</f>
        <v>4176</v>
      </c>
      <c r="G997" s="2">
        <f>IFERROR(__xludf.DUMMYFUNCTION("""COMPUTED_VALUE"""),0.0)</f>
        <v>0</v>
      </c>
    </row>
    <row r="998">
      <c r="A998" s="2" t="str">
        <f>IFERROR(__xludf.DUMMYFUNCTION("""COMPUTED_VALUE"""),"Colombia")</f>
        <v>Colombia</v>
      </c>
      <c r="B998" s="3">
        <f>IFERROR(__xludf.DUMMYFUNCTION("""COMPUTED_VALUE"""),42604.0)</f>
        <v>42604</v>
      </c>
      <c r="C998" s="3">
        <f>IFERROR(__xludf.DUMMYFUNCTION("""COMPUTED_VALUE"""),42610.0)</f>
        <v>42610</v>
      </c>
      <c r="D998" s="2">
        <f>IFERROR(__xludf.DUMMYFUNCTION("""COMPUTED_VALUE"""),7.0)</f>
        <v>7</v>
      </c>
      <c r="E998" s="2">
        <f>IFERROR(__xludf.DUMMYFUNCTION("""COMPUTED_VALUE"""),34.0)</f>
        <v>34</v>
      </c>
      <c r="F998" s="2">
        <f>IFERROR(__xludf.DUMMYFUNCTION("""COMPUTED_VALUE"""),4036.0)</f>
        <v>4036</v>
      </c>
      <c r="G998" s="2">
        <f>IFERROR(__xludf.DUMMYFUNCTION("""COMPUTED_VALUE"""),0.0)</f>
        <v>0</v>
      </c>
    </row>
    <row r="999">
      <c r="A999" s="2" t="str">
        <f>IFERROR(__xludf.DUMMYFUNCTION("""COMPUTED_VALUE"""),"Colombia")</f>
        <v>Colombia</v>
      </c>
      <c r="B999" s="3">
        <f>IFERROR(__xludf.DUMMYFUNCTION("""COMPUTED_VALUE"""),42611.0)</f>
        <v>42611</v>
      </c>
      <c r="C999" s="3">
        <f>IFERROR(__xludf.DUMMYFUNCTION("""COMPUTED_VALUE"""),42617.0)</f>
        <v>42617</v>
      </c>
      <c r="D999" s="2">
        <f>IFERROR(__xludf.DUMMYFUNCTION("""COMPUTED_VALUE"""),7.0)</f>
        <v>7</v>
      </c>
      <c r="E999" s="2">
        <f>IFERROR(__xludf.DUMMYFUNCTION("""COMPUTED_VALUE"""),35.0)</f>
        <v>35</v>
      </c>
      <c r="F999" s="2">
        <f>IFERROR(__xludf.DUMMYFUNCTION("""COMPUTED_VALUE"""),4123.0)</f>
        <v>4123</v>
      </c>
      <c r="G999" s="2">
        <f>IFERROR(__xludf.DUMMYFUNCTION("""COMPUTED_VALUE"""),0.0)</f>
        <v>0</v>
      </c>
    </row>
    <row r="1000">
      <c r="A1000" s="2" t="str">
        <f>IFERROR(__xludf.DUMMYFUNCTION("""COMPUTED_VALUE"""),"Colombia")</f>
        <v>Colombia</v>
      </c>
      <c r="B1000" s="3">
        <f>IFERROR(__xludf.DUMMYFUNCTION("""COMPUTED_VALUE"""),42618.0)</f>
        <v>42618</v>
      </c>
      <c r="C1000" s="3">
        <f>IFERROR(__xludf.DUMMYFUNCTION("""COMPUTED_VALUE"""),42624.0)</f>
        <v>42624</v>
      </c>
      <c r="D1000" s="2">
        <f>IFERROR(__xludf.DUMMYFUNCTION("""COMPUTED_VALUE"""),7.0)</f>
        <v>7</v>
      </c>
      <c r="E1000" s="2">
        <f>IFERROR(__xludf.DUMMYFUNCTION("""COMPUTED_VALUE"""),36.0)</f>
        <v>36</v>
      </c>
      <c r="F1000" s="2">
        <f>IFERROR(__xludf.DUMMYFUNCTION("""COMPUTED_VALUE"""),4084.0)</f>
        <v>4084</v>
      </c>
      <c r="G1000" s="2">
        <f>IFERROR(__xludf.DUMMYFUNCTION("""COMPUTED_VALUE"""),0.0)</f>
        <v>0</v>
      </c>
    </row>
    <row r="1001">
      <c r="A1001" s="2" t="str">
        <f>IFERROR(__xludf.DUMMYFUNCTION("""COMPUTED_VALUE"""),"Colombia")</f>
        <v>Colombia</v>
      </c>
      <c r="B1001" s="3">
        <f>IFERROR(__xludf.DUMMYFUNCTION("""COMPUTED_VALUE"""),42625.0)</f>
        <v>42625</v>
      </c>
      <c r="C1001" s="3">
        <f>IFERROR(__xludf.DUMMYFUNCTION("""COMPUTED_VALUE"""),42631.0)</f>
        <v>42631</v>
      </c>
      <c r="D1001" s="2">
        <f>IFERROR(__xludf.DUMMYFUNCTION("""COMPUTED_VALUE"""),7.0)</f>
        <v>7</v>
      </c>
      <c r="E1001" s="2">
        <f>IFERROR(__xludf.DUMMYFUNCTION("""COMPUTED_VALUE"""),37.0)</f>
        <v>37</v>
      </c>
      <c r="F1001" s="2">
        <f>IFERROR(__xludf.DUMMYFUNCTION("""COMPUTED_VALUE"""),4021.0)</f>
        <v>4021</v>
      </c>
      <c r="G1001" s="2">
        <f>IFERROR(__xludf.DUMMYFUNCTION("""COMPUTED_VALUE"""),0.0)</f>
        <v>0</v>
      </c>
    </row>
    <row r="1002">
      <c r="A1002" s="2" t="str">
        <f>IFERROR(__xludf.DUMMYFUNCTION("""COMPUTED_VALUE"""),"Colombia")</f>
        <v>Colombia</v>
      </c>
      <c r="B1002" s="3">
        <f>IFERROR(__xludf.DUMMYFUNCTION("""COMPUTED_VALUE"""),42632.0)</f>
        <v>42632</v>
      </c>
      <c r="C1002" s="3">
        <f>IFERROR(__xludf.DUMMYFUNCTION("""COMPUTED_VALUE"""),42638.0)</f>
        <v>42638</v>
      </c>
      <c r="D1002" s="2">
        <f>IFERROR(__xludf.DUMMYFUNCTION("""COMPUTED_VALUE"""),7.0)</f>
        <v>7</v>
      </c>
      <c r="E1002" s="2">
        <f>IFERROR(__xludf.DUMMYFUNCTION("""COMPUTED_VALUE"""),38.0)</f>
        <v>38</v>
      </c>
      <c r="F1002" s="2">
        <f>IFERROR(__xludf.DUMMYFUNCTION("""COMPUTED_VALUE"""),4186.0)</f>
        <v>4186</v>
      </c>
      <c r="G1002" s="2">
        <f>IFERROR(__xludf.DUMMYFUNCTION("""COMPUTED_VALUE"""),0.0)</f>
        <v>0</v>
      </c>
    </row>
    <row r="1003">
      <c r="A1003" s="2" t="str">
        <f>IFERROR(__xludf.DUMMYFUNCTION("""COMPUTED_VALUE"""),"Colombia")</f>
        <v>Colombia</v>
      </c>
      <c r="B1003" s="3">
        <f>IFERROR(__xludf.DUMMYFUNCTION("""COMPUTED_VALUE"""),42639.0)</f>
        <v>42639</v>
      </c>
      <c r="C1003" s="3">
        <f>IFERROR(__xludf.DUMMYFUNCTION("""COMPUTED_VALUE"""),42645.0)</f>
        <v>42645</v>
      </c>
      <c r="D1003" s="2">
        <f>IFERROR(__xludf.DUMMYFUNCTION("""COMPUTED_VALUE"""),7.0)</f>
        <v>7</v>
      </c>
      <c r="E1003" s="2">
        <f>IFERROR(__xludf.DUMMYFUNCTION("""COMPUTED_VALUE"""),39.0)</f>
        <v>39</v>
      </c>
      <c r="F1003" s="2">
        <f>IFERROR(__xludf.DUMMYFUNCTION("""COMPUTED_VALUE"""),4025.0)</f>
        <v>4025</v>
      </c>
      <c r="G1003" s="2">
        <f>IFERROR(__xludf.DUMMYFUNCTION("""COMPUTED_VALUE"""),0.0)</f>
        <v>0</v>
      </c>
    </row>
    <row r="1004">
      <c r="A1004" s="2" t="str">
        <f>IFERROR(__xludf.DUMMYFUNCTION("""COMPUTED_VALUE"""),"Colombia")</f>
        <v>Colombia</v>
      </c>
      <c r="B1004" s="3">
        <f>IFERROR(__xludf.DUMMYFUNCTION("""COMPUTED_VALUE"""),42646.0)</f>
        <v>42646</v>
      </c>
      <c r="C1004" s="3">
        <f>IFERROR(__xludf.DUMMYFUNCTION("""COMPUTED_VALUE"""),42652.0)</f>
        <v>42652</v>
      </c>
      <c r="D1004" s="2">
        <f>IFERROR(__xludf.DUMMYFUNCTION("""COMPUTED_VALUE"""),7.0)</f>
        <v>7</v>
      </c>
      <c r="E1004" s="2">
        <f>IFERROR(__xludf.DUMMYFUNCTION("""COMPUTED_VALUE"""),40.0)</f>
        <v>40</v>
      </c>
      <c r="F1004" s="2">
        <f>IFERROR(__xludf.DUMMYFUNCTION("""COMPUTED_VALUE"""),4066.0)</f>
        <v>4066</v>
      </c>
      <c r="G1004" s="2">
        <f>IFERROR(__xludf.DUMMYFUNCTION("""COMPUTED_VALUE"""),0.0)</f>
        <v>0</v>
      </c>
    </row>
    <row r="1005">
      <c r="A1005" s="2" t="str">
        <f>IFERROR(__xludf.DUMMYFUNCTION("""COMPUTED_VALUE"""),"Colombia")</f>
        <v>Colombia</v>
      </c>
      <c r="B1005" s="3">
        <f>IFERROR(__xludf.DUMMYFUNCTION("""COMPUTED_VALUE"""),42653.0)</f>
        <v>42653</v>
      </c>
      <c r="C1005" s="3">
        <f>IFERROR(__xludf.DUMMYFUNCTION("""COMPUTED_VALUE"""),42659.0)</f>
        <v>42659</v>
      </c>
      <c r="D1005" s="2">
        <f>IFERROR(__xludf.DUMMYFUNCTION("""COMPUTED_VALUE"""),7.0)</f>
        <v>7</v>
      </c>
      <c r="E1005" s="2">
        <f>IFERROR(__xludf.DUMMYFUNCTION("""COMPUTED_VALUE"""),41.0)</f>
        <v>41</v>
      </c>
      <c r="F1005" s="2">
        <f>IFERROR(__xludf.DUMMYFUNCTION("""COMPUTED_VALUE"""),4171.0)</f>
        <v>4171</v>
      </c>
      <c r="G1005" s="2">
        <f>IFERROR(__xludf.DUMMYFUNCTION("""COMPUTED_VALUE"""),0.0)</f>
        <v>0</v>
      </c>
    </row>
    <row r="1006">
      <c r="A1006" s="2" t="str">
        <f>IFERROR(__xludf.DUMMYFUNCTION("""COMPUTED_VALUE"""),"Colombia")</f>
        <v>Colombia</v>
      </c>
      <c r="B1006" s="3">
        <f>IFERROR(__xludf.DUMMYFUNCTION("""COMPUTED_VALUE"""),42660.0)</f>
        <v>42660</v>
      </c>
      <c r="C1006" s="3">
        <f>IFERROR(__xludf.DUMMYFUNCTION("""COMPUTED_VALUE"""),42666.0)</f>
        <v>42666</v>
      </c>
      <c r="D1006" s="2">
        <f>IFERROR(__xludf.DUMMYFUNCTION("""COMPUTED_VALUE"""),7.0)</f>
        <v>7</v>
      </c>
      <c r="E1006" s="2">
        <f>IFERROR(__xludf.DUMMYFUNCTION("""COMPUTED_VALUE"""),42.0)</f>
        <v>42</v>
      </c>
      <c r="F1006" s="2">
        <f>IFERROR(__xludf.DUMMYFUNCTION("""COMPUTED_VALUE"""),4146.0)</f>
        <v>4146</v>
      </c>
      <c r="G1006" s="2">
        <f>IFERROR(__xludf.DUMMYFUNCTION("""COMPUTED_VALUE"""),0.0)</f>
        <v>0</v>
      </c>
    </row>
    <row r="1007">
      <c r="A1007" s="2" t="str">
        <f>IFERROR(__xludf.DUMMYFUNCTION("""COMPUTED_VALUE"""),"Colombia")</f>
        <v>Colombia</v>
      </c>
      <c r="B1007" s="3">
        <f>IFERROR(__xludf.DUMMYFUNCTION("""COMPUTED_VALUE"""),42667.0)</f>
        <v>42667</v>
      </c>
      <c r="C1007" s="3">
        <f>IFERROR(__xludf.DUMMYFUNCTION("""COMPUTED_VALUE"""),42673.0)</f>
        <v>42673</v>
      </c>
      <c r="D1007" s="2">
        <f>IFERROR(__xludf.DUMMYFUNCTION("""COMPUTED_VALUE"""),7.0)</f>
        <v>7</v>
      </c>
      <c r="E1007" s="2">
        <f>IFERROR(__xludf.DUMMYFUNCTION("""COMPUTED_VALUE"""),43.0)</f>
        <v>43</v>
      </c>
      <c r="F1007" s="2">
        <f>IFERROR(__xludf.DUMMYFUNCTION("""COMPUTED_VALUE"""),4073.0)</f>
        <v>4073</v>
      </c>
      <c r="G1007" s="2">
        <f>IFERROR(__xludf.DUMMYFUNCTION("""COMPUTED_VALUE"""),0.0)</f>
        <v>0</v>
      </c>
    </row>
    <row r="1008">
      <c r="A1008" s="2" t="str">
        <f>IFERROR(__xludf.DUMMYFUNCTION("""COMPUTED_VALUE"""),"Colombia")</f>
        <v>Colombia</v>
      </c>
      <c r="B1008" s="3">
        <f>IFERROR(__xludf.DUMMYFUNCTION("""COMPUTED_VALUE"""),42674.0)</f>
        <v>42674</v>
      </c>
      <c r="C1008" s="3">
        <f>IFERROR(__xludf.DUMMYFUNCTION("""COMPUTED_VALUE"""),42680.0)</f>
        <v>42680</v>
      </c>
      <c r="D1008" s="2">
        <f>IFERROR(__xludf.DUMMYFUNCTION("""COMPUTED_VALUE"""),7.0)</f>
        <v>7</v>
      </c>
      <c r="E1008" s="2">
        <f>IFERROR(__xludf.DUMMYFUNCTION("""COMPUTED_VALUE"""),44.0)</f>
        <v>44</v>
      </c>
      <c r="F1008" s="2">
        <f>IFERROR(__xludf.DUMMYFUNCTION("""COMPUTED_VALUE"""),4039.0)</f>
        <v>4039</v>
      </c>
      <c r="G1008" s="2">
        <f>IFERROR(__xludf.DUMMYFUNCTION("""COMPUTED_VALUE"""),0.0)</f>
        <v>0</v>
      </c>
    </row>
    <row r="1009">
      <c r="A1009" s="2" t="str">
        <f>IFERROR(__xludf.DUMMYFUNCTION("""COMPUTED_VALUE"""),"Colombia")</f>
        <v>Colombia</v>
      </c>
      <c r="B1009" s="3">
        <f>IFERROR(__xludf.DUMMYFUNCTION("""COMPUTED_VALUE"""),42681.0)</f>
        <v>42681</v>
      </c>
      <c r="C1009" s="3">
        <f>IFERROR(__xludf.DUMMYFUNCTION("""COMPUTED_VALUE"""),42687.0)</f>
        <v>42687</v>
      </c>
      <c r="D1009" s="2">
        <f>IFERROR(__xludf.DUMMYFUNCTION("""COMPUTED_VALUE"""),7.0)</f>
        <v>7</v>
      </c>
      <c r="E1009" s="2">
        <f>IFERROR(__xludf.DUMMYFUNCTION("""COMPUTED_VALUE"""),45.0)</f>
        <v>45</v>
      </c>
      <c r="F1009" s="2">
        <f>IFERROR(__xludf.DUMMYFUNCTION("""COMPUTED_VALUE"""),4173.0)</f>
        <v>4173</v>
      </c>
      <c r="G1009" s="2">
        <f>IFERROR(__xludf.DUMMYFUNCTION("""COMPUTED_VALUE"""),0.0)</f>
        <v>0</v>
      </c>
    </row>
    <row r="1010">
      <c r="A1010" s="2" t="str">
        <f>IFERROR(__xludf.DUMMYFUNCTION("""COMPUTED_VALUE"""),"Colombia")</f>
        <v>Colombia</v>
      </c>
      <c r="B1010" s="3">
        <f>IFERROR(__xludf.DUMMYFUNCTION("""COMPUTED_VALUE"""),42688.0)</f>
        <v>42688</v>
      </c>
      <c r="C1010" s="3">
        <f>IFERROR(__xludf.DUMMYFUNCTION("""COMPUTED_VALUE"""),42694.0)</f>
        <v>42694</v>
      </c>
      <c r="D1010" s="2">
        <f>IFERROR(__xludf.DUMMYFUNCTION("""COMPUTED_VALUE"""),7.0)</f>
        <v>7</v>
      </c>
      <c r="E1010" s="2">
        <f>IFERROR(__xludf.DUMMYFUNCTION("""COMPUTED_VALUE"""),46.0)</f>
        <v>46</v>
      </c>
      <c r="F1010" s="2">
        <f>IFERROR(__xludf.DUMMYFUNCTION("""COMPUTED_VALUE"""),4139.0)</f>
        <v>4139</v>
      </c>
      <c r="G1010" s="2">
        <f>IFERROR(__xludf.DUMMYFUNCTION("""COMPUTED_VALUE"""),0.0)</f>
        <v>0</v>
      </c>
    </row>
    <row r="1011">
      <c r="A1011" s="2" t="str">
        <f>IFERROR(__xludf.DUMMYFUNCTION("""COMPUTED_VALUE"""),"Colombia")</f>
        <v>Colombia</v>
      </c>
      <c r="B1011" s="3">
        <f>IFERROR(__xludf.DUMMYFUNCTION("""COMPUTED_VALUE"""),42695.0)</f>
        <v>42695</v>
      </c>
      <c r="C1011" s="3">
        <f>IFERROR(__xludf.DUMMYFUNCTION("""COMPUTED_VALUE"""),42701.0)</f>
        <v>42701</v>
      </c>
      <c r="D1011" s="2">
        <f>IFERROR(__xludf.DUMMYFUNCTION("""COMPUTED_VALUE"""),7.0)</f>
        <v>7</v>
      </c>
      <c r="E1011" s="2">
        <f>IFERROR(__xludf.DUMMYFUNCTION("""COMPUTED_VALUE"""),47.0)</f>
        <v>47</v>
      </c>
      <c r="F1011" s="2">
        <f>IFERROR(__xludf.DUMMYFUNCTION("""COMPUTED_VALUE"""),4263.0)</f>
        <v>4263</v>
      </c>
      <c r="G1011" s="2">
        <f>IFERROR(__xludf.DUMMYFUNCTION("""COMPUTED_VALUE"""),0.0)</f>
        <v>0</v>
      </c>
    </row>
    <row r="1012">
      <c r="A1012" s="2" t="str">
        <f>IFERROR(__xludf.DUMMYFUNCTION("""COMPUTED_VALUE"""),"Colombia")</f>
        <v>Colombia</v>
      </c>
      <c r="B1012" s="3">
        <f>IFERROR(__xludf.DUMMYFUNCTION("""COMPUTED_VALUE"""),42702.0)</f>
        <v>42702</v>
      </c>
      <c r="C1012" s="3">
        <f>IFERROR(__xludf.DUMMYFUNCTION("""COMPUTED_VALUE"""),42708.0)</f>
        <v>42708</v>
      </c>
      <c r="D1012" s="2">
        <f>IFERROR(__xludf.DUMMYFUNCTION("""COMPUTED_VALUE"""),7.0)</f>
        <v>7</v>
      </c>
      <c r="E1012" s="2">
        <f>IFERROR(__xludf.DUMMYFUNCTION("""COMPUTED_VALUE"""),48.0)</f>
        <v>48</v>
      </c>
      <c r="F1012" s="2">
        <f>IFERROR(__xludf.DUMMYFUNCTION("""COMPUTED_VALUE"""),4269.0)</f>
        <v>4269</v>
      </c>
      <c r="G1012" s="2">
        <f>IFERROR(__xludf.DUMMYFUNCTION("""COMPUTED_VALUE"""),0.0)</f>
        <v>0</v>
      </c>
    </row>
    <row r="1013">
      <c r="A1013" s="2" t="str">
        <f>IFERROR(__xludf.DUMMYFUNCTION("""COMPUTED_VALUE"""),"Colombia")</f>
        <v>Colombia</v>
      </c>
      <c r="B1013" s="3">
        <f>IFERROR(__xludf.DUMMYFUNCTION("""COMPUTED_VALUE"""),42709.0)</f>
        <v>42709</v>
      </c>
      <c r="C1013" s="3">
        <f>IFERROR(__xludf.DUMMYFUNCTION("""COMPUTED_VALUE"""),42715.0)</f>
        <v>42715</v>
      </c>
      <c r="D1013" s="2">
        <f>IFERROR(__xludf.DUMMYFUNCTION("""COMPUTED_VALUE"""),7.0)</f>
        <v>7</v>
      </c>
      <c r="E1013" s="2">
        <f>IFERROR(__xludf.DUMMYFUNCTION("""COMPUTED_VALUE"""),49.0)</f>
        <v>49</v>
      </c>
      <c r="F1013" s="2">
        <f>IFERROR(__xludf.DUMMYFUNCTION("""COMPUTED_VALUE"""),4455.0)</f>
        <v>4455</v>
      </c>
      <c r="G1013" s="2">
        <f>IFERROR(__xludf.DUMMYFUNCTION("""COMPUTED_VALUE"""),0.0)</f>
        <v>0</v>
      </c>
    </row>
    <row r="1014">
      <c r="A1014" s="2" t="str">
        <f>IFERROR(__xludf.DUMMYFUNCTION("""COMPUTED_VALUE"""),"Colombia")</f>
        <v>Colombia</v>
      </c>
      <c r="B1014" s="3">
        <f>IFERROR(__xludf.DUMMYFUNCTION("""COMPUTED_VALUE"""),42716.0)</f>
        <v>42716</v>
      </c>
      <c r="C1014" s="3">
        <f>IFERROR(__xludf.DUMMYFUNCTION("""COMPUTED_VALUE"""),42722.0)</f>
        <v>42722</v>
      </c>
      <c r="D1014" s="2">
        <f>IFERROR(__xludf.DUMMYFUNCTION("""COMPUTED_VALUE"""),7.0)</f>
        <v>7</v>
      </c>
      <c r="E1014" s="2">
        <f>IFERROR(__xludf.DUMMYFUNCTION("""COMPUTED_VALUE"""),50.0)</f>
        <v>50</v>
      </c>
      <c r="F1014" s="2">
        <f>IFERROR(__xludf.DUMMYFUNCTION("""COMPUTED_VALUE"""),4590.0)</f>
        <v>4590</v>
      </c>
      <c r="G1014" s="2">
        <f>IFERROR(__xludf.DUMMYFUNCTION("""COMPUTED_VALUE"""),0.0)</f>
        <v>0</v>
      </c>
    </row>
    <row r="1015">
      <c r="A1015" s="2" t="str">
        <f>IFERROR(__xludf.DUMMYFUNCTION("""COMPUTED_VALUE"""),"Colombia")</f>
        <v>Colombia</v>
      </c>
      <c r="B1015" s="3">
        <f>IFERROR(__xludf.DUMMYFUNCTION("""COMPUTED_VALUE"""),42723.0)</f>
        <v>42723</v>
      </c>
      <c r="C1015" s="3">
        <f>IFERROR(__xludf.DUMMYFUNCTION("""COMPUTED_VALUE"""),42729.0)</f>
        <v>42729</v>
      </c>
      <c r="D1015" s="2">
        <f>IFERROR(__xludf.DUMMYFUNCTION("""COMPUTED_VALUE"""),7.0)</f>
        <v>7</v>
      </c>
      <c r="E1015" s="2">
        <f>IFERROR(__xludf.DUMMYFUNCTION("""COMPUTED_VALUE"""),51.0)</f>
        <v>51</v>
      </c>
      <c r="F1015" s="2">
        <f>IFERROR(__xludf.DUMMYFUNCTION("""COMPUTED_VALUE"""),4586.0)</f>
        <v>4586</v>
      </c>
      <c r="G1015" s="2">
        <f>IFERROR(__xludf.DUMMYFUNCTION("""COMPUTED_VALUE"""),0.0)</f>
        <v>0</v>
      </c>
    </row>
    <row r="1016">
      <c r="A1016" s="2" t="str">
        <f>IFERROR(__xludf.DUMMYFUNCTION("""COMPUTED_VALUE"""),"Colombia")</f>
        <v>Colombia</v>
      </c>
      <c r="B1016" s="3">
        <f>IFERROR(__xludf.DUMMYFUNCTION("""COMPUTED_VALUE"""),42730.0)</f>
        <v>42730</v>
      </c>
      <c r="C1016" s="3">
        <f>IFERROR(__xludf.DUMMYFUNCTION("""COMPUTED_VALUE"""),42736.0)</f>
        <v>42736</v>
      </c>
      <c r="D1016" s="2">
        <f>IFERROR(__xludf.DUMMYFUNCTION("""COMPUTED_VALUE"""),7.0)</f>
        <v>7</v>
      </c>
      <c r="E1016" s="2">
        <f>IFERROR(__xludf.DUMMYFUNCTION("""COMPUTED_VALUE"""),52.0)</f>
        <v>52</v>
      </c>
      <c r="F1016" s="2">
        <f>IFERROR(__xludf.DUMMYFUNCTION("""COMPUTED_VALUE"""),4804.0)</f>
        <v>4804</v>
      </c>
      <c r="G1016" s="2">
        <f>IFERROR(__xludf.DUMMYFUNCTION("""COMPUTED_VALUE"""),0.0)</f>
        <v>0</v>
      </c>
    </row>
    <row r="1017">
      <c r="A1017" s="2" t="str">
        <f>IFERROR(__xludf.DUMMYFUNCTION("""COMPUTED_VALUE"""),"Colombia")</f>
        <v>Colombia</v>
      </c>
      <c r="B1017" s="3">
        <f>IFERROR(__xludf.DUMMYFUNCTION("""COMPUTED_VALUE"""),42737.0)</f>
        <v>42737</v>
      </c>
      <c r="C1017" s="3">
        <f>IFERROR(__xludf.DUMMYFUNCTION("""COMPUTED_VALUE"""),42743.0)</f>
        <v>42743</v>
      </c>
      <c r="D1017" s="2">
        <f>IFERROR(__xludf.DUMMYFUNCTION("""COMPUTED_VALUE"""),7.0)</f>
        <v>7</v>
      </c>
      <c r="E1017" s="2">
        <f>IFERROR(__xludf.DUMMYFUNCTION("""COMPUTED_VALUE"""),1.0)</f>
        <v>1</v>
      </c>
      <c r="F1017" s="2">
        <f>IFERROR(__xludf.DUMMYFUNCTION("""COMPUTED_VALUE"""),4755.0)</f>
        <v>4755</v>
      </c>
      <c r="G1017" s="2">
        <f>IFERROR(__xludf.DUMMYFUNCTION("""COMPUTED_VALUE"""),0.0)</f>
        <v>0</v>
      </c>
    </row>
    <row r="1018">
      <c r="A1018" s="2" t="str">
        <f>IFERROR(__xludf.DUMMYFUNCTION("""COMPUTED_VALUE"""),"Colombia")</f>
        <v>Colombia</v>
      </c>
      <c r="B1018" s="3">
        <f>IFERROR(__xludf.DUMMYFUNCTION("""COMPUTED_VALUE"""),42744.0)</f>
        <v>42744</v>
      </c>
      <c r="C1018" s="3">
        <f>IFERROR(__xludf.DUMMYFUNCTION("""COMPUTED_VALUE"""),42750.0)</f>
        <v>42750</v>
      </c>
      <c r="D1018" s="2">
        <f>IFERROR(__xludf.DUMMYFUNCTION("""COMPUTED_VALUE"""),7.0)</f>
        <v>7</v>
      </c>
      <c r="E1018" s="2">
        <f>IFERROR(__xludf.DUMMYFUNCTION("""COMPUTED_VALUE"""),2.0)</f>
        <v>2</v>
      </c>
      <c r="F1018" s="2">
        <f>IFERROR(__xludf.DUMMYFUNCTION("""COMPUTED_VALUE"""),4756.0)</f>
        <v>4756</v>
      </c>
      <c r="G1018" s="2">
        <f>IFERROR(__xludf.DUMMYFUNCTION("""COMPUTED_VALUE"""),0.0)</f>
        <v>0</v>
      </c>
    </row>
    <row r="1019">
      <c r="A1019" s="2" t="str">
        <f>IFERROR(__xludf.DUMMYFUNCTION("""COMPUTED_VALUE"""),"Colombia")</f>
        <v>Colombia</v>
      </c>
      <c r="B1019" s="3">
        <f>IFERROR(__xludf.DUMMYFUNCTION("""COMPUTED_VALUE"""),42751.0)</f>
        <v>42751</v>
      </c>
      <c r="C1019" s="3">
        <f>IFERROR(__xludf.DUMMYFUNCTION("""COMPUTED_VALUE"""),42757.0)</f>
        <v>42757</v>
      </c>
      <c r="D1019" s="2">
        <f>IFERROR(__xludf.DUMMYFUNCTION("""COMPUTED_VALUE"""),7.0)</f>
        <v>7</v>
      </c>
      <c r="E1019" s="2">
        <f>IFERROR(__xludf.DUMMYFUNCTION("""COMPUTED_VALUE"""),3.0)</f>
        <v>3</v>
      </c>
      <c r="F1019" s="2">
        <f>IFERROR(__xludf.DUMMYFUNCTION("""COMPUTED_VALUE"""),4635.0)</f>
        <v>4635</v>
      </c>
      <c r="G1019" s="2">
        <f>IFERROR(__xludf.DUMMYFUNCTION("""COMPUTED_VALUE"""),0.0)</f>
        <v>0</v>
      </c>
    </row>
    <row r="1020">
      <c r="A1020" s="2" t="str">
        <f>IFERROR(__xludf.DUMMYFUNCTION("""COMPUTED_VALUE"""),"Colombia")</f>
        <v>Colombia</v>
      </c>
      <c r="B1020" s="3">
        <f>IFERROR(__xludf.DUMMYFUNCTION("""COMPUTED_VALUE"""),42758.0)</f>
        <v>42758</v>
      </c>
      <c r="C1020" s="3">
        <f>IFERROR(__xludf.DUMMYFUNCTION("""COMPUTED_VALUE"""),42764.0)</f>
        <v>42764</v>
      </c>
      <c r="D1020" s="2">
        <f>IFERROR(__xludf.DUMMYFUNCTION("""COMPUTED_VALUE"""),7.0)</f>
        <v>7</v>
      </c>
      <c r="E1020" s="2">
        <f>IFERROR(__xludf.DUMMYFUNCTION("""COMPUTED_VALUE"""),4.0)</f>
        <v>4</v>
      </c>
      <c r="F1020" s="2">
        <f>IFERROR(__xludf.DUMMYFUNCTION("""COMPUTED_VALUE"""),4574.0)</f>
        <v>4574</v>
      </c>
      <c r="G1020" s="2">
        <f>IFERROR(__xludf.DUMMYFUNCTION("""COMPUTED_VALUE"""),0.0)</f>
        <v>0</v>
      </c>
    </row>
    <row r="1021">
      <c r="A1021" s="2" t="str">
        <f>IFERROR(__xludf.DUMMYFUNCTION("""COMPUTED_VALUE"""),"Colombia")</f>
        <v>Colombia</v>
      </c>
      <c r="B1021" s="3">
        <f>IFERROR(__xludf.DUMMYFUNCTION("""COMPUTED_VALUE"""),42765.0)</f>
        <v>42765</v>
      </c>
      <c r="C1021" s="3">
        <f>IFERROR(__xludf.DUMMYFUNCTION("""COMPUTED_VALUE"""),42771.0)</f>
        <v>42771</v>
      </c>
      <c r="D1021" s="2">
        <f>IFERROR(__xludf.DUMMYFUNCTION("""COMPUTED_VALUE"""),7.0)</f>
        <v>7</v>
      </c>
      <c r="E1021" s="2">
        <f>IFERROR(__xludf.DUMMYFUNCTION("""COMPUTED_VALUE"""),5.0)</f>
        <v>5</v>
      </c>
      <c r="F1021" s="2">
        <f>IFERROR(__xludf.DUMMYFUNCTION("""COMPUTED_VALUE"""),4392.0)</f>
        <v>4392</v>
      </c>
      <c r="G1021" s="2">
        <f>IFERROR(__xludf.DUMMYFUNCTION("""COMPUTED_VALUE"""),0.0)</f>
        <v>0</v>
      </c>
    </row>
    <row r="1022">
      <c r="A1022" s="2" t="str">
        <f>IFERROR(__xludf.DUMMYFUNCTION("""COMPUTED_VALUE"""),"Colombia")</f>
        <v>Colombia</v>
      </c>
      <c r="B1022" s="3">
        <f>IFERROR(__xludf.DUMMYFUNCTION("""COMPUTED_VALUE"""),42772.0)</f>
        <v>42772</v>
      </c>
      <c r="C1022" s="3">
        <f>IFERROR(__xludf.DUMMYFUNCTION("""COMPUTED_VALUE"""),42778.0)</f>
        <v>42778</v>
      </c>
      <c r="D1022" s="2">
        <f>IFERROR(__xludf.DUMMYFUNCTION("""COMPUTED_VALUE"""),7.0)</f>
        <v>7</v>
      </c>
      <c r="E1022" s="2">
        <f>IFERROR(__xludf.DUMMYFUNCTION("""COMPUTED_VALUE"""),6.0)</f>
        <v>6</v>
      </c>
      <c r="F1022" s="2">
        <f>IFERROR(__xludf.DUMMYFUNCTION("""COMPUTED_VALUE"""),4402.0)</f>
        <v>4402</v>
      </c>
      <c r="G1022" s="2">
        <f>IFERROR(__xludf.DUMMYFUNCTION("""COMPUTED_VALUE"""),0.0)</f>
        <v>0</v>
      </c>
    </row>
    <row r="1023">
      <c r="A1023" s="2" t="str">
        <f>IFERROR(__xludf.DUMMYFUNCTION("""COMPUTED_VALUE"""),"Colombia")</f>
        <v>Colombia</v>
      </c>
      <c r="B1023" s="3">
        <f>IFERROR(__xludf.DUMMYFUNCTION("""COMPUTED_VALUE"""),42779.0)</f>
        <v>42779</v>
      </c>
      <c r="C1023" s="3">
        <f>IFERROR(__xludf.DUMMYFUNCTION("""COMPUTED_VALUE"""),42785.0)</f>
        <v>42785</v>
      </c>
      <c r="D1023" s="2">
        <f>IFERROR(__xludf.DUMMYFUNCTION("""COMPUTED_VALUE"""),7.0)</f>
        <v>7</v>
      </c>
      <c r="E1023" s="2">
        <f>IFERROR(__xludf.DUMMYFUNCTION("""COMPUTED_VALUE"""),7.0)</f>
        <v>7</v>
      </c>
      <c r="F1023" s="2">
        <f>IFERROR(__xludf.DUMMYFUNCTION("""COMPUTED_VALUE"""),4231.0)</f>
        <v>4231</v>
      </c>
      <c r="G1023" s="2">
        <f>IFERROR(__xludf.DUMMYFUNCTION("""COMPUTED_VALUE"""),0.0)</f>
        <v>0</v>
      </c>
    </row>
    <row r="1024">
      <c r="A1024" s="2" t="str">
        <f>IFERROR(__xludf.DUMMYFUNCTION("""COMPUTED_VALUE"""),"Colombia")</f>
        <v>Colombia</v>
      </c>
      <c r="B1024" s="3">
        <f>IFERROR(__xludf.DUMMYFUNCTION("""COMPUTED_VALUE"""),42786.0)</f>
        <v>42786</v>
      </c>
      <c r="C1024" s="3">
        <f>IFERROR(__xludf.DUMMYFUNCTION("""COMPUTED_VALUE"""),42792.0)</f>
        <v>42792</v>
      </c>
      <c r="D1024" s="2">
        <f>IFERROR(__xludf.DUMMYFUNCTION("""COMPUTED_VALUE"""),7.0)</f>
        <v>7</v>
      </c>
      <c r="E1024" s="2">
        <f>IFERROR(__xludf.DUMMYFUNCTION("""COMPUTED_VALUE"""),8.0)</f>
        <v>8</v>
      </c>
      <c r="F1024" s="2">
        <f>IFERROR(__xludf.DUMMYFUNCTION("""COMPUTED_VALUE"""),4199.0)</f>
        <v>4199</v>
      </c>
      <c r="G1024" s="2">
        <f>IFERROR(__xludf.DUMMYFUNCTION("""COMPUTED_VALUE"""),0.0)</f>
        <v>0</v>
      </c>
    </row>
    <row r="1025">
      <c r="A1025" s="2" t="str">
        <f>IFERROR(__xludf.DUMMYFUNCTION("""COMPUTED_VALUE"""),"Colombia")</f>
        <v>Colombia</v>
      </c>
      <c r="B1025" s="3">
        <f>IFERROR(__xludf.DUMMYFUNCTION("""COMPUTED_VALUE"""),42793.0)</f>
        <v>42793</v>
      </c>
      <c r="C1025" s="3">
        <f>IFERROR(__xludf.DUMMYFUNCTION("""COMPUTED_VALUE"""),42799.0)</f>
        <v>42799</v>
      </c>
      <c r="D1025" s="2">
        <f>IFERROR(__xludf.DUMMYFUNCTION("""COMPUTED_VALUE"""),7.0)</f>
        <v>7</v>
      </c>
      <c r="E1025" s="2">
        <f>IFERROR(__xludf.DUMMYFUNCTION("""COMPUTED_VALUE"""),9.0)</f>
        <v>9</v>
      </c>
      <c r="F1025" s="2">
        <f>IFERROR(__xludf.DUMMYFUNCTION("""COMPUTED_VALUE"""),4173.0)</f>
        <v>4173</v>
      </c>
      <c r="G1025" s="2">
        <f>IFERROR(__xludf.DUMMYFUNCTION("""COMPUTED_VALUE"""),0.0)</f>
        <v>0</v>
      </c>
    </row>
    <row r="1026">
      <c r="A1026" s="2" t="str">
        <f>IFERROR(__xludf.DUMMYFUNCTION("""COMPUTED_VALUE"""),"Colombia")</f>
        <v>Colombia</v>
      </c>
      <c r="B1026" s="3">
        <f>IFERROR(__xludf.DUMMYFUNCTION("""COMPUTED_VALUE"""),42800.0)</f>
        <v>42800</v>
      </c>
      <c r="C1026" s="3">
        <f>IFERROR(__xludf.DUMMYFUNCTION("""COMPUTED_VALUE"""),42806.0)</f>
        <v>42806</v>
      </c>
      <c r="D1026" s="2">
        <f>IFERROR(__xludf.DUMMYFUNCTION("""COMPUTED_VALUE"""),7.0)</f>
        <v>7</v>
      </c>
      <c r="E1026" s="2">
        <f>IFERROR(__xludf.DUMMYFUNCTION("""COMPUTED_VALUE"""),10.0)</f>
        <v>10</v>
      </c>
      <c r="F1026" s="2">
        <f>IFERROR(__xludf.DUMMYFUNCTION("""COMPUTED_VALUE"""),4244.0)</f>
        <v>4244</v>
      </c>
      <c r="G1026" s="2">
        <f>IFERROR(__xludf.DUMMYFUNCTION("""COMPUTED_VALUE"""),0.0)</f>
        <v>0</v>
      </c>
    </row>
    <row r="1027">
      <c r="A1027" s="2" t="str">
        <f>IFERROR(__xludf.DUMMYFUNCTION("""COMPUTED_VALUE"""),"Colombia")</f>
        <v>Colombia</v>
      </c>
      <c r="B1027" s="3">
        <f>IFERROR(__xludf.DUMMYFUNCTION("""COMPUTED_VALUE"""),42807.0)</f>
        <v>42807</v>
      </c>
      <c r="C1027" s="3">
        <f>IFERROR(__xludf.DUMMYFUNCTION("""COMPUTED_VALUE"""),42813.0)</f>
        <v>42813</v>
      </c>
      <c r="D1027" s="2">
        <f>IFERROR(__xludf.DUMMYFUNCTION("""COMPUTED_VALUE"""),7.0)</f>
        <v>7</v>
      </c>
      <c r="E1027" s="2">
        <f>IFERROR(__xludf.DUMMYFUNCTION("""COMPUTED_VALUE"""),11.0)</f>
        <v>11</v>
      </c>
      <c r="F1027" s="2">
        <f>IFERROR(__xludf.DUMMYFUNCTION("""COMPUTED_VALUE"""),4156.0)</f>
        <v>4156</v>
      </c>
      <c r="G1027" s="2">
        <f>IFERROR(__xludf.DUMMYFUNCTION("""COMPUTED_VALUE"""),0.0)</f>
        <v>0</v>
      </c>
    </row>
    <row r="1028">
      <c r="A1028" s="2" t="str">
        <f>IFERROR(__xludf.DUMMYFUNCTION("""COMPUTED_VALUE"""),"Colombia")</f>
        <v>Colombia</v>
      </c>
      <c r="B1028" s="3">
        <f>IFERROR(__xludf.DUMMYFUNCTION("""COMPUTED_VALUE"""),42814.0)</f>
        <v>42814</v>
      </c>
      <c r="C1028" s="3">
        <f>IFERROR(__xludf.DUMMYFUNCTION("""COMPUTED_VALUE"""),42820.0)</f>
        <v>42820</v>
      </c>
      <c r="D1028" s="2">
        <f>IFERROR(__xludf.DUMMYFUNCTION("""COMPUTED_VALUE"""),7.0)</f>
        <v>7</v>
      </c>
      <c r="E1028" s="2">
        <f>IFERROR(__xludf.DUMMYFUNCTION("""COMPUTED_VALUE"""),12.0)</f>
        <v>12</v>
      </c>
      <c r="F1028" s="2">
        <f>IFERROR(__xludf.DUMMYFUNCTION("""COMPUTED_VALUE"""),4165.0)</f>
        <v>4165</v>
      </c>
      <c r="G1028" s="2">
        <f>IFERROR(__xludf.DUMMYFUNCTION("""COMPUTED_VALUE"""),0.0)</f>
        <v>0</v>
      </c>
    </row>
    <row r="1029">
      <c r="A1029" s="2" t="str">
        <f>IFERROR(__xludf.DUMMYFUNCTION("""COMPUTED_VALUE"""),"Colombia")</f>
        <v>Colombia</v>
      </c>
      <c r="B1029" s="3">
        <f>IFERROR(__xludf.DUMMYFUNCTION("""COMPUTED_VALUE"""),42821.0)</f>
        <v>42821</v>
      </c>
      <c r="C1029" s="3">
        <f>IFERROR(__xludf.DUMMYFUNCTION("""COMPUTED_VALUE"""),42827.0)</f>
        <v>42827</v>
      </c>
      <c r="D1029" s="2">
        <f>IFERROR(__xludf.DUMMYFUNCTION("""COMPUTED_VALUE"""),7.0)</f>
        <v>7</v>
      </c>
      <c r="E1029" s="2">
        <f>IFERROR(__xludf.DUMMYFUNCTION("""COMPUTED_VALUE"""),13.0)</f>
        <v>13</v>
      </c>
      <c r="F1029" s="2">
        <f>IFERROR(__xludf.DUMMYFUNCTION("""COMPUTED_VALUE"""),4539.0)</f>
        <v>4539</v>
      </c>
      <c r="G1029" s="2">
        <f>IFERROR(__xludf.DUMMYFUNCTION("""COMPUTED_VALUE"""),0.0)</f>
        <v>0</v>
      </c>
    </row>
    <row r="1030">
      <c r="A1030" s="2" t="str">
        <f>IFERROR(__xludf.DUMMYFUNCTION("""COMPUTED_VALUE"""),"Colombia")</f>
        <v>Colombia</v>
      </c>
      <c r="B1030" s="3">
        <f>IFERROR(__xludf.DUMMYFUNCTION("""COMPUTED_VALUE"""),42828.0)</f>
        <v>42828</v>
      </c>
      <c r="C1030" s="3">
        <f>IFERROR(__xludf.DUMMYFUNCTION("""COMPUTED_VALUE"""),42834.0)</f>
        <v>42834</v>
      </c>
      <c r="D1030" s="2">
        <f>IFERROR(__xludf.DUMMYFUNCTION("""COMPUTED_VALUE"""),7.0)</f>
        <v>7</v>
      </c>
      <c r="E1030" s="2">
        <f>IFERROR(__xludf.DUMMYFUNCTION("""COMPUTED_VALUE"""),14.0)</f>
        <v>14</v>
      </c>
      <c r="F1030" s="2">
        <f>IFERROR(__xludf.DUMMYFUNCTION("""COMPUTED_VALUE"""),4355.0)</f>
        <v>4355</v>
      </c>
      <c r="G1030" s="2">
        <f>IFERROR(__xludf.DUMMYFUNCTION("""COMPUTED_VALUE"""),0.0)</f>
        <v>0</v>
      </c>
    </row>
    <row r="1031">
      <c r="A1031" s="2" t="str">
        <f>IFERROR(__xludf.DUMMYFUNCTION("""COMPUTED_VALUE"""),"Colombia")</f>
        <v>Colombia</v>
      </c>
      <c r="B1031" s="3">
        <f>IFERROR(__xludf.DUMMYFUNCTION("""COMPUTED_VALUE"""),42835.0)</f>
        <v>42835</v>
      </c>
      <c r="C1031" s="3">
        <f>IFERROR(__xludf.DUMMYFUNCTION("""COMPUTED_VALUE"""),42841.0)</f>
        <v>42841</v>
      </c>
      <c r="D1031" s="2">
        <f>IFERROR(__xludf.DUMMYFUNCTION("""COMPUTED_VALUE"""),7.0)</f>
        <v>7</v>
      </c>
      <c r="E1031" s="2">
        <f>IFERROR(__xludf.DUMMYFUNCTION("""COMPUTED_VALUE"""),15.0)</f>
        <v>15</v>
      </c>
      <c r="F1031" s="2">
        <f>IFERROR(__xludf.DUMMYFUNCTION("""COMPUTED_VALUE"""),4183.0)</f>
        <v>4183</v>
      </c>
      <c r="G1031" s="2">
        <f>IFERROR(__xludf.DUMMYFUNCTION("""COMPUTED_VALUE"""),0.0)</f>
        <v>0</v>
      </c>
    </row>
    <row r="1032">
      <c r="A1032" s="2" t="str">
        <f>IFERROR(__xludf.DUMMYFUNCTION("""COMPUTED_VALUE"""),"Colombia")</f>
        <v>Colombia</v>
      </c>
      <c r="B1032" s="3">
        <f>IFERROR(__xludf.DUMMYFUNCTION("""COMPUTED_VALUE"""),42842.0)</f>
        <v>42842</v>
      </c>
      <c r="C1032" s="3">
        <f>IFERROR(__xludf.DUMMYFUNCTION("""COMPUTED_VALUE"""),42848.0)</f>
        <v>42848</v>
      </c>
      <c r="D1032" s="2">
        <f>IFERROR(__xludf.DUMMYFUNCTION("""COMPUTED_VALUE"""),7.0)</f>
        <v>7</v>
      </c>
      <c r="E1032" s="2">
        <f>IFERROR(__xludf.DUMMYFUNCTION("""COMPUTED_VALUE"""),16.0)</f>
        <v>16</v>
      </c>
      <c r="F1032" s="2">
        <f>IFERROR(__xludf.DUMMYFUNCTION("""COMPUTED_VALUE"""),4271.0)</f>
        <v>4271</v>
      </c>
      <c r="G1032" s="2">
        <f>IFERROR(__xludf.DUMMYFUNCTION("""COMPUTED_VALUE"""),0.0)</f>
        <v>0</v>
      </c>
    </row>
    <row r="1033">
      <c r="A1033" s="2" t="str">
        <f>IFERROR(__xludf.DUMMYFUNCTION("""COMPUTED_VALUE"""),"Colombia")</f>
        <v>Colombia</v>
      </c>
      <c r="B1033" s="3">
        <f>IFERROR(__xludf.DUMMYFUNCTION("""COMPUTED_VALUE"""),42849.0)</f>
        <v>42849</v>
      </c>
      <c r="C1033" s="3">
        <f>IFERROR(__xludf.DUMMYFUNCTION("""COMPUTED_VALUE"""),42855.0)</f>
        <v>42855</v>
      </c>
      <c r="D1033" s="2">
        <f>IFERROR(__xludf.DUMMYFUNCTION("""COMPUTED_VALUE"""),7.0)</f>
        <v>7</v>
      </c>
      <c r="E1033" s="2">
        <f>IFERROR(__xludf.DUMMYFUNCTION("""COMPUTED_VALUE"""),17.0)</f>
        <v>17</v>
      </c>
      <c r="F1033" s="2">
        <f>IFERROR(__xludf.DUMMYFUNCTION("""COMPUTED_VALUE"""),4302.0)</f>
        <v>4302</v>
      </c>
      <c r="G1033" s="2">
        <f>IFERROR(__xludf.DUMMYFUNCTION("""COMPUTED_VALUE"""),0.0)</f>
        <v>0</v>
      </c>
    </row>
    <row r="1034">
      <c r="A1034" s="2" t="str">
        <f>IFERROR(__xludf.DUMMYFUNCTION("""COMPUTED_VALUE"""),"Colombia")</f>
        <v>Colombia</v>
      </c>
      <c r="B1034" s="3">
        <f>IFERROR(__xludf.DUMMYFUNCTION("""COMPUTED_VALUE"""),42856.0)</f>
        <v>42856</v>
      </c>
      <c r="C1034" s="3">
        <f>IFERROR(__xludf.DUMMYFUNCTION("""COMPUTED_VALUE"""),42862.0)</f>
        <v>42862</v>
      </c>
      <c r="D1034" s="2">
        <f>IFERROR(__xludf.DUMMYFUNCTION("""COMPUTED_VALUE"""),7.0)</f>
        <v>7</v>
      </c>
      <c r="E1034" s="2">
        <f>IFERROR(__xludf.DUMMYFUNCTION("""COMPUTED_VALUE"""),18.0)</f>
        <v>18</v>
      </c>
      <c r="F1034" s="2">
        <f>IFERROR(__xludf.DUMMYFUNCTION("""COMPUTED_VALUE"""),4080.0)</f>
        <v>4080</v>
      </c>
      <c r="G1034" s="2">
        <f>IFERROR(__xludf.DUMMYFUNCTION("""COMPUTED_VALUE"""),0.0)</f>
        <v>0</v>
      </c>
    </row>
    <row r="1035">
      <c r="A1035" s="2" t="str">
        <f>IFERROR(__xludf.DUMMYFUNCTION("""COMPUTED_VALUE"""),"Colombia")</f>
        <v>Colombia</v>
      </c>
      <c r="B1035" s="3">
        <f>IFERROR(__xludf.DUMMYFUNCTION("""COMPUTED_VALUE"""),42863.0)</f>
        <v>42863</v>
      </c>
      <c r="C1035" s="3">
        <f>IFERROR(__xludf.DUMMYFUNCTION("""COMPUTED_VALUE"""),42869.0)</f>
        <v>42869</v>
      </c>
      <c r="D1035" s="2">
        <f>IFERROR(__xludf.DUMMYFUNCTION("""COMPUTED_VALUE"""),7.0)</f>
        <v>7</v>
      </c>
      <c r="E1035" s="2">
        <f>IFERROR(__xludf.DUMMYFUNCTION("""COMPUTED_VALUE"""),19.0)</f>
        <v>19</v>
      </c>
      <c r="F1035" s="2">
        <f>IFERROR(__xludf.DUMMYFUNCTION("""COMPUTED_VALUE"""),4196.0)</f>
        <v>4196</v>
      </c>
      <c r="G1035" s="2">
        <f>IFERROR(__xludf.DUMMYFUNCTION("""COMPUTED_VALUE"""),0.0)</f>
        <v>0</v>
      </c>
    </row>
    <row r="1036">
      <c r="A1036" s="2" t="str">
        <f>IFERROR(__xludf.DUMMYFUNCTION("""COMPUTED_VALUE"""),"Colombia")</f>
        <v>Colombia</v>
      </c>
      <c r="B1036" s="3">
        <f>IFERROR(__xludf.DUMMYFUNCTION("""COMPUTED_VALUE"""),42870.0)</f>
        <v>42870</v>
      </c>
      <c r="C1036" s="3">
        <f>IFERROR(__xludf.DUMMYFUNCTION("""COMPUTED_VALUE"""),42876.0)</f>
        <v>42876</v>
      </c>
      <c r="D1036" s="2">
        <f>IFERROR(__xludf.DUMMYFUNCTION("""COMPUTED_VALUE"""),7.0)</f>
        <v>7</v>
      </c>
      <c r="E1036" s="2">
        <f>IFERROR(__xludf.DUMMYFUNCTION("""COMPUTED_VALUE"""),20.0)</f>
        <v>20</v>
      </c>
      <c r="F1036" s="2">
        <f>IFERROR(__xludf.DUMMYFUNCTION("""COMPUTED_VALUE"""),4516.0)</f>
        <v>4516</v>
      </c>
      <c r="G1036" s="2">
        <f>IFERROR(__xludf.DUMMYFUNCTION("""COMPUTED_VALUE"""),0.0)</f>
        <v>0</v>
      </c>
    </row>
    <row r="1037">
      <c r="A1037" s="2" t="str">
        <f>IFERROR(__xludf.DUMMYFUNCTION("""COMPUTED_VALUE"""),"Colombia")</f>
        <v>Colombia</v>
      </c>
      <c r="B1037" s="3">
        <f>IFERROR(__xludf.DUMMYFUNCTION("""COMPUTED_VALUE"""),42877.0)</f>
        <v>42877</v>
      </c>
      <c r="C1037" s="3">
        <f>IFERROR(__xludf.DUMMYFUNCTION("""COMPUTED_VALUE"""),42883.0)</f>
        <v>42883</v>
      </c>
      <c r="D1037" s="2">
        <f>IFERROR(__xludf.DUMMYFUNCTION("""COMPUTED_VALUE"""),7.0)</f>
        <v>7</v>
      </c>
      <c r="E1037" s="2">
        <f>IFERROR(__xludf.DUMMYFUNCTION("""COMPUTED_VALUE"""),21.0)</f>
        <v>21</v>
      </c>
      <c r="F1037" s="2">
        <f>IFERROR(__xludf.DUMMYFUNCTION("""COMPUTED_VALUE"""),4370.0)</f>
        <v>4370</v>
      </c>
      <c r="G1037" s="2">
        <f>IFERROR(__xludf.DUMMYFUNCTION("""COMPUTED_VALUE"""),0.0)</f>
        <v>0</v>
      </c>
    </row>
    <row r="1038">
      <c r="A1038" s="2" t="str">
        <f>IFERROR(__xludf.DUMMYFUNCTION("""COMPUTED_VALUE"""),"Colombia")</f>
        <v>Colombia</v>
      </c>
      <c r="B1038" s="3">
        <f>IFERROR(__xludf.DUMMYFUNCTION("""COMPUTED_VALUE"""),42884.0)</f>
        <v>42884</v>
      </c>
      <c r="C1038" s="3">
        <f>IFERROR(__xludf.DUMMYFUNCTION("""COMPUTED_VALUE"""),42890.0)</f>
        <v>42890</v>
      </c>
      <c r="D1038" s="2">
        <f>IFERROR(__xludf.DUMMYFUNCTION("""COMPUTED_VALUE"""),7.0)</f>
        <v>7</v>
      </c>
      <c r="E1038" s="2">
        <f>IFERROR(__xludf.DUMMYFUNCTION("""COMPUTED_VALUE"""),22.0)</f>
        <v>22</v>
      </c>
      <c r="F1038" s="2">
        <f>IFERROR(__xludf.DUMMYFUNCTION("""COMPUTED_VALUE"""),4500.0)</f>
        <v>4500</v>
      </c>
      <c r="G1038" s="2">
        <f>IFERROR(__xludf.DUMMYFUNCTION("""COMPUTED_VALUE"""),0.0)</f>
        <v>0</v>
      </c>
    </row>
    <row r="1039">
      <c r="A1039" s="2" t="str">
        <f>IFERROR(__xludf.DUMMYFUNCTION("""COMPUTED_VALUE"""),"Colombia")</f>
        <v>Colombia</v>
      </c>
      <c r="B1039" s="3">
        <f>IFERROR(__xludf.DUMMYFUNCTION("""COMPUTED_VALUE"""),42891.0)</f>
        <v>42891</v>
      </c>
      <c r="C1039" s="3">
        <f>IFERROR(__xludf.DUMMYFUNCTION("""COMPUTED_VALUE"""),42897.0)</f>
        <v>42897</v>
      </c>
      <c r="D1039" s="2">
        <f>IFERROR(__xludf.DUMMYFUNCTION("""COMPUTED_VALUE"""),7.0)</f>
        <v>7</v>
      </c>
      <c r="E1039" s="2">
        <f>IFERROR(__xludf.DUMMYFUNCTION("""COMPUTED_VALUE"""),23.0)</f>
        <v>23</v>
      </c>
      <c r="F1039" s="2">
        <f>IFERROR(__xludf.DUMMYFUNCTION("""COMPUTED_VALUE"""),4342.0)</f>
        <v>4342</v>
      </c>
      <c r="G1039" s="2">
        <f>IFERROR(__xludf.DUMMYFUNCTION("""COMPUTED_VALUE"""),0.0)</f>
        <v>0</v>
      </c>
    </row>
    <row r="1040">
      <c r="A1040" s="2" t="str">
        <f>IFERROR(__xludf.DUMMYFUNCTION("""COMPUTED_VALUE"""),"Colombia")</f>
        <v>Colombia</v>
      </c>
      <c r="B1040" s="3">
        <f>IFERROR(__xludf.DUMMYFUNCTION("""COMPUTED_VALUE"""),42898.0)</f>
        <v>42898</v>
      </c>
      <c r="C1040" s="3">
        <f>IFERROR(__xludf.DUMMYFUNCTION("""COMPUTED_VALUE"""),42904.0)</f>
        <v>42904</v>
      </c>
      <c r="D1040" s="2">
        <f>IFERROR(__xludf.DUMMYFUNCTION("""COMPUTED_VALUE"""),7.0)</f>
        <v>7</v>
      </c>
      <c r="E1040" s="2">
        <f>IFERROR(__xludf.DUMMYFUNCTION("""COMPUTED_VALUE"""),24.0)</f>
        <v>24</v>
      </c>
      <c r="F1040" s="2">
        <f>IFERROR(__xludf.DUMMYFUNCTION("""COMPUTED_VALUE"""),4339.0)</f>
        <v>4339</v>
      </c>
      <c r="G1040" s="2">
        <f>IFERROR(__xludf.DUMMYFUNCTION("""COMPUTED_VALUE"""),0.0)</f>
        <v>0</v>
      </c>
    </row>
    <row r="1041">
      <c r="A1041" s="2" t="str">
        <f>IFERROR(__xludf.DUMMYFUNCTION("""COMPUTED_VALUE"""),"Colombia")</f>
        <v>Colombia</v>
      </c>
      <c r="B1041" s="3">
        <f>IFERROR(__xludf.DUMMYFUNCTION("""COMPUTED_VALUE"""),42905.0)</f>
        <v>42905</v>
      </c>
      <c r="C1041" s="3">
        <f>IFERROR(__xludf.DUMMYFUNCTION("""COMPUTED_VALUE"""),42911.0)</f>
        <v>42911</v>
      </c>
      <c r="D1041" s="2">
        <f>IFERROR(__xludf.DUMMYFUNCTION("""COMPUTED_VALUE"""),7.0)</f>
        <v>7</v>
      </c>
      <c r="E1041" s="2">
        <f>IFERROR(__xludf.DUMMYFUNCTION("""COMPUTED_VALUE"""),25.0)</f>
        <v>25</v>
      </c>
      <c r="F1041" s="2">
        <f>IFERROR(__xludf.DUMMYFUNCTION("""COMPUTED_VALUE"""),4171.0)</f>
        <v>4171</v>
      </c>
      <c r="G1041" s="2">
        <f>IFERROR(__xludf.DUMMYFUNCTION("""COMPUTED_VALUE"""),0.0)</f>
        <v>0</v>
      </c>
    </row>
    <row r="1042">
      <c r="A1042" s="2" t="str">
        <f>IFERROR(__xludf.DUMMYFUNCTION("""COMPUTED_VALUE"""),"Colombia")</f>
        <v>Colombia</v>
      </c>
      <c r="B1042" s="3">
        <f>IFERROR(__xludf.DUMMYFUNCTION("""COMPUTED_VALUE"""),42912.0)</f>
        <v>42912</v>
      </c>
      <c r="C1042" s="3">
        <f>IFERROR(__xludf.DUMMYFUNCTION("""COMPUTED_VALUE"""),42918.0)</f>
        <v>42918</v>
      </c>
      <c r="D1042" s="2">
        <f>IFERROR(__xludf.DUMMYFUNCTION("""COMPUTED_VALUE"""),7.0)</f>
        <v>7</v>
      </c>
      <c r="E1042" s="2">
        <f>IFERROR(__xludf.DUMMYFUNCTION("""COMPUTED_VALUE"""),26.0)</f>
        <v>26</v>
      </c>
      <c r="F1042" s="2">
        <f>IFERROR(__xludf.DUMMYFUNCTION("""COMPUTED_VALUE"""),4412.0)</f>
        <v>4412</v>
      </c>
      <c r="G1042" s="2">
        <f>IFERROR(__xludf.DUMMYFUNCTION("""COMPUTED_VALUE"""),0.0)</f>
        <v>0</v>
      </c>
    </row>
    <row r="1043">
      <c r="A1043" s="2" t="str">
        <f>IFERROR(__xludf.DUMMYFUNCTION("""COMPUTED_VALUE"""),"Colombia")</f>
        <v>Colombia</v>
      </c>
      <c r="B1043" s="3">
        <f>IFERROR(__xludf.DUMMYFUNCTION("""COMPUTED_VALUE"""),42919.0)</f>
        <v>42919</v>
      </c>
      <c r="C1043" s="3">
        <f>IFERROR(__xludf.DUMMYFUNCTION("""COMPUTED_VALUE"""),42925.0)</f>
        <v>42925</v>
      </c>
      <c r="D1043" s="2">
        <f>IFERROR(__xludf.DUMMYFUNCTION("""COMPUTED_VALUE"""),7.0)</f>
        <v>7</v>
      </c>
      <c r="E1043" s="2">
        <f>IFERROR(__xludf.DUMMYFUNCTION("""COMPUTED_VALUE"""),27.0)</f>
        <v>27</v>
      </c>
      <c r="F1043" s="2">
        <f>IFERROR(__xludf.DUMMYFUNCTION("""COMPUTED_VALUE"""),4418.0)</f>
        <v>4418</v>
      </c>
      <c r="G1043" s="2">
        <f>IFERROR(__xludf.DUMMYFUNCTION("""COMPUTED_VALUE"""),0.0)</f>
        <v>0</v>
      </c>
    </row>
    <row r="1044">
      <c r="A1044" s="2" t="str">
        <f>IFERROR(__xludf.DUMMYFUNCTION("""COMPUTED_VALUE"""),"Colombia")</f>
        <v>Colombia</v>
      </c>
      <c r="B1044" s="3">
        <f>IFERROR(__xludf.DUMMYFUNCTION("""COMPUTED_VALUE"""),42926.0)</f>
        <v>42926</v>
      </c>
      <c r="C1044" s="3">
        <f>IFERROR(__xludf.DUMMYFUNCTION("""COMPUTED_VALUE"""),42932.0)</f>
        <v>42932</v>
      </c>
      <c r="D1044" s="2">
        <f>IFERROR(__xludf.DUMMYFUNCTION("""COMPUTED_VALUE"""),7.0)</f>
        <v>7</v>
      </c>
      <c r="E1044" s="2">
        <f>IFERROR(__xludf.DUMMYFUNCTION("""COMPUTED_VALUE"""),28.0)</f>
        <v>28</v>
      </c>
      <c r="F1044" s="2">
        <f>IFERROR(__xludf.DUMMYFUNCTION("""COMPUTED_VALUE"""),4400.0)</f>
        <v>4400</v>
      </c>
      <c r="G1044" s="2">
        <f>IFERROR(__xludf.DUMMYFUNCTION("""COMPUTED_VALUE"""),0.0)</f>
        <v>0</v>
      </c>
    </row>
    <row r="1045">
      <c r="A1045" s="2" t="str">
        <f>IFERROR(__xludf.DUMMYFUNCTION("""COMPUTED_VALUE"""),"Colombia")</f>
        <v>Colombia</v>
      </c>
      <c r="B1045" s="3">
        <f>IFERROR(__xludf.DUMMYFUNCTION("""COMPUTED_VALUE"""),42933.0)</f>
        <v>42933</v>
      </c>
      <c r="C1045" s="3">
        <f>IFERROR(__xludf.DUMMYFUNCTION("""COMPUTED_VALUE"""),42939.0)</f>
        <v>42939</v>
      </c>
      <c r="D1045" s="2">
        <f>IFERROR(__xludf.DUMMYFUNCTION("""COMPUTED_VALUE"""),7.0)</f>
        <v>7</v>
      </c>
      <c r="E1045" s="2">
        <f>IFERROR(__xludf.DUMMYFUNCTION("""COMPUTED_VALUE"""),29.0)</f>
        <v>29</v>
      </c>
      <c r="F1045" s="2">
        <f>IFERROR(__xludf.DUMMYFUNCTION("""COMPUTED_VALUE"""),4339.0)</f>
        <v>4339</v>
      </c>
      <c r="G1045" s="2">
        <f>IFERROR(__xludf.DUMMYFUNCTION("""COMPUTED_VALUE"""),0.0)</f>
        <v>0</v>
      </c>
    </row>
    <row r="1046">
      <c r="A1046" s="2" t="str">
        <f>IFERROR(__xludf.DUMMYFUNCTION("""COMPUTED_VALUE"""),"Colombia")</f>
        <v>Colombia</v>
      </c>
      <c r="B1046" s="3">
        <f>IFERROR(__xludf.DUMMYFUNCTION("""COMPUTED_VALUE"""),42940.0)</f>
        <v>42940</v>
      </c>
      <c r="C1046" s="3">
        <f>IFERROR(__xludf.DUMMYFUNCTION("""COMPUTED_VALUE"""),42946.0)</f>
        <v>42946</v>
      </c>
      <c r="D1046" s="2">
        <f>IFERROR(__xludf.DUMMYFUNCTION("""COMPUTED_VALUE"""),7.0)</f>
        <v>7</v>
      </c>
      <c r="E1046" s="2">
        <f>IFERROR(__xludf.DUMMYFUNCTION("""COMPUTED_VALUE"""),30.0)</f>
        <v>30</v>
      </c>
      <c r="F1046" s="2">
        <f>IFERROR(__xludf.DUMMYFUNCTION("""COMPUTED_VALUE"""),4263.0)</f>
        <v>4263</v>
      </c>
      <c r="G1046" s="2">
        <f>IFERROR(__xludf.DUMMYFUNCTION("""COMPUTED_VALUE"""),0.0)</f>
        <v>0</v>
      </c>
    </row>
    <row r="1047">
      <c r="A1047" s="2" t="str">
        <f>IFERROR(__xludf.DUMMYFUNCTION("""COMPUTED_VALUE"""),"Colombia")</f>
        <v>Colombia</v>
      </c>
      <c r="B1047" s="3">
        <f>IFERROR(__xludf.DUMMYFUNCTION("""COMPUTED_VALUE"""),42947.0)</f>
        <v>42947</v>
      </c>
      <c r="C1047" s="3">
        <f>IFERROR(__xludf.DUMMYFUNCTION("""COMPUTED_VALUE"""),42953.0)</f>
        <v>42953</v>
      </c>
      <c r="D1047" s="2">
        <f>IFERROR(__xludf.DUMMYFUNCTION("""COMPUTED_VALUE"""),7.0)</f>
        <v>7</v>
      </c>
      <c r="E1047" s="2">
        <f>IFERROR(__xludf.DUMMYFUNCTION("""COMPUTED_VALUE"""),31.0)</f>
        <v>31</v>
      </c>
      <c r="F1047" s="2">
        <f>IFERROR(__xludf.DUMMYFUNCTION("""COMPUTED_VALUE"""),4390.0)</f>
        <v>4390</v>
      </c>
      <c r="G1047" s="2">
        <f>IFERROR(__xludf.DUMMYFUNCTION("""COMPUTED_VALUE"""),0.0)</f>
        <v>0</v>
      </c>
    </row>
    <row r="1048">
      <c r="A1048" s="2" t="str">
        <f>IFERROR(__xludf.DUMMYFUNCTION("""COMPUTED_VALUE"""),"Colombia")</f>
        <v>Colombia</v>
      </c>
      <c r="B1048" s="3">
        <f>IFERROR(__xludf.DUMMYFUNCTION("""COMPUTED_VALUE"""),42954.0)</f>
        <v>42954</v>
      </c>
      <c r="C1048" s="3">
        <f>IFERROR(__xludf.DUMMYFUNCTION("""COMPUTED_VALUE"""),42960.0)</f>
        <v>42960</v>
      </c>
      <c r="D1048" s="2">
        <f>IFERROR(__xludf.DUMMYFUNCTION("""COMPUTED_VALUE"""),7.0)</f>
        <v>7</v>
      </c>
      <c r="E1048" s="2">
        <f>IFERROR(__xludf.DUMMYFUNCTION("""COMPUTED_VALUE"""),32.0)</f>
        <v>32</v>
      </c>
      <c r="F1048" s="2">
        <f>IFERROR(__xludf.DUMMYFUNCTION("""COMPUTED_VALUE"""),4278.0)</f>
        <v>4278</v>
      </c>
      <c r="G1048" s="2">
        <f>IFERROR(__xludf.DUMMYFUNCTION("""COMPUTED_VALUE"""),0.0)</f>
        <v>0</v>
      </c>
    </row>
    <row r="1049">
      <c r="A1049" s="2" t="str">
        <f>IFERROR(__xludf.DUMMYFUNCTION("""COMPUTED_VALUE"""),"Colombia")</f>
        <v>Colombia</v>
      </c>
      <c r="B1049" s="3">
        <f>IFERROR(__xludf.DUMMYFUNCTION("""COMPUTED_VALUE"""),42961.0)</f>
        <v>42961</v>
      </c>
      <c r="C1049" s="3">
        <f>IFERROR(__xludf.DUMMYFUNCTION("""COMPUTED_VALUE"""),42967.0)</f>
        <v>42967</v>
      </c>
      <c r="D1049" s="2">
        <f>IFERROR(__xludf.DUMMYFUNCTION("""COMPUTED_VALUE"""),7.0)</f>
        <v>7</v>
      </c>
      <c r="E1049" s="2">
        <f>IFERROR(__xludf.DUMMYFUNCTION("""COMPUTED_VALUE"""),33.0)</f>
        <v>33</v>
      </c>
      <c r="F1049" s="2">
        <f>IFERROR(__xludf.DUMMYFUNCTION("""COMPUTED_VALUE"""),4389.0)</f>
        <v>4389</v>
      </c>
      <c r="G1049" s="2">
        <f>IFERROR(__xludf.DUMMYFUNCTION("""COMPUTED_VALUE"""),0.0)</f>
        <v>0</v>
      </c>
    </row>
    <row r="1050">
      <c r="A1050" s="2" t="str">
        <f>IFERROR(__xludf.DUMMYFUNCTION("""COMPUTED_VALUE"""),"Colombia")</f>
        <v>Colombia</v>
      </c>
      <c r="B1050" s="3">
        <f>IFERROR(__xludf.DUMMYFUNCTION("""COMPUTED_VALUE"""),42968.0)</f>
        <v>42968</v>
      </c>
      <c r="C1050" s="3">
        <f>IFERROR(__xludf.DUMMYFUNCTION("""COMPUTED_VALUE"""),42974.0)</f>
        <v>42974</v>
      </c>
      <c r="D1050" s="2">
        <f>IFERROR(__xludf.DUMMYFUNCTION("""COMPUTED_VALUE"""),7.0)</f>
        <v>7</v>
      </c>
      <c r="E1050" s="2">
        <f>IFERROR(__xludf.DUMMYFUNCTION("""COMPUTED_VALUE"""),34.0)</f>
        <v>34</v>
      </c>
      <c r="F1050" s="2">
        <f>IFERROR(__xludf.DUMMYFUNCTION("""COMPUTED_VALUE"""),4234.0)</f>
        <v>4234</v>
      </c>
      <c r="G1050" s="2">
        <f>IFERROR(__xludf.DUMMYFUNCTION("""COMPUTED_VALUE"""),0.0)</f>
        <v>0</v>
      </c>
    </row>
    <row r="1051">
      <c r="A1051" s="2" t="str">
        <f>IFERROR(__xludf.DUMMYFUNCTION("""COMPUTED_VALUE"""),"Colombia")</f>
        <v>Colombia</v>
      </c>
      <c r="B1051" s="3">
        <f>IFERROR(__xludf.DUMMYFUNCTION("""COMPUTED_VALUE"""),42975.0)</f>
        <v>42975</v>
      </c>
      <c r="C1051" s="3">
        <f>IFERROR(__xludf.DUMMYFUNCTION("""COMPUTED_VALUE"""),42981.0)</f>
        <v>42981</v>
      </c>
      <c r="D1051" s="2">
        <f>IFERROR(__xludf.DUMMYFUNCTION("""COMPUTED_VALUE"""),7.0)</f>
        <v>7</v>
      </c>
      <c r="E1051" s="2">
        <f>IFERROR(__xludf.DUMMYFUNCTION("""COMPUTED_VALUE"""),35.0)</f>
        <v>35</v>
      </c>
      <c r="F1051" s="2">
        <f>IFERROR(__xludf.DUMMYFUNCTION("""COMPUTED_VALUE"""),4253.0)</f>
        <v>4253</v>
      </c>
      <c r="G1051" s="2">
        <f>IFERROR(__xludf.DUMMYFUNCTION("""COMPUTED_VALUE"""),0.0)</f>
        <v>0</v>
      </c>
    </row>
    <row r="1052">
      <c r="A1052" s="2" t="str">
        <f>IFERROR(__xludf.DUMMYFUNCTION("""COMPUTED_VALUE"""),"Colombia")</f>
        <v>Colombia</v>
      </c>
      <c r="B1052" s="3">
        <f>IFERROR(__xludf.DUMMYFUNCTION("""COMPUTED_VALUE"""),42982.0)</f>
        <v>42982</v>
      </c>
      <c r="C1052" s="3">
        <f>IFERROR(__xludf.DUMMYFUNCTION("""COMPUTED_VALUE"""),42988.0)</f>
        <v>42988</v>
      </c>
      <c r="D1052" s="2">
        <f>IFERROR(__xludf.DUMMYFUNCTION("""COMPUTED_VALUE"""),7.0)</f>
        <v>7</v>
      </c>
      <c r="E1052" s="2">
        <f>IFERROR(__xludf.DUMMYFUNCTION("""COMPUTED_VALUE"""),36.0)</f>
        <v>36</v>
      </c>
      <c r="F1052" s="2">
        <f>IFERROR(__xludf.DUMMYFUNCTION("""COMPUTED_VALUE"""),4256.0)</f>
        <v>4256</v>
      </c>
      <c r="G1052" s="2">
        <f>IFERROR(__xludf.DUMMYFUNCTION("""COMPUTED_VALUE"""),0.0)</f>
        <v>0</v>
      </c>
    </row>
    <row r="1053">
      <c r="A1053" s="2" t="str">
        <f>IFERROR(__xludf.DUMMYFUNCTION("""COMPUTED_VALUE"""),"Colombia")</f>
        <v>Colombia</v>
      </c>
      <c r="B1053" s="3">
        <f>IFERROR(__xludf.DUMMYFUNCTION("""COMPUTED_VALUE"""),42989.0)</f>
        <v>42989</v>
      </c>
      <c r="C1053" s="3">
        <f>IFERROR(__xludf.DUMMYFUNCTION("""COMPUTED_VALUE"""),42995.0)</f>
        <v>42995</v>
      </c>
      <c r="D1053" s="2">
        <f>IFERROR(__xludf.DUMMYFUNCTION("""COMPUTED_VALUE"""),7.0)</f>
        <v>7</v>
      </c>
      <c r="E1053" s="2">
        <f>IFERROR(__xludf.DUMMYFUNCTION("""COMPUTED_VALUE"""),37.0)</f>
        <v>37</v>
      </c>
      <c r="F1053" s="2">
        <f>IFERROR(__xludf.DUMMYFUNCTION("""COMPUTED_VALUE"""),4373.0)</f>
        <v>4373</v>
      </c>
      <c r="G1053" s="2">
        <f>IFERROR(__xludf.DUMMYFUNCTION("""COMPUTED_VALUE"""),0.0)</f>
        <v>0</v>
      </c>
    </row>
    <row r="1054">
      <c r="A1054" s="2" t="str">
        <f>IFERROR(__xludf.DUMMYFUNCTION("""COMPUTED_VALUE"""),"Colombia")</f>
        <v>Colombia</v>
      </c>
      <c r="B1054" s="3">
        <f>IFERROR(__xludf.DUMMYFUNCTION("""COMPUTED_VALUE"""),42996.0)</f>
        <v>42996</v>
      </c>
      <c r="C1054" s="3">
        <f>IFERROR(__xludf.DUMMYFUNCTION("""COMPUTED_VALUE"""),43002.0)</f>
        <v>43002</v>
      </c>
      <c r="D1054" s="2">
        <f>IFERROR(__xludf.DUMMYFUNCTION("""COMPUTED_VALUE"""),7.0)</f>
        <v>7</v>
      </c>
      <c r="E1054" s="2">
        <f>IFERROR(__xludf.DUMMYFUNCTION("""COMPUTED_VALUE"""),38.0)</f>
        <v>38</v>
      </c>
      <c r="F1054" s="2">
        <f>IFERROR(__xludf.DUMMYFUNCTION("""COMPUTED_VALUE"""),4387.0)</f>
        <v>4387</v>
      </c>
      <c r="G1054" s="2">
        <f>IFERROR(__xludf.DUMMYFUNCTION("""COMPUTED_VALUE"""),0.0)</f>
        <v>0</v>
      </c>
    </row>
    <row r="1055">
      <c r="A1055" s="2" t="str">
        <f>IFERROR(__xludf.DUMMYFUNCTION("""COMPUTED_VALUE"""),"Colombia")</f>
        <v>Colombia</v>
      </c>
      <c r="B1055" s="3">
        <f>IFERROR(__xludf.DUMMYFUNCTION("""COMPUTED_VALUE"""),43003.0)</f>
        <v>43003</v>
      </c>
      <c r="C1055" s="3">
        <f>IFERROR(__xludf.DUMMYFUNCTION("""COMPUTED_VALUE"""),43009.0)</f>
        <v>43009</v>
      </c>
      <c r="D1055" s="2">
        <f>IFERROR(__xludf.DUMMYFUNCTION("""COMPUTED_VALUE"""),7.0)</f>
        <v>7</v>
      </c>
      <c r="E1055" s="2">
        <f>IFERROR(__xludf.DUMMYFUNCTION("""COMPUTED_VALUE"""),39.0)</f>
        <v>39</v>
      </c>
      <c r="F1055" s="2">
        <f>IFERROR(__xludf.DUMMYFUNCTION("""COMPUTED_VALUE"""),4290.0)</f>
        <v>4290</v>
      </c>
      <c r="G1055" s="2">
        <f>IFERROR(__xludf.DUMMYFUNCTION("""COMPUTED_VALUE"""),0.0)</f>
        <v>0</v>
      </c>
    </row>
    <row r="1056">
      <c r="A1056" s="2" t="str">
        <f>IFERROR(__xludf.DUMMYFUNCTION("""COMPUTED_VALUE"""),"Colombia")</f>
        <v>Colombia</v>
      </c>
      <c r="B1056" s="3">
        <f>IFERROR(__xludf.DUMMYFUNCTION("""COMPUTED_VALUE"""),43010.0)</f>
        <v>43010</v>
      </c>
      <c r="C1056" s="3">
        <f>IFERROR(__xludf.DUMMYFUNCTION("""COMPUTED_VALUE"""),43016.0)</f>
        <v>43016</v>
      </c>
      <c r="D1056" s="2">
        <f>IFERROR(__xludf.DUMMYFUNCTION("""COMPUTED_VALUE"""),7.0)</f>
        <v>7</v>
      </c>
      <c r="E1056" s="2">
        <f>IFERROR(__xludf.DUMMYFUNCTION("""COMPUTED_VALUE"""),40.0)</f>
        <v>40</v>
      </c>
      <c r="F1056" s="2">
        <f>IFERROR(__xludf.DUMMYFUNCTION("""COMPUTED_VALUE"""),4317.0)</f>
        <v>4317</v>
      </c>
      <c r="G1056" s="2">
        <f>IFERROR(__xludf.DUMMYFUNCTION("""COMPUTED_VALUE"""),0.0)</f>
        <v>0</v>
      </c>
    </row>
    <row r="1057">
      <c r="A1057" s="2" t="str">
        <f>IFERROR(__xludf.DUMMYFUNCTION("""COMPUTED_VALUE"""),"Colombia")</f>
        <v>Colombia</v>
      </c>
      <c r="B1057" s="3">
        <f>IFERROR(__xludf.DUMMYFUNCTION("""COMPUTED_VALUE"""),43017.0)</f>
        <v>43017</v>
      </c>
      <c r="C1057" s="3">
        <f>IFERROR(__xludf.DUMMYFUNCTION("""COMPUTED_VALUE"""),43023.0)</f>
        <v>43023</v>
      </c>
      <c r="D1057" s="2">
        <f>IFERROR(__xludf.DUMMYFUNCTION("""COMPUTED_VALUE"""),7.0)</f>
        <v>7</v>
      </c>
      <c r="E1057" s="2">
        <f>IFERROR(__xludf.DUMMYFUNCTION("""COMPUTED_VALUE"""),41.0)</f>
        <v>41</v>
      </c>
      <c r="F1057" s="2">
        <f>IFERROR(__xludf.DUMMYFUNCTION("""COMPUTED_VALUE"""),4402.0)</f>
        <v>4402</v>
      </c>
      <c r="G1057" s="2">
        <f>IFERROR(__xludf.DUMMYFUNCTION("""COMPUTED_VALUE"""),0.0)</f>
        <v>0</v>
      </c>
    </row>
    <row r="1058">
      <c r="A1058" s="2" t="str">
        <f>IFERROR(__xludf.DUMMYFUNCTION("""COMPUTED_VALUE"""),"Colombia")</f>
        <v>Colombia</v>
      </c>
      <c r="B1058" s="3">
        <f>IFERROR(__xludf.DUMMYFUNCTION("""COMPUTED_VALUE"""),43024.0)</f>
        <v>43024</v>
      </c>
      <c r="C1058" s="3">
        <f>IFERROR(__xludf.DUMMYFUNCTION("""COMPUTED_VALUE"""),43030.0)</f>
        <v>43030</v>
      </c>
      <c r="D1058" s="2">
        <f>IFERROR(__xludf.DUMMYFUNCTION("""COMPUTED_VALUE"""),7.0)</f>
        <v>7</v>
      </c>
      <c r="E1058" s="2">
        <f>IFERROR(__xludf.DUMMYFUNCTION("""COMPUTED_VALUE"""),42.0)</f>
        <v>42</v>
      </c>
      <c r="F1058" s="2">
        <f>IFERROR(__xludf.DUMMYFUNCTION("""COMPUTED_VALUE"""),4454.0)</f>
        <v>4454</v>
      </c>
      <c r="G1058" s="2">
        <f>IFERROR(__xludf.DUMMYFUNCTION("""COMPUTED_VALUE"""),0.0)</f>
        <v>0</v>
      </c>
    </row>
    <row r="1059">
      <c r="A1059" s="2" t="str">
        <f>IFERROR(__xludf.DUMMYFUNCTION("""COMPUTED_VALUE"""),"Colombia")</f>
        <v>Colombia</v>
      </c>
      <c r="B1059" s="3">
        <f>IFERROR(__xludf.DUMMYFUNCTION("""COMPUTED_VALUE"""),43031.0)</f>
        <v>43031</v>
      </c>
      <c r="C1059" s="3">
        <f>IFERROR(__xludf.DUMMYFUNCTION("""COMPUTED_VALUE"""),43037.0)</f>
        <v>43037</v>
      </c>
      <c r="D1059" s="2">
        <f>IFERROR(__xludf.DUMMYFUNCTION("""COMPUTED_VALUE"""),7.0)</f>
        <v>7</v>
      </c>
      <c r="E1059" s="2">
        <f>IFERROR(__xludf.DUMMYFUNCTION("""COMPUTED_VALUE"""),43.0)</f>
        <v>43</v>
      </c>
      <c r="F1059" s="2">
        <f>IFERROR(__xludf.DUMMYFUNCTION("""COMPUTED_VALUE"""),4177.0)</f>
        <v>4177</v>
      </c>
      <c r="G1059" s="2">
        <f>IFERROR(__xludf.DUMMYFUNCTION("""COMPUTED_VALUE"""),0.0)</f>
        <v>0</v>
      </c>
    </row>
    <row r="1060">
      <c r="A1060" s="2" t="str">
        <f>IFERROR(__xludf.DUMMYFUNCTION("""COMPUTED_VALUE"""),"Colombia")</f>
        <v>Colombia</v>
      </c>
      <c r="B1060" s="3">
        <f>IFERROR(__xludf.DUMMYFUNCTION("""COMPUTED_VALUE"""),43038.0)</f>
        <v>43038</v>
      </c>
      <c r="C1060" s="3">
        <f>IFERROR(__xludf.DUMMYFUNCTION("""COMPUTED_VALUE"""),43044.0)</f>
        <v>43044</v>
      </c>
      <c r="D1060" s="2">
        <f>IFERROR(__xludf.DUMMYFUNCTION("""COMPUTED_VALUE"""),7.0)</f>
        <v>7</v>
      </c>
      <c r="E1060" s="2">
        <f>IFERROR(__xludf.DUMMYFUNCTION("""COMPUTED_VALUE"""),44.0)</f>
        <v>44</v>
      </c>
      <c r="F1060" s="2">
        <f>IFERROR(__xludf.DUMMYFUNCTION("""COMPUTED_VALUE"""),4310.0)</f>
        <v>4310</v>
      </c>
      <c r="G1060" s="2">
        <f>IFERROR(__xludf.DUMMYFUNCTION("""COMPUTED_VALUE"""),0.0)</f>
        <v>0</v>
      </c>
    </row>
    <row r="1061">
      <c r="A1061" s="2" t="str">
        <f>IFERROR(__xludf.DUMMYFUNCTION("""COMPUTED_VALUE"""),"Colombia")</f>
        <v>Colombia</v>
      </c>
      <c r="B1061" s="3">
        <f>IFERROR(__xludf.DUMMYFUNCTION("""COMPUTED_VALUE"""),43045.0)</f>
        <v>43045</v>
      </c>
      <c r="C1061" s="3">
        <f>IFERROR(__xludf.DUMMYFUNCTION("""COMPUTED_VALUE"""),43051.0)</f>
        <v>43051</v>
      </c>
      <c r="D1061" s="2">
        <f>IFERROR(__xludf.DUMMYFUNCTION("""COMPUTED_VALUE"""),7.0)</f>
        <v>7</v>
      </c>
      <c r="E1061" s="2">
        <f>IFERROR(__xludf.DUMMYFUNCTION("""COMPUTED_VALUE"""),45.0)</f>
        <v>45</v>
      </c>
      <c r="F1061" s="2">
        <f>IFERROR(__xludf.DUMMYFUNCTION("""COMPUTED_VALUE"""),4440.0)</f>
        <v>4440</v>
      </c>
      <c r="G1061" s="2">
        <f>IFERROR(__xludf.DUMMYFUNCTION("""COMPUTED_VALUE"""),0.0)</f>
        <v>0</v>
      </c>
    </row>
    <row r="1062">
      <c r="A1062" s="2" t="str">
        <f>IFERROR(__xludf.DUMMYFUNCTION("""COMPUTED_VALUE"""),"Colombia")</f>
        <v>Colombia</v>
      </c>
      <c r="B1062" s="3">
        <f>IFERROR(__xludf.DUMMYFUNCTION("""COMPUTED_VALUE"""),43052.0)</f>
        <v>43052</v>
      </c>
      <c r="C1062" s="3">
        <f>IFERROR(__xludf.DUMMYFUNCTION("""COMPUTED_VALUE"""),43058.0)</f>
        <v>43058</v>
      </c>
      <c r="D1062" s="2">
        <f>IFERROR(__xludf.DUMMYFUNCTION("""COMPUTED_VALUE"""),7.0)</f>
        <v>7</v>
      </c>
      <c r="E1062" s="2">
        <f>IFERROR(__xludf.DUMMYFUNCTION("""COMPUTED_VALUE"""),46.0)</f>
        <v>46</v>
      </c>
      <c r="F1062" s="2">
        <f>IFERROR(__xludf.DUMMYFUNCTION("""COMPUTED_VALUE"""),4239.0)</f>
        <v>4239</v>
      </c>
      <c r="G1062" s="2">
        <f>IFERROR(__xludf.DUMMYFUNCTION("""COMPUTED_VALUE"""),0.0)</f>
        <v>0</v>
      </c>
    </row>
    <row r="1063">
      <c r="A1063" s="2" t="str">
        <f>IFERROR(__xludf.DUMMYFUNCTION("""COMPUTED_VALUE"""),"Colombia")</f>
        <v>Colombia</v>
      </c>
      <c r="B1063" s="3">
        <f>IFERROR(__xludf.DUMMYFUNCTION("""COMPUTED_VALUE"""),43059.0)</f>
        <v>43059</v>
      </c>
      <c r="C1063" s="3">
        <f>IFERROR(__xludf.DUMMYFUNCTION("""COMPUTED_VALUE"""),43065.0)</f>
        <v>43065</v>
      </c>
      <c r="D1063" s="2">
        <f>IFERROR(__xludf.DUMMYFUNCTION("""COMPUTED_VALUE"""),7.0)</f>
        <v>7</v>
      </c>
      <c r="E1063" s="2">
        <f>IFERROR(__xludf.DUMMYFUNCTION("""COMPUTED_VALUE"""),47.0)</f>
        <v>47</v>
      </c>
      <c r="F1063" s="2">
        <f>IFERROR(__xludf.DUMMYFUNCTION("""COMPUTED_VALUE"""),4306.0)</f>
        <v>4306</v>
      </c>
      <c r="G1063" s="2">
        <f>IFERROR(__xludf.DUMMYFUNCTION("""COMPUTED_VALUE"""),0.0)</f>
        <v>0</v>
      </c>
    </row>
    <row r="1064">
      <c r="A1064" s="2" t="str">
        <f>IFERROR(__xludf.DUMMYFUNCTION("""COMPUTED_VALUE"""),"Colombia")</f>
        <v>Colombia</v>
      </c>
      <c r="B1064" s="3">
        <f>IFERROR(__xludf.DUMMYFUNCTION("""COMPUTED_VALUE"""),43066.0)</f>
        <v>43066</v>
      </c>
      <c r="C1064" s="3">
        <f>IFERROR(__xludf.DUMMYFUNCTION("""COMPUTED_VALUE"""),43072.0)</f>
        <v>43072</v>
      </c>
      <c r="D1064" s="2">
        <f>IFERROR(__xludf.DUMMYFUNCTION("""COMPUTED_VALUE"""),7.0)</f>
        <v>7</v>
      </c>
      <c r="E1064" s="2">
        <f>IFERROR(__xludf.DUMMYFUNCTION("""COMPUTED_VALUE"""),48.0)</f>
        <v>48</v>
      </c>
      <c r="F1064" s="2">
        <f>IFERROR(__xludf.DUMMYFUNCTION("""COMPUTED_VALUE"""),4409.0)</f>
        <v>4409</v>
      </c>
      <c r="G1064" s="2">
        <f>IFERROR(__xludf.DUMMYFUNCTION("""COMPUTED_VALUE"""),0.0)</f>
        <v>0</v>
      </c>
    </row>
    <row r="1065">
      <c r="A1065" s="2" t="str">
        <f>IFERROR(__xludf.DUMMYFUNCTION("""COMPUTED_VALUE"""),"Colombia")</f>
        <v>Colombia</v>
      </c>
      <c r="B1065" s="3">
        <f>IFERROR(__xludf.DUMMYFUNCTION("""COMPUTED_VALUE"""),43073.0)</f>
        <v>43073</v>
      </c>
      <c r="C1065" s="3">
        <f>IFERROR(__xludf.DUMMYFUNCTION("""COMPUTED_VALUE"""),43079.0)</f>
        <v>43079</v>
      </c>
      <c r="D1065" s="2">
        <f>IFERROR(__xludf.DUMMYFUNCTION("""COMPUTED_VALUE"""),7.0)</f>
        <v>7</v>
      </c>
      <c r="E1065" s="2">
        <f>IFERROR(__xludf.DUMMYFUNCTION("""COMPUTED_VALUE"""),49.0)</f>
        <v>49</v>
      </c>
      <c r="F1065" s="2">
        <f>IFERROR(__xludf.DUMMYFUNCTION("""COMPUTED_VALUE"""),4575.0)</f>
        <v>4575</v>
      </c>
      <c r="G1065" s="2">
        <f>IFERROR(__xludf.DUMMYFUNCTION("""COMPUTED_VALUE"""),0.0)</f>
        <v>0</v>
      </c>
    </row>
    <row r="1066">
      <c r="A1066" s="2" t="str">
        <f>IFERROR(__xludf.DUMMYFUNCTION("""COMPUTED_VALUE"""),"Colombia")</f>
        <v>Colombia</v>
      </c>
      <c r="B1066" s="3">
        <f>IFERROR(__xludf.DUMMYFUNCTION("""COMPUTED_VALUE"""),43080.0)</f>
        <v>43080</v>
      </c>
      <c r="C1066" s="3">
        <f>IFERROR(__xludf.DUMMYFUNCTION("""COMPUTED_VALUE"""),43086.0)</f>
        <v>43086</v>
      </c>
      <c r="D1066" s="2">
        <f>IFERROR(__xludf.DUMMYFUNCTION("""COMPUTED_VALUE"""),7.0)</f>
        <v>7</v>
      </c>
      <c r="E1066" s="2">
        <f>IFERROR(__xludf.DUMMYFUNCTION("""COMPUTED_VALUE"""),50.0)</f>
        <v>50</v>
      </c>
      <c r="F1066" s="2">
        <f>IFERROR(__xludf.DUMMYFUNCTION("""COMPUTED_VALUE"""),4491.0)</f>
        <v>4491</v>
      </c>
      <c r="G1066" s="2">
        <f>IFERROR(__xludf.DUMMYFUNCTION("""COMPUTED_VALUE"""),0.0)</f>
        <v>0</v>
      </c>
    </row>
    <row r="1067">
      <c r="A1067" s="2" t="str">
        <f>IFERROR(__xludf.DUMMYFUNCTION("""COMPUTED_VALUE"""),"Colombia")</f>
        <v>Colombia</v>
      </c>
      <c r="B1067" s="3">
        <f>IFERROR(__xludf.DUMMYFUNCTION("""COMPUTED_VALUE"""),43087.0)</f>
        <v>43087</v>
      </c>
      <c r="C1067" s="3">
        <f>IFERROR(__xludf.DUMMYFUNCTION("""COMPUTED_VALUE"""),43093.0)</f>
        <v>43093</v>
      </c>
      <c r="D1067" s="2">
        <f>IFERROR(__xludf.DUMMYFUNCTION("""COMPUTED_VALUE"""),7.0)</f>
        <v>7</v>
      </c>
      <c r="E1067" s="2">
        <f>IFERROR(__xludf.DUMMYFUNCTION("""COMPUTED_VALUE"""),51.0)</f>
        <v>51</v>
      </c>
      <c r="F1067" s="2">
        <f>IFERROR(__xludf.DUMMYFUNCTION("""COMPUTED_VALUE"""),4562.0)</f>
        <v>4562</v>
      </c>
      <c r="G1067" s="2">
        <f>IFERROR(__xludf.DUMMYFUNCTION("""COMPUTED_VALUE"""),0.0)</f>
        <v>0</v>
      </c>
    </row>
    <row r="1068">
      <c r="A1068" s="2" t="str">
        <f>IFERROR(__xludf.DUMMYFUNCTION("""COMPUTED_VALUE"""),"Colombia")</f>
        <v>Colombia</v>
      </c>
      <c r="B1068" s="3">
        <f>IFERROR(__xludf.DUMMYFUNCTION("""COMPUTED_VALUE"""),43094.0)</f>
        <v>43094</v>
      </c>
      <c r="C1068" s="3">
        <f>IFERROR(__xludf.DUMMYFUNCTION("""COMPUTED_VALUE"""),43100.0)</f>
        <v>43100</v>
      </c>
      <c r="D1068" s="2">
        <f>IFERROR(__xludf.DUMMYFUNCTION("""COMPUTED_VALUE"""),7.0)</f>
        <v>7</v>
      </c>
      <c r="E1068" s="2">
        <f>IFERROR(__xludf.DUMMYFUNCTION("""COMPUTED_VALUE"""),52.0)</f>
        <v>52</v>
      </c>
      <c r="F1068" s="2">
        <f>IFERROR(__xludf.DUMMYFUNCTION("""COMPUTED_VALUE"""),4589.0)</f>
        <v>4589</v>
      </c>
      <c r="G1068" s="2">
        <f>IFERROR(__xludf.DUMMYFUNCTION("""COMPUTED_VALUE"""),0.0)</f>
        <v>0</v>
      </c>
    </row>
    <row r="1069">
      <c r="A1069" s="2" t="str">
        <f>IFERROR(__xludf.DUMMYFUNCTION("""COMPUTED_VALUE"""),"Colombia")</f>
        <v>Colombia</v>
      </c>
      <c r="B1069" s="3">
        <f>IFERROR(__xludf.DUMMYFUNCTION("""COMPUTED_VALUE"""),43101.0)</f>
        <v>43101</v>
      </c>
      <c r="C1069" s="3">
        <f>IFERROR(__xludf.DUMMYFUNCTION("""COMPUTED_VALUE"""),43107.0)</f>
        <v>43107</v>
      </c>
      <c r="D1069" s="2">
        <f>IFERROR(__xludf.DUMMYFUNCTION("""COMPUTED_VALUE"""),7.0)</f>
        <v>7</v>
      </c>
      <c r="E1069" s="2">
        <f>IFERROR(__xludf.DUMMYFUNCTION("""COMPUTED_VALUE"""),1.0)</f>
        <v>1</v>
      </c>
      <c r="F1069" s="2">
        <f>IFERROR(__xludf.DUMMYFUNCTION("""COMPUTED_VALUE"""),4721.0)</f>
        <v>4721</v>
      </c>
      <c r="G1069" s="2">
        <f>IFERROR(__xludf.DUMMYFUNCTION("""COMPUTED_VALUE"""),0.0)</f>
        <v>0</v>
      </c>
    </row>
    <row r="1070">
      <c r="A1070" s="2" t="str">
        <f>IFERROR(__xludf.DUMMYFUNCTION("""COMPUTED_VALUE"""),"Colombia")</f>
        <v>Colombia</v>
      </c>
      <c r="B1070" s="3">
        <f>IFERROR(__xludf.DUMMYFUNCTION("""COMPUTED_VALUE"""),43108.0)</f>
        <v>43108</v>
      </c>
      <c r="C1070" s="3">
        <f>IFERROR(__xludf.DUMMYFUNCTION("""COMPUTED_VALUE"""),43114.0)</f>
        <v>43114</v>
      </c>
      <c r="D1070" s="2">
        <f>IFERROR(__xludf.DUMMYFUNCTION("""COMPUTED_VALUE"""),7.0)</f>
        <v>7</v>
      </c>
      <c r="E1070" s="2">
        <f>IFERROR(__xludf.DUMMYFUNCTION("""COMPUTED_VALUE"""),2.0)</f>
        <v>2</v>
      </c>
      <c r="F1070" s="2">
        <f>IFERROR(__xludf.DUMMYFUNCTION("""COMPUTED_VALUE"""),4465.0)</f>
        <v>4465</v>
      </c>
      <c r="G1070" s="2">
        <f>IFERROR(__xludf.DUMMYFUNCTION("""COMPUTED_VALUE"""),0.0)</f>
        <v>0</v>
      </c>
    </row>
    <row r="1071">
      <c r="A1071" s="2" t="str">
        <f>IFERROR(__xludf.DUMMYFUNCTION("""COMPUTED_VALUE"""),"Colombia")</f>
        <v>Colombia</v>
      </c>
      <c r="B1071" s="3">
        <f>IFERROR(__xludf.DUMMYFUNCTION("""COMPUTED_VALUE"""),43115.0)</f>
        <v>43115</v>
      </c>
      <c r="C1071" s="3">
        <f>IFERROR(__xludf.DUMMYFUNCTION("""COMPUTED_VALUE"""),43121.0)</f>
        <v>43121</v>
      </c>
      <c r="D1071" s="2">
        <f>IFERROR(__xludf.DUMMYFUNCTION("""COMPUTED_VALUE"""),7.0)</f>
        <v>7</v>
      </c>
      <c r="E1071" s="2">
        <f>IFERROR(__xludf.DUMMYFUNCTION("""COMPUTED_VALUE"""),3.0)</f>
        <v>3</v>
      </c>
      <c r="F1071" s="2">
        <f>IFERROR(__xludf.DUMMYFUNCTION("""COMPUTED_VALUE"""),4631.0)</f>
        <v>4631</v>
      </c>
      <c r="G1071" s="2">
        <f>IFERROR(__xludf.DUMMYFUNCTION("""COMPUTED_VALUE"""),0.0)</f>
        <v>0</v>
      </c>
    </row>
    <row r="1072">
      <c r="A1072" s="2" t="str">
        <f>IFERROR(__xludf.DUMMYFUNCTION("""COMPUTED_VALUE"""),"Colombia")</f>
        <v>Colombia</v>
      </c>
      <c r="B1072" s="3">
        <f>IFERROR(__xludf.DUMMYFUNCTION("""COMPUTED_VALUE"""),43122.0)</f>
        <v>43122</v>
      </c>
      <c r="C1072" s="3">
        <f>IFERROR(__xludf.DUMMYFUNCTION("""COMPUTED_VALUE"""),43128.0)</f>
        <v>43128</v>
      </c>
      <c r="D1072" s="2">
        <f>IFERROR(__xludf.DUMMYFUNCTION("""COMPUTED_VALUE"""),7.0)</f>
        <v>7</v>
      </c>
      <c r="E1072" s="2">
        <f>IFERROR(__xludf.DUMMYFUNCTION("""COMPUTED_VALUE"""),4.0)</f>
        <v>4</v>
      </c>
      <c r="F1072" s="2">
        <f>IFERROR(__xludf.DUMMYFUNCTION("""COMPUTED_VALUE"""),4644.0)</f>
        <v>4644</v>
      </c>
      <c r="G1072" s="2">
        <f>IFERROR(__xludf.DUMMYFUNCTION("""COMPUTED_VALUE"""),0.0)</f>
        <v>0</v>
      </c>
    </row>
    <row r="1073">
      <c r="A1073" s="2" t="str">
        <f>IFERROR(__xludf.DUMMYFUNCTION("""COMPUTED_VALUE"""),"Colombia")</f>
        <v>Colombia</v>
      </c>
      <c r="B1073" s="3">
        <f>IFERROR(__xludf.DUMMYFUNCTION("""COMPUTED_VALUE"""),43129.0)</f>
        <v>43129</v>
      </c>
      <c r="C1073" s="3">
        <f>IFERROR(__xludf.DUMMYFUNCTION("""COMPUTED_VALUE"""),43135.0)</f>
        <v>43135</v>
      </c>
      <c r="D1073" s="2">
        <f>IFERROR(__xludf.DUMMYFUNCTION("""COMPUTED_VALUE"""),7.0)</f>
        <v>7</v>
      </c>
      <c r="E1073" s="2">
        <f>IFERROR(__xludf.DUMMYFUNCTION("""COMPUTED_VALUE"""),5.0)</f>
        <v>5</v>
      </c>
      <c r="F1073" s="2">
        <f>IFERROR(__xludf.DUMMYFUNCTION("""COMPUTED_VALUE"""),4485.0)</f>
        <v>4485</v>
      </c>
      <c r="G1073" s="2">
        <f>IFERROR(__xludf.DUMMYFUNCTION("""COMPUTED_VALUE"""),0.0)</f>
        <v>0</v>
      </c>
    </row>
    <row r="1074">
      <c r="A1074" s="2" t="str">
        <f>IFERROR(__xludf.DUMMYFUNCTION("""COMPUTED_VALUE"""),"Colombia")</f>
        <v>Colombia</v>
      </c>
      <c r="B1074" s="3">
        <f>IFERROR(__xludf.DUMMYFUNCTION("""COMPUTED_VALUE"""),43136.0)</f>
        <v>43136</v>
      </c>
      <c r="C1074" s="3">
        <f>IFERROR(__xludf.DUMMYFUNCTION("""COMPUTED_VALUE"""),43142.0)</f>
        <v>43142</v>
      </c>
      <c r="D1074" s="2">
        <f>IFERROR(__xludf.DUMMYFUNCTION("""COMPUTED_VALUE"""),7.0)</f>
        <v>7</v>
      </c>
      <c r="E1074" s="2">
        <f>IFERROR(__xludf.DUMMYFUNCTION("""COMPUTED_VALUE"""),6.0)</f>
        <v>6</v>
      </c>
      <c r="F1074" s="2">
        <f>IFERROR(__xludf.DUMMYFUNCTION("""COMPUTED_VALUE"""),4407.0)</f>
        <v>4407</v>
      </c>
      <c r="G1074" s="2">
        <f>IFERROR(__xludf.DUMMYFUNCTION("""COMPUTED_VALUE"""),0.0)</f>
        <v>0</v>
      </c>
    </row>
    <row r="1075">
      <c r="A1075" s="2" t="str">
        <f>IFERROR(__xludf.DUMMYFUNCTION("""COMPUTED_VALUE"""),"Colombia")</f>
        <v>Colombia</v>
      </c>
      <c r="B1075" s="3">
        <f>IFERROR(__xludf.DUMMYFUNCTION("""COMPUTED_VALUE"""),43143.0)</f>
        <v>43143</v>
      </c>
      <c r="C1075" s="3">
        <f>IFERROR(__xludf.DUMMYFUNCTION("""COMPUTED_VALUE"""),43149.0)</f>
        <v>43149</v>
      </c>
      <c r="D1075" s="2">
        <f>IFERROR(__xludf.DUMMYFUNCTION("""COMPUTED_VALUE"""),7.0)</f>
        <v>7</v>
      </c>
      <c r="E1075" s="2">
        <f>IFERROR(__xludf.DUMMYFUNCTION("""COMPUTED_VALUE"""),7.0)</f>
        <v>7</v>
      </c>
      <c r="F1075" s="2">
        <f>IFERROR(__xludf.DUMMYFUNCTION("""COMPUTED_VALUE"""),4332.0)</f>
        <v>4332</v>
      </c>
      <c r="G1075" s="2">
        <f>IFERROR(__xludf.DUMMYFUNCTION("""COMPUTED_VALUE"""),0.0)</f>
        <v>0</v>
      </c>
    </row>
    <row r="1076">
      <c r="A1076" s="2" t="str">
        <f>IFERROR(__xludf.DUMMYFUNCTION("""COMPUTED_VALUE"""),"Colombia")</f>
        <v>Colombia</v>
      </c>
      <c r="B1076" s="3">
        <f>IFERROR(__xludf.DUMMYFUNCTION("""COMPUTED_VALUE"""),43150.0)</f>
        <v>43150</v>
      </c>
      <c r="C1076" s="3">
        <f>IFERROR(__xludf.DUMMYFUNCTION("""COMPUTED_VALUE"""),43156.0)</f>
        <v>43156</v>
      </c>
      <c r="D1076" s="2">
        <f>IFERROR(__xludf.DUMMYFUNCTION("""COMPUTED_VALUE"""),7.0)</f>
        <v>7</v>
      </c>
      <c r="E1076" s="2">
        <f>IFERROR(__xludf.DUMMYFUNCTION("""COMPUTED_VALUE"""),8.0)</f>
        <v>8</v>
      </c>
      <c r="F1076" s="2">
        <f>IFERROR(__xludf.DUMMYFUNCTION("""COMPUTED_VALUE"""),4254.0)</f>
        <v>4254</v>
      </c>
      <c r="G1076" s="2">
        <f>IFERROR(__xludf.DUMMYFUNCTION("""COMPUTED_VALUE"""),0.0)</f>
        <v>0</v>
      </c>
    </row>
    <row r="1077">
      <c r="A1077" s="2" t="str">
        <f>IFERROR(__xludf.DUMMYFUNCTION("""COMPUTED_VALUE"""),"Colombia")</f>
        <v>Colombia</v>
      </c>
      <c r="B1077" s="3">
        <f>IFERROR(__xludf.DUMMYFUNCTION("""COMPUTED_VALUE"""),43157.0)</f>
        <v>43157</v>
      </c>
      <c r="C1077" s="3">
        <f>IFERROR(__xludf.DUMMYFUNCTION("""COMPUTED_VALUE"""),43163.0)</f>
        <v>43163</v>
      </c>
      <c r="D1077" s="2">
        <f>IFERROR(__xludf.DUMMYFUNCTION("""COMPUTED_VALUE"""),7.0)</f>
        <v>7</v>
      </c>
      <c r="E1077" s="2">
        <f>IFERROR(__xludf.DUMMYFUNCTION("""COMPUTED_VALUE"""),9.0)</f>
        <v>9</v>
      </c>
      <c r="F1077" s="2">
        <f>IFERROR(__xludf.DUMMYFUNCTION("""COMPUTED_VALUE"""),4378.0)</f>
        <v>4378</v>
      </c>
      <c r="G1077" s="2">
        <f>IFERROR(__xludf.DUMMYFUNCTION("""COMPUTED_VALUE"""),0.0)</f>
        <v>0</v>
      </c>
    </row>
    <row r="1078">
      <c r="A1078" s="2" t="str">
        <f>IFERROR(__xludf.DUMMYFUNCTION("""COMPUTED_VALUE"""),"Colombia")</f>
        <v>Colombia</v>
      </c>
      <c r="B1078" s="3">
        <f>IFERROR(__xludf.DUMMYFUNCTION("""COMPUTED_VALUE"""),43164.0)</f>
        <v>43164</v>
      </c>
      <c r="C1078" s="3">
        <f>IFERROR(__xludf.DUMMYFUNCTION("""COMPUTED_VALUE"""),43170.0)</f>
        <v>43170</v>
      </c>
      <c r="D1078" s="2">
        <f>IFERROR(__xludf.DUMMYFUNCTION("""COMPUTED_VALUE"""),7.0)</f>
        <v>7</v>
      </c>
      <c r="E1078" s="2">
        <f>IFERROR(__xludf.DUMMYFUNCTION("""COMPUTED_VALUE"""),10.0)</f>
        <v>10</v>
      </c>
      <c r="F1078" s="2">
        <f>IFERROR(__xludf.DUMMYFUNCTION("""COMPUTED_VALUE"""),4505.0)</f>
        <v>4505</v>
      </c>
      <c r="G1078" s="2">
        <f>IFERROR(__xludf.DUMMYFUNCTION("""COMPUTED_VALUE"""),0.0)</f>
        <v>0</v>
      </c>
    </row>
    <row r="1079">
      <c r="A1079" s="2" t="str">
        <f>IFERROR(__xludf.DUMMYFUNCTION("""COMPUTED_VALUE"""),"Colombia")</f>
        <v>Colombia</v>
      </c>
      <c r="B1079" s="3">
        <f>IFERROR(__xludf.DUMMYFUNCTION("""COMPUTED_VALUE"""),43171.0)</f>
        <v>43171</v>
      </c>
      <c r="C1079" s="3">
        <f>IFERROR(__xludf.DUMMYFUNCTION("""COMPUTED_VALUE"""),43177.0)</f>
        <v>43177</v>
      </c>
      <c r="D1079" s="2">
        <f>IFERROR(__xludf.DUMMYFUNCTION("""COMPUTED_VALUE"""),7.0)</f>
        <v>7</v>
      </c>
      <c r="E1079" s="2">
        <f>IFERROR(__xludf.DUMMYFUNCTION("""COMPUTED_VALUE"""),11.0)</f>
        <v>11</v>
      </c>
      <c r="F1079" s="2">
        <f>IFERROR(__xludf.DUMMYFUNCTION("""COMPUTED_VALUE"""),4597.0)</f>
        <v>4597</v>
      </c>
      <c r="G1079" s="2">
        <f>IFERROR(__xludf.DUMMYFUNCTION("""COMPUTED_VALUE"""),0.0)</f>
        <v>0</v>
      </c>
    </row>
    <row r="1080">
      <c r="A1080" s="2" t="str">
        <f>IFERROR(__xludf.DUMMYFUNCTION("""COMPUTED_VALUE"""),"Colombia")</f>
        <v>Colombia</v>
      </c>
      <c r="B1080" s="3">
        <f>IFERROR(__xludf.DUMMYFUNCTION("""COMPUTED_VALUE"""),43178.0)</f>
        <v>43178</v>
      </c>
      <c r="C1080" s="3">
        <f>IFERROR(__xludf.DUMMYFUNCTION("""COMPUTED_VALUE"""),43184.0)</f>
        <v>43184</v>
      </c>
      <c r="D1080" s="2">
        <f>IFERROR(__xludf.DUMMYFUNCTION("""COMPUTED_VALUE"""),7.0)</f>
        <v>7</v>
      </c>
      <c r="E1080" s="2">
        <f>IFERROR(__xludf.DUMMYFUNCTION("""COMPUTED_VALUE"""),12.0)</f>
        <v>12</v>
      </c>
      <c r="F1080" s="2">
        <f>IFERROR(__xludf.DUMMYFUNCTION("""COMPUTED_VALUE"""),4453.0)</f>
        <v>4453</v>
      </c>
      <c r="G1080" s="2">
        <f>IFERROR(__xludf.DUMMYFUNCTION("""COMPUTED_VALUE"""),0.0)</f>
        <v>0</v>
      </c>
    </row>
    <row r="1081">
      <c r="A1081" s="2" t="str">
        <f>IFERROR(__xludf.DUMMYFUNCTION("""COMPUTED_VALUE"""),"Colombia")</f>
        <v>Colombia</v>
      </c>
      <c r="B1081" s="3">
        <f>IFERROR(__xludf.DUMMYFUNCTION("""COMPUTED_VALUE"""),43185.0)</f>
        <v>43185</v>
      </c>
      <c r="C1081" s="3">
        <f>IFERROR(__xludf.DUMMYFUNCTION("""COMPUTED_VALUE"""),43191.0)</f>
        <v>43191</v>
      </c>
      <c r="D1081" s="2">
        <f>IFERROR(__xludf.DUMMYFUNCTION("""COMPUTED_VALUE"""),7.0)</f>
        <v>7</v>
      </c>
      <c r="E1081" s="2">
        <f>IFERROR(__xludf.DUMMYFUNCTION("""COMPUTED_VALUE"""),13.0)</f>
        <v>13</v>
      </c>
      <c r="F1081" s="2">
        <f>IFERROR(__xludf.DUMMYFUNCTION("""COMPUTED_VALUE"""),4248.0)</f>
        <v>4248</v>
      </c>
      <c r="G1081" s="2">
        <f>IFERROR(__xludf.DUMMYFUNCTION("""COMPUTED_VALUE"""),0.0)</f>
        <v>0</v>
      </c>
    </row>
    <row r="1082">
      <c r="A1082" s="2" t="str">
        <f>IFERROR(__xludf.DUMMYFUNCTION("""COMPUTED_VALUE"""),"Colombia")</f>
        <v>Colombia</v>
      </c>
      <c r="B1082" s="3">
        <f>IFERROR(__xludf.DUMMYFUNCTION("""COMPUTED_VALUE"""),43192.0)</f>
        <v>43192</v>
      </c>
      <c r="C1082" s="3">
        <f>IFERROR(__xludf.DUMMYFUNCTION("""COMPUTED_VALUE"""),43198.0)</f>
        <v>43198</v>
      </c>
      <c r="D1082" s="2">
        <f>IFERROR(__xludf.DUMMYFUNCTION("""COMPUTED_VALUE"""),7.0)</f>
        <v>7</v>
      </c>
      <c r="E1082" s="2">
        <f>IFERROR(__xludf.DUMMYFUNCTION("""COMPUTED_VALUE"""),14.0)</f>
        <v>14</v>
      </c>
      <c r="F1082" s="2">
        <f>IFERROR(__xludf.DUMMYFUNCTION("""COMPUTED_VALUE"""),4382.0)</f>
        <v>4382</v>
      </c>
      <c r="G1082" s="2">
        <f>IFERROR(__xludf.DUMMYFUNCTION("""COMPUTED_VALUE"""),0.0)</f>
        <v>0</v>
      </c>
    </row>
    <row r="1083">
      <c r="A1083" s="2" t="str">
        <f>IFERROR(__xludf.DUMMYFUNCTION("""COMPUTED_VALUE"""),"Colombia")</f>
        <v>Colombia</v>
      </c>
      <c r="B1083" s="3">
        <f>IFERROR(__xludf.DUMMYFUNCTION("""COMPUTED_VALUE"""),43199.0)</f>
        <v>43199</v>
      </c>
      <c r="C1083" s="3">
        <f>IFERROR(__xludf.DUMMYFUNCTION("""COMPUTED_VALUE"""),43205.0)</f>
        <v>43205</v>
      </c>
      <c r="D1083" s="2">
        <f>IFERROR(__xludf.DUMMYFUNCTION("""COMPUTED_VALUE"""),7.0)</f>
        <v>7</v>
      </c>
      <c r="E1083" s="2">
        <f>IFERROR(__xludf.DUMMYFUNCTION("""COMPUTED_VALUE"""),15.0)</f>
        <v>15</v>
      </c>
      <c r="F1083" s="2">
        <f>IFERROR(__xludf.DUMMYFUNCTION("""COMPUTED_VALUE"""),4332.0)</f>
        <v>4332</v>
      </c>
      <c r="G1083" s="2">
        <f>IFERROR(__xludf.DUMMYFUNCTION("""COMPUTED_VALUE"""),0.0)</f>
        <v>0</v>
      </c>
    </row>
    <row r="1084">
      <c r="A1084" s="2" t="str">
        <f>IFERROR(__xludf.DUMMYFUNCTION("""COMPUTED_VALUE"""),"Colombia")</f>
        <v>Colombia</v>
      </c>
      <c r="B1084" s="3">
        <f>IFERROR(__xludf.DUMMYFUNCTION("""COMPUTED_VALUE"""),43206.0)</f>
        <v>43206</v>
      </c>
      <c r="C1084" s="3">
        <f>IFERROR(__xludf.DUMMYFUNCTION("""COMPUTED_VALUE"""),43212.0)</f>
        <v>43212</v>
      </c>
      <c r="D1084" s="2">
        <f>IFERROR(__xludf.DUMMYFUNCTION("""COMPUTED_VALUE"""),7.0)</f>
        <v>7</v>
      </c>
      <c r="E1084" s="2">
        <f>IFERROR(__xludf.DUMMYFUNCTION("""COMPUTED_VALUE"""),16.0)</f>
        <v>16</v>
      </c>
      <c r="F1084" s="2">
        <f>IFERROR(__xludf.DUMMYFUNCTION("""COMPUTED_VALUE"""),4349.0)</f>
        <v>4349</v>
      </c>
      <c r="G1084" s="2">
        <f>IFERROR(__xludf.DUMMYFUNCTION("""COMPUTED_VALUE"""),0.0)</f>
        <v>0</v>
      </c>
    </row>
    <row r="1085">
      <c r="A1085" s="2" t="str">
        <f>IFERROR(__xludf.DUMMYFUNCTION("""COMPUTED_VALUE"""),"Colombia")</f>
        <v>Colombia</v>
      </c>
      <c r="B1085" s="3">
        <f>IFERROR(__xludf.DUMMYFUNCTION("""COMPUTED_VALUE"""),43213.0)</f>
        <v>43213</v>
      </c>
      <c r="C1085" s="3">
        <f>IFERROR(__xludf.DUMMYFUNCTION("""COMPUTED_VALUE"""),43219.0)</f>
        <v>43219</v>
      </c>
      <c r="D1085" s="2">
        <f>IFERROR(__xludf.DUMMYFUNCTION("""COMPUTED_VALUE"""),7.0)</f>
        <v>7</v>
      </c>
      <c r="E1085" s="2">
        <f>IFERROR(__xludf.DUMMYFUNCTION("""COMPUTED_VALUE"""),17.0)</f>
        <v>17</v>
      </c>
      <c r="F1085" s="2">
        <f>IFERROR(__xludf.DUMMYFUNCTION("""COMPUTED_VALUE"""),4409.0)</f>
        <v>4409</v>
      </c>
      <c r="G1085" s="2">
        <f>IFERROR(__xludf.DUMMYFUNCTION("""COMPUTED_VALUE"""),0.0)</f>
        <v>0</v>
      </c>
    </row>
    <row r="1086">
      <c r="A1086" s="2" t="str">
        <f>IFERROR(__xludf.DUMMYFUNCTION("""COMPUTED_VALUE"""),"Colombia")</f>
        <v>Colombia</v>
      </c>
      <c r="B1086" s="3">
        <f>IFERROR(__xludf.DUMMYFUNCTION("""COMPUTED_VALUE"""),43220.0)</f>
        <v>43220</v>
      </c>
      <c r="C1086" s="3">
        <f>IFERROR(__xludf.DUMMYFUNCTION("""COMPUTED_VALUE"""),43226.0)</f>
        <v>43226</v>
      </c>
      <c r="D1086" s="2">
        <f>IFERROR(__xludf.DUMMYFUNCTION("""COMPUTED_VALUE"""),7.0)</f>
        <v>7</v>
      </c>
      <c r="E1086" s="2">
        <f>IFERROR(__xludf.DUMMYFUNCTION("""COMPUTED_VALUE"""),18.0)</f>
        <v>18</v>
      </c>
      <c r="F1086" s="2">
        <f>IFERROR(__xludf.DUMMYFUNCTION("""COMPUTED_VALUE"""),4538.0)</f>
        <v>4538</v>
      </c>
      <c r="G1086" s="2">
        <f>IFERROR(__xludf.DUMMYFUNCTION("""COMPUTED_VALUE"""),0.0)</f>
        <v>0</v>
      </c>
    </row>
    <row r="1087">
      <c r="A1087" s="2" t="str">
        <f>IFERROR(__xludf.DUMMYFUNCTION("""COMPUTED_VALUE"""),"Colombia")</f>
        <v>Colombia</v>
      </c>
      <c r="B1087" s="3">
        <f>IFERROR(__xludf.DUMMYFUNCTION("""COMPUTED_VALUE"""),43227.0)</f>
        <v>43227</v>
      </c>
      <c r="C1087" s="3">
        <f>IFERROR(__xludf.DUMMYFUNCTION("""COMPUTED_VALUE"""),43233.0)</f>
        <v>43233</v>
      </c>
      <c r="D1087" s="2">
        <f>IFERROR(__xludf.DUMMYFUNCTION("""COMPUTED_VALUE"""),7.0)</f>
        <v>7</v>
      </c>
      <c r="E1087" s="2">
        <f>IFERROR(__xludf.DUMMYFUNCTION("""COMPUTED_VALUE"""),19.0)</f>
        <v>19</v>
      </c>
      <c r="F1087" s="2">
        <f>IFERROR(__xludf.DUMMYFUNCTION("""COMPUTED_VALUE"""),4460.0)</f>
        <v>4460</v>
      </c>
      <c r="G1087" s="2">
        <f>IFERROR(__xludf.DUMMYFUNCTION("""COMPUTED_VALUE"""),0.0)</f>
        <v>0</v>
      </c>
    </row>
    <row r="1088">
      <c r="A1088" s="2" t="str">
        <f>IFERROR(__xludf.DUMMYFUNCTION("""COMPUTED_VALUE"""),"Colombia")</f>
        <v>Colombia</v>
      </c>
      <c r="B1088" s="3">
        <f>IFERROR(__xludf.DUMMYFUNCTION("""COMPUTED_VALUE"""),43234.0)</f>
        <v>43234</v>
      </c>
      <c r="C1088" s="3">
        <f>IFERROR(__xludf.DUMMYFUNCTION("""COMPUTED_VALUE"""),43240.0)</f>
        <v>43240</v>
      </c>
      <c r="D1088" s="2">
        <f>IFERROR(__xludf.DUMMYFUNCTION("""COMPUTED_VALUE"""),7.0)</f>
        <v>7</v>
      </c>
      <c r="E1088" s="2">
        <f>IFERROR(__xludf.DUMMYFUNCTION("""COMPUTED_VALUE"""),20.0)</f>
        <v>20</v>
      </c>
      <c r="F1088" s="2">
        <f>IFERROR(__xludf.DUMMYFUNCTION("""COMPUTED_VALUE"""),4721.0)</f>
        <v>4721</v>
      </c>
      <c r="G1088" s="2">
        <f>IFERROR(__xludf.DUMMYFUNCTION("""COMPUTED_VALUE"""),0.0)</f>
        <v>0</v>
      </c>
    </row>
    <row r="1089">
      <c r="A1089" s="2" t="str">
        <f>IFERROR(__xludf.DUMMYFUNCTION("""COMPUTED_VALUE"""),"Colombia")</f>
        <v>Colombia</v>
      </c>
      <c r="B1089" s="3">
        <f>IFERROR(__xludf.DUMMYFUNCTION("""COMPUTED_VALUE"""),43241.0)</f>
        <v>43241</v>
      </c>
      <c r="C1089" s="3">
        <f>IFERROR(__xludf.DUMMYFUNCTION("""COMPUTED_VALUE"""),43247.0)</f>
        <v>43247</v>
      </c>
      <c r="D1089" s="2">
        <f>IFERROR(__xludf.DUMMYFUNCTION("""COMPUTED_VALUE"""),7.0)</f>
        <v>7</v>
      </c>
      <c r="E1089" s="2">
        <f>IFERROR(__xludf.DUMMYFUNCTION("""COMPUTED_VALUE"""),21.0)</f>
        <v>21</v>
      </c>
      <c r="F1089" s="2">
        <f>IFERROR(__xludf.DUMMYFUNCTION("""COMPUTED_VALUE"""),4654.0)</f>
        <v>4654</v>
      </c>
      <c r="G1089" s="2">
        <f>IFERROR(__xludf.DUMMYFUNCTION("""COMPUTED_VALUE"""),0.0)</f>
        <v>0</v>
      </c>
    </row>
    <row r="1090">
      <c r="A1090" s="2" t="str">
        <f>IFERROR(__xludf.DUMMYFUNCTION("""COMPUTED_VALUE"""),"Colombia")</f>
        <v>Colombia</v>
      </c>
      <c r="B1090" s="3">
        <f>IFERROR(__xludf.DUMMYFUNCTION("""COMPUTED_VALUE"""),43248.0)</f>
        <v>43248</v>
      </c>
      <c r="C1090" s="3">
        <f>IFERROR(__xludf.DUMMYFUNCTION("""COMPUTED_VALUE"""),43254.0)</f>
        <v>43254</v>
      </c>
      <c r="D1090" s="2">
        <f>IFERROR(__xludf.DUMMYFUNCTION("""COMPUTED_VALUE"""),7.0)</f>
        <v>7</v>
      </c>
      <c r="E1090" s="2">
        <f>IFERROR(__xludf.DUMMYFUNCTION("""COMPUTED_VALUE"""),22.0)</f>
        <v>22</v>
      </c>
      <c r="F1090" s="2">
        <f>IFERROR(__xludf.DUMMYFUNCTION("""COMPUTED_VALUE"""),4749.0)</f>
        <v>4749</v>
      </c>
      <c r="G1090" s="2">
        <f>IFERROR(__xludf.DUMMYFUNCTION("""COMPUTED_VALUE"""),0.0)</f>
        <v>0</v>
      </c>
    </row>
    <row r="1091">
      <c r="A1091" s="2" t="str">
        <f>IFERROR(__xludf.DUMMYFUNCTION("""COMPUTED_VALUE"""),"Colombia")</f>
        <v>Colombia</v>
      </c>
      <c r="B1091" s="3">
        <f>IFERROR(__xludf.DUMMYFUNCTION("""COMPUTED_VALUE"""),43255.0)</f>
        <v>43255</v>
      </c>
      <c r="C1091" s="3">
        <f>IFERROR(__xludf.DUMMYFUNCTION("""COMPUTED_VALUE"""),43261.0)</f>
        <v>43261</v>
      </c>
      <c r="D1091" s="2">
        <f>IFERROR(__xludf.DUMMYFUNCTION("""COMPUTED_VALUE"""),7.0)</f>
        <v>7</v>
      </c>
      <c r="E1091" s="2">
        <f>IFERROR(__xludf.DUMMYFUNCTION("""COMPUTED_VALUE"""),23.0)</f>
        <v>23</v>
      </c>
      <c r="F1091" s="2">
        <f>IFERROR(__xludf.DUMMYFUNCTION("""COMPUTED_VALUE"""),4848.0)</f>
        <v>4848</v>
      </c>
      <c r="G1091" s="2">
        <f>IFERROR(__xludf.DUMMYFUNCTION("""COMPUTED_VALUE"""),0.0)</f>
        <v>0</v>
      </c>
    </row>
    <row r="1092">
      <c r="A1092" s="2" t="str">
        <f>IFERROR(__xludf.DUMMYFUNCTION("""COMPUTED_VALUE"""),"Colombia")</f>
        <v>Colombia</v>
      </c>
      <c r="B1092" s="3">
        <f>IFERROR(__xludf.DUMMYFUNCTION("""COMPUTED_VALUE"""),43262.0)</f>
        <v>43262</v>
      </c>
      <c r="C1092" s="3">
        <f>IFERROR(__xludf.DUMMYFUNCTION("""COMPUTED_VALUE"""),43268.0)</f>
        <v>43268</v>
      </c>
      <c r="D1092" s="2">
        <f>IFERROR(__xludf.DUMMYFUNCTION("""COMPUTED_VALUE"""),7.0)</f>
        <v>7</v>
      </c>
      <c r="E1092" s="2">
        <f>IFERROR(__xludf.DUMMYFUNCTION("""COMPUTED_VALUE"""),24.0)</f>
        <v>24</v>
      </c>
      <c r="F1092" s="2">
        <f>IFERROR(__xludf.DUMMYFUNCTION("""COMPUTED_VALUE"""),4803.0)</f>
        <v>4803</v>
      </c>
      <c r="G1092" s="2">
        <f>IFERROR(__xludf.DUMMYFUNCTION("""COMPUTED_VALUE"""),0.0)</f>
        <v>0</v>
      </c>
    </row>
    <row r="1093">
      <c r="A1093" s="2" t="str">
        <f>IFERROR(__xludf.DUMMYFUNCTION("""COMPUTED_VALUE"""),"Colombia")</f>
        <v>Colombia</v>
      </c>
      <c r="B1093" s="3">
        <f>IFERROR(__xludf.DUMMYFUNCTION("""COMPUTED_VALUE"""),43269.0)</f>
        <v>43269</v>
      </c>
      <c r="C1093" s="3">
        <f>IFERROR(__xludf.DUMMYFUNCTION("""COMPUTED_VALUE"""),43275.0)</f>
        <v>43275</v>
      </c>
      <c r="D1093" s="2">
        <f>IFERROR(__xludf.DUMMYFUNCTION("""COMPUTED_VALUE"""),7.0)</f>
        <v>7</v>
      </c>
      <c r="E1093" s="2">
        <f>IFERROR(__xludf.DUMMYFUNCTION("""COMPUTED_VALUE"""),25.0)</f>
        <v>25</v>
      </c>
      <c r="F1093" s="2">
        <f>IFERROR(__xludf.DUMMYFUNCTION("""COMPUTED_VALUE"""),4851.0)</f>
        <v>4851</v>
      </c>
      <c r="G1093" s="2">
        <f>IFERROR(__xludf.DUMMYFUNCTION("""COMPUTED_VALUE"""),0.0)</f>
        <v>0</v>
      </c>
    </row>
    <row r="1094">
      <c r="A1094" s="2" t="str">
        <f>IFERROR(__xludf.DUMMYFUNCTION("""COMPUTED_VALUE"""),"Colombia")</f>
        <v>Colombia</v>
      </c>
      <c r="B1094" s="3">
        <f>IFERROR(__xludf.DUMMYFUNCTION("""COMPUTED_VALUE"""),43276.0)</f>
        <v>43276</v>
      </c>
      <c r="C1094" s="3">
        <f>IFERROR(__xludf.DUMMYFUNCTION("""COMPUTED_VALUE"""),43282.0)</f>
        <v>43282</v>
      </c>
      <c r="D1094" s="2">
        <f>IFERROR(__xludf.DUMMYFUNCTION("""COMPUTED_VALUE"""),7.0)</f>
        <v>7</v>
      </c>
      <c r="E1094" s="2">
        <f>IFERROR(__xludf.DUMMYFUNCTION("""COMPUTED_VALUE"""),26.0)</f>
        <v>26</v>
      </c>
      <c r="F1094" s="2">
        <f>IFERROR(__xludf.DUMMYFUNCTION("""COMPUTED_VALUE"""),4868.0)</f>
        <v>4868</v>
      </c>
      <c r="G1094" s="2">
        <f>IFERROR(__xludf.DUMMYFUNCTION("""COMPUTED_VALUE"""),0.0)</f>
        <v>0</v>
      </c>
    </row>
    <row r="1095">
      <c r="A1095" s="2" t="str">
        <f>IFERROR(__xludf.DUMMYFUNCTION("""COMPUTED_VALUE"""),"Colombia")</f>
        <v>Colombia</v>
      </c>
      <c r="B1095" s="3">
        <f>IFERROR(__xludf.DUMMYFUNCTION("""COMPUTED_VALUE"""),43283.0)</f>
        <v>43283</v>
      </c>
      <c r="C1095" s="3">
        <f>IFERROR(__xludf.DUMMYFUNCTION("""COMPUTED_VALUE"""),43289.0)</f>
        <v>43289</v>
      </c>
      <c r="D1095" s="2">
        <f>IFERROR(__xludf.DUMMYFUNCTION("""COMPUTED_VALUE"""),7.0)</f>
        <v>7</v>
      </c>
      <c r="E1095" s="2">
        <f>IFERROR(__xludf.DUMMYFUNCTION("""COMPUTED_VALUE"""),27.0)</f>
        <v>27</v>
      </c>
      <c r="F1095" s="2">
        <f>IFERROR(__xludf.DUMMYFUNCTION("""COMPUTED_VALUE"""),4845.0)</f>
        <v>4845</v>
      </c>
      <c r="G1095" s="2">
        <f>IFERROR(__xludf.DUMMYFUNCTION("""COMPUTED_VALUE"""),0.0)</f>
        <v>0</v>
      </c>
    </row>
    <row r="1096">
      <c r="A1096" s="2" t="str">
        <f>IFERROR(__xludf.DUMMYFUNCTION("""COMPUTED_VALUE"""),"Colombia")</f>
        <v>Colombia</v>
      </c>
      <c r="B1096" s="3">
        <f>IFERROR(__xludf.DUMMYFUNCTION("""COMPUTED_VALUE"""),43290.0)</f>
        <v>43290</v>
      </c>
      <c r="C1096" s="3">
        <f>IFERROR(__xludf.DUMMYFUNCTION("""COMPUTED_VALUE"""),43296.0)</f>
        <v>43296</v>
      </c>
      <c r="D1096" s="2">
        <f>IFERROR(__xludf.DUMMYFUNCTION("""COMPUTED_VALUE"""),7.0)</f>
        <v>7</v>
      </c>
      <c r="E1096" s="2">
        <f>IFERROR(__xludf.DUMMYFUNCTION("""COMPUTED_VALUE"""),28.0)</f>
        <v>28</v>
      </c>
      <c r="F1096" s="2">
        <f>IFERROR(__xludf.DUMMYFUNCTION("""COMPUTED_VALUE"""),4782.0)</f>
        <v>4782</v>
      </c>
      <c r="G1096" s="2">
        <f>IFERROR(__xludf.DUMMYFUNCTION("""COMPUTED_VALUE"""),0.0)</f>
        <v>0</v>
      </c>
    </row>
    <row r="1097">
      <c r="A1097" s="2" t="str">
        <f>IFERROR(__xludf.DUMMYFUNCTION("""COMPUTED_VALUE"""),"Colombia")</f>
        <v>Colombia</v>
      </c>
      <c r="B1097" s="3">
        <f>IFERROR(__xludf.DUMMYFUNCTION("""COMPUTED_VALUE"""),43297.0)</f>
        <v>43297</v>
      </c>
      <c r="C1097" s="3">
        <f>IFERROR(__xludf.DUMMYFUNCTION("""COMPUTED_VALUE"""),43303.0)</f>
        <v>43303</v>
      </c>
      <c r="D1097" s="2">
        <f>IFERROR(__xludf.DUMMYFUNCTION("""COMPUTED_VALUE"""),7.0)</f>
        <v>7</v>
      </c>
      <c r="E1097" s="2">
        <f>IFERROR(__xludf.DUMMYFUNCTION("""COMPUTED_VALUE"""),29.0)</f>
        <v>29</v>
      </c>
      <c r="F1097" s="2">
        <f>IFERROR(__xludf.DUMMYFUNCTION("""COMPUTED_VALUE"""),4740.0)</f>
        <v>4740</v>
      </c>
      <c r="G1097" s="2">
        <f>IFERROR(__xludf.DUMMYFUNCTION("""COMPUTED_VALUE"""),0.0)</f>
        <v>0</v>
      </c>
    </row>
    <row r="1098">
      <c r="A1098" s="2" t="str">
        <f>IFERROR(__xludf.DUMMYFUNCTION("""COMPUTED_VALUE"""),"Colombia")</f>
        <v>Colombia</v>
      </c>
      <c r="B1098" s="3">
        <f>IFERROR(__xludf.DUMMYFUNCTION("""COMPUTED_VALUE"""),43304.0)</f>
        <v>43304</v>
      </c>
      <c r="C1098" s="3">
        <f>IFERROR(__xludf.DUMMYFUNCTION("""COMPUTED_VALUE"""),43310.0)</f>
        <v>43310</v>
      </c>
      <c r="D1098" s="2">
        <f>IFERROR(__xludf.DUMMYFUNCTION("""COMPUTED_VALUE"""),7.0)</f>
        <v>7</v>
      </c>
      <c r="E1098" s="2">
        <f>IFERROR(__xludf.DUMMYFUNCTION("""COMPUTED_VALUE"""),30.0)</f>
        <v>30</v>
      </c>
      <c r="F1098" s="2">
        <f>IFERROR(__xludf.DUMMYFUNCTION("""COMPUTED_VALUE"""),4518.0)</f>
        <v>4518</v>
      </c>
      <c r="G1098" s="2">
        <f>IFERROR(__xludf.DUMMYFUNCTION("""COMPUTED_VALUE"""),0.0)</f>
        <v>0</v>
      </c>
    </row>
    <row r="1099">
      <c r="A1099" s="2" t="str">
        <f>IFERROR(__xludf.DUMMYFUNCTION("""COMPUTED_VALUE"""),"Colombia")</f>
        <v>Colombia</v>
      </c>
      <c r="B1099" s="3">
        <f>IFERROR(__xludf.DUMMYFUNCTION("""COMPUTED_VALUE"""),43311.0)</f>
        <v>43311</v>
      </c>
      <c r="C1099" s="3">
        <f>IFERROR(__xludf.DUMMYFUNCTION("""COMPUTED_VALUE"""),43317.0)</f>
        <v>43317</v>
      </c>
      <c r="D1099" s="2">
        <f>IFERROR(__xludf.DUMMYFUNCTION("""COMPUTED_VALUE"""),7.0)</f>
        <v>7</v>
      </c>
      <c r="E1099" s="2">
        <f>IFERROR(__xludf.DUMMYFUNCTION("""COMPUTED_VALUE"""),31.0)</f>
        <v>31</v>
      </c>
      <c r="F1099" s="2">
        <f>IFERROR(__xludf.DUMMYFUNCTION("""COMPUTED_VALUE"""),4459.0)</f>
        <v>4459</v>
      </c>
      <c r="G1099" s="2">
        <f>IFERROR(__xludf.DUMMYFUNCTION("""COMPUTED_VALUE"""),0.0)</f>
        <v>0</v>
      </c>
    </row>
    <row r="1100">
      <c r="A1100" s="2" t="str">
        <f>IFERROR(__xludf.DUMMYFUNCTION("""COMPUTED_VALUE"""),"Colombia")</f>
        <v>Colombia</v>
      </c>
      <c r="B1100" s="3">
        <f>IFERROR(__xludf.DUMMYFUNCTION("""COMPUTED_VALUE"""),43318.0)</f>
        <v>43318</v>
      </c>
      <c r="C1100" s="3">
        <f>IFERROR(__xludf.DUMMYFUNCTION("""COMPUTED_VALUE"""),43324.0)</f>
        <v>43324</v>
      </c>
      <c r="D1100" s="2">
        <f>IFERROR(__xludf.DUMMYFUNCTION("""COMPUTED_VALUE"""),7.0)</f>
        <v>7</v>
      </c>
      <c r="E1100" s="2">
        <f>IFERROR(__xludf.DUMMYFUNCTION("""COMPUTED_VALUE"""),32.0)</f>
        <v>32</v>
      </c>
      <c r="F1100" s="2">
        <f>IFERROR(__xludf.DUMMYFUNCTION("""COMPUTED_VALUE"""),4607.0)</f>
        <v>4607</v>
      </c>
      <c r="G1100" s="2">
        <f>IFERROR(__xludf.DUMMYFUNCTION("""COMPUTED_VALUE"""),0.0)</f>
        <v>0</v>
      </c>
    </row>
    <row r="1101">
      <c r="A1101" s="2" t="str">
        <f>IFERROR(__xludf.DUMMYFUNCTION("""COMPUTED_VALUE"""),"Colombia")</f>
        <v>Colombia</v>
      </c>
      <c r="B1101" s="3">
        <f>IFERROR(__xludf.DUMMYFUNCTION("""COMPUTED_VALUE"""),43325.0)</f>
        <v>43325</v>
      </c>
      <c r="C1101" s="3">
        <f>IFERROR(__xludf.DUMMYFUNCTION("""COMPUTED_VALUE"""),43331.0)</f>
        <v>43331</v>
      </c>
      <c r="D1101" s="2">
        <f>IFERROR(__xludf.DUMMYFUNCTION("""COMPUTED_VALUE"""),7.0)</f>
        <v>7</v>
      </c>
      <c r="E1101" s="2">
        <f>IFERROR(__xludf.DUMMYFUNCTION("""COMPUTED_VALUE"""),33.0)</f>
        <v>33</v>
      </c>
      <c r="F1101" s="2">
        <f>IFERROR(__xludf.DUMMYFUNCTION("""COMPUTED_VALUE"""),4637.0)</f>
        <v>4637</v>
      </c>
      <c r="G1101" s="2">
        <f>IFERROR(__xludf.DUMMYFUNCTION("""COMPUTED_VALUE"""),0.0)</f>
        <v>0</v>
      </c>
    </row>
    <row r="1102">
      <c r="A1102" s="2" t="str">
        <f>IFERROR(__xludf.DUMMYFUNCTION("""COMPUTED_VALUE"""),"Colombia")</f>
        <v>Colombia</v>
      </c>
      <c r="B1102" s="3">
        <f>IFERROR(__xludf.DUMMYFUNCTION("""COMPUTED_VALUE"""),43332.0)</f>
        <v>43332</v>
      </c>
      <c r="C1102" s="3">
        <f>IFERROR(__xludf.DUMMYFUNCTION("""COMPUTED_VALUE"""),43338.0)</f>
        <v>43338</v>
      </c>
      <c r="D1102" s="2">
        <f>IFERROR(__xludf.DUMMYFUNCTION("""COMPUTED_VALUE"""),7.0)</f>
        <v>7</v>
      </c>
      <c r="E1102" s="2">
        <f>IFERROR(__xludf.DUMMYFUNCTION("""COMPUTED_VALUE"""),34.0)</f>
        <v>34</v>
      </c>
      <c r="F1102" s="2">
        <f>IFERROR(__xludf.DUMMYFUNCTION("""COMPUTED_VALUE"""),4498.0)</f>
        <v>4498</v>
      </c>
      <c r="G1102" s="2">
        <f>IFERROR(__xludf.DUMMYFUNCTION("""COMPUTED_VALUE"""),0.0)</f>
        <v>0</v>
      </c>
    </row>
    <row r="1103">
      <c r="A1103" s="2" t="str">
        <f>IFERROR(__xludf.DUMMYFUNCTION("""COMPUTED_VALUE"""),"Colombia")</f>
        <v>Colombia</v>
      </c>
      <c r="B1103" s="3">
        <f>IFERROR(__xludf.DUMMYFUNCTION("""COMPUTED_VALUE"""),43339.0)</f>
        <v>43339</v>
      </c>
      <c r="C1103" s="3">
        <f>IFERROR(__xludf.DUMMYFUNCTION("""COMPUTED_VALUE"""),43345.0)</f>
        <v>43345</v>
      </c>
      <c r="D1103" s="2">
        <f>IFERROR(__xludf.DUMMYFUNCTION("""COMPUTED_VALUE"""),7.0)</f>
        <v>7</v>
      </c>
      <c r="E1103" s="2">
        <f>IFERROR(__xludf.DUMMYFUNCTION("""COMPUTED_VALUE"""),35.0)</f>
        <v>35</v>
      </c>
      <c r="F1103" s="2">
        <f>IFERROR(__xludf.DUMMYFUNCTION("""COMPUTED_VALUE"""),4462.0)</f>
        <v>4462</v>
      </c>
      <c r="G1103" s="2">
        <f>IFERROR(__xludf.DUMMYFUNCTION("""COMPUTED_VALUE"""),0.0)</f>
        <v>0</v>
      </c>
    </row>
    <row r="1104">
      <c r="A1104" s="2" t="str">
        <f>IFERROR(__xludf.DUMMYFUNCTION("""COMPUTED_VALUE"""),"Colombia")</f>
        <v>Colombia</v>
      </c>
      <c r="B1104" s="3">
        <f>IFERROR(__xludf.DUMMYFUNCTION("""COMPUTED_VALUE"""),43346.0)</f>
        <v>43346</v>
      </c>
      <c r="C1104" s="3">
        <f>IFERROR(__xludf.DUMMYFUNCTION("""COMPUTED_VALUE"""),43352.0)</f>
        <v>43352</v>
      </c>
      <c r="D1104" s="2">
        <f>IFERROR(__xludf.DUMMYFUNCTION("""COMPUTED_VALUE"""),7.0)</f>
        <v>7</v>
      </c>
      <c r="E1104" s="2">
        <f>IFERROR(__xludf.DUMMYFUNCTION("""COMPUTED_VALUE"""),36.0)</f>
        <v>36</v>
      </c>
      <c r="F1104" s="2">
        <f>IFERROR(__xludf.DUMMYFUNCTION("""COMPUTED_VALUE"""),4452.0)</f>
        <v>4452</v>
      </c>
      <c r="G1104" s="2">
        <f>IFERROR(__xludf.DUMMYFUNCTION("""COMPUTED_VALUE"""),0.0)</f>
        <v>0</v>
      </c>
    </row>
    <row r="1105">
      <c r="A1105" s="2" t="str">
        <f>IFERROR(__xludf.DUMMYFUNCTION("""COMPUTED_VALUE"""),"Colombia")</f>
        <v>Colombia</v>
      </c>
      <c r="B1105" s="3">
        <f>IFERROR(__xludf.DUMMYFUNCTION("""COMPUTED_VALUE"""),43353.0)</f>
        <v>43353</v>
      </c>
      <c r="C1105" s="3">
        <f>IFERROR(__xludf.DUMMYFUNCTION("""COMPUTED_VALUE"""),43359.0)</f>
        <v>43359</v>
      </c>
      <c r="D1105" s="2">
        <f>IFERROR(__xludf.DUMMYFUNCTION("""COMPUTED_VALUE"""),7.0)</f>
        <v>7</v>
      </c>
      <c r="E1105" s="2">
        <f>IFERROR(__xludf.DUMMYFUNCTION("""COMPUTED_VALUE"""),37.0)</f>
        <v>37</v>
      </c>
      <c r="F1105" s="2">
        <f>IFERROR(__xludf.DUMMYFUNCTION("""COMPUTED_VALUE"""),4415.0)</f>
        <v>4415</v>
      </c>
      <c r="G1105" s="2">
        <f>IFERROR(__xludf.DUMMYFUNCTION("""COMPUTED_VALUE"""),0.0)</f>
        <v>0</v>
      </c>
    </row>
    <row r="1106">
      <c r="A1106" s="2" t="str">
        <f>IFERROR(__xludf.DUMMYFUNCTION("""COMPUTED_VALUE"""),"Colombia")</f>
        <v>Colombia</v>
      </c>
      <c r="B1106" s="3">
        <f>IFERROR(__xludf.DUMMYFUNCTION("""COMPUTED_VALUE"""),43360.0)</f>
        <v>43360</v>
      </c>
      <c r="C1106" s="3">
        <f>IFERROR(__xludf.DUMMYFUNCTION("""COMPUTED_VALUE"""),43366.0)</f>
        <v>43366</v>
      </c>
      <c r="D1106" s="2">
        <f>IFERROR(__xludf.DUMMYFUNCTION("""COMPUTED_VALUE"""),7.0)</f>
        <v>7</v>
      </c>
      <c r="E1106" s="2">
        <f>IFERROR(__xludf.DUMMYFUNCTION("""COMPUTED_VALUE"""),38.0)</f>
        <v>38</v>
      </c>
      <c r="F1106" s="2">
        <f>IFERROR(__xludf.DUMMYFUNCTION("""COMPUTED_VALUE"""),4437.0)</f>
        <v>4437</v>
      </c>
      <c r="G1106" s="2">
        <f>IFERROR(__xludf.DUMMYFUNCTION("""COMPUTED_VALUE"""),0.0)</f>
        <v>0</v>
      </c>
    </row>
    <row r="1107">
      <c r="A1107" s="2" t="str">
        <f>IFERROR(__xludf.DUMMYFUNCTION("""COMPUTED_VALUE"""),"Colombia")</f>
        <v>Colombia</v>
      </c>
      <c r="B1107" s="3">
        <f>IFERROR(__xludf.DUMMYFUNCTION("""COMPUTED_VALUE"""),43367.0)</f>
        <v>43367</v>
      </c>
      <c r="C1107" s="3">
        <f>IFERROR(__xludf.DUMMYFUNCTION("""COMPUTED_VALUE"""),43373.0)</f>
        <v>43373</v>
      </c>
      <c r="D1107" s="2">
        <f>IFERROR(__xludf.DUMMYFUNCTION("""COMPUTED_VALUE"""),7.0)</f>
        <v>7</v>
      </c>
      <c r="E1107" s="2">
        <f>IFERROR(__xludf.DUMMYFUNCTION("""COMPUTED_VALUE"""),39.0)</f>
        <v>39</v>
      </c>
      <c r="F1107" s="2">
        <f>IFERROR(__xludf.DUMMYFUNCTION("""COMPUTED_VALUE"""),4324.0)</f>
        <v>4324</v>
      </c>
      <c r="G1107" s="2">
        <f>IFERROR(__xludf.DUMMYFUNCTION("""COMPUTED_VALUE"""),0.0)</f>
        <v>0</v>
      </c>
    </row>
    <row r="1108">
      <c r="A1108" s="2" t="str">
        <f>IFERROR(__xludf.DUMMYFUNCTION("""COMPUTED_VALUE"""),"Colombia")</f>
        <v>Colombia</v>
      </c>
      <c r="B1108" s="3">
        <f>IFERROR(__xludf.DUMMYFUNCTION("""COMPUTED_VALUE"""),43374.0)</f>
        <v>43374</v>
      </c>
      <c r="C1108" s="3">
        <f>IFERROR(__xludf.DUMMYFUNCTION("""COMPUTED_VALUE"""),43380.0)</f>
        <v>43380</v>
      </c>
      <c r="D1108" s="2">
        <f>IFERROR(__xludf.DUMMYFUNCTION("""COMPUTED_VALUE"""),7.0)</f>
        <v>7</v>
      </c>
      <c r="E1108" s="2">
        <f>IFERROR(__xludf.DUMMYFUNCTION("""COMPUTED_VALUE"""),40.0)</f>
        <v>40</v>
      </c>
      <c r="F1108" s="2">
        <f>IFERROR(__xludf.DUMMYFUNCTION("""COMPUTED_VALUE"""),4293.0)</f>
        <v>4293</v>
      </c>
      <c r="G1108" s="2">
        <f>IFERROR(__xludf.DUMMYFUNCTION("""COMPUTED_VALUE"""),0.0)</f>
        <v>0</v>
      </c>
    </row>
    <row r="1109">
      <c r="A1109" s="2" t="str">
        <f>IFERROR(__xludf.DUMMYFUNCTION("""COMPUTED_VALUE"""),"Colombia")</f>
        <v>Colombia</v>
      </c>
      <c r="B1109" s="3">
        <f>IFERROR(__xludf.DUMMYFUNCTION("""COMPUTED_VALUE"""),43381.0)</f>
        <v>43381</v>
      </c>
      <c r="C1109" s="3">
        <f>IFERROR(__xludf.DUMMYFUNCTION("""COMPUTED_VALUE"""),43387.0)</f>
        <v>43387</v>
      </c>
      <c r="D1109" s="2">
        <f>IFERROR(__xludf.DUMMYFUNCTION("""COMPUTED_VALUE"""),7.0)</f>
        <v>7</v>
      </c>
      <c r="E1109" s="2">
        <f>IFERROR(__xludf.DUMMYFUNCTION("""COMPUTED_VALUE"""),41.0)</f>
        <v>41</v>
      </c>
      <c r="F1109" s="2">
        <f>IFERROR(__xludf.DUMMYFUNCTION("""COMPUTED_VALUE"""),4363.0)</f>
        <v>4363</v>
      </c>
      <c r="G1109" s="2">
        <f>IFERROR(__xludf.DUMMYFUNCTION("""COMPUTED_VALUE"""),0.0)</f>
        <v>0</v>
      </c>
    </row>
    <row r="1110">
      <c r="A1110" s="2" t="str">
        <f>IFERROR(__xludf.DUMMYFUNCTION("""COMPUTED_VALUE"""),"Colombia")</f>
        <v>Colombia</v>
      </c>
      <c r="B1110" s="3">
        <f>IFERROR(__xludf.DUMMYFUNCTION("""COMPUTED_VALUE"""),43388.0)</f>
        <v>43388</v>
      </c>
      <c r="C1110" s="3">
        <f>IFERROR(__xludf.DUMMYFUNCTION("""COMPUTED_VALUE"""),43394.0)</f>
        <v>43394</v>
      </c>
      <c r="D1110" s="2">
        <f>IFERROR(__xludf.DUMMYFUNCTION("""COMPUTED_VALUE"""),7.0)</f>
        <v>7</v>
      </c>
      <c r="E1110" s="2">
        <f>IFERROR(__xludf.DUMMYFUNCTION("""COMPUTED_VALUE"""),42.0)</f>
        <v>42</v>
      </c>
      <c r="F1110" s="2">
        <f>IFERROR(__xludf.DUMMYFUNCTION("""COMPUTED_VALUE"""),4345.0)</f>
        <v>4345</v>
      </c>
      <c r="G1110" s="2">
        <f>IFERROR(__xludf.DUMMYFUNCTION("""COMPUTED_VALUE"""),0.0)</f>
        <v>0</v>
      </c>
    </row>
    <row r="1111">
      <c r="A1111" s="2" t="str">
        <f>IFERROR(__xludf.DUMMYFUNCTION("""COMPUTED_VALUE"""),"Colombia")</f>
        <v>Colombia</v>
      </c>
      <c r="B1111" s="3">
        <f>IFERROR(__xludf.DUMMYFUNCTION("""COMPUTED_VALUE"""),43395.0)</f>
        <v>43395</v>
      </c>
      <c r="C1111" s="3">
        <f>IFERROR(__xludf.DUMMYFUNCTION("""COMPUTED_VALUE"""),43401.0)</f>
        <v>43401</v>
      </c>
      <c r="D1111" s="2">
        <f>IFERROR(__xludf.DUMMYFUNCTION("""COMPUTED_VALUE"""),7.0)</f>
        <v>7</v>
      </c>
      <c r="E1111" s="2">
        <f>IFERROR(__xludf.DUMMYFUNCTION("""COMPUTED_VALUE"""),43.0)</f>
        <v>43</v>
      </c>
      <c r="F1111" s="2">
        <f>IFERROR(__xludf.DUMMYFUNCTION("""COMPUTED_VALUE"""),4287.0)</f>
        <v>4287</v>
      </c>
      <c r="G1111" s="2">
        <f>IFERROR(__xludf.DUMMYFUNCTION("""COMPUTED_VALUE"""),0.0)</f>
        <v>0</v>
      </c>
    </row>
    <row r="1112">
      <c r="A1112" s="2" t="str">
        <f>IFERROR(__xludf.DUMMYFUNCTION("""COMPUTED_VALUE"""),"Colombia")</f>
        <v>Colombia</v>
      </c>
      <c r="B1112" s="3">
        <f>IFERROR(__xludf.DUMMYFUNCTION("""COMPUTED_VALUE"""),43402.0)</f>
        <v>43402</v>
      </c>
      <c r="C1112" s="3">
        <f>IFERROR(__xludf.DUMMYFUNCTION("""COMPUTED_VALUE"""),43408.0)</f>
        <v>43408</v>
      </c>
      <c r="D1112" s="2">
        <f>IFERROR(__xludf.DUMMYFUNCTION("""COMPUTED_VALUE"""),7.0)</f>
        <v>7</v>
      </c>
      <c r="E1112" s="2">
        <f>IFERROR(__xludf.DUMMYFUNCTION("""COMPUTED_VALUE"""),44.0)</f>
        <v>44</v>
      </c>
      <c r="F1112" s="2">
        <f>IFERROR(__xludf.DUMMYFUNCTION("""COMPUTED_VALUE"""),4421.0)</f>
        <v>4421</v>
      </c>
      <c r="G1112" s="2">
        <f>IFERROR(__xludf.DUMMYFUNCTION("""COMPUTED_VALUE"""),0.0)</f>
        <v>0</v>
      </c>
    </row>
    <row r="1113">
      <c r="A1113" s="2" t="str">
        <f>IFERROR(__xludf.DUMMYFUNCTION("""COMPUTED_VALUE"""),"Colombia")</f>
        <v>Colombia</v>
      </c>
      <c r="B1113" s="3">
        <f>IFERROR(__xludf.DUMMYFUNCTION("""COMPUTED_VALUE"""),43409.0)</f>
        <v>43409</v>
      </c>
      <c r="C1113" s="3">
        <f>IFERROR(__xludf.DUMMYFUNCTION("""COMPUTED_VALUE"""),43415.0)</f>
        <v>43415</v>
      </c>
      <c r="D1113" s="2">
        <f>IFERROR(__xludf.DUMMYFUNCTION("""COMPUTED_VALUE"""),7.0)</f>
        <v>7</v>
      </c>
      <c r="E1113" s="2">
        <f>IFERROR(__xludf.DUMMYFUNCTION("""COMPUTED_VALUE"""),45.0)</f>
        <v>45</v>
      </c>
      <c r="F1113" s="2">
        <f>IFERROR(__xludf.DUMMYFUNCTION("""COMPUTED_VALUE"""),4366.0)</f>
        <v>4366</v>
      </c>
      <c r="G1113" s="2">
        <f>IFERROR(__xludf.DUMMYFUNCTION("""COMPUTED_VALUE"""),0.0)</f>
        <v>0</v>
      </c>
    </row>
    <row r="1114">
      <c r="A1114" s="2" t="str">
        <f>IFERROR(__xludf.DUMMYFUNCTION("""COMPUTED_VALUE"""),"Colombia")</f>
        <v>Colombia</v>
      </c>
      <c r="B1114" s="3">
        <f>IFERROR(__xludf.DUMMYFUNCTION("""COMPUTED_VALUE"""),43416.0)</f>
        <v>43416</v>
      </c>
      <c r="C1114" s="3">
        <f>IFERROR(__xludf.DUMMYFUNCTION("""COMPUTED_VALUE"""),43422.0)</f>
        <v>43422</v>
      </c>
      <c r="D1114" s="2">
        <f>IFERROR(__xludf.DUMMYFUNCTION("""COMPUTED_VALUE"""),7.0)</f>
        <v>7</v>
      </c>
      <c r="E1114" s="2">
        <f>IFERROR(__xludf.DUMMYFUNCTION("""COMPUTED_VALUE"""),46.0)</f>
        <v>46</v>
      </c>
      <c r="F1114" s="2">
        <f>IFERROR(__xludf.DUMMYFUNCTION("""COMPUTED_VALUE"""),4519.0)</f>
        <v>4519</v>
      </c>
      <c r="G1114" s="2">
        <f>IFERROR(__xludf.DUMMYFUNCTION("""COMPUTED_VALUE"""),0.0)</f>
        <v>0</v>
      </c>
    </row>
    <row r="1115">
      <c r="A1115" s="2" t="str">
        <f>IFERROR(__xludf.DUMMYFUNCTION("""COMPUTED_VALUE"""),"Colombia")</f>
        <v>Colombia</v>
      </c>
      <c r="B1115" s="3">
        <f>IFERROR(__xludf.DUMMYFUNCTION("""COMPUTED_VALUE"""),43423.0)</f>
        <v>43423</v>
      </c>
      <c r="C1115" s="3">
        <f>IFERROR(__xludf.DUMMYFUNCTION("""COMPUTED_VALUE"""),43429.0)</f>
        <v>43429</v>
      </c>
      <c r="D1115" s="2">
        <f>IFERROR(__xludf.DUMMYFUNCTION("""COMPUTED_VALUE"""),7.0)</f>
        <v>7</v>
      </c>
      <c r="E1115" s="2">
        <f>IFERROR(__xludf.DUMMYFUNCTION("""COMPUTED_VALUE"""),47.0)</f>
        <v>47</v>
      </c>
      <c r="F1115" s="2">
        <f>IFERROR(__xludf.DUMMYFUNCTION("""COMPUTED_VALUE"""),4448.0)</f>
        <v>4448</v>
      </c>
      <c r="G1115" s="2">
        <f>IFERROR(__xludf.DUMMYFUNCTION("""COMPUTED_VALUE"""),0.0)</f>
        <v>0</v>
      </c>
    </row>
    <row r="1116">
      <c r="A1116" s="2" t="str">
        <f>IFERROR(__xludf.DUMMYFUNCTION("""COMPUTED_VALUE"""),"Colombia")</f>
        <v>Colombia</v>
      </c>
      <c r="B1116" s="3">
        <f>IFERROR(__xludf.DUMMYFUNCTION("""COMPUTED_VALUE"""),43430.0)</f>
        <v>43430</v>
      </c>
      <c r="C1116" s="3">
        <f>IFERROR(__xludf.DUMMYFUNCTION("""COMPUTED_VALUE"""),43436.0)</f>
        <v>43436</v>
      </c>
      <c r="D1116" s="2">
        <f>IFERROR(__xludf.DUMMYFUNCTION("""COMPUTED_VALUE"""),7.0)</f>
        <v>7</v>
      </c>
      <c r="E1116" s="2">
        <f>IFERROR(__xludf.DUMMYFUNCTION("""COMPUTED_VALUE"""),48.0)</f>
        <v>48</v>
      </c>
      <c r="F1116" s="2">
        <f>IFERROR(__xludf.DUMMYFUNCTION("""COMPUTED_VALUE"""),4636.0)</f>
        <v>4636</v>
      </c>
      <c r="G1116" s="2">
        <f>IFERROR(__xludf.DUMMYFUNCTION("""COMPUTED_VALUE"""),0.0)</f>
        <v>0</v>
      </c>
    </row>
    <row r="1117">
      <c r="A1117" s="2" t="str">
        <f>IFERROR(__xludf.DUMMYFUNCTION("""COMPUTED_VALUE"""),"Colombia")</f>
        <v>Colombia</v>
      </c>
      <c r="B1117" s="3">
        <f>IFERROR(__xludf.DUMMYFUNCTION("""COMPUTED_VALUE"""),43437.0)</f>
        <v>43437</v>
      </c>
      <c r="C1117" s="3">
        <f>IFERROR(__xludf.DUMMYFUNCTION("""COMPUTED_VALUE"""),43443.0)</f>
        <v>43443</v>
      </c>
      <c r="D1117" s="2">
        <f>IFERROR(__xludf.DUMMYFUNCTION("""COMPUTED_VALUE"""),7.0)</f>
        <v>7</v>
      </c>
      <c r="E1117" s="2">
        <f>IFERROR(__xludf.DUMMYFUNCTION("""COMPUTED_VALUE"""),49.0)</f>
        <v>49</v>
      </c>
      <c r="F1117" s="2">
        <f>IFERROR(__xludf.DUMMYFUNCTION("""COMPUTED_VALUE"""),4756.0)</f>
        <v>4756</v>
      </c>
      <c r="G1117" s="2">
        <f>IFERROR(__xludf.DUMMYFUNCTION("""COMPUTED_VALUE"""),0.0)</f>
        <v>0</v>
      </c>
    </row>
    <row r="1118">
      <c r="A1118" s="2" t="str">
        <f>IFERROR(__xludf.DUMMYFUNCTION("""COMPUTED_VALUE"""),"Colombia")</f>
        <v>Colombia</v>
      </c>
      <c r="B1118" s="3">
        <f>IFERROR(__xludf.DUMMYFUNCTION("""COMPUTED_VALUE"""),43444.0)</f>
        <v>43444</v>
      </c>
      <c r="C1118" s="3">
        <f>IFERROR(__xludf.DUMMYFUNCTION("""COMPUTED_VALUE"""),43450.0)</f>
        <v>43450</v>
      </c>
      <c r="D1118" s="2">
        <f>IFERROR(__xludf.DUMMYFUNCTION("""COMPUTED_VALUE"""),7.0)</f>
        <v>7</v>
      </c>
      <c r="E1118" s="2">
        <f>IFERROR(__xludf.DUMMYFUNCTION("""COMPUTED_VALUE"""),50.0)</f>
        <v>50</v>
      </c>
      <c r="F1118" s="2">
        <f>IFERROR(__xludf.DUMMYFUNCTION("""COMPUTED_VALUE"""),4763.0)</f>
        <v>4763</v>
      </c>
      <c r="G1118" s="2">
        <f>IFERROR(__xludf.DUMMYFUNCTION("""COMPUTED_VALUE"""),0.0)</f>
        <v>0</v>
      </c>
    </row>
    <row r="1119">
      <c r="A1119" s="2" t="str">
        <f>IFERROR(__xludf.DUMMYFUNCTION("""COMPUTED_VALUE"""),"Colombia")</f>
        <v>Colombia</v>
      </c>
      <c r="B1119" s="3">
        <f>IFERROR(__xludf.DUMMYFUNCTION("""COMPUTED_VALUE"""),43451.0)</f>
        <v>43451</v>
      </c>
      <c r="C1119" s="3">
        <f>IFERROR(__xludf.DUMMYFUNCTION("""COMPUTED_VALUE"""),43457.0)</f>
        <v>43457</v>
      </c>
      <c r="D1119" s="2">
        <f>IFERROR(__xludf.DUMMYFUNCTION("""COMPUTED_VALUE"""),7.0)</f>
        <v>7</v>
      </c>
      <c r="E1119" s="2">
        <f>IFERROR(__xludf.DUMMYFUNCTION("""COMPUTED_VALUE"""),51.0)</f>
        <v>51</v>
      </c>
      <c r="F1119" s="2">
        <f>IFERROR(__xludf.DUMMYFUNCTION("""COMPUTED_VALUE"""),4787.0)</f>
        <v>4787</v>
      </c>
      <c r="G1119" s="2">
        <f>IFERROR(__xludf.DUMMYFUNCTION("""COMPUTED_VALUE"""),0.0)</f>
        <v>0</v>
      </c>
    </row>
    <row r="1120">
      <c r="A1120" s="2" t="str">
        <f>IFERROR(__xludf.DUMMYFUNCTION("""COMPUTED_VALUE"""),"Colombia")</f>
        <v>Colombia</v>
      </c>
      <c r="B1120" s="3">
        <f>IFERROR(__xludf.DUMMYFUNCTION("""COMPUTED_VALUE"""),43458.0)</f>
        <v>43458</v>
      </c>
      <c r="C1120" s="3">
        <f>IFERROR(__xludf.DUMMYFUNCTION("""COMPUTED_VALUE"""),43464.0)</f>
        <v>43464</v>
      </c>
      <c r="D1120" s="2">
        <f>IFERROR(__xludf.DUMMYFUNCTION("""COMPUTED_VALUE"""),7.0)</f>
        <v>7</v>
      </c>
      <c r="E1120" s="2">
        <f>IFERROR(__xludf.DUMMYFUNCTION("""COMPUTED_VALUE"""),52.0)</f>
        <v>52</v>
      </c>
      <c r="F1120" s="2">
        <f>IFERROR(__xludf.DUMMYFUNCTION("""COMPUTED_VALUE"""),4984.0)</f>
        <v>4984</v>
      </c>
      <c r="G1120" s="2">
        <f>IFERROR(__xludf.DUMMYFUNCTION("""COMPUTED_VALUE"""),0.0)</f>
        <v>0</v>
      </c>
    </row>
    <row r="1121">
      <c r="A1121" s="2" t="str">
        <f>IFERROR(__xludf.DUMMYFUNCTION("""COMPUTED_VALUE"""),"Colombia")</f>
        <v>Colombia</v>
      </c>
      <c r="B1121" s="3">
        <f>IFERROR(__xludf.DUMMYFUNCTION("""COMPUTED_VALUE"""),43465.0)</f>
        <v>43465</v>
      </c>
      <c r="C1121" s="3">
        <f>IFERROR(__xludf.DUMMYFUNCTION("""COMPUTED_VALUE"""),43471.0)</f>
        <v>43471</v>
      </c>
      <c r="D1121" s="2">
        <f>IFERROR(__xludf.DUMMYFUNCTION("""COMPUTED_VALUE"""),7.0)</f>
        <v>7</v>
      </c>
      <c r="E1121" s="2">
        <f>IFERROR(__xludf.DUMMYFUNCTION("""COMPUTED_VALUE"""),1.0)</f>
        <v>1</v>
      </c>
      <c r="F1121" s="2">
        <f>IFERROR(__xludf.DUMMYFUNCTION("""COMPUTED_VALUE"""),5348.0)</f>
        <v>5348</v>
      </c>
      <c r="G1121" s="2">
        <f>IFERROR(__xludf.DUMMYFUNCTION("""COMPUTED_VALUE"""),0.0)</f>
        <v>0</v>
      </c>
    </row>
    <row r="1122">
      <c r="A1122" s="2" t="str">
        <f>IFERROR(__xludf.DUMMYFUNCTION("""COMPUTED_VALUE"""),"Colombia")</f>
        <v>Colombia</v>
      </c>
      <c r="B1122" s="3">
        <f>IFERROR(__xludf.DUMMYFUNCTION("""COMPUTED_VALUE"""),43472.0)</f>
        <v>43472</v>
      </c>
      <c r="C1122" s="3">
        <f>IFERROR(__xludf.DUMMYFUNCTION("""COMPUTED_VALUE"""),43478.0)</f>
        <v>43478</v>
      </c>
      <c r="D1122" s="2">
        <f>IFERROR(__xludf.DUMMYFUNCTION("""COMPUTED_VALUE"""),7.0)</f>
        <v>7</v>
      </c>
      <c r="E1122" s="2">
        <f>IFERROR(__xludf.DUMMYFUNCTION("""COMPUTED_VALUE"""),2.0)</f>
        <v>2</v>
      </c>
      <c r="F1122" s="2">
        <f>IFERROR(__xludf.DUMMYFUNCTION("""COMPUTED_VALUE"""),4713.0)</f>
        <v>4713</v>
      </c>
      <c r="G1122" s="2">
        <f>IFERROR(__xludf.DUMMYFUNCTION("""COMPUTED_VALUE"""),0.0)</f>
        <v>0</v>
      </c>
    </row>
    <row r="1123">
      <c r="A1123" s="2" t="str">
        <f>IFERROR(__xludf.DUMMYFUNCTION("""COMPUTED_VALUE"""),"Colombia")</f>
        <v>Colombia</v>
      </c>
      <c r="B1123" s="3">
        <f>IFERROR(__xludf.DUMMYFUNCTION("""COMPUTED_VALUE"""),43479.0)</f>
        <v>43479</v>
      </c>
      <c r="C1123" s="3">
        <f>IFERROR(__xludf.DUMMYFUNCTION("""COMPUTED_VALUE"""),43485.0)</f>
        <v>43485</v>
      </c>
      <c r="D1123" s="2">
        <f>IFERROR(__xludf.DUMMYFUNCTION("""COMPUTED_VALUE"""),7.0)</f>
        <v>7</v>
      </c>
      <c r="E1123" s="2">
        <f>IFERROR(__xludf.DUMMYFUNCTION("""COMPUTED_VALUE"""),3.0)</f>
        <v>3</v>
      </c>
      <c r="F1123" s="2">
        <f>IFERROR(__xludf.DUMMYFUNCTION("""COMPUTED_VALUE"""),4842.0)</f>
        <v>4842</v>
      </c>
      <c r="G1123" s="2">
        <f>IFERROR(__xludf.DUMMYFUNCTION("""COMPUTED_VALUE"""),0.0)</f>
        <v>0</v>
      </c>
    </row>
    <row r="1124">
      <c r="A1124" s="2" t="str">
        <f>IFERROR(__xludf.DUMMYFUNCTION("""COMPUTED_VALUE"""),"Colombia")</f>
        <v>Colombia</v>
      </c>
      <c r="B1124" s="3">
        <f>IFERROR(__xludf.DUMMYFUNCTION("""COMPUTED_VALUE"""),43486.0)</f>
        <v>43486</v>
      </c>
      <c r="C1124" s="3">
        <f>IFERROR(__xludf.DUMMYFUNCTION("""COMPUTED_VALUE"""),43492.0)</f>
        <v>43492</v>
      </c>
      <c r="D1124" s="2">
        <f>IFERROR(__xludf.DUMMYFUNCTION("""COMPUTED_VALUE"""),7.0)</f>
        <v>7</v>
      </c>
      <c r="E1124" s="2">
        <f>IFERROR(__xludf.DUMMYFUNCTION("""COMPUTED_VALUE"""),4.0)</f>
        <v>4</v>
      </c>
      <c r="F1124" s="2">
        <f>IFERROR(__xludf.DUMMYFUNCTION("""COMPUTED_VALUE"""),4606.0)</f>
        <v>4606</v>
      </c>
      <c r="G1124" s="2">
        <f>IFERROR(__xludf.DUMMYFUNCTION("""COMPUTED_VALUE"""),0.0)</f>
        <v>0</v>
      </c>
    </row>
    <row r="1125">
      <c r="A1125" s="2" t="str">
        <f>IFERROR(__xludf.DUMMYFUNCTION("""COMPUTED_VALUE"""),"Colombia")</f>
        <v>Colombia</v>
      </c>
      <c r="B1125" s="3">
        <f>IFERROR(__xludf.DUMMYFUNCTION("""COMPUTED_VALUE"""),43493.0)</f>
        <v>43493</v>
      </c>
      <c r="C1125" s="3">
        <f>IFERROR(__xludf.DUMMYFUNCTION("""COMPUTED_VALUE"""),43499.0)</f>
        <v>43499</v>
      </c>
      <c r="D1125" s="2">
        <f>IFERROR(__xludf.DUMMYFUNCTION("""COMPUTED_VALUE"""),7.0)</f>
        <v>7</v>
      </c>
      <c r="E1125" s="2">
        <f>IFERROR(__xludf.DUMMYFUNCTION("""COMPUTED_VALUE"""),5.0)</f>
        <v>5</v>
      </c>
      <c r="F1125" s="2">
        <f>IFERROR(__xludf.DUMMYFUNCTION("""COMPUTED_VALUE"""),4562.0)</f>
        <v>4562</v>
      </c>
      <c r="G1125" s="2">
        <f>IFERROR(__xludf.DUMMYFUNCTION("""COMPUTED_VALUE"""),0.0)</f>
        <v>0</v>
      </c>
    </row>
    <row r="1126">
      <c r="A1126" s="2" t="str">
        <f>IFERROR(__xludf.DUMMYFUNCTION("""COMPUTED_VALUE"""),"Colombia")</f>
        <v>Colombia</v>
      </c>
      <c r="B1126" s="3">
        <f>IFERROR(__xludf.DUMMYFUNCTION("""COMPUTED_VALUE"""),43500.0)</f>
        <v>43500</v>
      </c>
      <c r="C1126" s="3">
        <f>IFERROR(__xludf.DUMMYFUNCTION("""COMPUTED_VALUE"""),43506.0)</f>
        <v>43506</v>
      </c>
      <c r="D1126" s="2">
        <f>IFERROR(__xludf.DUMMYFUNCTION("""COMPUTED_VALUE"""),7.0)</f>
        <v>7</v>
      </c>
      <c r="E1126" s="2">
        <f>IFERROR(__xludf.DUMMYFUNCTION("""COMPUTED_VALUE"""),6.0)</f>
        <v>6</v>
      </c>
      <c r="F1126" s="2">
        <f>IFERROR(__xludf.DUMMYFUNCTION("""COMPUTED_VALUE"""),4497.0)</f>
        <v>4497</v>
      </c>
      <c r="G1126" s="2">
        <f>IFERROR(__xludf.DUMMYFUNCTION("""COMPUTED_VALUE"""),0.0)</f>
        <v>0</v>
      </c>
    </row>
    <row r="1127">
      <c r="A1127" s="2" t="str">
        <f>IFERROR(__xludf.DUMMYFUNCTION("""COMPUTED_VALUE"""),"Colombia")</f>
        <v>Colombia</v>
      </c>
      <c r="B1127" s="3">
        <f>IFERROR(__xludf.DUMMYFUNCTION("""COMPUTED_VALUE"""),43507.0)</f>
        <v>43507</v>
      </c>
      <c r="C1127" s="3">
        <f>IFERROR(__xludf.DUMMYFUNCTION("""COMPUTED_VALUE"""),43513.0)</f>
        <v>43513</v>
      </c>
      <c r="D1127" s="2">
        <f>IFERROR(__xludf.DUMMYFUNCTION("""COMPUTED_VALUE"""),7.0)</f>
        <v>7</v>
      </c>
      <c r="E1127" s="2">
        <f>IFERROR(__xludf.DUMMYFUNCTION("""COMPUTED_VALUE"""),7.0)</f>
        <v>7</v>
      </c>
      <c r="F1127" s="2">
        <f>IFERROR(__xludf.DUMMYFUNCTION("""COMPUTED_VALUE"""),4484.0)</f>
        <v>4484</v>
      </c>
      <c r="G1127" s="2">
        <f>IFERROR(__xludf.DUMMYFUNCTION("""COMPUTED_VALUE"""),0.0)</f>
        <v>0</v>
      </c>
    </row>
    <row r="1128">
      <c r="A1128" s="2" t="str">
        <f>IFERROR(__xludf.DUMMYFUNCTION("""COMPUTED_VALUE"""),"Colombia")</f>
        <v>Colombia</v>
      </c>
      <c r="B1128" s="3">
        <f>IFERROR(__xludf.DUMMYFUNCTION("""COMPUTED_VALUE"""),43514.0)</f>
        <v>43514</v>
      </c>
      <c r="C1128" s="3">
        <f>IFERROR(__xludf.DUMMYFUNCTION("""COMPUTED_VALUE"""),43520.0)</f>
        <v>43520</v>
      </c>
      <c r="D1128" s="2">
        <f>IFERROR(__xludf.DUMMYFUNCTION("""COMPUTED_VALUE"""),7.0)</f>
        <v>7</v>
      </c>
      <c r="E1128" s="2">
        <f>IFERROR(__xludf.DUMMYFUNCTION("""COMPUTED_VALUE"""),8.0)</f>
        <v>8</v>
      </c>
      <c r="F1128" s="2">
        <f>IFERROR(__xludf.DUMMYFUNCTION("""COMPUTED_VALUE"""),4494.0)</f>
        <v>4494</v>
      </c>
      <c r="G1128" s="2">
        <f>IFERROR(__xludf.DUMMYFUNCTION("""COMPUTED_VALUE"""),0.0)</f>
        <v>0</v>
      </c>
    </row>
    <row r="1129">
      <c r="A1129" s="2" t="str">
        <f>IFERROR(__xludf.DUMMYFUNCTION("""COMPUTED_VALUE"""),"Colombia")</f>
        <v>Colombia</v>
      </c>
      <c r="B1129" s="3">
        <f>IFERROR(__xludf.DUMMYFUNCTION("""COMPUTED_VALUE"""),43521.0)</f>
        <v>43521</v>
      </c>
      <c r="C1129" s="3">
        <f>IFERROR(__xludf.DUMMYFUNCTION("""COMPUTED_VALUE"""),43527.0)</f>
        <v>43527</v>
      </c>
      <c r="D1129" s="2">
        <f>IFERROR(__xludf.DUMMYFUNCTION("""COMPUTED_VALUE"""),7.0)</f>
        <v>7</v>
      </c>
      <c r="E1129" s="2">
        <f>IFERROR(__xludf.DUMMYFUNCTION("""COMPUTED_VALUE"""),9.0)</f>
        <v>9</v>
      </c>
      <c r="F1129" s="2">
        <f>IFERROR(__xludf.DUMMYFUNCTION("""COMPUTED_VALUE"""),4474.0)</f>
        <v>4474</v>
      </c>
      <c r="G1129" s="2">
        <f>IFERROR(__xludf.DUMMYFUNCTION("""COMPUTED_VALUE"""),0.0)</f>
        <v>0</v>
      </c>
    </row>
    <row r="1130">
      <c r="A1130" s="2" t="str">
        <f>IFERROR(__xludf.DUMMYFUNCTION("""COMPUTED_VALUE"""),"Colombia")</f>
        <v>Colombia</v>
      </c>
      <c r="B1130" s="3">
        <f>IFERROR(__xludf.DUMMYFUNCTION("""COMPUTED_VALUE"""),43528.0)</f>
        <v>43528</v>
      </c>
      <c r="C1130" s="3">
        <f>IFERROR(__xludf.DUMMYFUNCTION("""COMPUTED_VALUE"""),43534.0)</f>
        <v>43534</v>
      </c>
      <c r="D1130" s="2">
        <f>IFERROR(__xludf.DUMMYFUNCTION("""COMPUTED_VALUE"""),7.0)</f>
        <v>7</v>
      </c>
      <c r="E1130" s="2">
        <f>IFERROR(__xludf.DUMMYFUNCTION("""COMPUTED_VALUE"""),10.0)</f>
        <v>10</v>
      </c>
      <c r="F1130" s="2">
        <f>IFERROR(__xludf.DUMMYFUNCTION("""COMPUTED_VALUE"""),4440.0)</f>
        <v>4440</v>
      </c>
      <c r="G1130" s="2">
        <f>IFERROR(__xludf.DUMMYFUNCTION("""COMPUTED_VALUE"""),0.0)</f>
        <v>0</v>
      </c>
    </row>
    <row r="1131">
      <c r="A1131" s="2" t="str">
        <f>IFERROR(__xludf.DUMMYFUNCTION("""COMPUTED_VALUE"""),"Colombia")</f>
        <v>Colombia</v>
      </c>
      <c r="B1131" s="3">
        <f>IFERROR(__xludf.DUMMYFUNCTION("""COMPUTED_VALUE"""),43535.0)</f>
        <v>43535</v>
      </c>
      <c r="C1131" s="3">
        <f>IFERROR(__xludf.DUMMYFUNCTION("""COMPUTED_VALUE"""),43541.0)</f>
        <v>43541</v>
      </c>
      <c r="D1131" s="2">
        <f>IFERROR(__xludf.DUMMYFUNCTION("""COMPUTED_VALUE"""),7.0)</f>
        <v>7</v>
      </c>
      <c r="E1131" s="2">
        <f>IFERROR(__xludf.DUMMYFUNCTION("""COMPUTED_VALUE"""),11.0)</f>
        <v>11</v>
      </c>
      <c r="F1131" s="2">
        <f>IFERROR(__xludf.DUMMYFUNCTION("""COMPUTED_VALUE"""),4493.0)</f>
        <v>4493</v>
      </c>
      <c r="G1131" s="2">
        <f>IFERROR(__xludf.DUMMYFUNCTION("""COMPUTED_VALUE"""),0.0)</f>
        <v>0</v>
      </c>
    </row>
    <row r="1132">
      <c r="A1132" s="2" t="str">
        <f>IFERROR(__xludf.DUMMYFUNCTION("""COMPUTED_VALUE"""),"Colombia")</f>
        <v>Colombia</v>
      </c>
      <c r="B1132" s="3">
        <f>IFERROR(__xludf.DUMMYFUNCTION("""COMPUTED_VALUE"""),43542.0)</f>
        <v>43542</v>
      </c>
      <c r="C1132" s="3">
        <f>IFERROR(__xludf.DUMMYFUNCTION("""COMPUTED_VALUE"""),43548.0)</f>
        <v>43548</v>
      </c>
      <c r="D1132" s="2">
        <f>IFERROR(__xludf.DUMMYFUNCTION("""COMPUTED_VALUE"""),7.0)</f>
        <v>7</v>
      </c>
      <c r="E1132" s="2">
        <f>IFERROR(__xludf.DUMMYFUNCTION("""COMPUTED_VALUE"""),12.0)</f>
        <v>12</v>
      </c>
      <c r="F1132" s="2">
        <f>IFERROR(__xludf.DUMMYFUNCTION("""COMPUTED_VALUE"""),4520.0)</f>
        <v>4520</v>
      </c>
      <c r="G1132" s="2">
        <f>IFERROR(__xludf.DUMMYFUNCTION("""COMPUTED_VALUE"""),0.0)</f>
        <v>0</v>
      </c>
    </row>
    <row r="1133">
      <c r="A1133" s="2" t="str">
        <f>IFERROR(__xludf.DUMMYFUNCTION("""COMPUTED_VALUE"""),"Colombia")</f>
        <v>Colombia</v>
      </c>
      <c r="B1133" s="3">
        <f>IFERROR(__xludf.DUMMYFUNCTION("""COMPUTED_VALUE"""),43549.0)</f>
        <v>43549</v>
      </c>
      <c r="C1133" s="3">
        <f>IFERROR(__xludf.DUMMYFUNCTION("""COMPUTED_VALUE"""),43555.0)</f>
        <v>43555</v>
      </c>
      <c r="D1133" s="2">
        <f>IFERROR(__xludf.DUMMYFUNCTION("""COMPUTED_VALUE"""),7.0)</f>
        <v>7</v>
      </c>
      <c r="E1133" s="2">
        <f>IFERROR(__xludf.DUMMYFUNCTION("""COMPUTED_VALUE"""),13.0)</f>
        <v>13</v>
      </c>
      <c r="F1133" s="2">
        <f>IFERROR(__xludf.DUMMYFUNCTION("""COMPUTED_VALUE"""),4511.0)</f>
        <v>4511</v>
      </c>
      <c r="G1133" s="2">
        <f>IFERROR(__xludf.DUMMYFUNCTION("""COMPUTED_VALUE"""),0.0)</f>
        <v>0</v>
      </c>
    </row>
    <row r="1134">
      <c r="A1134" s="2" t="str">
        <f>IFERROR(__xludf.DUMMYFUNCTION("""COMPUTED_VALUE"""),"Colombia")</f>
        <v>Colombia</v>
      </c>
      <c r="B1134" s="3">
        <f>IFERROR(__xludf.DUMMYFUNCTION("""COMPUTED_VALUE"""),43556.0)</f>
        <v>43556</v>
      </c>
      <c r="C1134" s="3">
        <f>IFERROR(__xludf.DUMMYFUNCTION("""COMPUTED_VALUE"""),43562.0)</f>
        <v>43562</v>
      </c>
      <c r="D1134" s="2">
        <f>IFERROR(__xludf.DUMMYFUNCTION("""COMPUTED_VALUE"""),7.0)</f>
        <v>7</v>
      </c>
      <c r="E1134" s="2">
        <f>IFERROR(__xludf.DUMMYFUNCTION("""COMPUTED_VALUE"""),14.0)</f>
        <v>14</v>
      </c>
      <c r="F1134" s="2">
        <f>IFERROR(__xludf.DUMMYFUNCTION("""COMPUTED_VALUE"""),4474.0)</f>
        <v>4474</v>
      </c>
      <c r="G1134" s="2">
        <f>IFERROR(__xludf.DUMMYFUNCTION("""COMPUTED_VALUE"""),0.0)</f>
        <v>0</v>
      </c>
    </row>
    <row r="1135">
      <c r="A1135" s="2" t="str">
        <f>IFERROR(__xludf.DUMMYFUNCTION("""COMPUTED_VALUE"""),"Colombia")</f>
        <v>Colombia</v>
      </c>
      <c r="B1135" s="3">
        <f>IFERROR(__xludf.DUMMYFUNCTION("""COMPUTED_VALUE"""),43563.0)</f>
        <v>43563</v>
      </c>
      <c r="C1135" s="3">
        <f>IFERROR(__xludf.DUMMYFUNCTION("""COMPUTED_VALUE"""),43569.0)</f>
        <v>43569</v>
      </c>
      <c r="D1135" s="2">
        <f>IFERROR(__xludf.DUMMYFUNCTION("""COMPUTED_VALUE"""),7.0)</f>
        <v>7</v>
      </c>
      <c r="E1135" s="2">
        <f>IFERROR(__xludf.DUMMYFUNCTION("""COMPUTED_VALUE"""),15.0)</f>
        <v>15</v>
      </c>
      <c r="F1135" s="2">
        <f>IFERROR(__xludf.DUMMYFUNCTION("""COMPUTED_VALUE"""),4548.0)</f>
        <v>4548</v>
      </c>
      <c r="G1135" s="2">
        <f>IFERROR(__xludf.DUMMYFUNCTION("""COMPUTED_VALUE"""),0.0)</f>
        <v>0</v>
      </c>
    </row>
    <row r="1136">
      <c r="A1136" s="2" t="str">
        <f>IFERROR(__xludf.DUMMYFUNCTION("""COMPUTED_VALUE"""),"Colombia")</f>
        <v>Colombia</v>
      </c>
      <c r="B1136" s="3">
        <f>IFERROR(__xludf.DUMMYFUNCTION("""COMPUTED_VALUE"""),43570.0)</f>
        <v>43570</v>
      </c>
      <c r="C1136" s="3">
        <f>IFERROR(__xludf.DUMMYFUNCTION("""COMPUTED_VALUE"""),43576.0)</f>
        <v>43576</v>
      </c>
      <c r="D1136" s="2">
        <f>IFERROR(__xludf.DUMMYFUNCTION("""COMPUTED_VALUE"""),7.0)</f>
        <v>7</v>
      </c>
      <c r="E1136" s="2">
        <f>IFERROR(__xludf.DUMMYFUNCTION("""COMPUTED_VALUE"""),16.0)</f>
        <v>16</v>
      </c>
      <c r="F1136" s="2">
        <f>IFERROR(__xludf.DUMMYFUNCTION("""COMPUTED_VALUE"""),4420.0)</f>
        <v>4420</v>
      </c>
      <c r="G1136" s="2">
        <f>IFERROR(__xludf.DUMMYFUNCTION("""COMPUTED_VALUE"""),0.0)</f>
        <v>0</v>
      </c>
    </row>
    <row r="1137">
      <c r="A1137" s="2" t="str">
        <f>IFERROR(__xludf.DUMMYFUNCTION("""COMPUTED_VALUE"""),"Colombia")</f>
        <v>Colombia</v>
      </c>
      <c r="B1137" s="3">
        <f>IFERROR(__xludf.DUMMYFUNCTION("""COMPUTED_VALUE"""),43577.0)</f>
        <v>43577</v>
      </c>
      <c r="C1137" s="3">
        <f>IFERROR(__xludf.DUMMYFUNCTION("""COMPUTED_VALUE"""),43583.0)</f>
        <v>43583</v>
      </c>
      <c r="D1137" s="2">
        <f>IFERROR(__xludf.DUMMYFUNCTION("""COMPUTED_VALUE"""),7.0)</f>
        <v>7</v>
      </c>
      <c r="E1137" s="2">
        <f>IFERROR(__xludf.DUMMYFUNCTION("""COMPUTED_VALUE"""),17.0)</f>
        <v>17</v>
      </c>
      <c r="F1137" s="2">
        <f>IFERROR(__xludf.DUMMYFUNCTION("""COMPUTED_VALUE"""),4452.0)</f>
        <v>4452</v>
      </c>
      <c r="G1137" s="2">
        <f>IFERROR(__xludf.DUMMYFUNCTION("""COMPUTED_VALUE"""),0.0)</f>
        <v>0</v>
      </c>
    </row>
    <row r="1138">
      <c r="A1138" s="2" t="str">
        <f>IFERROR(__xludf.DUMMYFUNCTION("""COMPUTED_VALUE"""),"Colombia")</f>
        <v>Colombia</v>
      </c>
      <c r="B1138" s="3">
        <f>IFERROR(__xludf.DUMMYFUNCTION("""COMPUTED_VALUE"""),43584.0)</f>
        <v>43584</v>
      </c>
      <c r="C1138" s="3">
        <f>IFERROR(__xludf.DUMMYFUNCTION("""COMPUTED_VALUE"""),43590.0)</f>
        <v>43590</v>
      </c>
      <c r="D1138" s="2">
        <f>IFERROR(__xludf.DUMMYFUNCTION("""COMPUTED_VALUE"""),7.0)</f>
        <v>7</v>
      </c>
      <c r="E1138" s="2">
        <f>IFERROR(__xludf.DUMMYFUNCTION("""COMPUTED_VALUE"""),18.0)</f>
        <v>18</v>
      </c>
      <c r="F1138" s="2">
        <f>IFERROR(__xludf.DUMMYFUNCTION("""COMPUTED_VALUE"""),4677.0)</f>
        <v>4677</v>
      </c>
      <c r="G1138" s="2">
        <f>IFERROR(__xludf.DUMMYFUNCTION("""COMPUTED_VALUE"""),0.0)</f>
        <v>0</v>
      </c>
    </row>
    <row r="1139">
      <c r="A1139" s="2" t="str">
        <f>IFERROR(__xludf.DUMMYFUNCTION("""COMPUTED_VALUE"""),"Colombia")</f>
        <v>Colombia</v>
      </c>
      <c r="B1139" s="3">
        <f>IFERROR(__xludf.DUMMYFUNCTION("""COMPUTED_VALUE"""),43591.0)</f>
        <v>43591</v>
      </c>
      <c r="C1139" s="3">
        <f>IFERROR(__xludf.DUMMYFUNCTION("""COMPUTED_VALUE"""),43597.0)</f>
        <v>43597</v>
      </c>
      <c r="D1139" s="2">
        <f>IFERROR(__xludf.DUMMYFUNCTION("""COMPUTED_VALUE"""),7.0)</f>
        <v>7</v>
      </c>
      <c r="E1139" s="2">
        <f>IFERROR(__xludf.DUMMYFUNCTION("""COMPUTED_VALUE"""),19.0)</f>
        <v>19</v>
      </c>
      <c r="F1139" s="2">
        <f>IFERROR(__xludf.DUMMYFUNCTION("""COMPUTED_VALUE"""),4624.0)</f>
        <v>4624</v>
      </c>
      <c r="G1139" s="2">
        <f>IFERROR(__xludf.DUMMYFUNCTION("""COMPUTED_VALUE"""),0.0)</f>
        <v>0</v>
      </c>
    </row>
    <row r="1140">
      <c r="A1140" s="2" t="str">
        <f>IFERROR(__xludf.DUMMYFUNCTION("""COMPUTED_VALUE"""),"Colombia")</f>
        <v>Colombia</v>
      </c>
      <c r="B1140" s="3">
        <f>IFERROR(__xludf.DUMMYFUNCTION("""COMPUTED_VALUE"""),43598.0)</f>
        <v>43598</v>
      </c>
      <c r="C1140" s="3">
        <f>IFERROR(__xludf.DUMMYFUNCTION("""COMPUTED_VALUE"""),43604.0)</f>
        <v>43604</v>
      </c>
      <c r="D1140" s="2">
        <f>IFERROR(__xludf.DUMMYFUNCTION("""COMPUTED_VALUE"""),7.0)</f>
        <v>7</v>
      </c>
      <c r="E1140" s="2">
        <f>IFERROR(__xludf.DUMMYFUNCTION("""COMPUTED_VALUE"""),20.0)</f>
        <v>20</v>
      </c>
      <c r="F1140" s="2">
        <f>IFERROR(__xludf.DUMMYFUNCTION("""COMPUTED_VALUE"""),4448.0)</f>
        <v>4448</v>
      </c>
      <c r="G1140" s="2">
        <f>IFERROR(__xludf.DUMMYFUNCTION("""COMPUTED_VALUE"""),0.0)</f>
        <v>0</v>
      </c>
    </row>
    <row r="1141">
      <c r="A1141" s="2" t="str">
        <f>IFERROR(__xludf.DUMMYFUNCTION("""COMPUTED_VALUE"""),"Colombia")</f>
        <v>Colombia</v>
      </c>
      <c r="B1141" s="3">
        <f>IFERROR(__xludf.DUMMYFUNCTION("""COMPUTED_VALUE"""),43605.0)</f>
        <v>43605</v>
      </c>
      <c r="C1141" s="3">
        <f>IFERROR(__xludf.DUMMYFUNCTION("""COMPUTED_VALUE"""),43611.0)</f>
        <v>43611</v>
      </c>
      <c r="D1141" s="2">
        <f>IFERROR(__xludf.DUMMYFUNCTION("""COMPUTED_VALUE"""),7.0)</f>
        <v>7</v>
      </c>
      <c r="E1141" s="2">
        <f>IFERROR(__xludf.DUMMYFUNCTION("""COMPUTED_VALUE"""),21.0)</f>
        <v>21</v>
      </c>
      <c r="F1141" s="2">
        <f>IFERROR(__xludf.DUMMYFUNCTION("""COMPUTED_VALUE"""),4670.0)</f>
        <v>4670</v>
      </c>
      <c r="G1141" s="2">
        <f>IFERROR(__xludf.DUMMYFUNCTION("""COMPUTED_VALUE"""),0.0)</f>
        <v>0</v>
      </c>
    </row>
    <row r="1142">
      <c r="A1142" s="2" t="str">
        <f>IFERROR(__xludf.DUMMYFUNCTION("""COMPUTED_VALUE"""),"Colombia")</f>
        <v>Colombia</v>
      </c>
      <c r="B1142" s="3">
        <f>IFERROR(__xludf.DUMMYFUNCTION("""COMPUTED_VALUE"""),43612.0)</f>
        <v>43612</v>
      </c>
      <c r="C1142" s="3">
        <f>IFERROR(__xludf.DUMMYFUNCTION("""COMPUTED_VALUE"""),43618.0)</f>
        <v>43618</v>
      </c>
      <c r="D1142" s="2">
        <f>IFERROR(__xludf.DUMMYFUNCTION("""COMPUTED_VALUE"""),7.0)</f>
        <v>7</v>
      </c>
      <c r="E1142" s="2">
        <f>IFERROR(__xludf.DUMMYFUNCTION("""COMPUTED_VALUE"""),22.0)</f>
        <v>22</v>
      </c>
      <c r="F1142" s="2">
        <f>IFERROR(__xludf.DUMMYFUNCTION("""COMPUTED_VALUE"""),4570.0)</f>
        <v>4570</v>
      </c>
      <c r="G1142" s="2">
        <f>IFERROR(__xludf.DUMMYFUNCTION("""COMPUTED_VALUE"""),0.0)</f>
        <v>0</v>
      </c>
    </row>
    <row r="1143">
      <c r="A1143" s="2" t="str">
        <f>IFERROR(__xludf.DUMMYFUNCTION("""COMPUTED_VALUE"""),"Colombia")</f>
        <v>Colombia</v>
      </c>
      <c r="B1143" s="3">
        <f>IFERROR(__xludf.DUMMYFUNCTION("""COMPUTED_VALUE"""),43619.0)</f>
        <v>43619</v>
      </c>
      <c r="C1143" s="3">
        <f>IFERROR(__xludf.DUMMYFUNCTION("""COMPUTED_VALUE"""),43625.0)</f>
        <v>43625</v>
      </c>
      <c r="D1143" s="2">
        <f>IFERROR(__xludf.DUMMYFUNCTION("""COMPUTED_VALUE"""),7.0)</f>
        <v>7</v>
      </c>
      <c r="E1143" s="2">
        <f>IFERROR(__xludf.DUMMYFUNCTION("""COMPUTED_VALUE"""),23.0)</f>
        <v>23</v>
      </c>
      <c r="F1143" s="2">
        <f>IFERROR(__xludf.DUMMYFUNCTION("""COMPUTED_VALUE"""),4860.0)</f>
        <v>4860</v>
      </c>
      <c r="G1143" s="2">
        <f>IFERROR(__xludf.DUMMYFUNCTION("""COMPUTED_VALUE"""),0.0)</f>
        <v>0</v>
      </c>
    </row>
    <row r="1144">
      <c r="A1144" s="2" t="str">
        <f>IFERROR(__xludf.DUMMYFUNCTION("""COMPUTED_VALUE"""),"Colombia")</f>
        <v>Colombia</v>
      </c>
      <c r="B1144" s="3">
        <f>IFERROR(__xludf.DUMMYFUNCTION("""COMPUTED_VALUE"""),43626.0)</f>
        <v>43626</v>
      </c>
      <c r="C1144" s="3">
        <f>IFERROR(__xludf.DUMMYFUNCTION("""COMPUTED_VALUE"""),43632.0)</f>
        <v>43632</v>
      </c>
      <c r="D1144" s="2">
        <f>IFERROR(__xludf.DUMMYFUNCTION("""COMPUTED_VALUE"""),7.0)</f>
        <v>7</v>
      </c>
      <c r="E1144" s="2">
        <f>IFERROR(__xludf.DUMMYFUNCTION("""COMPUTED_VALUE"""),24.0)</f>
        <v>24</v>
      </c>
      <c r="F1144" s="2">
        <f>IFERROR(__xludf.DUMMYFUNCTION("""COMPUTED_VALUE"""),4753.0)</f>
        <v>4753</v>
      </c>
      <c r="G1144" s="2">
        <f>IFERROR(__xludf.DUMMYFUNCTION("""COMPUTED_VALUE"""),0.0)</f>
        <v>0</v>
      </c>
    </row>
    <row r="1145">
      <c r="A1145" s="2" t="str">
        <f>IFERROR(__xludf.DUMMYFUNCTION("""COMPUTED_VALUE"""),"Colombia")</f>
        <v>Colombia</v>
      </c>
      <c r="B1145" s="3">
        <f>IFERROR(__xludf.DUMMYFUNCTION("""COMPUTED_VALUE"""),43633.0)</f>
        <v>43633</v>
      </c>
      <c r="C1145" s="3">
        <f>IFERROR(__xludf.DUMMYFUNCTION("""COMPUTED_VALUE"""),43639.0)</f>
        <v>43639</v>
      </c>
      <c r="D1145" s="2">
        <f>IFERROR(__xludf.DUMMYFUNCTION("""COMPUTED_VALUE"""),7.0)</f>
        <v>7</v>
      </c>
      <c r="E1145" s="2">
        <f>IFERROR(__xludf.DUMMYFUNCTION("""COMPUTED_VALUE"""),25.0)</f>
        <v>25</v>
      </c>
      <c r="F1145" s="2">
        <f>IFERROR(__xludf.DUMMYFUNCTION("""COMPUTED_VALUE"""),4964.0)</f>
        <v>4964</v>
      </c>
      <c r="G1145" s="2">
        <f>IFERROR(__xludf.DUMMYFUNCTION("""COMPUTED_VALUE"""),0.0)</f>
        <v>0</v>
      </c>
    </row>
    <row r="1146">
      <c r="A1146" s="2" t="str">
        <f>IFERROR(__xludf.DUMMYFUNCTION("""COMPUTED_VALUE"""),"Colombia")</f>
        <v>Colombia</v>
      </c>
      <c r="B1146" s="3">
        <f>IFERROR(__xludf.DUMMYFUNCTION("""COMPUTED_VALUE"""),43640.0)</f>
        <v>43640</v>
      </c>
      <c r="C1146" s="3">
        <f>IFERROR(__xludf.DUMMYFUNCTION("""COMPUTED_VALUE"""),43646.0)</f>
        <v>43646</v>
      </c>
      <c r="D1146" s="2">
        <f>IFERROR(__xludf.DUMMYFUNCTION("""COMPUTED_VALUE"""),7.0)</f>
        <v>7</v>
      </c>
      <c r="E1146" s="2">
        <f>IFERROR(__xludf.DUMMYFUNCTION("""COMPUTED_VALUE"""),26.0)</f>
        <v>26</v>
      </c>
      <c r="F1146" s="2">
        <f>IFERROR(__xludf.DUMMYFUNCTION("""COMPUTED_VALUE"""),4807.0)</f>
        <v>4807</v>
      </c>
      <c r="G1146" s="2">
        <f>IFERROR(__xludf.DUMMYFUNCTION("""COMPUTED_VALUE"""),0.0)</f>
        <v>0</v>
      </c>
    </row>
    <row r="1147">
      <c r="A1147" s="2" t="str">
        <f>IFERROR(__xludf.DUMMYFUNCTION("""COMPUTED_VALUE"""),"Colombia")</f>
        <v>Colombia</v>
      </c>
      <c r="B1147" s="3">
        <f>IFERROR(__xludf.DUMMYFUNCTION("""COMPUTED_VALUE"""),43647.0)</f>
        <v>43647</v>
      </c>
      <c r="C1147" s="3">
        <f>IFERROR(__xludf.DUMMYFUNCTION("""COMPUTED_VALUE"""),43653.0)</f>
        <v>43653</v>
      </c>
      <c r="D1147" s="2">
        <f>IFERROR(__xludf.DUMMYFUNCTION("""COMPUTED_VALUE"""),7.0)</f>
        <v>7</v>
      </c>
      <c r="E1147" s="2">
        <f>IFERROR(__xludf.DUMMYFUNCTION("""COMPUTED_VALUE"""),27.0)</f>
        <v>27</v>
      </c>
      <c r="F1147" s="2">
        <f>IFERROR(__xludf.DUMMYFUNCTION("""COMPUTED_VALUE"""),4854.0)</f>
        <v>4854</v>
      </c>
      <c r="G1147" s="2">
        <f>IFERROR(__xludf.DUMMYFUNCTION("""COMPUTED_VALUE"""),0.0)</f>
        <v>0</v>
      </c>
    </row>
    <row r="1148">
      <c r="A1148" s="2" t="str">
        <f>IFERROR(__xludf.DUMMYFUNCTION("""COMPUTED_VALUE"""),"Colombia")</f>
        <v>Colombia</v>
      </c>
      <c r="B1148" s="3">
        <f>IFERROR(__xludf.DUMMYFUNCTION("""COMPUTED_VALUE"""),43654.0)</f>
        <v>43654</v>
      </c>
      <c r="C1148" s="3">
        <f>IFERROR(__xludf.DUMMYFUNCTION("""COMPUTED_VALUE"""),43660.0)</f>
        <v>43660</v>
      </c>
      <c r="D1148" s="2">
        <f>IFERROR(__xludf.DUMMYFUNCTION("""COMPUTED_VALUE"""),7.0)</f>
        <v>7</v>
      </c>
      <c r="E1148" s="2">
        <f>IFERROR(__xludf.DUMMYFUNCTION("""COMPUTED_VALUE"""),28.0)</f>
        <v>28</v>
      </c>
      <c r="F1148" s="2">
        <f>IFERROR(__xludf.DUMMYFUNCTION("""COMPUTED_VALUE"""),4887.0)</f>
        <v>4887</v>
      </c>
      <c r="G1148" s="2">
        <f>IFERROR(__xludf.DUMMYFUNCTION("""COMPUTED_VALUE"""),0.0)</f>
        <v>0</v>
      </c>
    </row>
    <row r="1149">
      <c r="A1149" s="2" t="str">
        <f>IFERROR(__xludf.DUMMYFUNCTION("""COMPUTED_VALUE"""),"Colombia")</f>
        <v>Colombia</v>
      </c>
      <c r="B1149" s="3">
        <f>IFERROR(__xludf.DUMMYFUNCTION("""COMPUTED_VALUE"""),43661.0)</f>
        <v>43661</v>
      </c>
      <c r="C1149" s="3">
        <f>IFERROR(__xludf.DUMMYFUNCTION("""COMPUTED_VALUE"""),43667.0)</f>
        <v>43667</v>
      </c>
      <c r="D1149" s="2">
        <f>IFERROR(__xludf.DUMMYFUNCTION("""COMPUTED_VALUE"""),7.0)</f>
        <v>7</v>
      </c>
      <c r="E1149" s="2">
        <f>IFERROR(__xludf.DUMMYFUNCTION("""COMPUTED_VALUE"""),29.0)</f>
        <v>29</v>
      </c>
      <c r="F1149" s="2">
        <f>IFERROR(__xludf.DUMMYFUNCTION("""COMPUTED_VALUE"""),4918.0)</f>
        <v>4918</v>
      </c>
      <c r="G1149" s="2">
        <f>IFERROR(__xludf.DUMMYFUNCTION("""COMPUTED_VALUE"""),0.0)</f>
        <v>0</v>
      </c>
    </row>
    <row r="1150">
      <c r="A1150" s="2" t="str">
        <f>IFERROR(__xludf.DUMMYFUNCTION("""COMPUTED_VALUE"""),"Colombia")</f>
        <v>Colombia</v>
      </c>
      <c r="B1150" s="3">
        <f>IFERROR(__xludf.DUMMYFUNCTION("""COMPUTED_VALUE"""),43668.0)</f>
        <v>43668</v>
      </c>
      <c r="C1150" s="3">
        <f>IFERROR(__xludf.DUMMYFUNCTION("""COMPUTED_VALUE"""),43674.0)</f>
        <v>43674</v>
      </c>
      <c r="D1150" s="2">
        <f>IFERROR(__xludf.DUMMYFUNCTION("""COMPUTED_VALUE"""),7.0)</f>
        <v>7</v>
      </c>
      <c r="E1150" s="2">
        <f>IFERROR(__xludf.DUMMYFUNCTION("""COMPUTED_VALUE"""),30.0)</f>
        <v>30</v>
      </c>
      <c r="F1150" s="2">
        <f>IFERROR(__xludf.DUMMYFUNCTION("""COMPUTED_VALUE"""),4672.0)</f>
        <v>4672</v>
      </c>
      <c r="G1150" s="2">
        <f>IFERROR(__xludf.DUMMYFUNCTION("""COMPUTED_VALUE"""),0.0)</f>
        <v>0</v>
      </c>
    </row>
    <row r="1151">
      <c r="A1151" s="2" t="str">
        <f>IFERROR(__xludf.DUMMYFUNCTION("""COMPUTED_VALUE"""),"Colombia")</f>
        <v>Colombia</v>
      </c>
      <c r="B1151" s="3">
        <f>IFERROR(__xludf.DUMMYFUNCTION("""COMPUTED_VALUE"""),43675.0)</f>
        <v>43675</v>
      </c>
      <c r="C1151" s="3">
        <f>IFERROR(__xludf.DUMMYFUNCTION("""COMPUTED_VALUE"""),43681.0)</f>
        <v>43681</v>
      </c>
      <c r="D1151" s="2">
        <f>IFERROR(__xludf.DUMMYFUNCTION("""COMPUTED_VALUE"""),7.0)</f>
        <v>7</v>
      </c>
      <c r="E1151" s="2">
        <f>IFERROR(__xludf.DUMMYFUNCTION("""COMPUTED_VALUE"""),31.0)</f>
        <v>31</v>
      </c>
      <c r="F1151" s="2">
        <f>IFERROR(__xludf.DUMMYFUNCTION("""COMPUTED_VALUE"""),4726.0)</f>
        <v>4726</v>
      </c>
      <c r="G1151" s="2">
        <f>IFERROR(__xludf.DUMMYFUNCTION("""COMPUTED_VALUE"""),0.0)</f>
        <v>0</v>
      </c>
    </row>
    <row r="1152">
      <c r="A1152" s="2" t="str">
        <f>IFERROR(__xludf.DUMMYFUNCTION("""COMPUTED_VALUE"""),"Colombia")</f>
        <v>Colombia</v>
      </c>
      <c r="B1152" s="3">
        <f>IFERROR(__xludf.DUMMYFUNCTION("""COMPUTED_VALUE"""),43682.0)</f>
        <v>43682</v>
      </c>
      <c r="C1152" s="3">
        <f>IFERROR(__xludf.DUMMYFUNCTION("""COMPUTED_VALUE"""),43688.0)</f>
        <v>43688</v>
      </c>
      <c r="D1152" s="2">
        <f>IFERROR(__xludf.DUMMYFUNCTION("""COMPUTED_VALUE"""),7.0)</f>
        <v>7</v>
      </c>
      <c r="E1152" s="2">
        <f>IFERROR(__xludf.DUMMYFUNCTION("""COMPUTED_VALUE"""),32.0)</f>
        <v>32</v>
      </c>
      <c r="F1152" s="2">
        <f>IFERROR(__xludf.DUMMYFUNCTION("""COMPUTED_VALUE"""),4742.0)</f>
        <v>4742</v>
      </c>
      <c r="G1152" s="2">
        <f>IFERROR(__xludf.DUMMYFUNCTION("""COMPUTED_VALUE"""),0.0)</f>
        <v>0</v>
      </c>
    </row>
    <row r="1153">
      <c r="A1153" s="2" t="str">
        <f>IFERROR(__xludf.DUMMYFUNCTION("""COMPUTED_VALUE"""),"Colombia")</f>
        <v>Colombia</v>
      </c>
      <c r="B1153" s="3">
        <f>IFERROR(__xludf.DUMMYFUNCTION("""COMPUTED_VALUE"""),43689.0)</f>
        <v>43689</v>
      </c>
      <c r="C1153" s="3">
        <f>IFERROR(__xludf.DUMMYFUNCTION("""COMPUTED_VALUE"""),43695.0)</f>
        <v>43695</v>
      </c>
      <c r="D1153" s="2">
        <f>IFERROR(__xludf.DUMMYFUNCTION("""COMPUTED_VALUE"""),7.0)</f>
        <v>7</v>
      </c>
      <c r="E1153" s="2">
        <f>IFERROR(__xludf.DUMMYFUNCTION("""COMPUTED_VALUE"""),33.0)</f>
        <v>33</v>
      </c>
      <c r="F1153" s="2">
        <f>IFERROR(__xludf.DUMMYFUNCTION("""COMPUTED_VALUE"""),4693.0)</f>
        <v>4693</v>
      </c>
      <c r="G1153" s="2">
        <f>IFERROR(__xludf.DUMMYFUNCTION("""COMPUTED_VALUE"""),0.0)</f>
        <v>0</v>
      </c>
    </row>
    <row r="1154">
      <c r="A1154" s="2" t="str">
        <f>IFERROR(__xludf.DUMMYFUNCTION("""COMPUTED_VALUE"""),"Colombia")</f>
        <v>Colombia</v>
      </c>
      <c r="B1154" s="3">
        <f>IFERROR(__xludf.DUMMYFUNCTION("""COMPUTED_VALUE"""),43696.0)</f>
        <v>43696</v>
      </c>
      <c r="C1154" s="3">
        <f>IFERROR(__xludf.DUMMYFUNCTION("""COMPUTED_VALUE"""),43702.0)</f>
        <v>43702</v>
      </c>
      <c r="D1154" s="2">
        <f>IFERROR(__xludf.DUMMYFUNCTION("""COMPUTED_VALUE"""),7.0)</f>
        <v>7</v>
      </c>
      <c r="E1154" s="2">
        <f>IFERROR(__xludf.DUMMYFUNCTION("""COMPUTED_VALUE"""),34.0)</f>
        <v>34</v>
      </c>
      <c r="F1154" s="2">
        <f>IFERROR(__xludf.DUMMYFUNCTION("""COMPUTED_VALUE"""),4912.0)</f>
        <v>4912</v>
      </c>
      <c r="G1154" s="2">
        <f>IFERROR(__xludf.DUMMYFUNCTION("""COMPUTED_VALUE"""),0.0)</f>
        <v>0</v>
      </c>
    </row>
    <row r="1155">
      <c r="A1155" s="2" t="str">
        <f>IFERROR(__xludf.DUMMYFUNCTION("""COMPUTED_VALUE"""),"Colombia")</f>
        <v>Colombia</v>
      </c>
      <c r="B1155" s="3">
        <f>IFERROR(__xludf.DUMMYFUNCTION("""COMPUTED_VALUE"""),43703.0)</f>
        <v>43703</v>
      </c>
      <c r="C1155" s="3">
        <f>IFERROR(__xludf.DUMMYFUNCTION("""COMPUTED_VALUE"""),43709.0)</f>
        <v>43709</v>
      </c>
      <c r="D1155" s="2">
        <f>IFERROR(__xludf.DUMMYFUNCTION("""COMPUTED_VALUE"""),7.0)</f>
        <v>7</v>
      </c>
      <c r="E1155" s="2">
        <f>IFERROR(__xludf.DUMMYFUNCTION("""COMPUTED_VALUE"""),35.0)</f>
        <v>35</v>
      </c>
      <c r="F1155" s="2">
        <f>IFERROR(__xludf.DUMMYFUNCTION("""COMPUTED_VALUE"""),4842.0)</f>
        <v>4842</v>
      </c>
      <c r="G1155" s="2">
        <f>IFERROR(__xludf.DUMMYFUNCTION("""COMPUTED_VALUE"""),0.0)</f>
        <v>0</v>
      </c>
    </row>
    <row r="1156">
      <c r="A1156" s="2" t="str">
        <f>IFERROR(__xludf.DUMMYFUNCTION("""COMPUTED_VALUE"""),"Colombia")</f>
        <v>Colombia</v>
      </c>
      <c r="B1156" s="3">
        <f>IFERROR(__xludf.DUMMYFUNCTION("""COMPUTED_VALUE"""),43710.0)</f>
        <v>43710</v>
      </c>
      <c r="C1156" s="3">
        <f>IFERROR(__xludf.DUMMYFUNCTION("""COMPUTED_VALUE"""),43716.0)</f>
        <v>43716</v>
      </c>
      <c r="D1156" s="2">
        <f>IFERROR(__xludf.DUMMYFUNCTION("""COMPUTED_VALUE"""),7.0)</f>
        <v>7</v>
      </c>
      <c r="E1156" s="2">
        <f>IFERROR(__xludf.DUMMYFUNCTION("""COMPUTED_VALUE"""),36.0)</f>
        <v>36</v>
      </c>
      <c r="F1156" s="2">
        <f>IFERROR(__xludf.DUMMYFUNCTION("""COMPUTED_VALUE"""),4717.0)</f>
        <v>4717</v>
      </c>
      <c r="G1156" s="2">
        <f>IFERROR(__xludf.DUMMYFUNCTION("""COMPUTED_VALUE"""),0.0)</f>
        <v>0</v>
      </c>
    </row>
    <row r="1157">
      <c r="A1157" s="2" t="str">
        <f>IFERROR(__xludf.DUMMYFUNCTION("""COMPUTED_VALUE"""),"Colombia")</f>
        <v>Colombia</v>
      </c>
      <c r="B1157" s="3">
        <f>IFERROR(__xludf.DUMMYFUNCTION("""COMPUTED_VALUE"""),43717.0)</f>
        <v>43717</v>
      </c>
      <c r="C1157" s="3">
        <f>IFERROR(__xludf.DUMMYFUNCTION("""COMPUTED_VALUE"""),43723.0)</f>
        <v>43723</v>
      </c>
      <c r="D1157" s="2">
        <f>IFERROR(__xludf.DUMMYFUNCTION("""COMPUTED_VALUE"""),7.0)</f>
        <v>7</v>
      </c>
      <c r="E1157" s="2">
        <f>IFERROR(__xludf.DUMMYFUNCTION("""COMPUTED_VALUE"""),37.0)</f>
        <v>37</v>
      </c>
      <c r="F1157" s="2">
        <f>IFERROR(__xludf.DUMMYFUNCTION("""COMPUTED_VALUE"""),4609.0)</f>
        <v>4609</v>
      </c>
      <c r="G1157" s="2">
        <f>IFERROR(__xludf.DUMMYFUNCTION("""COMPUTED_VALUE"""),0.0)</f>
        <v>0</v>
      </c>
    </row>
    <row r="1158">
      <c r="A1158" s="2" t="str">
        <f>IFERROR(__xludf.DUMMYFUNCTION("""COMPUTED_VALUE"""),"Colombia")</f>
        <v>Colombia</v>
      </c>
      <c r="B1158" s="3">
        <f>IFERROR(__xludf.DUMMYFUNCTION("""COMPUTED_VALUE"""),43724.0)</f>
        <v>43724</v>
      </c>
      <c r="C1158" s="3">
        <f>IFERROR(__xludf.DUMMYFUNCTION("""COMPUTED_VALUE"""),43730.0)</f>
        <v>43730</v>
      </c>
      <c r="D1158" s="2">
        <f>IFERROR(__xludf.DUMMYFUNCTION("""COMPUTED_VALUE"""),7.0)</f>
        <v>7</v>
      </c>
      <c r="E1158" s="2">
        <f>IFERROR(__xludf.DUMMYFUNCTION("""COMPUTED_VALUE"""),38.0)</f>
        <v>38</v>
      </c>
      <c r="F1158" s="2">
        <f>IFERROR(__xludf.DUMMYFUNCTION("""COMPUTED_VALUE"""),4648.0)</f>
        <v>4648</v>
      </c>
      <c r="G1158" s="2">
        <f>IFERROR(__xludf.DUMMYFUNCTION("""COMPUTED_VALUE"""),0.0)</f>
        <v>0</v>
      </c>
    </row>
    <row r="1159">
      <c r="A1159" s="2" t="str">
        <f>IFERROR(__xludf.DUMMYFUNCTION("""COMPUTED_VALUE"""),"Colombia")</f>
        <v>Colombia</v>
      </c>
      <c r="B1159" s="3">
        <f>IFERROR(__xludf.DUMMYFUNCTION("""COMPUTED_VALUE"""),43731.0)</f>
        <v>43731</v>
      </c>
      <c r="C1159" s="3">
        <f>IFERROR(__xludf.DUMMYFUNCTION("""COMPUTED_VALUE"""),43737.0)</f>
        <v>43737</v>
      </c>
      <c r="D1159" s="2">
        <f>IFERROR(__xludf.DUMMYFUNCTION("""COMPUTED_VALUE"""),7.0)</f>
        <v>7</v>
      </c>
      <c r="E1159" s="2">
        <f>IFERROR(__xludf.DUMMYFUNCTION("""COMPUTED_VALUE"""),39.0)</f>
        <v>39</v>
      </c>
      <c r="F1159" s="2">
        <f>IFERROR(__xludf.DUMMYFUNCTION("""COMPUTED_VALUE"""),4432.0)</f>
        <v>4432</v>
      </c>
      <c r="G1159" s="2">
        <f>IFERROR(__xludf.DUMMYFUNCTION("""COMPUTED_VALUE"""),0.0)</f>
        <v>0</v>
      </c>
    </row>
    <row r="1160">
      <c r="A1160" s="2" t="str">
        <f>IFERROR(__xludf.DUMMYFUNCTION("""COMPUTED_VALUE"""),"Colombia")</f>
        <v>Colombia</v>
      </c>
      <c r="B1160" s="3">
        <f>IFERROR(__xludf.DUMMYFUNCTION("""COMPUTED_VALUE"""),43738.0)</f>
        <v>43738</v>
      </c>
      <c r="C1160" s="3">
        <f>IFERROR(__xludf.DUMMYFUNCTION("""COMPUTED_VALUE"""),43744.0)</f>
        <v>43744</v>
      </c>
      <c r="D1160" s="2">
        <f>IFERROR(__xludf.DUMMYFUNCTION("""COMPUTED_VALUE"""),7.0)</f>
        <v>7</v>
      </c>
      <c r="E1160" s="2">
        <f>IFERROR(__xludf.DUMMYFUNCTION("""COMPUTED_VALUE"""),40.0)</f>
        <v>40</v>
      </c>
      <c r="F1160" s="2">
        <f>IFERROR(__xludf.DUMMYFUNCTION("""COMPUTED_VALUE"""),4628.0)</f>
        <v>4628</v>
      </c>
      <c r="G1160" s="2">
        <f>IFERROR(__xludf.DUMMYFUNCTION("""COMPUTED_VALUE"""),0.0)</f>
        <v>0</v>
      </c>
    </row>
    <row r="1161">
      <c r="A1161" s="2" t="str">
        <f>IFERROR(__xludf.DUMMYFUNCTION("""COMPUTED_VALUE"""),"Colombia")</f>
        <v>Colombia</v>
      </c>
      <c r="B1161" s="3">
        <f>IFERROR(__xludf.DUMMYFUNCTION("""COMPUTED_VALUE"""),43745.0)</f>
        <v>43745</v>
      </c>
      <c r="C1161" s="3">
        <f>IFERROR(__xludf.DUMMYFUNCTION("""COMPUTED_VALUE"""),43751.0)</f>
        <v>43751</v>
      </c>
      <c r="D1161" s="2">
        <f>IFERROR(__xludf.DUMMYFUNCTION("""COMPUTED_VALUE"""),7.0)</f>
        <v>7</v>
      </c>
      <c r="E1161" s="2">
        <f>IFERROR(__xludf.DUMMYFUNCTION("""COMPUTED_VALUE"""),41.0)</f>
        <v>41</v>
      </c>
      <c r="F1161" s="2">
        <f>IFERROR(__xludf.DUMMYFUNCTION("""COMPUTED_VALUE"""),4577.0)</f>
        <v>4577</v>
      </c>
      <c r="G1161" s="2">
        <f>IFERROR(__xludf.DUMMYFUNCTION("""COMPUTED_VALUE"""),0.0)</f>
        <v>0</v>
      </c>
    </row>
    <row r="1162">
      <c r="A1162" s="2" t="str">
        <f>IFERROR(__xludf.DUMMYFUNCTION("""COMPUTED_VALUE"""),"Colombia")</f>
        <v>Colombia</v>
      </c>
      <c r="B1162" s="3">
        <f>IFERROR(__xludf.DUMMYFUNCTION("""COMPUTED_VALUE"""),43752.0)</f>
        <v>43752</v>
      </c>
      <c r="C1162" s="3">
        <f>IFERROR(__xludf.DUMMYFUNCTION("""COMPUTED_VALUE"""),43758.0)</f>
        <v>43758</v>
      </c>
      <c r="D1162" s="2">
        <f>IFERROR(__xludf.DUMMYFUNCTION("""COMPUTED_VALUE"""),7.0)</f>
        <v>7</v>
      </c>
      <c r="E1162" s="2">
        <f>IFERROR(__xludf.DUMMYFUNCTION("""COMPUTED_VALUE"""),42.0)</f>
        <v>42</v>
      </c>
      <c r="F1162" s="2">
        <f>IFERROR(__xludf.DUMMYFUNCTION("""COMPUTED_VALUE"""),4617.0)</f>
        <v>4617</v>
      </c>
      <c r="G1162" s="2">
        <f>IFERROR(__xludf.DUMMYFUNCTION("""COMPUTED_VALUE"""),0.0)</f>
        <v>0</v>
      </c>
    </row>
    <row r="1163">
      <c r="A1163" s="2" t="str">
        <f>IFERROR(__xludf.DUMMYFUNCTION("""COMPUTED_VALUE"""),"Colombia")</f>
        <v>Colombia</v>
      </c>
      <c r="B1163" s="3">
        <f>IFERROR(__xludf.DUMMYFUNCTION("""COMPUTED_VALUE"""),43759.0)</f>
        <v>43759</v>
      </c>
      <c r="C1163" s="3">
        <f>IFERROR(__xludf.DUMMYFUNCTION("""COMPUTED_VALUE"""),43765.0)</f>
        <v>43765</v>
      </c>
      <c r="D1163" s="2">
        <f>IFERROR(__xludf.DUMMYFUNCTION("""COMPUTED_VALUE"""),7.0)</f>
        <v>7</v>
      </c>
      <c r="E1163" s="2">
        <f>IFERROR(__xludf.DUMMYFUNCTION("""COMPUTED_VALUE"""),43.0)</f>
        <v>43</v>
      </c>
      <c r="F1163" s="2">
        <f>IFERROR(__xludf.DUMMYFUNCTION("""COMPUTED_VALUE"""),4633.0)</f>
        <v>4633</v>
      </c>
      <c r="G1163" s="2">
        <f>IFERROR(__xludf.DUMMYFUNCTION("""COMPUTED_VALUE"""),0.0)</f>
        <v>0</v>
      </c>
    </row>
    <row r="1164">
      <c r="A1164" s="2" t="str">
        <f>IFERROR(__xludf.DUMMYFUNCTION("""COMPUTED_VALUE"""),"Colombia")</f>
        <v>Colombia</v>
      </c>
      <c r="B1164" s="3">
        <f>IFERROR(__xludf.DUMMYFUNCTION("""COMPUTED_VALUE"""),43766.0)</f>
        <v>43766</v>
      </c>
      <c r="C1164" s="3">
        <f>IFERROR(__xludf.DUMMYFUNCTION("""COMPUTED_VALUE"""),43772.0)</f>
        <v>43772</v>
      </c>
      <c r="D1164" s="2">
        <f>IFERROR(__xludf.DUMMYFUNCTION("""COMPUTED_VALUE"""),7.0)</f>
        <v>7</v>
      </c>
      <c r="E1164" s="2">
        <f>IFERROR(__xludf.DUMMYFUNCTION("""COMPUTED_VALUE"""),44.0)</f>
        <v>44</v>
      </c>
      <c r="F1164" s="2">
        <f>IFERROR(__xludf.DUMMYFUNCTION("""COMPUTED_VALUE"""),4778.0)</f>
        <v>4778</v>
      </c>
      <c r="G1164" s="2">
        <f>IFERROR(__xludf.DUMMYFUNCTION("""COMPUTED_VALUE"""),0.0)</f>
        <v>0</v>
      </c>
    </row>
    <row r="1165">
      <c r="A1165" s="2" t="str">
        <f>IFERROR(__xludf.DUMMYFUNCTION("""COMPUTED_VALUE"""),"Colombia")</f>
        <v>Colombia</v>
      </c>
      <c r="B1165" s="3">
        <f>IFERROR(__xludf.DUMMYFUNCTION("""COMPUTED_VALUE"""),43773.0)</f>
        <v>43773</v>
      </c>
      <c r="C1165" s="3">
        <f>IFERROR(__xludf.DUMMYFUNCTION("""COMPUTED_VALUE"""),43779.0)</f>
        <v>43779</v>
      </c>
      <c r="D1165" s="2">
        <f>IFERROR(__xludf.DUMMYFUNCTION("""COMPUTED_VALUE"""),7.0)</f>
        <v>7</v>
      </c>
      <c r="E1165" s="2">
        <f>IFERROR(__xludf.DUMMYFUNCTION("""COMPUTED_VALUE"""),45.0)</f>
        <v>45</v>
      </c>
      <c r="F1165" s="2">
        <f>IFERROR(__xludf.DUMMYFUNCTION("""COMPUTED_VALUE"""),4746.0)</f>
        <v>4746</v>
      </c>
      <c r="G1165" s="2">
        <f>IFERROR(__xludf.DUMMYFUNCTION("""COMPUTED_VALUE"""),0.0)</f>
        <v>0</v>
      </c>
    </row>
    <row r="1166">
      <c r="A1166" s="2" t="str">
        <f>IFERROR(__xludf.DUMMYFUNCTION("""COMPUTED_VALUE"""),"Colombia")</f>
        <v>Colombia</v>
      </c>
      <c r="B1166" s="3">
        <f>IFERROR(__xludf.DUMMYFUNCTION("""COMPUTED_VALUE"""),43780.0)</f>
        <v>43780</v>
      </c>
      <c r="C1166" s="3">
        <f>IFERROR(__xludf.DUMMYFUNCTION("""COMPUTED_VALUE"""),43786.0)</f>
        <v>43786</v>
      </c>
      <c r="D1166" s="2">
        <f>IFERROR(__xludf.DUMMYFUNCTION("""COMPUTED_VALUE"""),7.0)</f>
        <v>7</v>
      </c>
      <c r="E1166" s="2">
        <f>IFERROR(__xludf.DUMMYFUNCTION("""COMPUTED_VALUE"""),46.0)</f>
        <v>46</v>
      </c>
      <c r="F1166" s="2">
        <f>IFERROR(__xludf.DUMMYFUNCTION("""COMPUTED_VALUE"""),4697.0)</f>
        <v>4697</v>
      </c>
      <c r="G1166" s="2">
        <f>IFERROR(__xludf.DUMMYFUNCTION("""COMPUTED_VALUE"""),0.0)</f>
        <v>0</v>
      </c>
    </row>
    <row r="1167">
      <c r="A1167" s="2" t="str">
        <f>IFERROR(__xludf.DUMMYFUNCTION("""COMPUTED_VALUE"""),"Colombia")</f>
        <v>Colombia</v>
      </c>
      <c r="B1167" s="3">
        <f>IFERROR(__xludf.DUMMYFUNCTION("""COMPUTED_VALUE"""),43787.0)</f>
        <v>43787</v>
      </c>
      <c r="C1167" s="3">
        <f>IFERROR(__xludf.DUMMYFUNCTION("""COMPUTED_VALUE"""),43793.0)</f>
        <v>43793</v>
      </c>
      <c r="D1167" s="2">
        <f>IFERROR(__xludf.DUMMYFUNCTION("""COMPUTED_VALUE"""),7.0)</f>
        <v>7</v>
      </c>
      <c r="E1167" s="2">
        <f>IFERROR(__xludf.DUMMYFUNCTION("""COMPUTED_VALUE"""),47.0)</f>
        <v>47</v>
      </c>
      <c r="F1167" s="2">
        <f>IFERROR(__xludf.DUMMYFUNCTION("""COMPUTED_VALUE"""),4790.0)</f>
        <v>4790</v>
      </c>
      <c r="G1167" s="2">
        <f>IFERROR(__xludf.DUMMYFUNCTION("""COMPUTED_VALUE"""),0.0)</f>
        <v>0</v>
      </c>
    </row>
    <row r="1168">
      <c r="A1168" s="2" t="str">
        <f>IFERROR(__xludf.DUMMYFUNCTION("""COMPUTED_VALUE"""),"Colombia")</f>
        <v>Colombia</v>
      </c>
      <c r="B1168" s="3">
        <f>IFERROR(__xludf.DUMMYFUNCTION("""COMPUTED_VALUE"""),43794.0)</f>
        <v>43794</v>
      </c>
      <c r="C1168" s="3">
        <f>IFERROR(__xludf.DUMMYFUNCTION("""COMPUTED_VALUE"""),43800.0)</f>
        <v>43800</v>
      </c>
      <c r="D1168" s="2">
        <f>IFERROR(__xludf.DUMMYFUNCTION("""COMPUTED_VALUE"""),7.0)</f>
        <v>7</v>
      </c>
      <c r="E1168" s="2">
        <f>IFERROR(__xludf.DUMMYFUNCTION("""COMPUTED_VALUE"""),48.0)</f>
        <v>48</v>
      </c>
      <c r="F1168" s="2">
        <f>IFERROR(__xludf.DUMMYFUNCTION("""COMPUTED_VALUE"""),4755.0)</f>
        <v>4755</v>
      </c>
      <c r="G1168" s="2">
        <f>IFERROR(__xludf.DUMMYFUNCTION("""COMPUTED_VALUE"""),0.0)</f>
        <v>0</v>
      </c>
    </row>
    <row r="1169">
      <c r="A1169" s="2" t="str">
        <f>IFERROR(__xludf.DUMMYFUNCTION("""COMPUTED_VALUE"""),"Colombia")</f>
        <v>Colombia</v>
      </c>
      <c r="B1169" s="3">
        <f>IFERROR(__xludf.DUMMYFUNCTION("""COMPUTED_VALUE"""),43801.0)</f>
        <v>43801</v>
      </c>
      <c r="C1169" s="3">
        <f>IFERROR(__xludf.DUMMYFUNCTION("""COMPUTED_VALUE"""),43807.0)</f>
        <v>43807</v>
      </c>
      <c r="D1169" s="2">
        <f>IFERROR(__xludf.DUMMYFUNCTION("""COMPUTED_VALUE"""),7.0)</f>
        <v>7</v>
      </c>
      <c r="E1169" s="2">
        <f>IFERROR(__xludf.DUMMYFUNCTION("""COMPUTED_VALUE"""),49.0)</f>
        <v>49</v>
      </c>
      <c r="F1169" s="2">
        <f>IFERROR(__xludf.DUMMYFUNCTION("""COMPUTED_VALUE"""),4803.0)</f>
        <v>4803</v>
      </c>
      <c r="G1169" s="2">
        <f>IFERROR(__xludf.DUMMYFUNCTION("""COMPUTED_VALUE"""),0.0)</f>
        <v>0</v>
      </c>
    </row>
    <row r="1170">
      <c r="A1170" s="2" t="str">
        <f>IFERROR(__xludf.DUMMYFUNCTION("""COMPUTED_VALUE"""),"Colombia")</f>
        <v>Colombia</v>
      </c>
      <c r="B1170" s="3">
        <f>IFERROR(__xludf.DUMMYFUNCTION("""COMPUTED_VALUE"""),43808.0)</f>
        <v>43808</v>
      </c>
      <c r="C1170" s="3">
        <f>IFERROR(__xludf.DUMMYFUNCTION("""COMPUTED_VALUE"""),43814.0)</f>
        <v>43814</v>
      </c>
      <c r="D1170" s="2">
        <f>IFERROR(__xludf.DUMMYFUNCTION("""COMPUTED_VALUE"""),7.0)</f>
        <v>7</v>
      </c>
      <c r="E1170" s="2">
        <f>IFERROR(__xludf.DUMMYFUNCTION("""COMPUTED_VALUE"""),50.0)</f>
        <v>50</v>
      </c>
      <c r="F1170" s="2">
        <f>IFERROR(__xludf.DUMMYFUNCTION("""COMPUTED_VALUE"""),4818.0)</f>
        <v>4818</v>
      </c>
      <c r="G1170" s="2">
        <f>IFERROR(__xludf.DUMMYFUNCTION("""COMPUTED_VALUE"""),0.0)</f>
        <v>0</v>
      </c>
    </row>
    <row r="1171">
      <c r="A1171" s="2" t="str">
        <f>IFERROR(__xludf.DUMMYFUNCTION("""COMPUTED_VALUE"""),"Colombia")</f>
        <v>Colombia</v>
      </c>
      <c r="B1171" s="3">
        <f>IFERROR(__xludf.DUMMYFUNCTION("""COMPUTED_VALUE"""),43815.0)</f>
        <v>43815</v>
      </c>
      <c r="C1171" s="3">
        <f>IFERROR(__xludf.DUMMYFUNCTION("""COMPUTED_VALUE"""),43821.0)</f>
        <v>43821</v>
      </c>
      <c r="D1171" s="2">
        <f>IFERROR(__xludf.DUMMYFUNCTION("""COMPUTED_VALUE"""),7.0)</f>
        <v>7</v>
      </c>
      <c r="E1171" s="2">
        <f>IFERROR(__xludf.DUMMYFUNCTION("""COMPUTED_VALUE"""),51.0)</f>
        <v>51</v>
      </c>
      <c r="F1171" s="2">
        <f>IFERROR(__xludf.DUMMYFUNCTION("""COMPUTED_VALUE"""),4862.0)</f>
        <v>4862</v>
      </c>
      <c r="G1171" s="2">
        <f>IFERROR(__xludf.DUMMYFUNCTION("""COMPUTED_VALUE"""),0.0)</f>
        <v>0</v>
      </c>
    </row>
    <row r="1172">
      <c r="A1172" s="2" t="str">
        <f>IFERROR(__xludf.DUMMYFUNCTION("""COMPUTED_VALUE"""),"Colombia")</f>
        <v>Colombia</v>
      </c>
      <c r="B1172" s="3">
        <f>IFERROR(__xludf.DUMMYFUNCTION("""COMPUTED_VALUE"""),43822.0)</f>
        <v>43822</v>
      </c>
      <c r="C1172" s="3">
        <f>IFERROR(__xludf.DUMMYFUNCTION("""COMPUTED_VALUE"""),43828.0)</f>
        <v>43828</v>
      </c>
      <c r="D1172" s="2">
        <f>IFERROR(__xludf.DUMMYFUNCTION("""COMPUTED_VALUE"""),7.0)</f>
        <v>7</v>
      </c>
      <c r="E1172" s="2">
        <f>IFERROR(__xludf.DUMMYFUNCTION("""COMPUTED_VALUE"""),52.0)</f>
        <v>52</v>
      </c>
      <c r="F1172" s="2">
        <f>IFERROR(__xludf.DUMMYFUNCTION("""COMPUTED_VALUE"""),5041.0)</f>
        <v>5041</v>
      </c>
      <c r="G1172" s="2">
        <f>IFERROR(__xludf.DUMMYFUNCTION("""COMPUTED_VALUE"""),0.0)</f>
        <v>0</v>
      </c>
    </row>
    <row r="1173">
      <c r="A1173" s="2" t="str">
        <f>IFERROR(__xludf.DUMMYFUNCTION("""COMPUTED_VALUE"""),"Colombia")</f>
        <v>Colombia</v>
      </c>
      <c r="B1173" s="3">
        <f>IFERROR(__xludf.DUMMYFUNCTION("""COMPUTED_VALUE"""),43829.0)</f>
        <v>43829</v>
      </c>
      <c r="C1173" s="3">
        <f>IFERROR(__xludf.DUMMYFUNCTION("""COMPUTED_VALUE"""),43835.0)</f>
        <v>43835</v>
      </c>
      <c r="D1173" s="2">
        <f>IFERROR(__xludf.DUMMYFUNCTION("""COMPUTED_VALUE"""),7.0)</f>
        <v>7</v>
      </c>
      <c r="E1173" s="2">
        <f>IFERROR(__xludf.DUMMYFUNCTION("""COMPUTED_VALUE"""),1.0)</f>
        <v>1</v>
      </c>
      <c r="F1173" s="2">
        <f>IFERROR(__xludf.DUMMYFUNCTION("""COMPUTED_VALUE"""),5076.0)</f>
        <v>5076</v>
      </c>
      <c r="G1173" s="2">
        <f>IFERROR(__xludf.DUMMYFUNCTION("""COMPUTED_VALUE"""),0.0)</f>
        <v>0</v>
      </c>
    </row>
    <row r="1174">
      <c r="A1174" s="2" t="str">
        <f>IFERROR(__xludf.DUMMYFUNCTION("""COMPUTED_VALUE"""),"Colombia")</f>
        <v>Colombia</v>
      </c>
      <c r="B1174" s="3">
        <f>IFERROR(__xludf.DUMMYFUNCTION("""COMPUTED_VALUE"""),43836.0)</f>
        <v>43836</v>
      </c>
      <c r="C1174" s="3">
        <f>IFERROR(__xludf.DUMMYFUNCTION("""COMPUTED_VALUE"""),43842.0)</f>
        <v>43842</v>
      </c>
      <c r="D1174" s="2">
        <f>IFERROR(__xludf.DUMMYFUNCTION("""COMPUTED_VALUE"""),7.0)</f>
        <v>7</v>
      </c>
      <c r="E1174" s="2">
        <f>IFERROR(__xludf.DUMMYFUNCTION("""COMPUTED_VALUE"""),2.0)</f>
        <v>2</v>
      </c>
      <c r="F1174" s="2">
        <f>IFERROR(__xludf.DUMMYFUNCTION("""COMPUTED_VALUE"""),5007.0)</f>
        <v>5007</v>
      </c>
      <c r="G1174" s="2">
        <f>IFERROR(__xludf.DUMMYFUNCTION("""COMPUTED_VALUE"""),0.0)</f>
        <v>0</v>
      </c>
    </row>
    <row r="1175">
      <c r="A1175" s="2" t="str">
        <f>IFERROR(__xludf.DUMMYFUNCTION("""COMPUTED_VALUE"""),"Colombia")</f>
        <v>Colombia</v>
      </c>
      <c r="B1175" s="3">
        <f>IFERROR(__xludf.DUMMYFUNCTION("""COMPUTED_VALUE"""),43843.0)</f>
        <v>43843</v>
      </c>
      <c r="C1175" s="3">
        <f>IFERROR(__xludf.DUMMYFUNCTION("""COMPUTED_VALUE"""),43849.0)</f>
        <v>43849</v>
      </c>
      <c r="D1175" s="2">
        <f>IFERROR(__xludf.DUMMYFUNCTION("""COMPUTED_VALUE"""),7.0)</f>
        <v>7</v>
      </c>
      <c r="E1175" s="2">
        <f>IFERROR(__xludf.DUMMYFUNCTION("""COMPUTED_VALUE"""),3.0)</f>
        <v>3</v>
      </c>
      <c r="F1175" s="2">
        <f>IFERROR(__xludf.DUMMYFUNCTION("""COMPUTED_VALUE"""),4897.0)</f>
        <v>4897</v>
      </c>
      <c r="G1175" s="2">
        <f>IFERROR(__xludf.DUMMYFUNCTION("""COMPUTED_VALUE"""),0.0)</f>
        <v>0</v>
      </c>
    </row>
    <row r="1176">
      <c r="A1176" s="2" t="str">
        <f>IFERROR(__xludf.DUMMYFUNCTION("""COMPUTED_VALUE"""),"Colombia")</f>
        <v>Colombia</v>
      </c>
      <c r="B1176" s="3">
        <f>IFERROR(__xludf.DUMMYFUNCTION("""COMPUTED_VALUE"""),43850.0)</f>
        <v>43850</v>
      </c>
      <c r="C1176" s="3">
        <f>IFERROR(__xludf.DUMMYFUNCTION("""COMPUTED_VALUE"""),43856.0)</f>
        <v>43856</v>
      </c>
      <c r="D1176" s="2">
        <f>IFERROR(__xludf.DUMMYFUNCTION("""COMPUTED_VALUE"""),7.0)</f>
        <v>7</v>
      </c>
      <c r="E1176" s="2">
        <f>IFERROR(__xludf.DUMMYFUNCTION("""COMPUTED_VALUE"""),4.0)</f>
        <v>4</v>
      </c>
      <c r="F1176" s="2">
        <f>IFERROR(__xludf.DUMMYFUNCTION("""COMPUTED_VALUE"""),4760.0)</f>
        <v>4760</v>
      </c>
      <c r="G1176" s="2">
        <f>IFERROR(__xludf.DUMMYFUNCTION("""COMPUTED_VALUE"""),0.0)</f>
        <v>0</v>
      </c>
    </row>
    <row r="1177">
      <c r="A1177" s="2" t="str">
        <f>IFERROR(__xludf.DUMMYFUNCTION("""COMPUTED_VALUE"""),"Colombia")</f>
        <v>Colombia</v>
      </c>
      <c r="B1177" s="3">
        <f>IFERROR(__xludf.DUMMYFUNCTION("""COMPUTED_VALUE"""),43857.0)</f>
        <v>43857</v>
      </c>
      <c r="C1177" s="3">
        <f>IFERROR(__xludf.DUMMYFUNCTION("""COMPUTED_VALUE"""),43863.0)</f>
        <v>43863</v>
      </c>
      <c r="D1177" s="2">
        <f>IFERROR(__xludf.DUMMYFUNCTION("""COMPUTED_VALUE"""),7.0)</f>
        <v>7</v>
      </c>
      <c r="E1177" s="2">
        <f>IFERROR(__xludf.DUMMYFUNCTION("""COMPUTED_VALUE"""),5.0)</f>
        <v>5</v>
      </c>
      <c r="F1177" s="2">
        <f>IFERROR(__xludf.DUMMYFUNCTION("""COMPUTED_VALUE"""),4631.0)</f>
        <v>4631</v>
      </c>
      <c r="G1177" s="2">
        <f>IFERROR(__xludf.DUMMYFUNCTION("""COMPUTED_VALUE"""),0.0)</f>
        <v>0</v>
      </c>
    </row>
    <row r="1178">
      <c r="A1178" s="2" t="str">
        <f>IFERROR(__xludf.DUMMYFUNCTION("""COMPUTED_VALUE"""),"Colombia")</f>
        <v>Colombia</v>
      </c>
      <c r="B1178" s="3">
        <f>IFERROR(__xludf.DUMMYFUNCTION("""COMPUTED_VALUE"""),43864.0)</f>
        <v>43864</v>
      </c>
      <c r="C1178" s="3">
        <f>IFERROR(__xludf.DUMMYFUNCTION("""COMPUTED_VALUE"""),43870.0)</f>
        <v>43870</v>
      </c>
      <c r="D1178" s="2">
        <f>IFERROR(__xludf.DUMMYFUNCTION("""COMPUTED_VALUE"""),7.0)</f>
        <v>7</v>
      </c>
      <c r="E1178" s="2">
        <f>IFERROR(__xludf.DUMMYFUNCTION("""COMPUTED_VALUE"""),6.0)</f>
        <v>6</v>
      </c>
      <c r="F1178" s="2">
        <f>IFERROR(__xludf.DUMMYFUNCTION("""COMPUTED_VALUE"""),4742.0)</f>
        <v>4742</v>
      </c>
      <c r="G1178" s="2">
        <f>IFERROR(__xludf.DUMMYFUNCTION("""COMPUTED_VALUE"""),0.0)</f>
        <v>0</v>
      </c>
    </row>
    <row r="1179">
      <c r="A1179" s="2" t="str">
        <f>IFERROR(__xludf.DUMMYFUNCTION("""COMPUTED_VALUE"""),"Colombia")</f>
        <v>Colombia</v>
      </c>
      <c r="B1179" s="3">
        <f>IFERROR(__xludf.DUMMYFUNCTION("""COMPUTED_VALUE"""),43871.0)</f>
        <v>43871</v>
      </c>
      <c r="C1179" s="3">
        <f>IFERROR(__xludf.DUMMYFUNCTION("""COMPUTED_VALUE"""),43877.0)</f>
        <v>43877</v>
      </c>
      <c r="D1179" s="2">
        <f>IFERROR(__xludf.DUMMYFUNCTION("""COMPUTED_VALUE"""),7.0)</f>
        <v>7</v>
      </c>
      <c r="E1179" s="2">
        <f>IFERROR(__xludf.DUMMYFUNCTION("""COMPUTED_VALUE"""),7.0)</f>
        <v>7</v>
      </c>
      <c r="F1179" s="2">
        <f>IFERROR(__xludf.DUMMYFUNCTION("""COMPUTED_VALUE"""),4699.0)</f>
        <v>4699</v>
      </c>
      <c r="G1179" s="2">
        <f>IFERROR(__xludf.DUMMYFUNCTION("""COMPUTED_VALUE"""),0.0)</f>
        <v>0</v>
      </c>
    </row>
    <row r="1180">
      <c r="A1180" s="2" t="str">
        <f>IFERROR(__xludf.DUMMYFUNCTION("""COMPUTED_VALUE"""),"Colombia")</f>
        <v>Colombia</v>
      </c>
      <c r="B1180" s="3">
        <f>IFERROR(__xludf.DUMMYFUNCTION("""COMPUTED_VALUE"""),43878.0)</f>
        <v>43878</v>
      </c>
      <c r="C1180" s="3">
        <f>IFERROR(__xludf.DUMMYFUNCTION("""COMPUTED_VALUE"""),43884.0)</f>
        <v>43884</v>
      </c>
      <c r="D1180" s="2">
        <f>IFERROR(__xludf.DUMMYFUNCTION("""COMPUTED_VALUE"""),7.0)</f>
        <v>7</v>
      </c>
      <c r="E1180" s="2">
        <f>IFERROR(__xludf.DUMMYFUNCTION("""COMPUTED_VALUE"""),8.0)</f>
        <v>8</v>
      </c>
      <c r="F1180" s="2">
        <f>IFERROR(__xludf.DUMMYFUNCTION("""COMPUTED_VALUE"""),4693.0)</f>
        <v>4693</v>
      </c>
      <c r="G1180" s="2">
        <f>IFERROR(__xludf.DUMMYFUNCTION("""COMPUTED_VALUE"""),0.0)</f>
        <v>0</v>
      </c>
    </row>
    <row r="1181">
      <c r="A1181" s="2" t="str">
        <f>IFERROR(__xludf.DUMMYFUNCTION("""COMPUTED_VALUE"""),"Colombia")</f>
        <v>Colombia</v>
      </c>
      <c r="B1181" s="3">
        <f>IFERROR(__xludf.DUMMYFUNCTION("""COMPUTED_VALUE"""),43885.0)</f>
        <v>43885</v>
      </c>
      <c r="C1181" s="3">
        <f>IFERROR(__xludf.DUMMYFUNCTION("""COMPUTED_VALUE"""),43891.0)</f>
        <v>43891</v>
      </c>
      <c r="D1181" s="2">
        <f>IFERROR(__xludf.DUMMYFUNCTION("""COMPUTED_VALUE"""),7.0)</f>
        <v>7</v>
      </c>
      <c r="E1181" s="2">
        <f>IFERROR(__xludf.DUMMYFUNCTION("""COMPUTED_VALUE"""),9.0)</f>
        <v>9</v>
      </c>
      <c r="F1181" s="2">
        <f>IFERROR(__xludf.DUMMYFUNCTION("""COMPUTED_VALUE"""),4520.0)</f>
        <v>4520</v>
      </c>
      <c r="G1181" s="2">
        <f>IFERROR(__xludf.DUMMYFUNCTION("""COMPUTED_VALUE"""),0.0)</f>
        <v>0</v>
      </c>
    </row>
    <row r="1182">
      <c r="A1182" s="2" t="str">
        <f>IFERROR(__xludf.DUMMYFUNCTION("""COMPUTED_VALUE"""),"Colombia")</f>
        <v>Colombia</v>
      </c>
      <c r="B1182" s="3">
        <f>IFERROR(__xludf.DUMMYFUNCTION("""COMPUTED_VALUE"""),43892.0)</f>
        <v>43892</v>
      </c>
      <c r="C1182" s="3">
        <f>IFERROR(__xludf.DUMMYFUNCTION("""COMPUTED_VALUE"""),43898.0)</f>
        <v>43898</v>
      </c>
      <c r="D1182" s="2">
        <f>IFERROR(__xludf.DUMMYFUNCTION("""COMPUTED_VALUE"""),7.0)</f>
        <v>7</v>
      </c>
      <c r="E1182" s="2">
        <f>IFERROR(__xludf.DUMMYFUNCTION("""COMPUTED_VALUE"""),10.0)</f>
        <v>10</v>
      </c>
      <c r="F1182" s="2">
        <f>IFERROR(__xludf.DUMMYFUNCTION("""COMPUTED_VALUE"""),4534.0)</f>
        <v>4534</v>
      </c>
      <c r="G1182" s="2">
        <f>IFERROR(__xludf.DUMMYFUNCTION("""COMPUTED_VALUE"""),0.0)</f>
        <v>0</v>
      </c>
    </row>
    <row r="1183">
      <c r="A1183" s="2" t="str">
        <f>IFERROR(__xludf.DUMMYFUNCTION("""COMPUTED_VALUE"""),"Colombia")</f>
        <v>Colombia</v>
      </c>
      <c r="B1183" s="3">
        <f>IFERROR(__xludf.DUMMYFUNCTION("""COMPUTED_VALUE"""),43899.0)</f>
        <v>43899</v>
      </c>
      <c r="C1183" s="3">
        <f>IFERROR(__xludf.DUMMYFUNCTION("""COMPUTED_VALUE"""),43905.0)</f>
        <v>43905</v>
      </c>
      <c r="D1183" s="2">
        <f>IFERROR(__xludf.DUMMYFUNCTION("""COMPUTED_VALUE"""),7.0)</f>
        <v>7</v>
      </c>
      <c r="E1183" s="2">
        <f>IFERROR(__xludf.DUMMYFUNCTION("""COMPUTED_VALUE"""),11.0)</f>
        <v>11</v>
      </c>
      <c r="F1183" s="2">
        <f>IFERROR(__xludf.DUMMYFUNCTION("""COMPUTED_VALUE"""),4457.0)</f>
        <v>4457</v>
      </c>
      <c r="G1183" s="2">
        <f>IFERROR(__xludf.DUMMYFUNCTION("""COMPUTED_VALUE"""),0.0)</f>
        <v>0</v>
      </c>
    </row>
    <row r="1184">
      <c r="A1184" s="2" t="str">
        <f>IFERROR(__xludf.DUMMYFUNCTION("""COMPUTED_VALUE"""),"Colombia")</f>
        <v>Colombia</v>
      </c>
      <c r="B1184" s="3">
        <f>IFERROR(__xludf.DUMMYFUNCTION("""COMPUTED_VALUE"""),43906.0)</f>
        <v>43906</v>
      </c>
      <c r="C1184" s="3">
        <f>IFERROR(__xludf.DUMMYFUNCTION("""COMPUTED_VALUE"""),43912.0)</f>
        <v>43912</v>
      </c>
      <c r="D1184" s="2">
        <f>IFERROR(__xludf.DUMMYFUNCTION("""COMPUTED_VALUE"""),7.0)</f>
        <v>7</v>
      </c>
      <c r="E1184" s="2">
        <f>IFERROR(__xludf.DUMMYFUNCTION("""COMPUTED_VALUE"""),12.0)</f>
        <v>12</v>
      </c>
      <c r="F1184" s="2">
        <f>IFERROR(__xludf.DUMMYFUNCTION("""COMPUTED_VALUE"""),4499.0)</f>
        <v>4499</v>
      </c>
      <c r="G1184" s="2">
        <f>IFERROR(__xludf.DUMMYFUNCTION("""COMPUTED_VALUE"""),2.0)</f>
        <v>2</v>
      </c>
    </row>
    <row r="1185">
      <c r="A1185" s="2" t="str">
        <f>IFERROR(__xludf.DUMMYFUNCTION("""COMPUTED_VALUE"""),"Colombia")</f>
        <v>Colombia</v>
      </c>
      <c r="B1185" s="3">
        <f>IFERROR(__xludf.DUMMYFUNCTION("""COMPUTED_VALUE"""),43913.0)</f>
        <v>43913</v>
      </c>
      <c r="C1185" s="3">
        <f>IFERROR(__xludf.DUMMYFUNCTION("""COMPUTED_VALUE"""),43919.0)</f>
        <v>43919</v>
      </c>
      <c r="D1185" s="2">
        <f>IFERROR(__xludf.DUMMYFUNCTION("""COMPUTED_VALUE"""),7.0)</f>
        <v>7</v>
      </c>
      <c r="E1185" s="2">
        <f>IFERROR(__xludf.DUMMYFUNCTION("""COMPUTED_VALUE"""),13.0)</f>
        <v>13</v>
      </c>
      <c r="F1185" s="2">
        <f>IFERROR(__xludf.DUMMYFUNCTION("""COMPUTED_VALUE"""),4337.0)</f>
        <v>4337</v>
      </c>
      <c r="G1185" s="2">
        <f>IFERROR(__xludf.DUMMYFUNCTION("""COMPUTED_VALUE"""),8.0)</f>
        <v>8</v>
      </c>
    </row>
    <row r="1186">
      <c r="A1186" s="2" t="str">
        <f>IFERROR(__xludf.DUMMYFUNCTION("""COMPUTED_VALUE"""),"Colombia")</f>
        <v>Colombia</v>
      </c>
      <c r="B1186" s="3">
        <f>IFERROR(__xludf.DUMMYFUNCTION("""COMPUTED_VALUE"""),43920.0)</f>
        <v>43920</v>
      </c>
      <c r="C1186" s="3">
        <f>IFERROR(__xludf.DUMMYFUNCTION("""COMPUTED_VALUE"""),43926.0)</f>
        <v>43926</v>
      </c>
      <c r="D1186" s="2">
        <f>IFERROR(__xludf.DUMMYFUNCTION("""COMPUTED_VALUE"""),7.0)</f>
        <v>7</v>
      </c>
      <c r="E1186" s="2">
        <f>IFERROR(__xludf.DUMMYFUNCTION("""COMPUTED_VALUE"""),14.0)</f>
        <v>14</v>
      </c>
      <c r="F1186" s="2">
        <f>IFERROR(__xludf.DUMMYFUNCTION("""COMPUTED_VALUE"""),4190.0)</f>
        <v>4190</v>
      </c>
      <c r="G1186" s="2">
        <f>IFERROR(__xludf.DUMMYFUNCTION("""COMPUTED_VALUE"""),25.0)</f>
        <v>25</v>
      </c>
    </row>
    <row r="1187">
      <c r="A1187" s="2" t="str">
        <f>IFERROR(__xludf.DUMMYFUNCTION("""COMPUTED_VALUE"""),"Colombia")</f>
        <v>Colombia</v>
      </c>
      <c r="B1187" s="3">
        <f>IFERROR(__xludf.DUMMYFUNCTION("""COMPUTED_VALUE"""),43927.0)</f>
        <v>43927</v>
      </c>
      <c r="C1187" s="3">
        <f>IFERROR(__xludf.DUMMYFUNCTION("""COMPUTED_VALUE"""),43933.0)</f>
        <v>43933</v>
      </c>
      <c r="D1187" s="2">
        <f>IFERROR(__xludf.DUMMYFUNCTION("""COMPUTED_VALUE"""),7.0)</f>
        <v>7</v>
      </c>
      <c r="E1187" s="2">
        <f>IFERROR(__xludf.DUMMYFUNCTION("""COMPUTED_VALUE"""),15.0)</f>
        <v>15</v>
      </c>
      <c r="F1187" s="2">
        <f>IFERROR(__xludf.DUMMYFUNCTION("""COMPUTED_VALUE"""),4255.0)</f>
        <v>4255</v>
      </c>
      <c r="G1187" s="2">
        <f>IFERROR(__xludf.DUMMYFUNCTION("""COMPUTED_VALUE"""),74.0)</f>
        <v>74</v>
      </c>
    </row>
    <row r="1188">
      <c r="A1188" s="2" t="str">
        <f>IFERROR(__xludf.DUMMYFUNCTION("""COMPUTED_VALUE"""),"Colombia")</f>
        <v>Colombia</v>
      </c>
      <c r="B1188" s="3">
        <f>IFERROR(__xludf.DUMMYFUNCTION("""COMPUTED_VALUE"""),43934.0)</f>
        <v>43934</v>
      </c>
      <c r="C1188" s="3">
        <f>IFERROR(__xludf.DUMMYFUNCTION("""COMPUTED_VALUE"""),43940.0)</f>
        <v>43940</v>
      </c>
      <c r="D1188" s="2">
        <f>IFERROR(__xludf.DUMMYFUNCTION("""COMPUTED_VALUE"""),7.0)</f>
        <v>7</v>
      </c>
      <c r="E1188" s="2">
        <f>IFERROR(__xludf.DUMMYFUNCTION("""COMPUTED_VALUE"""),16.0)</f>
        <v>16</v>
      </c>
      <c r="F1188" s="2">
        <f>IFERROR(__xludf.DUMMYFUNCTION("""COMPUTED_VALUE"""),4355.0)</f>
        <v>4355</v>
      </c>
      <c r="G1188" s="2">
        <f>IFERROR(__xludf.DUMMYFUNCTION("""COMPUTED_VALUE"""),70.0)</f>
        <v>70</v>
      </c>
    </row>
    <row r="1189">
      <c r="A1189" s="2" t="str">
        <f>IFERROR(__xludf.DUMMYFUNCTION("""COMPUTED_VALUE"""),"Colombia")</f>
        <v>Colombia</v>
      </c>
      <c r="B1189" s="3">
        <f>IFERROR(__xludf.DUMMYFUNCTION("""COMPUTED_VALUE"""),43941.0)</f>
        <v>43941</v>
      </c>
      <c r="C1189" s="3">
        <f>IFERROR(__xludf.DUMMYFUNCTION("""COMPUTED_VALUE"""),43947.0)</f>
        <v>43947</v>
      </c>
      <c r="D1189" s="2">
        <f>IFERROR(__xludf.DUMMYFUNCTION("""COMPUTED_VALUE"""),7.0)</f>
        <v>7</v>
      </c>
      <c r="E1189" s="2">
        <f>IFERROR(__xludf.DUMMYFUNCTION("""COMPUTED_VALUE"""),17.0)</f>
        <v>17</v>
      </c>
      <c r="F1189" s="2">
        <f>IFERROR(__xludf.DUMMYFUNCTION("""COMPUTED_VALUE"""),4328.0)</f>
        <v>4328</v>
      </c>
      <c r="G1189" s="2">
        <f>IFERROR(__xludf.DUMMYFUNCTION("""COMPUTED_VALUE"""),65.0)</f>
        <v>65</v>
      </c>
    </row>
    <row r="1190">
      <c r="A1190" s="2" t="str">
        <f>IFERROR(__xludf.DUMMYFUNCTION("""COMPUTED_VALUE"""),"Colombia")</f>
        <v>Colombia</v>
      </c>
      <c r="B1190" s="3">
        <f>IFERROR(__xludf.DUMMYFUNCTION("""COMPUTED_VALUE"""),43948.0)</f>
        <v>43948</v>
      </c>
      <c r="C1190" s="3">
        <f>IFERROR(__xludf.DUMMYFUNCTION("""COMPUTED_VALUE"""),43954.0)</f>
        <v>43954</v>
      </c>
      <c r="D1190" s="2">
        <f>IFERROR(__xludf.DUMMYFUNCTION("""COMPUTED_VALUE"""),7.0)</f>
        <v>7</v>
      </c>
      <c r="E1190" s="2">
        <f>IFERROR(__xludf.DUMMYFUNCTION("""COMPUTED_VALUE"""),18.0)</f>
        <v>18</v>
      </c>
      <c r="F1190" s="2">
        <f>IFERROR(__xludf.DUMMYFUNCTION("""COMPUTED_VALUE"""),4263.0)</f>
        <v>4263</v>
      </c>
      <c r="G1190" s="2">
        <f>IFERROR(__xludf.DUMMYFUNCTION("""COMPUTED_VALUE"""),96.0)</f>
        <v>96</v>
      </c>
    </row>
    <row r="1191">
      <c r="A1191" s="2" t="str">
        <f>IFERROR(__xludf.DUMMYFUNCTION("""COMPUTED_VALUE"""),"Colombia")</f>
        <v>Colombia</v>
      </c>
      <c r="B1191" s="3">
        <f>IFERROR(__xludf.DUMMYFUNCTION("""COMPUTED_VALUE"""),43955.0)</f>
        <v>43955</v>
      </c>
      <c r="C1191" s="3">
        <f>IFERROR(__xludf.DUMMYFUNCTION("""COMPUTED_VALUE"""),43961.0)</f>
        <v>43961</v>
      </c>
      <c r="D1191" s="2">
        <f>IFERROR(__xludf.DUMMYFUNCTION("""COMPUTED_VALUE"""),7.0)</f>
        <v>7</v>
      </c>
      <c r="E1191" s="2">
        <f>IFERROR(__xludf.DUMMYFUNCTION("""COMPUTED_VALUE"""),19.0)</f>
        <v>19</v>
      </c>
      <c r="F1191" s="2">
        <f>IFERROR(__xludf.DUMMYFUNCTION("""COMPUTED_VALUE"""),4469.0)</f>
        <v>4469</v>
      </c>
      <c r="G1191" s="2">
        <f>IFERROR(__xludf.DUMMYFUNCTION("""COMPUTED_VALUE"""),123.0)</f>
        <v>123</v>
      </c>
    </row>
    <row r="1192">
      <c r="A1192" s="2" t="str">
        <f>IFERROR(__xludf.DUMMYFUNCTION("""COMPUTED_VALUE"""),"Colombia")</f>
        <v>Colombia</v>
      </c>
      <c r="B1192" s="3">
        <f>IFERROR(__xludf.DUMMYFUNCTION("""COMPUTED_VALUE"""),43962.0)</f>
        <v>43962</v>
      </c>
      <c r="C1192" s="3">
        <f>IFERROR(__xludf.DUMMYFUNCTION("""COMPUTED_VALUE"""),43968.0)</f>
        <v>43968</v>
      </c>
      <c r="D1192" s="2">
        <f>IFERROR(__xludf.DUMMYFUNCTION("""COMPUTED_VALUE"""),7.0)</f>
        <v>7</v>
      </c>
      <c r="E1192" s="2">
        <f>IFERROR(__xludf.DUMMYFUNCTION("""COMPUTED_VALUE"""),20.0)</f>
        <v>20</v>
      </c>
      <c r="F1192" s="2">
        <f>IFERROR(__xludf.DUMMYFUNCTION("""COMPUTED_VALUE"""),4579.0)</f>
        <v>4579</v>
      </c>
      <c r="G1192" s="2">
        <f>IFERROR(__xludf.DUMMYFUNCTION("""COMPUTED_VALUE"""),111.0)</f>
        <v>111</v>
      </c>
    </row>
    <row r="1193">
      <c r="A1193" s="2" t="str">
        <f>IFERROR(__xludf.DUMMYFUNCTION("""COMPUTED_VALUE"""),"Colombia")</f>
        <v>Colombia</v>
      </c>
      <c r="B1193" s="3">
        <f>IFERROR(__xludf.DUMMYFUNCTION("""COMPUTED_VALUE"""),43969.0)</f>
        <v>43969</v>
      </c>
      <c r="C1193" s="3">
        <f>IFERROR(__xludf.DUMMYFUNCTION("""COMPUTED_VALUE"""),43975.0)</f>
        <v>43975</v>
      </c>
      <c r="D1193" s="2">
        <f>IFERROR(__xludf.DUMMYFUNCTION("""COMPUTED_VALUE"""),7.0)</f>
        <v>7</v>
      </c>
      <c r="E1193" s="2">
        <f>IFERROR(__xludf.DUMMYFUNCTION("""COMPUTED_VALUE"""),21.0)</f>
        <v>21</v>
      </c>
      <c r="F1193" s="2">
        <f>IFERROR(__xludf.DUMMYFUNCTION("""COMPUTED_VALUE"""),4701.0)</f>
        <v>4701</v>
      </c>
      <c r="G1193" s="2">
        <f>IFERROR(__xludf.DUMMYFUNCTION("""COMPUTED_VALUE"""),153.0)</f>
        <v>153</v>
      </c>
    </row>
    <row r="1194">
      <c r="A1194" s="2" t="str">
        <f>IFERROR(__xludf.DUMMYFUNCTION("""COMPUTED_VALUE"""),"Colombia")</f>
        <v>Colombia</v>
      </c>
      <c r="B1194" s="3">
        <f>IFERROR(__xludf.DUMMYFUNCTION("""COMPUTED_VALUE"""),43976.0)</f>
        <v>43976</v>
      </c>
      <c r="C1194" s="3">
        <f>IFERROR(__xludf.DUMMYFUNCTION("""COMPUTED_VALUE"""),43982.0)</f>
        <v>43982</v>
      </c>
      <c r="D1194" s="2">
        <f>IFERROR(__xludf.DUMMYFUNCTION("""COMPUTED_VALUE"""),7.0)</f>
        <v>7</v>
      </c>
      <c r="E1194" s="2">
        <f>IFERROR(__xludf.DUMMYFUNCTION("""COMPUTED_VALUE"""),22.0)</f>
        <v>22</v>
      </c>
      <c r="F1194" s="2">
        <f>IFERROR(__xludf.DUMMYFUNCTION("""COMPUTED_VALUE"""),4738.0)</f>
        <v>4738</v>
      </c>
      <c r="G1194" s="2">
        <f>IFERROR(__xludf.DUMMYFUNCTION("""COMPUTED_VALUE"""),212.0)</f>
        <v>212</v>
      </c>
    </row>
    <row r="1195">
      <c r="A1195" s="2" t="str">
        <f>IFERROR(__xludf.DUMMYFUNCTION("""COMPUTED_VALUE"""),"Colombia")</f>
        <v>Colombia</v>
      </c>
      <c r="B1195" s="3">
        <f>IFERROR(__xludf.DUMMYFUNCTION("""COMPUTED_VALUE"""),43983.0)</f>
        <v>43983</v>
      </c>
      <c r="C1195" s="3">
        <f>IFERROR(__xludf.DUMMYFUNCTION("""COMPUTED_VALUE"""),43989.0)</f>
        <v>43989</v>
      </c>
      <c r="D1195" s="2">
        <f>IFERROR(__xludf.DUMMYFUNCTION("""COMPUTED_VALUE"""),7.0)</f>
        <v>7</v>
      </c>
      <c r="E1195" s="2">
        <f>IFERROR(__xludf.DUMMYFUNCTION("""COMPUTED_VALUE"""),23.0)</f>
        <v>23</v>
      </c>
      <c r="F1195" s="2">
        <f>IFERROR(__xludf.DUMMYFUNCTION("""COMPUTED_VALUE"""),5153.0)</f>
        <v>5153</v>
      </c>
      <c r="G1195" s="2">
        <f>IFERROR(__xludf.DUMMYFUNCTION("""COMPUTED_VALUE"""),320.0)</f>
        <v>320</v>
      </c>
    </row>
    <row r="1196">
      <c r="A1196" s="2" t="str">
        <f>IFERROR(__xludf.DUMMYFUNCTION("""COMPUTED_VALUE"""),"Colombia")</f>
        <v>Colombia</v>
      </c>
      <c r="B1196" s="3">
        <f>IFERROR(__xludf.DUMMYFUNCTION("""COMPUTED_VALUE"""),43990.0)</f>
        <v>43990</v>
      </c>
      <c r="C1196" s="3">
        <f>IFERROR(__xludf.DUMMYFUNCTION("""COMPUTED_VALUE"""),43996.0)</f>
        <v>43996</v>
      </c>
      <c r="D1196" s="2">
        <f>IFERROR(__xludf.DUMMYFUNCTION("""COMPUTED_VALUE"""),7.0)</f>
        <v>7</v>
      </c>
      <c r="E1196" s="2">
        <f>IFERROR(__xludf.DUMMYFUNCTION("""COMPUTED_VALUE"""),24.0)</f>
        <v>24</v>
      </c>
      <c r="F1196" s="2">
        <f>IFERROR(__xludf.DUMMYFUNCTION("""COMPUTED_VALUE"""),5338.0)</f>
        <v>5338</v>
      </c>
      <c r="G1196" s="2">
        <f>IFERROR(__xludf.DUMMYFUNCTION("""COMPUTED_VALUE"""),408.0)</f>
        <v>408</v>
      </c>
    </row>
    <row r="1197">
      <c r="A1197" s="2" t="str">
        <f>IFERROR(__xludf.DUMMYFUNCTION("""COMPUTED_VALUE"""),"Colombia")</f>
        <v>Colombia</v>
      </c>
      <c r="B1197" s="3">
        <f>IFERROR(__xludf.DUMMYFUNCTION("""COMPUTED_VALUE"""),43997.0)</f>
        <v>43997</v>
      </c>
      <c r="C1197" s="3">
        <f>IFERROR(__xludf.DUMMYFUNCTION("""COMPUTED_VALUE"""),44003.0)</f>
        <v>44003</v>
      </c>
      <c r="D1197" s="2">
        <f>IFERROR(__xludf.DUMMYFUNCTION("""COMPUTED_VALUE"""),7.0)</f>
        <v>7</v>
      </c>
      <c r="E1197" s="2">
        <f>IFERROR(__xludf.DUMMYFUNCTION("""COMPUTED_VALUE"""),25.0)</f>
        <v>25</v>
      </c>
      <c r="F1197" s="2">
        <f>IFERROR(__xludf.DUMMYFUNCTION("""COMPUTED_VALUE"""),5778.0)</f>
        <v>5778</v>
      </c>
      <c r="G1197" s="2">
        <f>IFERROR(__xludf.DUMMYFUNCTION("""COMPUTED_VALUE"""),570.0)</f>
        <v>570</v>
      </c>
    </row>
    <row r="1198">
      <c r="A1198" s="2" t="str">
        <f>IFERROR(__xludf.DUMMYFUNCTION("""COMPUTED_VALUE"""),"Colombia")</f>
        <v>Colombia</v>
      </c>
      <c r="B1198" s="3">
        <f>IFERROR(__xludf.DUMMYFUNCTION("""COMPUTED_VALUE"""),44004.0)</f>
        <v>44004</v>
      </c>
      <c r="C1198" s="3">
        <f>IFERROR(__xludf.DUMMYFUNCTION("""COMPUTED_VALUE"""),44010.0)</f>
        <v>44010</v>
      </c>
      <c r="D1198" s="2">
        <f>IFERROR(__xludf.DUMMYFUNCTION("""COMPUTED_VALUE"""),7.0)</f>
        <v>7</v>
      </c>
      <c r="E1198" s="2">
        <f>IFERROR(__xludf.DUMMYFUNCTION("""COMPUTED_VALUE"""),26.0)</f>
        <v>26</v>
      </c>
      <c r="F1198" s="2">
        <f>IFERROR(__xludf.DUMMYFUNCTION("""COMPUTED_VALUE"""),6128.0)</f>
        <v>6128</v>
      </c>
      <c r="G1198" s="2">
        <f>IFERROR(__xludf.DUMMYFUNCTION("""COMPUTED_VALUE"""),941.0)</f>
        <v>941</v>
      </c>
    </row>
    <row r="1199">
      <c r="A1199" s="2" t="str">
        <f>IFERROR(__xludf.DUMMYFUNCTION("""COMPUTED_VALUE"""),"Colombia")</f>
        <v>Colombia</v>
      </c>
      <c r="B1199" s="3">
        <f>IFERROR(__xludf.DUMMYFUNCTION("""COMPUTED_VALUE"""),44011.0)</f>
        <v>44011</v>
      </c>
      <c r="C1199" s="3">
        <f>IFERROR(__xludf.DUMMYFUNCTION("""COMPUTED_VALUE"""),44017.0)</f>
        <v>44017</v>
      </c>
      <c r="D1199" s="2">
        <f>IFERROR(__xludf.DUMMYFUNCTION("""COMPUTED_VALUE"""),7.0)</f>
        <v>7</v>
      </c>
      <c r="E1199" s="2">
        <f>IFERROR(__xludf.DUMMYFUNCTION("""COMPUTED_VALUE"""),27.0)</f>
        <v>27</v>
      </c>
      <c r="F1199" s="2">
        <f>IFERROR(__xludf.DUMMYFUNCTION("""COMPUTED_VALUE"""),6233.0)</f>
        <v>6233</v>
      </c>
      <c r="G1199" s="2">
        <f>IFERROR(__xludf.DUMMYFUNCTION("""COMPUTED_VALUE"""),886.0)</f>
        <v>886</v>
      </c>
    </row>
    <row r="1200">
      <c r="A1200" s="2" t="str">
        <f>IFERROR(__xludf.DUMMYFUNCTION("""COMPUTED_VALUE"""),"Colombia")</f>
        <v>Colombia</v>
      </c>
      <c r="B1200" s="3">
        <f>IFERROR(__xludf.DUMMYFUNCTION("""COMPUTED_VALUE"""),44018.0)</f>
        <v>44018</v>
      </c>
      <c r="C1200" s="3">
        <f>IFERROR(__xludf.DUMMYFUNCTION("""COMPUTED_VALUE"""),44024.0)</f>
        <v>44024</v>
      </c>
      <c r="D1200" s="2">
        <f>IFERROR(__xludf.DUMMYFUNCTION("""COMPUTED_VALUE"""),7.0)</f>
        <v>7</v>
      </c>
      <c r="E1200" s="2">
        <f>IFERROR(__xludf.DUMMYFUNCTION("""COMPUTED_VALUE"""),28.0)</f>
        <v>28</v>
      </c>
      <c r="F1200" s="2">
        <f>IFERROR(__xludf.DUMMYFUNCTION("""COMPUTED_VALUE"""),6739.0)</f>
        <v>6739</v>
      </c>
      <c r="G1200" s="2">
        <f>IFERROR(__xludf.DUMMYFUNCTION("""COMPUTED_VALUE"""),1243.0)</f>
        <v>1243</v>
      </c>
    </row>
    <row r="1201">
      <c r="A1201" s="2" t="str">
        <f>IFERROR(__xludf.DUMMYFUNCTION("""COMPUTED_VALUE"""),"Colombia")</f>
        <v>Colombia</v>
      </c>
      <c r="B1201" s="3">
        <f>IFERROR(__xludf.DUMMYFUNCTION("""COMPUTED_VALUE"""),44025.0)</f>
        <v>44025</v>
      </c>
      <c r="C1201" s="3">
        <f>IFERROR(__xludf.DUMMYFUNCTION("""COMPUTED_VALUE"""),44031.0)</f>
        <v>44031</v>
      </c>
      <c r="D1201" s="2">
        <f>IFERROR(__xludf.DUMMYFUNCTION("""COMPUTED_VALUE"""),7.0)</f>
        <v>7</v>
      </c>
      <c r="E1201" s="2">
        <f>IFERROR(__xludf.DUMMYFUNCTION("""COMPUTED_VALUE"""),29.0)</f>
        <v>29</v>
      </c>
      <c r="F1201" s="2">
        <f>IFERROR(__xludf.DUMMYFUNCTION("""COMPUTED_VALUE"""),7313.0)</f>
        <v>7313</v>
      </c>
      <c r="G1201" s="2">
        <f>IFERROR(__xludf.DUMMYFUNCTION("""COMPUTED_VALUE"""),1429.0)</f>
        <v>1429</v>
      </c>
    </row>
    <row r="1202">
      <c r="A1202" s="2" t="str">
        <f>IFERROR(__xludf.DUMMYFUNCTION("""COMPUTED_VALUE"""),"Colombia")</f>
        <v>Colombia</v>
      </c>
      <c r="B1202" s="3">
        <f>IFERROR(__xludf.DUMMYFUNCTION("""COMPUTED_VALUE"""),44032.0)</f>
        <v>44032</v>
      </c>
      <c r="C1202" s="3">
        <f>IFERROR(__xludf.DUMMYFUNCTION("""COMPUTED_VALUE"""),44038.0)</f>
        <v>44038</v>
      </c>
      <c r="D1202" s="2">
        <f>IFERROR(__xludf.DUMMYFUNCTION("""COMPUTED_VALUE"""),7.0)</f>
        <v>7</v>
      </c>
      <c r="E1202" s="2">
        <f>IFERROR(__xludf.DUMMYFUNCTION("""COMPUTED_VALUE"""),30.0)</f>
        <v>30</v>
      </c>
      <c r="F1202" s="2">
        <f>IFERROR(__xludf.DUMMYFUNCTION("""COMPUTED_VALUE"""),7702.0)</f>
        <v>7702</v>
      </c>
      <c r="G1202" s="2">
        <f>IFERROR(__xludf.DUMMYFUNCTION("""COMPUTED_VALUE"""),1789.0)</f>
        <v>1789</v>
      </c>
    </row>
    <row r="1203">
      <c r="A1203" s="2" t="str">
        <f>IFERROR(__xludf.DUMMYFUNCTION("""COMPUTED_VALUE"""),"Colombia")</f>
        <v>Colombia</v>
      </c>
      <c r="B1203" s="3">
        <f>IFERROR(__xludf.DUMMYFUNCTION("""COMPUTED_VALUE"""),44039.0)</f>
        <v>44039</v>
      </c>
      <c r="C1203" s="3">
        <f>IFERROR(__xludf.DUMMYFUNCTION("""COMPUTED_VALUE"""),44045.0)</f>
        <v>44045</v>
      </c>
      <c r="D1203" s="2">
        <f>IFERROR(__xludf.DUMMYFUNCTION("""COMPUTED_VALUE"""),7.0)</f>
        <v>7</v>
      </c>
      <c r="E1203" s="2">
        <f>IFERROR(__xludf.DUMMYFUNCTION("""COMPUTED_VALUE"""),31.0)</f>
        <v>31</v>
      </c>
      <c r="F1203" s="2">
        <f>IFERROR(__xludf.DUMMYFUNCTION("""COMPUTED_VALUE"""),8070.0)</f>
        <v>8070</v>
      </c>
      <c r="G1203" s="2">
        <f>IFERROR(__xludf.DUMMYFUNCTION("""COMPUTED_VALUE"""),2125.0)</f>
        <v>2125</v>
      </c>
    </row>
    <row r="1204">
      <c r="A1204" s="2" t="str">
        <f>IFERROR(__xludf.DUMMYFUNCTION("""COMPUTED_VALUE"""),"Colombia")</f>
        <v>Colombia</v>
      </c>
      <c r="B1204" s="3">
        <f>IFERROR(__xludf.DUMMYFUNCTION("""COMPUTED_VALUE"""),44046.0)</f>
        <v>44046</v>
      </c>
      <c r="C1204" s="3">
        <f>IFERROR(__xludf.DUMMYFUNCTION("""COMPUTED_VALUE"""),44052.0)</f>
        <v>44052</v>
      </c>
      <c r="D1204" s="2">
        <f>IFERROR(__xludf.DUMMYFUNCTION("""COMPUTED_VALUE"""),7.0)</f>
        <v>7</v>
      </c>
      <c r="E1204" s="2">
        <f>IFERROR(__xludf.DUMMYFUNCTION("""COMPUTED_VALUE"""),32.0)</f>
        <v>32</v>
      </c>
      <c r="F1204" s="2">
        <f>IFERROR(__xludf.DUMMYFUNCTION("""COMPUTED_VALUE"""),7888.0)</f>
        <v>7888</v>
      </c>
      <c r="G1204" s="2">
        <f>IFERROR(__xludf.DUMMYFUNCTION("""COMPUTED_VALUE"""),2192.0)</f>
        <v>2192</v>
      </c>
    </row>
    <row r="1205">
      <c r="A1205" s="2" t="str">
        <f>IFERROR(__xludf.DUMMYFUNCTION("""COMPUTED_VALUE"""),"Colombia")</f>
        <v>Colombia</v>
      </c>
      <c r="B1205" s="3">
        <f>IFERROR(__xludf.DUMMYFUNCTION("""COMPUTED_VALUE"""),44053.0)</f>
        <v>44053</v>
      </c>
      <c r="C1205" s="3">
        <f>IFERROR(__xludf.DUMMYFUNCTION("""COMPUTED_VALUE"""),44059.0)</f>
        <v>44059</v>
      </c>
      <c r="D1205" s="2">
        <f>IFERROR(__xludf.DUMMYFUNCTION("""COMPUTED_VALUE"""),7.0)</f>
        <v>7</v>
      </c>
      <c r="E1205" s="2">
        <f>IFERROR(__xludf.DUMMYFUNCTION("""COMPUTED_VALUE"""),33.0)</f>
        <v>33</v>
      </c>
      <c r="F1205" s="2">
        <f>IFERROR(__xludf.DUMMYFUNCTION("""COMPUTED_VALUE"""),7648.0)</f>
        <v>7648</v>
      </c>
      <c r="G1205" s="2">
        <f>IFERROR(__xludf.DUMMYFUNCTION("""COMPUTED_VALUE"""),2255.0)</f>
        <v>2255</v>
      </c>
    </row>
    <row r="1206">
      <c r="A1206" s="2" t="str">
        <f>IFERROR(__xludf.DUMMYFUNCTION("""COMPUTED_VALUE"""),"Colombia")</f>
        <v>Colombia</v>
      </c>
      <c r="B1206" s="3">
        <f>IFERROR(__xludf.DUMMYFUNCTION("""COMPUTED_VALUE"""),44060.0)</f>
        <v>44060</v>
      </c>
      <c r="C1206" s="3">
        <f>IFERROR(__xludf.DUMMYFUNCTION("""COMPUTED_VALUE"""),44066.0)</f>
        <v>44066</v>
      </c>
      <c r="D1206" s="2">
        <f>IFERROR(__xludf.DUMMYFUNCTION("""COMPUTED_VALUE"""),7.0)</f>
        <v>7</v>
      </c>
      <c r="E1206" s="2">
        <f>IFERROR(__xludf.DUMMYFUNCTION("""COMPUTED_VALUE"""),34.0)</f>
        <v>34</v>
      </c>
      <c r="F1206" s="2">
        <f>IFERROR(__xludf.DUMMYFUNCTION("""COMPUTED_VALUE"""),7152.0)</f>
        <v>7152</v>
      </c>
      <c r="G1206" s="2">
        <f>IFERROR(__xludf.DUMMYFUNCTION("""COMPUTED_VALUE"""),2219.0)</f>
        <v>2219</v>
      </c>
    </row>
    <row r="1207">
      <c r="A1207" s="2" t="str">
        <f>IFERROR(__xludf.DUMMYFUNCTION("""COMPUTED_VALUE"""),"Colombia")</f>
        <v>Colombia</v>
      </c>
      <c r="B1207" s="3">
        <f>IFERROR(__xludf.DUMMYFUNCTION("""COMPUTED_VALUE"""),44067.0)</f>
        <v>44067</v>
      </c>
      <c r="C1207" s="3">
        <f>IFERROR(__xludf.DUMMYFUNCTION("""COMPUTED_VALUE"""),44073.0)</f>
        <v>44073</v>
      </c>
      <c r="D1207" s="2">
        <f>IFERROR(__xludf.DUMMYFUNCTION("""COMPUTED_VALUE"""),7.0)</f>
        <v>7</v>
      </c>
      <c r="E1207" s="2">
        <f>IFERROR(__xludf.DUMMYFUNCTION("""COMPUTED_VALUE"""),35.0)</f>
        <v>35</v>
      </c>
      <c r="F1207" s="2">
        <f>IFERROR(__xludf.DUMMYFUNCTION("""COMPUTED_VALUE"""),6798.0)</f>
        <v>6798</v>
      </c>
      <c r="G1207" s="2">
        <f>IFERROR(__xludf.DUMMYFUNCTION("""COMPUTED_VALUE"""),2047.0)</f>
        <v>2047</v>
      </c>
    </row>
    <row r="1208">
      <c r="A1208" s="2" t="str">
        <f>IFERROR(__xludf.DUMMYFUNCTION("""COMPUTED_VALUE"""),"Colombia")</f>
        <v>Colombia</v>
      </c>
      <c r="B1208" s="3">
        <f>IFERROR(__xludf.DUMMYFUNCTION("""COMPUTED_VALUE"""),44074.0)</f>
        <v>44074</v>
      </c>
      <c r="C1208" s="3">
        <f>IFERROR(__xludf.DUMMYFUNCTION("""COMPUTED_VALUE"""),44080.0)</f>
        <v>44080</v>
      </c>
      <c r="D1208" s="2">
        <f>IFERROR(__xludf.DUMMYFUNCTION("""COMPUTED_VALUE"""),7.0)</f>
        <v>7</v>
      </c>
      <c r="E1208" s="2">
        <f>IFERROR(__xludf.DUMMYFUNCTION("""COMPUTED_VALUE"""),36.0)</f>
        <v>36</v>
      </c>
      <c r="F1208" s="2">
        <f>IFERROR(__xludf.DUMMYFUNCTION("""COMPUTED_VALUE"""),6570.0)</f>
        <v>6570</v>
      </c>
      <c r="G1208" s="2">
        <f>IFERROR(__xludf.DUMMYFUNCTION("""COMPUTED_VALUE"""),2049.0)</f>
        <v>2049</v>
      </c>
    </row>
    <row r="1209">
      <c r="A1209" s="2" t="str">
        <f>IFERROR(__xludf.DUMMYFUNCTION("""COMPUTED_VALUE"""),"Colombia")</f>
        <v>Colombia</v>
      </c>
      <c r="B1209" s="3">
        <f>IFERROR(__xludf.DUMMYFUNCTION("""COMPUTED_VALUE"""),44081.0)</f>
        <v>44081</v>
      </c>
      <c r="C1209" s="3">
        <f>IFERROR(__xludf.DUMMYFUNCTION("""COMPUTED_VALUE"""),44087.0)</f>
        <v>44087</v>
      </c>
      <c r="D1209" s="2">
        <f>IFERROR(__xludf.DUMMYFUNCTION("""COMPUTED_VALUE"""),7.0)</f>
        <v>7</v>
      </c>
      <c r="E1209" s="2">
        <f>IFERROR(__xludf.DUMMYFUNCTION("""COMPUTED_VALUE"""),37.0)</f>
        <v>37</v>
      </c>
      <c r="F1209" s="2">
        <f>IFERROR(__xludf.DUMMYFUNCTION("""COMPUTED_VALUE"""),6383.0)</f>
        <v>6383</v>
      </c>
      <c r="G1209" s="2">
        <f>IFERROR(__xludf.DUMMYFUNCTION("""COMPUTED_VALUE"""),1512.0)</f>
        <v>1512</v>
      </c>
    </row>
    <row r="1210">
      <c r="A1210" s="2" t="str">
        <f>IFERROR(__xludf.DUMMYFUNCTION("""COMPUTED_VALUE"""),"Colombia")</f>
        <v>Colombia</v>
      </c>
      <c r="B1210" s="3">
        <f>IFERROR(__xludf.DUMMYFUNCTION("""COMPUTED_VALUE"""),44088.0)</f>
        <v>44088</v>
      </c>
      <c r="C1210" s="3">
        <f>IFERROR(__xludf.DUMMYFUNCTION("""COMPUTED_VALUE"""),44094.0)</f>
        <v>44094</v>
      </c>
      <c r="D1210" s="2">
        <f>IFERROR(__xludf.DUMMYFUNCTION("""COMPUTED_VALUE"""),7.0)</f>
        <v>7</v>
      </c>
      <c r="E1210" s="2">
        <f>IFERROR(__xludf.DUMMYFUNCTION("""COMPUTED_VALUE"""),38.0)</f>
        <v>38</v>
      </c>
      <c r="F1210" s="2">
        <f>IFERROR(__xludf.DUMMYFUNCTION("""COMPUTED_VALUE"""),6240.0)</f>
        <v>6240</v>
      </c>
      <c r="G1210" s="2">
        <f>IFERROR(__xludf.DUMMYFUNCTION("""COMPUTED_VALUE"""),1284.0)</f>
        <v>1284</v>
      </c>
    </row>
    <row r="1211">
      <c r="A1211" s="2" t="str">
        <f>IFERROR(__xludf.DUMMYFUNCTION("""COMPUTED_VALUE"""),"Colombia")</f>
        <v>Colombia</v>
      </c>
      <c r="B1211" s="3">
        <f>IFERROR(__xludf.DUMMYFUNCTION("""COMPUTED_VALUE"""),44095.0)</f>
        <v>44095</v>
      </c>
      <c r="C1211" s="3">
        <f>IFERROR(__xludf.DUMMYFUNCTION("""COMPUTED_VALUE"""),44101.0)</f>
        <v>44101</v>
      </c>
      <c r="D1211" s="2">
        <f>IFERROR(__xludf.DUMMYFUNCTION("""COMPUTED_VALUE"""),7.0)</f>
        <v>7</v>
      </c>
      <c r="E1211" s="2">
        <f>IFERROR(__xludf.DUMMYFUNCTION("""COMPUTED_VALUE"""),39.0)</f>
        <v>39</v>
      </c>
      <c r="F1211" s="2">
        <f>IFERROR(__xludf.DUMMYFUNCTION("""COMPUTED_VALUE"""),6161.0)</f>
        <v>6161</v>
      </c>
      <c r="G1211" s="2">
        <f>IFERROR(__xludf.DUMMYFUNCTION("""COMPUTED_VALUE"""),1280.0)</f>
        <v>1280</v>
      </c>
    </row>
    <row r="1212">
      <c r="A1212" s="2" t="str">
        <f>IFERROR(__xludf.DUMMYFUNCTION("""COMPUTED_VALUE"""),"Colombia")</f>
        <v>Colombia</v>
      </c>
      <c r="B1212" s="3">
        <f>IFERROR(__xludf.DUMMYFUNCTION("""COMPUTED_VALUE"""),44102.0)</f>
        <v>44102</v>
      </c>
      <c r="C1212" s="3">
        <f>IFERROR(__xludf.DUMMYFUNCTION("""COMPUTED_VALUE"""),44108.0)</f>
        <v>44108</v>
      </c>
      <c r="D1212" s="2">
        <f>IFERROR(__xludf.DUMMYFUNCTION("""COMPUTED_VALUE"""),7.0)</f>
        <v>7</v>
      </c>
      <c r="E1212" s="2">
        <f>IFERROR(__xludf.DUMMYFUNCTION("""COMPUTED_VALUE"""),40.0)</f>
        <v>40</v>
      </c>
      <c r="F1212" s="2">
        <f>IFERROR(__xludf.DUMMYFUNCTION("""COMPUTED_VALUE"""),6019.0)</f>
        <v>6019</v>
      </c>
      <c r="G1212" s="2">
        <f>IFERROR(__xludf.DUMMYFUNCTION("""COMPUTED_VALUE"""),1224.0)</f>
        <v>1224</v>
      </c>
    </row>
    <row r="1213">
      <c r="A1213" s="2" t="str">
        <f>IFERROR(__xludf.DUMMYFUNCTION("""COMPUTED_VALUE"""),"Colombia")</f>
        <v>Colombia</v>
      </c>
      <c r="B1213" s="3">
        <f>IFERROR(__xludf.DUMMYFUNCTION("""COMPUTED_VALUE"""),44109.0)</f>
        <v>44109</v>
      </c>
      <c r="C1213" s="3">
        <f>IFERROR(__xludf.DUMMYFUNCTION("""COMPUTED_VALUE"""),44115.0)</f>
        <v>44115</v>
      </c>
      <c r="D1213" s="2">
        <f>IFERROR(__xludf.DUMMYFUNCTION("""COMPUTED_VALUE"""),7.0)</f>
        <v>7</v>
      </c>
      <c r="E1213" s="2">
        <f>IFERROR(__xludf.DUMMYFUNCTION("""COMPUTED_VALUE"""),41.0)</f>
        <v>41</v>
      </c>
      <c r="F1213" s="2">
        <f>IFERROR(__xludf.DUMMYFUNCTION("""COMPUTED_VALUE"""),6173.0)</f>
        <v>6173</v>
      </c>
      <c r="G1213" s="2">
        <f>IFERROR(__xludf.DUMMYFUNCTION("""COMPUTED_VALUE"""),1122.0)</f>
        <v>1122</v>
      </c>
    </row>
    <row r="1214">
      <c r="A1214" s="2" t="str">
        <f>IFERROR(__xludf.DUMMYFUNCTION("""COMPUTED_VALUE"""),"Colombia")</f>
        <v>Colombia</v>
      </c>
      <c r="B1214" s="3">
        <f>IFERROR(__xludf.DUMMYFUNCTION("""COMPUTED_VALUE"""),44116.0)</f>
        <v>44116</v>
      </c>
      <c r="C1214" s="3">
        <f>IFERROR(__xludf.DUMMYFUNCTION("""COMPUTED_VALUE"""),44122.0)</f>
        <v>44122</v>
      </c>
      <c r="D1214" s="2">
        <f>IFERROR(__xludf.DUMMYFUNCTION("""COMPUTED_VALUE"""),7.0)</f>
        <v>7</v>
      </c>
      <c r="E1214" s="2">
        <f>IFERROR(__xludf.DUMMYFUNCTION("""COMPUTED_VALUE"""),42.0)</f>
        <v>42</v>
      </c>
      <c r="F1214" s="2">
        <f>IFERROR(__xludf.DUMMYFUNCTION("""COMPUTED_VALUE"""),6190.0)</f>
        <v>6190</v>
      </c>
      <c r="G1214" s="2">
        <f>IFERROR(__xludf.DUMMYFUNCTION("""COMPUTED_VALUE"""),1136.0)</f>
        <v>1136</v>
      </c>
    </row>
    <row r="1215">
      <c r="A1215" s="2" t="str">
        <f>IFERROR(__xludf.DUMMYFUNCTION("""COMPUTED_VALUE"""),"Colombia")</f>
        <v>Colombia</v>
      </c>
      <c r="B1215" s="3">
        <f>IFERROR(__xludf.DUMMYFUNCTION("""COMPUTED_VALUE"""),44123.0)</f>
        <v>44123</v>
      </c>
      <c r="C1215" s="3">
        <f>IFERROR(__xludf.DUMMYFUNCTION("""COMPUTED_VALUE"""),44129.0)</f>
        <v>44129</v>
      </c>
      <c r="D1215" s="2">
        <f>IFERROR(__xludf.DUMMYFUNCTION("""COMPUTED_VALUE"""),7.0)</f>
        <v>7</v>
      </c>
      <c r="E1215" s="2">
        <f>IFERROR(__xludf.DUMMYFUNCTION("""COMPUTED_VALUE"""),43.0)</f>
        <v>43</v>
      </c>
      <c r="F1215" s="2">
        <f>IFERROR(__xludf.DUMMYFUNCTION("""COMPUTED_VALUE"""),6303.0)</f>
        <v>6303</v>
      </c>
      <c r="G1215" s="2">
        <f>IFERROR(__xludf.DUMMYFUNCTION("""COMPUTED_VALUE"""),1184.0)</f>
        <v>1184</v>
      </c>
    </row>
    <row r="1216">
      <c r="A1216" s="2" t="str">
        <f>IFERROR(__xludf.DUMMYFUNCTION("""COMPUTED_VALUE"""),"Colombia")</f>
        <v>Colombia</v>
      </c>
      <c r="B1216" s="3">
        <f>IFERROR(__xludf.DUMMYFUNCTION("""COMPUTED_VALUE"""),44130.0)</f>
        <v>44130</v>
      </c>
      <c r="C1216" s="3">
        <f>IFERROR(__xludf.DUMMYFUNCTION("""COMPUTED_VALUE"""),44136.0)</f>
        <v>44136</v>
      </c>
      <c r="D1216" s="2">
        <f>IFERROR(__xludf.DUMMYFUNCTION("""COMPUTED_VALUE"""),7.0)</f>
        <v>7</v>
      </c>
      <c r="E1216" s="2">
        <f>IFERROR(__xludf.DUMMYFUNCTION("""COMPUTED_VALUE"""),44.0)</f>
        <v>44</v>
      </c>
      <c r="F1216" s="2">
        <f>IFERROR(__xludf.DUMMYFUNCTION("""COMPUTED_VALUE"""),6080.0)</f>
        <v>6080</v>
      </c>
      <c r="G1216" s="2">
        <f>IFERROR(__xludf.DUMMYFUNCTION("""COMPUTED_VALUE"""),1361.0)</f>
        <v>1361</v>
      </c>
    </row>
    <row r="1217">
      <c r="A1217" s="2" t="str">
        <f>IFERROR(__xludf.DUMMYFUNCTION("""COMPUTED_VALUE"""),"Colombia")</f>
        <v>Colombia</v>
      </c>
      <c r="B1217" s="3">
        <f>IFERROR(__xludf.DUMMYFUNCTION("""COMPUTED_VALUE"""),44137.0)</f>
        <v>44137</v>
      </c>
      <c r="C1217" s="3">
        <f>IFERROR(__xludf.DUMMYFUNCTION("""COMPUTED_VALUE"""),44143.0)</f>
        <v>44143</v>
      </c>
      <c r="D1217" s="2">
        <f>IFERROR(__xludf.DUMMYFUNCTION("""COMPUTED_VALUE"""),7.0)</f>
        <v>7</v>
      </c>
      <c r="E1217" s="2">
        <f>IFERROR(__xludf.DUMMYFUNCTION("""COMPUTED_VALUE"""),45.0)</f>
        <v>45</v>
      </c>
      <c r="F1217" s="2">
        <f>IFERROR(__xludf.DUMMYFUNCTION("""COMPUTED_VALUE"""),6252.0)</f>
        <v>6252</v>
      </c>
      <c r="G1217" s="2">
        <f>IFERROR(__xludf.DUMMYFUNCTION("""COMPUTED_VALUE"""),1276.0)</f>
        <v>1276</v>
      </c>
    </row>
    <row r="1218">
      <c r="A1218" s="2" t="str">
        <f>IFERROR(__xludf.DUMMYFUNCTION("""COMPUTED_VALUE"""),"Colombia")</f>
        <v>Colombia</v>
      </c>
      <c r="B1218" s="3">
        <f>IFERROR(__xludf.DUMMYFUNCTION("""COMPUTED_VALUE"""),44144.0)</f>
        <v>44144</v>
      </c>
      <c r="C1218" s="3">
        <f>IFERROR(__xludf.DUMMYFUNCTION("""COMPUTED_VALUE"""),44150.0)</f>
        <v>44150</v>
      </c>
      <c r="D1218" s="2">
        <f>IFERROR(__xludf.DUMMYFUNCTION("""COMPUTED_VALUE"""),7.0)</f>
        <v>7</v>
      </c>
      <c r="E1218" s="2">
        <f>IFERROR(__xludf.DUMMYFUNCTION("""COMPUTED_VALUE"""),46.0)</f>
        <v>46</v>
      </c>
      <c r="F1218" s="2">
        <f>IFERROR(__xludf.DUMMYFUNCTION("""COMPUTED_VALUE"""),6119.0)</f>
        <v>6119</v>
      </c>
      <c r="G1218" s="2">
        <f>IFERROR(__xludf.DUMMYFUNCTION("""COMPUTED_VALUE"""),1240.0)</f>
        <v>1240</v>
      </c>
    </row>
    <row r="1219">
      <c r="A1219" s="2" t="str">
        <f>IFERROR(__xludf.DUMMYFUNCTION("""COMPUTED_VALUE"""),"Colombia")</f>
        <v>Colombia</v>
      </c>
      <c r="B1219" s="3">
        <f>IFERROR(__xludf.DUMMYFUNCTION("""COMPUTED_VALUE"""),44151.0)</f>
        <v>44151</v>
      </c>
      <c r="C1219" s="3">
        <f>IFERROR(__xludf.DUMMYFUNCTION("""COMPUTED_VALUE"""),44157.0)</f>
        <v>44157</v>
      </c>
      <c r="D1219" s="2">
        <f>IFERROR(__xludf.DUMMYFUNCTION("""COMPUTED_VALUE"""),7.0)</f>
        <v>7</v>
      </c>
      <c r="E1219" s="2">
        <f>IFERROR(__xludf.DUMMYFUNCTION("""COMPUTED_VALUE"""),47.0)</f>
        <v>47</v>
      </c>
      <c r="F1219" s="2">
        <f>IFERROR(__xludf.DUMMYFUNCTION("""COMPUTED_VALUE"""),6242.0)</f>
        <v>6242</v>
      </c>
      <c r="G1219" s="2">
        <f>IFERROR(__xludf.DUMMYFUNCTION("""COMPUTED_VALUE"""),1256.0)</f>
        <v>1256</v>
      </c>
    </row>
    <row r="1220">
      <c r="A1220" s="2" t="str">
        <f>IFERROR(__xludf.DUMMYFUNCTION("""COMPUTED_VALUE"""),"Colombia")</f>
        <v>Colombia</v>
      </c>
      <c r="B1220" s="3">
        <f>IFERROR(__xludf.DUMMYFUNCTION("""COMPUTED_VALUE"""),44158.0)</f>
        <v>44158</v>
      </c>
      <c r="C1220" s="3">
        <f>IFERROR(__xludf.DUMMYFUNCTION("""COMPUTED_VALUE"""),44164.0)</f>
        <v>44164</v>
      </c>
      <c r="D1220" s="2">
        <f>IFERROR(__xludf.DUMMYFUNCTION("""COMPUTED_VALUE"""),7.0)</f>
        <v>7</v>
      </c>
      <c r="E1220" s="2">
        <f>IFERROR(__xludf.DUMMYFUNCTION("""COMPUTED_VALUE"""),48.0)</f>
        <v>48</v>
      </c>
      <c r="F1220" s="2">
        <f>IFERROR(__xludf.DUMMYFUNCTION("""COMPUTED_VALUE"""),6266.0)</f>
        <v>6266</v>
      </c>
      <c r="G1220" s="2">
        <f>IFERROR(__xludf.DUMMYFUNCTION("""COMPUTED_VALUE"""),1297.0)</f>
        <v>1297</v>
      </c>
    </row>
    <row r="1221">
      <c r="A1221" s="2" t="str">
        <f>IFERROR(__xludf.DUMMYFUNCTION("""COMPUTED_VALUE"""),"Colombia")</f>
        <v>Colombia</v>
      </c>
      <c r="B1221" s="3">
        <f>IFERROR(__xludf.DUMMYFUNCTION("""COMPUTED_VALUE"""),44165.0)</f>
        <v>44165</v>
      </c>
      <c r="C1221" s="3">
        <f>IFERROR(__xludf.DUMMYFUNCTION("""COMPUTED_VALUE"""),44171.0)</f>
        <v>44171</v>
      </c>
      <c r="D1221" s="2">
        <f>IFERROR(__xludf.DUMMYFUNCTION("""COMPUTED_VALUE"""),7.0)</f>
        <v>7</v>
      </c>
      <c r="E1221" s="2">
        <f>IFERROR(__xludf.DUMMYFUNCTION("""COMPUTED_VALUE"""),49.0)</f>
        <v>49</v>
      </c>
      <c r="F1221" s="2">
        <f>IFERROR(__xludf.DUMMYFUNCTION("""COMPUTED_VALUE"""),6206.0)</f>
        <v>6206</v>
      </c>
      <c r="G1221" s="2">
        <f>IFERROR(__xludf.DUMMYFUNCTION("""COMPUTED_VALUE"""),1224.0)</f>
        <v>1224</v>
      </c>
    </row>
    <row r="1222">
      <c r="A1222" s="2" t="str">
        <f>IFERROR(__xludf.DUMMYFUNCTION("""COMPUTED_VALUE"""),"Colombia")</f>
        <v>Colombia</v>
      </c>
      <c r="B1222" s="3">
        <f>IFERROR(__xludf.DUMMYFUNCTION("""COMPUTED_VALUE"""),44172.0)</f>
        <v>44172</v>
      </c>
      <c r="C1222" s="3">
        <f>IFERROR(__xludf.DUMMYFUNCTION("""COMPUTED_VALUE"""),44178.0)</f>
        <v>44178</v>
      </c>
      <c r="D1222" s="2">
        <f>IFERROR(__xludf.DUMMYFUNCTION("""COMPUTED_VALUE"""),7.0)</f>
        <v>7</v>
      </c>
      <c r="E1222" s="2">
        <f>IFERROR(__xludf.DUMMYFUNCTION("""COMPUTED_VALUE"""),50.0)</f>
        <v>50</v>
      </c>
      <c r="F1222" s="2">
        <f>IFERROR(__xludf.DUMMYFUNCTION("""COMPUTED_VALUE"""),6640.0)</f>
        <v>6640</v>
      </c>
      <c r="G1222" s="2">
        <f>IFERROR(__xludf.DUMMYFUNCTION("""COMPUTED_VALUE"""),1245.0)</f>
        <v>1245</v>
      </c>
    </row>
    <row r="1223">
      <c r="A1223" s="2" t="str">
        <f>IFERROR(__xludf.DUMMYFUNCTION("""COMPUTED_VALUE"""),"Colombia")</f>
        <v>Colombia</v>
      </c>
      <c r="B1223" s="3">
        <f>IFERROR(__xludf.DUMMYFUNCTION("""COMPUTED_VALUE"""),44179.0)</f>
        <v>44179</v>
      </c>
      <c r="C1223" s="3">
        <f>IFERROR(__xludf.DUMMYFUNCTION("""COMPUTED_VALUE"""),44185.0)</f>
        <v>44185</v>
      </c>
      <c r="D1223" s="2">
        <f>IFERROR(__xludf.DUMMYFUNCTION("""COMPUTED_VALUE"""),7.0)</f>
        <v>7</v>
      </c>
      <c r="E1223" s="2">
        <f>IFERROR(__xludf.DUMMYFUNCTION("""COMPUTED_VALUE"""),51.0)</f>
        <v>51</v>
      </c>
      <c r="F1223" s="2">
        <f>IFERROR(__xludf.DUMMYFUNCTION("""COMPUTED_VALUE"""),6687.0)</f>
        <v>6687</v>
      </c>
      <c r="G1223" s="2">
        <f>IFERROR(__xludf.DUMMYFUNCTION("""COMPUTED_VALUE"""),1422.0)</f>
        <v>1422</v>
      </c>
    </row>
    <row r="1224">
      <c r="A1224" s="2" t="str">
        <f>IFERROR(__xludf.DUMMYFUNCTION("""COMPUTED_VALUE"""),"Colombia")</f>
        <v>Colombia</v>
      </c>
      <c r="B1224" s="3">
        <f>IFERROR(__xludf.DUMMYFUNCTION("""COMPUTED_VALUE"""),44186.0)</f>
        <v>44186</v>
      </c>
      <c r="C1224" s="3">
        <f>IFERROR(__xludf.DUMMYFUNCTION("""COMPUTED_VALUE"""),44192.0)</f>
        <v>44192</v>
      </c>
      <c r="D1224" s="2">
        <f>IFERROR(__xludf.DUMMYFUNCTION("""COMPUTED_VALUE"""),7.0)</f>
        <v>7</v>
      </c>
      <c r="E1224" s="2">
        <f>IFERROR(__xludf.DUMMYFUNCTION("""COMPUTED_VALUE"""),52.0)</f>
        <v>52</v>
      </c>
      <c r="F1224" s="2">
        <f>IFERROR(__xludf.DUMMYFUNCTION("""COMPUTED_VALUE"""),7203.0)</f>
        <v>7203</v>
      </c>
      <c r="G1224" s="2">
        <f>IFERROR(__xludf.DUMMYFUNCTION("""COMPUTED_VALUE"""),1696.0)</f>
        <v>1696</v>
      </c>
    </row>
    <row r="1225">
      <c r="A1225" s="2" t="str">
        <f>IFERROR(__xludf.DUMMYFUNCTION("""COMPUTED_VALUE"""),"Colombia")</f>
        <v>Colombia</v>
      </c>
      <c r="B1225" s="3">
        <f>IFERROR(__xludf.DUMMYFUNCTION("""COMPUTED_VALUE"""),44193.0)</f>
        <v>44193</v>
      </c>
      <c r="C1225" s="3">
        <f>IFERROR(__xludf.DUMMYFUNCTION("""COMPUTED_VALUE"""),44199.0)</f>
        <v>44199</v>
      </c>
      <c r="D1225" s="2">
        <f>IFERROR(__xludf.DUMMYFUNCTION("""COMPUTED_VALUE"""),7.0)</f>
        <v>7</v>
      </c>
      <c r="E1225" s="2">
        <f>IFERROR(__xludf.DUMMYFUNCTION("""COMPUTED_VALUE"""),53.0)</f>
        <v>53</v>
      </c>
      <c r="F1225" s="2">
        <f>IFERROR(__xludf.DUMMYFUNCTION("""COMPUTED_VALUE"""),7814.0)</f>
        <v>7814</v>
      </c>
      <c r="G1225" s="2">
        <f>IFERROR(__xludf.DUMMYFUNCTION("""COMPUTED_VALUE"""),1794.0)</f>
        <v>1794</v>
      </c>
    </row>
    <row r="1226">
      <c r="A1226" s="2" t="str">
        <f>IFERROR(__xludf.DUMMYFUNCTION("""COMPUTED_VALUE"""),"Colombia")</f>
        <v>Colombia</v>
      </c>
      <c r="B1226" s="3">
        <f>IFERROR(__xludf.DUMMYFUNCTION("""COMPUTED_VALUE"""),44200.0)</f>
        <v>44200</v>
      </c>
      <c r="C1226" s="3">
        <f>IFERROR(__xludf.DUMMYFUNCTION("""COMPUTED_VALUE"""),44206.0)</f>
        <v>44206</v>
      </c>
      <c r="D1226" s="2">
        <f>IFERROR(__xludf.DUMMYFUNCTION("""COMPUTED_VALUE"""),7.0)</f>
        <v>7</v>
      </c>
      <c r="E1226" s="2">
        <f>IFERROR(__xludf.DUMMYFUNCTION("""COMPUTED_VALUE"""),1.0)</f>
        <v>1</v>
      </c>
      <c r="F1226" s="2">
        <f>IFERROR(__xludf.DUMMYFUNCTION("""COMPUTED_VALUE"""),7964.0)</f>
        <v>7964</v>
      </c>
      <c r="G1226" s="2">
        <f>IFERROR(__xludf.DUMMYFUNCTION("""COMPUTED_VALUE"""),2149.0)</f>
        <v>2149</v>
      </c>
    </row>
    <row r="1227">
      <c r="A1227" s="2" t="str">
        <f>IFERROR(__xludf.DUMMYFUNCTION("""COMPUTED_VALUE"""),"Colombia")</f>
        <v>Colombia</v>
      </c>
      <c r="B1227" s="3">
        <f>IFERROR(__xludf.DUMMYFUNCTION("""COMPUTED_VALUE"""),44207.0)</f>
        <v>44207</v>
      </c>
      <c r="C1227" s="3">
        <f>IFERROR(__xludf.DUMMYFUNCTION("""COMPUTED_VALUE"""),44213.0)</f>
        <v>44213</v>
      </c>
      <c r="D1227" s="2">
        <f>IFERROR(__xludf.DUMMYFUNCTION("""COMPUTED_VALUE"""),7.0)</f>
        <v>7</v>
      </c>
      <c r="E1227" s="2">
        <f>IFERROR(__xludf.DUMMYFUNCTION("""COMPUTED_VALUE"""),2.0)</f>
        <v>2</v>
      </c>
      <c r="F1227" s="2">
        <f>IFERROR(__xludf.DUMMYFUNCTION("""COMPUTED_VALUE"""),8440.0)</f>
        <v>8440</v>
      </c>
      <c r="G1227" s="2">
        <f>IFERROR(__xludf.DUMMYFUNCTION("""COMPUTED_VALUE"""),2517.0)</f>
        <v>2517</v>
      </c>
    </row>
    <row r="1228">
      <c r="A1228" s="2" t="str">
        <f>IFERROR(__xludf.DUMMYFUNCTION("""COMPUTED_VALUE"""),"Colombia")</f>
        <v>Colombia</v>
      </c>
      <c r="B1228" s="3">
        <f>IFERROR(__xludf.DUMMYFUNCTION("""COMPUTED_VALUE"""),44214.0)</f>
        <v>44214</v>
      </c>
      <c r="C1228" s="3">
        <f>IFERROR(__xludf.DUMMYFUNCTION("""COMPUTED_VALUE"""),44220.0)</f>
        <v>44220</v>
      </c>
      <c r="D1228" s="2">
        <f>IFERROR(__xludf.DUMMYFUNCTION("""COMPUTED_VALUE"""),7.0)</f>
        <v>7</v>
      </c>
      <c r="E1228" s="2">
        <f>IFERROR(__xludf.DUMMYFUNCTION("""COMPUTED_VALUE"""),3.0)</f>
        <v>3</v>
      </c>
      <c r="F1228" s="2">
        <f>IFERROR(__xludf.DUMMYFUNCTION("""COMPUTED_VALUE"""),8479.0)</f>
        <v>8479</v>
      </c>
      <c r="G1228" s="2">
        <f>IFERROR(__xludf.DUMMYFUNCTION("""COMPUTED_VALUE"""),2743.0)</f>
        <v>2743</v>
      </c>
    </row>
    <row r="1229">
      <c r="A1229" s="2" t="str">
        <f>IFERROR(__xludf.DUMMYFUNCTION("""COMPUTED_VALUE"""),"Colombia")</f>
        <v>Colombia</v>
      </c>
      <c r="B1229" s="3">
        <f>IFERROR(__xludf.DUMMYFUNCTION("""COMPUTED_VALUE"""),44221.0)</f>
        <v>44221</v>
      </c>
      <c r="C1229" s="3">
        <f>IFERROR(__xludf.DUMMYFUNCTION("""COMPUTED_VALUE"""),44227.0)</f>
        <v>44227</v>
      </c>
      <c r="D1229" s="2">
        <f>IFERROR(__xludf.DUMMYFUNCTION("""COMPUTED_VALUE"""),7.0)</f>
        <v>7</v>
      </c>
      <c r="E1229" s="2">
        <f>IFERROR(__xludf.DUMMYFUNCTION("""COMPUTED_VALUE"""),4.0)</f>
        <v>4</v>
      </c>
      <c r="F1229" s="2">
        <f>IFERROR(__xludf.DUMMYFUNCTION("""COMPUTED_VALUE"""),7676.0)</f>
        <v>7676</v>
      </c>
      <c r="G1229" s="2">
        <f>IFERROR(__xludf.DUMMYFUNCTION("""COMPUTED_VALUE"""),2609.0)</f>
        <v>2609</v>
      </c>
    </row>
    <row r="1230">
      <c r="A1230" s="2" t="str">
        <f>IFERROR(__xludf.DUMMYFUNCTION("""COMPUTED_VALUE"""),"Colombia")</f>
        <v>Colombia</v>
      </c>
      <c r="B1230" s="3">
        <f>IFERROR(__xludf.DUMMYFUNCTION("""COMPUTED_VALUE"""),44228.0)</f>
        <v>44228</v>
      </c>
      <c r="C1230" s="3">
        <f>IFERROR(__xludf.DUMMYFUNCTION("""COMPUTED_VALUE"""),44234.0)</f>
        <v>44234</v>
      </c>
      <c r="D1230" s="2">
        <f>IFERROR(__xludf.DUMMYFUNCTION("""COMPUTED_VALUE"""),7.0)</f>
        <v>7</v>
      </c>
      <c r="E1230" s="2">
        <f>IFERROR(__xludf.DUMMYFUNCTION("""COMPUTED_VALUE"""),5.0)</f>
        <v>5</v>
      </c>
      <c r="F1230" s="2">
        <f>IFERROR(__xludf.DUMMYFUNCTION("""COMPUTED_VALUE"""),7029.0)</f>
        <v>7029</v>
      </c>
      <c r="G1230" s="2">
        <f>IFERROR(__xludf.DUMMYFUNCTION("""COMPUTED_VALUE"""),2010.0)</f>
        <v>2010</v>
      </c>
    </row>
    <row r="1231">
      <c r="A1231" s="2" t="str">
        <f>IFERROR(__xludf.DUMMYFUNCTION("""COMPUTED_VALUE"""),"Colombia")</f>
        <v>Colombia</v>
      </c>
      <c r="B1231" s="3">
        <f>IFERROR(__xludf.DUMMYFUNCTION("""COMPUTED_VALUE"""),44235.0)</f>
        <v>44235</v>
      </c>
      <c r="C1231" s="3">
        <f>IFERROR(__xludf.DUMMYFUNCTION("""COMPUTED_VALUE"""),44241.0)</f>
        <v>44241</v>
      </c>
      <c r="D1231" s="2">
        <f>IFERROR(__xludf.DUMMYFUNCTION("""COMPUTED_VALUE"""),7.0)</f>
        <v>7</v>
      </c>
      <c r="E1231" s="2">
        <f>IFERROR(__xludf.DUMMYFUNCTION("""COMPUTED_VALUE"""),6.0)</f>
        <v>6</v>
      </c>
      <c r="F1231" s="2">
        <f>IFERROR(__xludf.DUMMYFUNCTION("""COMPUTED_VALUE"""),6341.0)</f>
        <v>6341</v>
      </c>
      <c r="G1231" s="2">
        <f>IFERROR(__xludf.DUMMYFUNCTION("""COMPUTED_VALUE"""),1612.0)</f>
        <v>1612</v>
      </c>
    </row>
    <row r="1232">
      <c r="A1232" s="2" t="str">
        <f>IFERROR(__xludf.DUMMYFUNCTION("""COMPUTED_VALUE"""),"Colombia")</f>
        <v>Colombia</v>
      </c>
      <c r="B1232" s="3">
        <f>IFERROR(__xludf.DUMMYFUNCTION("""COMPUTED_VALUE"""),44242.0)</f>
        <v>44242</v>
      </c>
      <c r="C1232" s="3">
        <f>IFERROR(__xludf.DUMMYFUNCTION("""COMPUTED_VALUE"""),44248.0)</f>
        <v>44248</v>
      </c>
      <c r="D1232" s="2">
        <f>IFERROR(__xludf.DUMMYFUNCTION("""COMPUTED_VALUE"""),7.0)</f>
        <v>7</v>
      </c>
      <c r="E1232" s="2">
        <f>IFERROR(__xludf.DUMMYFUNCTION("""COMPUTED_VALUE"""),7.0)</f>
        <v>7</v>
      </c>
      <c r="F1232" s="2">
        <f>IFERROR(__xludf.DUMMYFUNCTION("""COMPUTED_VALUE"""),5915.0)</f>
        <v>5915</v>
      </c>
      <c r="G1232" s="2">
        <f>IFERROR(__xludf.DUMMYFUNCTION("""COMPUTED_VALUE"""),1229.0)</f>
        <v>1229</v>
      </c>
    </row>
    <row r="1233">
      <c r="A1233" s="2" t="str">
        <f>IFERROR(__xludf.DUMMYFUNCTION("""COMPUTED_VALUE"""),"Colombia")</f>
        <v>Colombia</v>
      </c>
      <c r="B1233" s="3">
        <f>IFERROR(__xludf.DUMMYFUNCTION("""COMPUTED_VALUE"""),44249.0)</f>
        <v>44249</v>
      </c>
      <c r="C1233" s="3">
        <f>IFERROR(__xludf.DUMMYFUNCTION("""COMPUTED_VALUE"""),44255.0)</f>
        <v>44255</v>
      </c>
      <c r="D1233" s="2">
        <f>IFERROR(__xludf.DUMMYFUNCTION("""COMPUTED_VALUE"""),7.0)</f>
        <v>7</v>
      </c>
      <c r="E1233" s="2">
        <f>IFERROR(__xludf.DUMMYFUNCTION("""COMPUTED_VALUE"""),8.0)</f>
        <v>8</v>
      </c>
      <c r="F1233" s="2">
        <f>IFERROR(__xludf.DUMMYFUNCTION("""COMPUTED_VALUE"""),5564.0)</f>
        <v>5564</v>
      </c>
      <c r="G1233" s="2">
        <f>IFERROR(__xludf.DUMMYFUNCTION("""COMPUTED_VALUE"""),932.0)</f>
        <v>932</v>
      </c>
    </row>
    <row r="1234">
      <c r="A1234" s="2" t="str">
        <f>IFERROR(__xludf.DUMMYFUNCTION("""COMPUTED_VALUE"""),"Colombia")</f>
        <v>Colombia</v>
      </c>
      <c r="B1234" s="3">
        <f>IFERROR(__xludf.DUMMYFUNCTION("""COMPUTED_VALUE"""),44256.0)</f>
        <v>44256</v>
      </c>
      <c r="C1234" s="3">
        <f>IFERROR(__xludf.DUMMYFUNCTION("""COMPUTED_VALUE"""),44262.0)</f>
        <v>44262</v>
      </c>
      <c r="D1234" s="2">
        <f>IFERROR(__xludf.DUMMYFUNCTION("""COMPUTED_VALUE"""),7.0)</f>
        <v>7</v>
      </c>
      <c r="E1234" s="2">
        <f>IFERROR(__xludf.DUMMYFUNCTION("""COMPUTED_VALUE"""),9.0)</f>
        <v>9</v>
      </c>
      <c r="F1234" s="2">
        <f>IFERROR(__xludf.DUMMYFUNCTION("""COMPUTED_VALUE"""),5562.0)</f>
        <v>5562</v>
      </c>
      <c r="G1234" s="2">
        <f>IFERROR(__xludf.DUMMYFUNCTION("""COMPUTED_VALUE"""),737.0)</f>
        <v>737</v>
      </c>
    </row>
    <row r="1235">
      <c r="A1235" s="2" t="str">
        <f>IFERROR(__xludf.DUMMYFUNCTION("""COMPUTED_VALUE"""),"Colombia")</f>
        <v>Colombia</v>
      </c>
      <c r="B1235" s="3">
        <f>IFERROR(__xludf.DUMMYFUNCTION("""COMPUTED_VALUE"""),44263.0)</f>
        <v>44263</v>
      </c>
      <c r="C1235" s="3">
        <f>IFERROR(__xludf.DUMMYFUNCTION("""COMPUTED_VALUE"""),44269.0)</f>
        <v>44269</v>
      </c>
      <c r="D1235" s="2">
        <f>IFERROR(__xludf.DUMMYFUNCTION("""COMPUTED_VALUE"""),7.0)</f>
        <v>7</v>
      </c>
      <c r="E1235" s="2">
        <f>IFERROR(__xludf.DUMMYFUNCTION("""COMPUTED_VALUE"""),10.0)</f>
        <v>10</v>
      </c>
      <c r="F1235" s="2">
        <f>IFERROR(__xludf.DUMMYFUNCTION("""COMPUTED_VALUE"""),5315.0)</f>
        <v>5315</v>
      </c>
      <c r="G1235" s="2">
        <f>IFERROR(__xludf.DUMMYFUNCTION("""COMPUTED_VALUE"""),640.0)</f>
        <v>640</v>
      </c>
    </row>
    <row r="1236">
      <c r="A1236" s="2" t="str">
        <f>IFERROR(__xludf.DUMMYFUNCTION("""COMPUTED_VALUE"""),"Colombia")</f>
        <v>Colombia</v>
      </c>
      <c r="B1236" s="3">
        <f>IFERROR(__xludf.DUMMYFUNCTION("""COMPUTED_VALUE"""),44270.0)</f>
        <v>44270</v>
      </c>
      <c r="C1236" s="3">
        <f>IFERROR(__xludf.DUMMYFUNCTION("""COMPUTED_VALUE"""),44276.0)</f>
        <v>44276</v>
      </c>
      <c r="D1236" s="2">
        <f>IFERROR(__xludf.DUMMYFUNCTION("""COMPUTED_VALUE"""),7.0)</f>
        <v>7</v>
      </c>
      <c r="E1236" s="2">
        <f>IFERROR(__xludf.DUMMYFUNCTION("""COMPUTED_VALUE"""),11.0)</f>
        <v>11</v>
      </c>
      <c r="F1236" s="2">
        <f>IFERROR(__xludf.DUMMYFUNCTION("""COMPUTED_VALUE"""),5569.0)</f>
        <v>5569</v>
      </c>
      <c r="G1236" s="2">
        <f>IFERROR(__xludf.DUMMYFUNCTION("""COMPUTED_VALUE"""),885.0)</f>
        <v>885</v>
      </c>
    </row>
    <row r="1237">
      <c r="A1237" s="2" t="str">
        <f>IFERROR(__xludf.DUMMYFUNCTION("""COMPUTED_VALUE"""),"Colombia")</f>
        <v>Colombia</v>
      </c>
      <c r="B1237" s="3">
        <f>IFERROR(__xludf.DUMMYFUNCTION("""COMPUTED_VALUE"""),44277.0)</f>
        <v>44277</v>
      </c>
      <c r="C1237" s="3">
        <f>IFERROR(__xludf.DUMMYFUNCTION("""COMPUTED_VALUE"""),44283.0)</f>
        <v>44283</v>
      </c>
      <c r="D1237" s="2">
        <f>IFERROR(__xludf.DUMMYFUNCTION("""COMPUTED_VALUE"""),7.0)</f>
        <v>7</v>
      </c>
      <c r="E1237" s="2">
        <f>IFERROR(__xludf.DUMMYFUNCTION("""COMPUTED_VALUE"""),12.0)</f>
        <v>12</v>
      </c>
      <c r="F1237" s="2">
        <f>IFERROR(__xludf.DUMMYFUNCTION("""COMPUTED_VALUE"""),5958.0)</f>
        <v>5958</v>
      </c>
      <c r="G1237" s="2">
        <f>IFERROR(__xludf.DUMMYFUNCTION("""COMPUTED_VALUE"""),927.0)</f>
        <v>927</v>
      </c>
    </row>
    <row r="1238">
      <c r="A1238" s="2" t="str">
        <f>IFERROR(__xludf.DUMMYFUNCTION("""COMPUTED_VALUE"""),"Colombia")</f>
        <v>Colombia</v>
      </c>
      <c r="B1238" s="3">
        <f>IFERROR(__xludf.DUMMYFUNCTION("""COMPUTED_VALUE"""),44284.0)</f>
        <v>44284</v>
      </c>
      <c r="C1238" s="3">
        <f>IFERROR(__xludf.DUMMYFUNCTION("""COMPUTED_VALUE"""),44290.0)</f>
        <v>44290</v>
      </c>
      <c r="D1238" s="2">
        <f>IFERROR(__xludf.DUMMYFUNCTION("""COMPUTED_VALUE"""),7.0)</f>
        <v>7</v>
      </c>
      <c r="E1238" s="2">
        <f>IFERROR(__xludf.DUMMYFUNCTION("""COMPUTED_VALUE"""),13.0)</f>
        <v>13</v>
      </c>
      <c r="F1238" s="2">
        <f>IFERROR(__xludf.DUMMYFUNCTION("""COMPUTED_VALUE"""),6473.0)</f>
        <v>6473</v>
      </c>
      <c r="G1238" s="2">
        <f>IFERROR(__xludf.DUMMYFUNCTION("""COMPUTED_VALUE"""),1139.0)</f>
        <v>1139</v>
      </c>
    </row>
    <row r="1239">
      <c r="A1239" s="2" t="str">
        <f>IFERROR(__xludf.DUMMYFUNCTION("""COMPUTED_VALUE"""),"Colombia")</f>
        <v>Colombia</v>
      </c>
      <c r="B1239" s="3">
        <f>IFERROR(__xludf.DUMMYFUNCTION("""COMPUTED_VALUE"""),44291.0)</f>
        <v>44291</v>
      </c>
      <c r="C1239" s="3">
        <f>IFERROR(__xludf.DUMMYFUNCTION("""COMPUTED_VALUE"""),44297.0)</f>
        <v>44297</v>
      </c>
      <c r="D1239" s="2">
        <f>IFERROR(__xludf.DUMMYFUNCTION("""COMPUTED_VALUE"""),7.0)</f>
        <v>7</v>
      </c>
      <c r="E1239" s="2">
        <f>IFERROR(__xludf.DUMMYFUNCTION("""COMPUTED_VALUE"""),14.0)</f>
        <v>14</v>
      </c>
      <c r="F1239" s="2">
        <f>IFERROR(__xludf.DUMMYFUNCTION("""COMPUTED_VALUE"""),7210.0)</f>
        <v>7210</v>
      </c>
      <c r="G1239" s="2">
        <f>IFERROR(__xludf.DUMMYFUNCTION("""COMPUTED_VALUE"""),1795.0)</f>
        <v>1795</v>
      </c>
    </row>
    <row r="1240">
      <c r="A1240" s="2" t="str">
        <f>IFERROR(__xludf.DUMMYFUNCTION("""COMPUTED_VALUE"""),"Colombia")</f>
        <v>Colombia</v>
      </c>
      <c r="B1240" s="3">
        <f>IFERROR(__xludf.DUMMYFUNCTION("""COMPUTED_VALUE"""),44298.0)</f>
        <v>44298</v>
      </c>
      <c r="C1240" s="3">
        <f>IFERROR(__xludf.DUMMYFUNCTION("""COMPUTED_VALUE"""),44304.0)</f>
        <v>44304</v>
      </c>
      <c r="D1240" s="2">
        <f>IFERROR(__xludf.DUMMYFUNCTION("""COMPUTED_VALUE"""),7.0)</f>
        <v>7</v>
      </c>
      <c r="E1240" s="2">
        <f>IFERROR(__xludf.DUMMYFUNCTION("""COMPUTED_VALUE"""),15.0)</f>
        <v>15</v>
      </c>
      <c r="F1240" s="2">
        <f>IFERROR(__xludf.DUMMYFUNCTION("""COMPUTED_VALUE"""),8440.0)</f>
        <v>8440</v>
      </c>
      <c r="G1240" s="2">
        <f>IFERROR(__xludf.DUMMYFUNCTION("""COMPUTED_VALUE"""),2439.0)</f>
        <v>2439</v>
      </c>
    </row>
    <row r="1241">
      <c r="A1241" s="2" t="str">
        <f>IFERROR(__xludf.DUMMYFUNCTION("""COMPUTED_VALUE"""),"Colombia")</f>
        <v>Colombia</v>
      </c>
      <c r="B1241" s="3">
        <f>IFERROR(__xludf.DUMMYFUNCTION("""COMPUTED_VALUE"""),44305.0)</f>
        <v>44305</v>
      </c>
      <c r="C1241" s="3">
        <f>IFERROR(__xludf.DUMMYFUNCTION("""COMPUTED_VALUE"""),44311.0)</f>
        <v>44311</v>
      </c>
      <c r="D1241" s="2">
        <f>IFERROR(__xludf.DUMMYFUNCTION("""COMPUTED_VALUE"""),7.0)</f>
        <v>7</v>
      </c>
      <c r="E1241" s="2">
        <f>IFERROR(__xludf.DUMMYFUNCTION("""COMPUTED_VALUE"""),16.0)</f>
        <v>16</v>
      </c>
      <c r="F1241" s="2">
        <f>IFERROR(__xludf.DUMMYFUNCTION("""COMPUTED_VALUE"""),8775.0)</f>
        <v>8775</v>
      </c>
      <c r="G1241" s="2">
        <f>IFERROR(__xludf.DUMMYFUNCTION("""COMPUTED_VALUE"""),3023.0)</f>
        <v>3023</v>
      </c>
    </row>
    <row r="1242">
      <c r="A1242" s="2" t="str">
        <f>IFERROR(__xludf.DUMMYFUNCTION("""COMPUTED_VALUE"""),"Colombia")</f>
        <v>Colombia</v>
      </c>
      <c r="B1242" s="3">
        <f>IFERROR(__xludf.DUMMYFUNCTION("""COMPUTED_VALUE"""),44312.0)</f>
        <v>44312</v>
      </c>
      <c r="C1242" s="3">
        <f>IFERROR(__xludf.DUMMYFUNCTION("""COMPUTED_VALUE"""),44318.0)</f>
        <v>44318</v>
      </c>
      <c r="D1242" s="2">
        <f>IFERROR(__xludf.DUMMYFUNCTION("""COMPUTED_VALUE"""),7.0)</f>
        <v>7</v>
      </c>
      <c r="E1242" s="2">
        <f>IFERROR(__xludf.DUMMYFUNCTION("""COMPUTED_VALUE"""),17.0)</f>
        <v>17</v>
      </c>
      <c r="F1242" s="2">
        <f>IFERROR(__xludf.DUMMYFUNCTION("""COMPUTED_VALUE"""),8789.0)</f>
        <v>8789</v>
      </c>
      <c r="G1242" s="2">
        <f>IFERROR(__xludf.DUMMYFUNCTION("""COMPUTED_VALUE"""),3126.0)</f>
        <v>3126</v>
      </c>
    </row>
    <row r="1243">
      <c r="A1243" s="2" t="str">
        <f>IFERROR(__xludf.DUMMYFUNCTION("""COMPUTED_VALUE"""),"Colombia")</f>
        <v>Colombia</v>
      </c>
      <c r="B1243" s="3">
        <f>IFERROR(__xludf.DUMMYFUNCTION("""COMPUTED_VALUE"""),44319.0)</f>
        <v>44319</v>
      </c>
      <c r="C1243" s="3">
        <f>IFERROR(__xludf.DUMMYFUNCTION("""COMPUTED_VALUE"""),44325.0)</f>
        <v>44325</v>
      </c>
      <c r="D1243" s="2">
        <f>IFERROR(__xludf.DUMMYFUNCTION("""COMPUTED_VALUE"""),7.0)</f>
        <v>7</v>
      </c>
      <c r="E1243" s="2">
        <f>IFERROR(__xludf.DUMMYFUNCTION("""COMPUTED_VALUE"""),18.0)</f>
        <v>18</v>
      </c>
      <c r="F1243" s="2">
        <f>IFERROR(__xludf.DUMMYFUNCTION("""COMPUTED_VALUE"""),8882.0)</f>
        <v>8882</v>
      </c>
      <c r="G1243" s="2">
        <f>IFERROR(__xludf.DUMMYFUNCTION("""COMPUTED_VALUE"""),3377.0)</f>
        <v>3377</v>
      </c>
    </row>
    <row r="1244">
      <c r="A1244" s="2" t="str">
        <f>IFERROR(__xludf.DUMMYFUNCTION("""COMPUTED_VALUE"""),"Colombia")</f>
        <v>Colombia</v>
      </c>
      <c r="B1244" s="3">
        <f>IFERROR(__xludf.DUMMYFUNCTION("""COMPUTED_VALUE"""),44326.0)</f>
        <v>44326</v>
      </c>
      <c r="C1244" s="3">
        <f>IFERROR(__xludf.DUMMYFUNCTION("""COMPUTED_VALUE"""),44332.0)</f>
        <v>44332</v>
      </c>
      <c r="D1244" s="2">
        <f>IFERROR(__xludf.DUMMYFUNCTION("""COMPUTED_VALUE"""),7.0)</f>
        <v>7</v>
      </c>
      <c r="E1244" s="2">
        <f>IFERROR(__xludf.DUMMYFUNCTION("""COMPUTED_VALUE"""),19.0)</f>
        <v>19</v>
      </c>
      <c r="F1244" s="2">
        <f>IFERROR(__xludf.DUMMYFUNCTION("""COMPUTED_VALUE"""),8988.0)</f>
        <v>8988</v>
      </c>
      <c r="G1244" s="2">
        <f>IFERROR(__xludf.DUMMYFUNCTION("""COMPUTED_VALUE"""),3446.0)</f>
        <v>3446</v>
      </c>
    </row>
    <row r="1245">
      <c r="A1245" s="2" t="str">
        <f>IFERROR(__xludf.DUMMYFUNCTION("""COMPUTED_VALUE"""),"Colombia")</f>
        <v>Colombia</v>
      </c>
      <c r="B1245" s="3">
        <f>IFERROR(__xludf.DUMMYFUNCTION("""COMPUTED_VALUE"""),44333.0)</f>
        <v>44333</v>
      </c>
      <c r="C1245" s="3">
        <f>IFERROR(__xludf.DUMMYFUNCTION("""COMPUTED_VALUE"""),44339.0)</f>
        <v>44339</v>
      </c>
      <c r="D1245" s="2">
        <f>IFERROR(__xludf.DUMMYFUNCTION("""COMPUTED_VALUE"""),7.0)</f>
        <v>7</v>
      </c>
      <c r="E1245" s="2">
        <f>IFERROR(__xludf.DUMMYFUNCTION("""COMPUTED_VALUE"""),20.0)</f>
        <v>20</v>
      </c>
      <c r="F1245" s="2">
        <f>IFERROR(__xludf.DUMMYFUNCTION("""COMPUTED_VALUE"""),9058.0)</f>
        <v>9058</v>
      </c>
      <c r="G1245" s="2">
        <f>IFERROR(__xludf.DUMMYFUNCTION("""COMPUTED_VALUE"""),3424.0)</f>
        <v>3424</v>
      </c>
    </row>
    <row r="1246">
      <c r="A1246" s="2" t="str">
        <f>IFERROR(__xludf.DUMMYFUNCTION("""COMPUTED_VALUE"""),"Colombia")</f>
        <v>Colombia</v>
      </c>
      <c r="B1246" s="3">
        <f>IFERROR(__xludf.DUMMYFUNCTION("""COMPUTED_VALUE"""),44340.0)</f>
        <v>44340</v>
      </c>
      <c r="C1246" s="3">
        <f>IFERROR(__xludf.DUMMYFUNCTION("""COMPUTED_VALUE"""),44346.0)</f>
        <v>44346</v>
      </c>
      <c r="D1246" s="2">
        <f>IFERROR(__xludf.DUMMYFUNCTION("""COMPUTED_VALUE"""),7.0)</f>
        <v>7</v>
      </c>
      <c r="E1246" s="2">
        <f>IFERROR(__xludf.DUMMYFUNCTION("""COMPUTED_VALUE"""),21.0)</f>
        <v>21</v>
      </c>
      <c r="F1246" s="2">
        <f>IFERROR(__xludf.DUMMYFUNCTION("""COMPUTED_VALUE"""),9296.0)</f>
        <v>9296</v>
      </c>
      <c r="G1246" s="2">
        <f>IFERROR(__xludf.DUMMYFUNCTION("""COMPUTED_VALUE"""),3558.0)</f>
        <v>3558</v>
      </c>
    </row>
    <row r="1247">
      <c r="A1247" s="2" t="str">
        <f>IFERROR(__xludf.DUMMYFUNCTION("""COMPUTED_VALUE"""),"Colombia")</f>
        <v>Colombia</v>
      </c>
      <c r="B1247" s="3">
        <f>IFERROR(__xludf.DUMMYFUNCTION("""COMPUTED_VALUE"""),44347.0)</f>
        <v>44347</v>
      </c>
      <c r="C1247" s="3">
        <f>IFERROR(__xludf.DUMMYFUNCTION("""COMPUTED_VALUE"""),44353.0)</f>
        <v>44353</v>
      </c>
      <c r="D1247" s="2">
        <f>IFERROR(__xludf.DUMMYFUNCTION("""COMPUTED_VALUE"""),7.0)</f>
        <v>7</v>
      </c>
      <c r="E1247" s="2">
        <f>IFERROR(__xludf.DUMMYFUNCTION("""COMPUTED_VALUE"""),22.0)</f>
        <v>22</v>
      </c>
      <c r="F1247" s="2">
        <f>IFERROR(__xludf.DUMMYFUNCTION("""COMPUTED_VALUE"""),9767.0)</f>
        <v>9767</v>
      </c>
      <c r="G1247" s="2">
        <f>IFERROR(__xludf.DUMMYFUNCTION("""COMPUTED_VALUE"""),3679.0)</f>
        <v>3679</v>
      </c>
    </row>
    <row r="1248">
      <c r="A1248" s="2" t="str">
        <f>IFERROR(__xludf.DUMMYFUNCTION("""COMPUTED_VALUE"""),"Colombia")</f>
        <v>Colombia</v>
      </c>
      <c r="B1248" s="3">
        <f>IFERROR(__xludf.DUMMYFUNCTION("""COMPUTED_VALUE"""),44354.0)</f>
        <v>44354</v>
      </c>
      <c r="C1248" s="3">
        <f>IFERROR(__xludf.DUMMYFUNCTION("""COMPUTED_VALUE"""),44360.0)</f>
        <v>44360</v>
      </c>
      <c r="D1248" s="2">
        <f>IFERROR(__xludf.DUMMYFUNCTION("""COMPUTED_VALUE"""),7.0)</f>
        <v>7</v>
      </c>
      <c r="E1248" s="2">
        <f>IFERROR(__xludf.DUMMYFUNCTION("""COMPUTED_VALUE"""),23.0)</f>
        <v>23</v>
      </c>
      <c r="F1248" s="2">
        <f>IFERROR(__xludf.DUMMYFUNCTION("""COMPUTED_VALUE"""),10081.0)</f>
        <v>10081</v>
      </c>
      <c r="G1248" s="2">
        <f>IFERROR(__xludf.DUMMYFUNCTION("""COMPUTED_VALUE"""),3817.0)</f>
        <v>3817</v>
      </c>
    </row>
    <row r="1249">
      <c r="A1249" s="2" t="str">
        <f>IFERROR(__xludf.DUMMYFUNCTION("""COMPUTED_VALUE"""),"Colombia")</f>
        <v>Colombia</v>
      </c>
      <c r="B1249" s="3">
        <f>IFERROR(__xludf.DUMMYFUNCTION("""COMPUTED_VALUE"""),44361.0)</f>
        <v>44361</v>
      </c>
      <c r="C1249" s="3">
        <f>IFERROR(__xludf.DUMMYFUNCTION("""COMPUTED_VALUE"""),44367.0)</f>
        <v>44367</v>
      </c>
      <c r="D1249" s="2">
        <f>IFERROR(__xludf.DUMMYFUNCTION("""COMPUTED_VALUE"""),7.0)</f>
        <v>7</v>
      </c>
      <c r="E1249" s="2">
        <f>IFERROR(__xludf.DUMMYFUNCTION("""COMPUTED_VALUE"""),24.0)</f>
        <v>24</v>
      </c>
      <c r="F1249" s="2">
        <f>IFERROR(__xludf.DUMMYFUNCTION("""COMPUTED_VALUE"""),10451.0)</f>
        <v>10451</v>
      </c>
      <c r="G1249" s="2">
        <f>IFERROR(__xludf.DUMMYFUNCTION("""COMPUTED_VALUE"""),4156.0)</f>
        <v>4156</v>
      </c>
    </row>
    <row r="1250">
      <c r="A1250" s="2" t="str">
        <f>IFERROR(__xludf.DUMMYFUNCTION("""COMPUTED_VALUE"""),"Colombia")</f>
        <v>Colombia</v>
      </c>
      <c r="B1250" s="3">
        <f>IFERROR(__xludf.DUMMYFUNCTION("""COMPUTED_VALUE"""),44368.0)</f>
        <v>44368</v>
      </c>
      <c r="C1250" s="3">
        <f>IFERROR(__xludf.DUMMYFUNCTION("""COMPUTED_VALUE"""),44374.0)</f>
        <v>44374</v>
      </c>
      <c r="D1250" s="2">
        <f>IFERROR(__xludf.DUMMYFUNCTION("""COMPUTED_VALUE"""),7.0)</f>
        <v>7</v>
      </c>
      <c r="E1250" s="2">
        <f>IFERROR(__xludf.DUMMYFUNCTION("""COMPUTED_VALUE"""),25.0)</f>
        <v>25</v>
      </c>
      <c r="F1250" s="2">
        <f>IFERROR(__xludf.DUMMYFUNCTION("""COMPUTED_VALUE"""),10456.0)</f>
        <v>10456</v>
      </c>
      <c r="G1250" s="2">
        <f>IFERROR(__xludf.DUMMYFUNCTION("""COMPUTED_VALUE"""),4744.0)</f>
        <v>4744</v>
      </c>
    </row>
    <row r="1251">
      <c r="A1251" s="2" t="str">
        <f>IFERROR(__xludf.DUMMYFUNCTION("""COMPUTED_VALUE"""),"Colombia")</f>
        <v>Colombia</v>
      </c>
      <c r="B1251" s="3">
        <f>IFERROR(__xludf.DUMMYFUNCTION("""COMPUTED_VALUE"""),44375.0)</f>
        <v>44375</v>
      </c>
      <c r="C1251" s="3">
        <f>IFERROR(__xludf.DUMMYFUNCTION("""COMPUTED_VALUE"""),44381.0)</f>
        <v>44381</v>
      </c>
      <c r="D1251" s="2">
        <f>IFERROR(__xludf.DUMMYFUNCTION("""COMPUTED_VALUE"""),7.0)</f>
        <v>7</v>
      </c>
      <c r="E1251" s="2">
        <f>IFERROR(__xludf.DUMMYFUNCTION("""COMPUTED_VALUE"""),26.0)</f>
        <v>26</v>
      </c>
      <c r="F1251" s="2">
        <f>IFERROR(__xludf.DUMMYFUNCTION("""COMPUTED_VALUE"""),10240.0)</f>
        <v>10240</v>
      </c>
      <c r="G1251" s="2">
        <f>IFERROR(__xludf.DUMMYFUNCTION("""COMPUTED_VALUE"""),4218.0)</f>
        <v>4218</v>
      </c>
    </row>
    <row r="1252">
      <c r="A1252" s="2" t="str">
        <f>IFERROR(__xludf.DUMMYFUNCTION("""COMPUTED_VALUE"""),"Colombia")</f>
        <v>Colombia</v>
      </c>
      <c r="B1252" s="3">
        <f>IFERROR(__xludf.DUMMYFUNCTION("""COMPUTED_VALUE"""),44382.0)</f>
        <v>44382</v>
      </c>
      <c r="C1252" s="3">
        <f>IFERROR(__xludf.DUMMYFUNCTION("""COMPUTED_VALUE"""),44388.0)</f>
        <v>44388</v>
      </c>
      <c r="D1252" s="2">
        <f>IFERROR(__xludf.DUMMYFUNCTION("""COMPUTED_VALUE"""),7.0)</f>
        <v>7</v>
      </c>
      <c r="E1252" s="2">
        <f>IFERROR(__xludf.DUMMYFUNCTION("""COMPUTED_VALUE"""),27.0)</f>
        <v>27</v>
      </c>
      <c r="F1252" s="2">
        <f>IFERROR(__xludf.DUMMYFUNCTION("""COMPUTED_VALUE"""),9485.0)</f>
        <v>9485</v>
      </c>
      <c r="G1252" s="2">
        <f>IFERROR(__xludf.DUMMYFUNCTION("""COMPUTED_VALUE"""),3930.0)</f>
        <v>3930</v>
      </c>
    </row>
    <row r="1253">
      <c r="A1253" s="2" t="str">
        <f>IFERROR(__xludf.DUMMYFUNCTION("""COMPUTED_VALUE"""),"Brazil")</f>
        <v>Brazil</v>
      </c>
      <c r="B1253" s="3">
        <f>IFERROR(__xludf.DUMMYFUNCTION("""COMPUTED_VALUE"""),42005.0)</f>
        <v>42005</v>
      </c>
      <c r="C1253" s="3">
        <f>IFERROR(__xludf.DUMMYFUNCTION("""COMPUTED_VALUE"""),42035.0)</f>
        <v>42035</v>
      </c>
      <c r="D1253" s="2">
        <f>IFERROR(__xludf.DUMMYFUNCTION("""COMPUTED_VALUE"""),31.0)</f>
        <v>31</v>
      </c>
      <c r="E1253" s="2">
        <f>IFERROR(__xludf.DUMMYFUNCTION("""COMPUTED_VALUE"""),1.0)</f>
        <v>1</v>
      </c>
      <c r="F1253" s="2">
        <f>IFERROR(__xludf.DUMMYFUNCTION("""COMPUTED_VALUE"""),106695.0)</f>
        <v>106695</v>
      </c>
      <c r="G1253" s="2">
        <f>IFERROR(__xludf.DUMMYFUNCTION("""COMPUTED_VALUE"""),0.0)</f>
        <v>0</v>
      </c>
    </row>
    <row r="1254">
      <c r="A1254" s="2" t="str">
        <f>IFERROR(__xludf.DUMMYFUNCTION("""COMPUTED_VALUE"""),"Brazil")</f>
        <v>Brazil</v>
      </c>
      <c r="B1254" s="3">
        <f>IFERROR(__xludf.DUMMYFUNCTION("""COMPUTED_VALUE"""),42036.0)</f>
        <v>42036</v>
      </c>
      <c r="C1254" s="3">
        <f>IFERROR(__xludf.DUMMYFUNCTION("""COMPUTED_VALUE"""),42063.0)</f>
        <v>42063</v>
      </c>
      <c r="D1254" s="2">
        <f>IFERROR(__xludf.DUMMYFUNCTION("""COMPUTED_VALUE"""),28.0)</f>
        <v>28</v>
      </c>
      <c r="E1254" s="2">
        <f>IFERROR(__xludf.DUMMYFUNCTION("""COMPUTED_VALUE"""),2.0)</f>
        <v>2</v>
      </c>
      <c r="F1254" s="2">
        <f>IFERROR(__xludf.DUMMYFUNCTION("""COMPUTED_VALUE"""),90612.0)</f>
        <v>90612</v>
      </c>
      <c r="G1254" s="2">
        <f>IFERROR(__xludf.DUMMYFUNCTION("""COMPUTED_VALUE"""),0.0)</f>
        <v>0</v>
      </c>
    </row>
    <row r="1255">
      <c r="A1255" s="2" t="str">
        <f>IFERROR(__xludf.DUMMYFUNCTION("""COMPUTED_VALUE"""),"Brazil")</f>
        <v>Brazil</v>
      </c>
      <c r="B1255" s="3">
        <f>IFERROR(__xludf.DUMMYFUNCTION("""COMPUTED_VALUE"""),42064.0)</f>
        <v>42064</v>
      </c>
      <c r="C1255" s="3">
        <f>IFERROR(__xludf.DUMMYFUNCTION("""COMPUTED_VALUE"""),42094.0)</f>
        <v>42094</v>
      </c>
      <c r="D1255" s="2">
        <f>IFERROR(__xludf.DUMMYFUNCTION("""COMPUTED_VALUE"""),31.0)</f>
        <v>31</v>
      </c>
      <c r="E1255" s="2">
        <f>IFERROR(__xludf.DUMMYFUNCTION("""COMPUTED_VALUE"""),3.0)</f>
        <v>3</v>
      </c>
      <c r="F1255" s="2">
        <f>IFERROR(__xludf.DUMMYFUNCTION("""COMPUTED_VALUE"""),102473.0)</f>
        <v>102473</v>
      </c>
      <c r="G1255" s="2">
        <f>IFERROR(__xludf.DUMMYFUNCTION("""COMPUTED_VALUE"""),0.0)</f>
        <v>0</v>
      </c>
    </row>
    <row r="1256">
      <c r="A1256" s="2" t="str">
        <f>IFERROR(__xludf.DUMMYFUNCTION("""COMPUTED_VALUE"""),"Brazil")</f>
        <v>Brazil</v>
      </c>
      <c r="B1256" s="3">
        <f>IFERROR(__xludf.DUMMYFUNCTION("""COMPUTED_VALUE"""),42095.0)</f>
        <v>42095</v>
      </c>
      <c r="C1256" s="3">
        <f>IFERROR(__xludf.DUMMYFUNCTION("""COMPUTED_VALUE"""),42124.0)</f>
        <v>42124</v>
      </c>
      <c r="D1256" s="2">
        <f>IFERROR(__xludf.DUMMYFUNCTION("""COMPUTED_VALUE"""),30.0)</f>
        <v>30</v>
      </c>
      <c r="E1256" s="2">
        <f>IFERROR(__xludf.DUMMYFUNCTION("""COMPUTED_VALUE"""),4.0)</f>
        <v>4</v>
      </c>
      <c r="F1256" s="2">
        <f>IFERROR(__xludf.DUMMYFUNCTION("""COMPUTED_VALUE"""),105114.0)</f>
        <v>105114</v>
      </c>
      <c r="G1256" s="2">
        <f>IFERROR(__xludf.DUMMYFUNCTION("""COMPUTED_VALUE"""),0.0)</f>
        <v>0</v>
      </c>
    </row>
    <row r="1257">
      <c r="A1257" s="2" t="str">
        <f>IFERROR(__xludf.DUMMYFUNCTION("""COMPUTED_VALUE"""),"Brazil")</f>
        <v>Brazil</v>
      </c>
      <c r="B1257" s="3">
        <f>IFERROR(__xludf.DUMMYFUNCTION("""COMPUTED_VALUE"""),42125.0)</f>
        <v>42125</v>
      </c>
      <c r="C1257" s="3">
        <f>IFERROR(__xludf.DUMMYFUNCTION("""COMPUTED_VALUE"""),42155.0)</f>
        <v>42155</v>
      </c>
      <c r="D1257" s="2">
        <f>IFERROR(__xludf.DUMMYFUNCTION("""COMPUTED_VALUE"""),31.0)</f>
        <v>31</v>
      </c>
      <c r="E1257" s="2">
        <f>IFERROR(__xludf.DUMMYFUNCTION("""COMPUTED_VALUE"""),5.0)</f>
        <v>5</v>
      </c>
      <c r="F1257" s="2">
        <f>IFERROR(__xludf.DUMMYFUNCTION("""COMPUTED_VALUE"""),114042.0)</f>
        <v>114042</v>
      </c>
      <c r="G1257" s="2">
        <f>IFERROR(__xludf.DUMMYFUNCTION("""COMPUTED_VALUE"""),0.0)</f>
        <v>0</v>
      </c>
    </row>
    <row r="1258">
      <c r="A1258" s="2" t="str">
        <f>IFERROR(__xludf.DUMMYFUNCTION("""COMPUTED_VALUE"""),"Brazil")</f>
        <v>Brazil</v>
      </c>
      <c r="B1258" s="3">
        <f>IFERROR(__xludf.DUMMYFUNCTION("""COMPUTED_VALUE"""),42156.0)</f>
        <v>42156</v>
      </c>
      <c r="C1258" s="3">
        <f>IFERROR(__xludf.DUMMYFUNCTION("""COMPUTED_VALUE"""),42185.0)</f>
        <v>42185</v>
      </c>
      <c r="D1258" s="2">
        <f>IFERROR(__xludf.DUMMYFUNCTION("""COMPUTED_VALUE"""),30.0)</f>
        <v>30</v>
      </c>
      <c r="E1258" s="2">
        <f>IFERROR(__xludf.DUMMYFUNCTION("""COMPUTED_VALUE"""),6.0)</f>
        <v>6</v>
      </c>
      <c r="F1258" s="2">
        <f>IFERROR(__xludf.DUMMYFUNCTION("""COMPUTED_VALUE"""),109240.0)</f>
        <v>109240</v>
      </c>
      <c r="G1258" s="2">
        <f>IFERROR(__xludf.DUMMYFUNCTION("""COMPUTED_VALUE"""),0.0)</f>
        <v>0</v>
      </c>
    </row>
    <row r="1259">
      <c r="A1259" s="2" t="str">
        <f>IFERROR(__xludf.DUMMYFUNCTION("""COMPUTED_VALUE"""),"Brazil")</f>
        <v>Brazil</v>
      </c>
      <c r="B1259" s="3">
        <f>IFERROR(__xludf.DUMMYFUNCTION("""COMPUTED_VALUE"""),42186.0)</f>
        <v>42186</v>
      </c>
      <c r="C1259" s="3">
        <f>IFERROR(__xludf.DUMMYFUNCTION("""COMPUTED_VALUE"""),42216.0)</f>
        <v>42216</v>
      </c>
      <c r="D1259" s="2">
        <f>IFERROR(__xludf.DUMMYFUNCTION("""COMPUTED_VALUE"""),31.0)</f>
        <v>31</v>
      </c>
      <c r="E1259" s="2">
        <f>IFERROR(__xludf.DUMMYFUNCTION("""COMPUTED_VALUE"""),7.0)</f>
        <v>7</v>
      </c>
      <c r="F1259" s="2">
        <f>IFERROR(__xludf.DUMMYFUNCTION("""COMPUTED_VALUE"""),112975.0)</f>
        <v>112975</v>
      </c>
      <c r="G1259" s="2">
        <f>IFERROR(__xludf.DUMMYFUNCTION("""COMPUTED_VALUE"""),0.0)</f>
        <v>0</v>
      </c>
    </row>
    <row r="1260">
      <c r="A1260" s="2" t="str">
        <f>IFERROR(__xludf.DUMMYFUNCTION("""COMPUTED_VALUE"""),"Brazil")</f>
        <v>Brazil</v>
      </c>
      <c r="B1260" s="3">
        <f>IFERROR(__xludf.DUMMYFUNCTION("""COMPUTED_VALUE"""),42217.0)</f>
        <v>42217</v>
      </c>
      <c r="C1260" s="3">
        <f>IFERROR(__xludf.DUMMYFUNCTION("""COMPUTED_VALUE"""),42247.0)</f>
        <v>42247</v>
      </c>
      <c r="D1260" s="2">
        <f>IFERROR(__xludf.DUMMYFUNCTION("""COMPUTED_VALUE"""),31.0)</f>
        <v>31</v>
      </c>
      <c r="E1260" s="2">
        <f>IFERROR(__xludf.DUMMYFUNCTION("""COMPUTED_VALUE"""),8.0)</f>
        <v>8</v>
      </c>
      <c r="F1260" s="2">
        <f>IFERROR(__xludf.DUMMYFUNCTION("""COMPUTED_VALUE"""),107510.0)</f>
        <v>107510</v>
      </c>
      <c r="G1260" s="2">
        <f>IFERROR(__xludf.DUMMYFUNCTION("""COMPUTED_VALUE"""),0.0)</f>
        <v>0</v>
      </c>
    </row>
    <row r="1261">
      <c r="A1261" s="2" t="str">
        <f>IFERROR(__xludf.DUMMYFUNCTION("""COMPUTED_VALUE"""),"Brazil")</f>
        <v>Brazil</v>
      </c>
      <c r="B1261" s="3">
        <f>IFERROR(__xludf.DUMMYFUNCTION("""COMPUTED_VALUE"""),42248.0)</f>
        <v>42248</v>
      </c>
      <c r="C1261" s="3">
        <f>IFERROR(__xludf.DUMMYFUNCTION("""COMPUTED_VALUE"""),42277.0)</f>
        <v>42277</v>
      </c>
      <c r="D1261" s="2">
        <f>IFERROR(__xludf.DUMMYFUNCTION("""COMPUTED_VALUE"""),30.0)</f>
        <v>30</v>
      </c>
      <c r="E1261" s="2">
        <f>IFERROR(__xludf.DUMMYFUNCTION("""COMPUTED_VALUE"""),9.0)</f>
        <v>9</v>
      </c>
      <c r="F1261" s="2">
        <f>IFERROR(__xludf.DUMMYFUNCTION("""COMPUTED_VALUE"""),103152.0)</f>
        <v>103152</v>
      </c>
      <c r="G1261" s="2">
        <f>IFERROR(__xludf.DUMMYFUNCTION("""COMPUTED_VALUE"""),0.0)</f>
        <v>0</v>
      </c>
    </row>
    <row r="1262">
      <c r="A1262" s="2" t="str">
        <f>IFERROR(__xludf.DUMMYFUNCTION("""COMPUTED_VALUE"""),"Brazil")</f>
        <v>Brazil</v>
      </c>
      <c r="B1262" s="3">
        <f>IFERROR(__xludf.DUMMYFUNCTION("""COMPUTED_VALUE"""),42278.0)</f>
        <v>42278</v>
      </c>
      <c r="C1262" s="3">
        <f>IFERROR(__xludf.DUMMYFUNCTION("""COMPUTED_VALUE"""),42308.0)</f>
        <v>42308</v>
      </c>
      <c r="D1262" s="2">
        <f>IFERROR(__xludf.DUMMYFUNCTION("""COMPUTED_VALUE"""),31.0)</f>
        <v>31</v>
      </c>
      <c r="E1262" s="2">
        <f>IFERROR(__xludf.DUMMYFUNCTION("""COMPUTED_VALUE"""),10.0)</f>
        <v>10</v>
      </c>
      <c r="F1262" s="2">
        <f>IFERROR(__xludf.DUMMYFUNCTION("""COMPUTED_VALUE"""),104756.0)</f>
        <v>104756</v>
      </c>
      <c r="G1262" s="2">
        <f>IFERROR(__xludf.DUMMYFUNCTION("""COMPUTED_VALUE"""),0.0)</f>
        <v>0</v>
      </c>
    </row>
    <row r="1263">
      <c r="A1263" s="2" t="str">
        <f>IFERROR(__xludf.DUMMYFUNCTION("""COMPUTED_VALUE"""),"Brazil")</f>
        <v>Brazil</v>
      </c>
      <c r="B1263" s="3">
        <f>IFERROR(__xludf.DUMMYFUNCTION("""COMPUTED_VALUE"""),42309.0)</f>
        <v>42309</v>
      </c>
      <c r="C1263" s="3">
        <f>IFERROR(__xludf.DUMMYFUNCTION("""COMPUTED_VALUE"""),42338.0)</f>
        <v>42338</v>
      </c>
      <c r="D1263" s="2">
        <f>IFERROR(__xludf.DUMMYFUNCTION("""COMPUTED_VALUE"""),30.0)</f>
        <v>30</v>
      </c>
      <c r="E1263" s="2">
        <f>IFERROR(__xludf.DUMMYFUNCTION("""COMPUTED_VALUE"""),11.0)</f>
        <v>11</v>
      </c>
      <c r="F1263" s="2">
        <f>IFERROR(__xludf.DUMMYFUNCTION("""COMPUTED_VALUE"""),100873.0)</f>
        <v>100873</v>
      </c>
      <c r="G1263" s="2">
        <f>IFERROR(__xludf.DUMMYFUNCTION("""COMPUTED_VALUE"""),0.0)</f>
        <v>0</v>
      </c>
    </row>
    <row r="1264">
      <c r="A1264" s="2" t="str">
        <f>IFERROR(__xludf.DUMMYFUNCTION("""COMPUTED_VALUE"""),"Brazil")</f>
        <v>Brazil</v>
      </c>
      <c r="B1264" s="3">
        <f>IFERROR(__xludf.DUMMYFUNCTION("""COMPUTED_VALUE"""),42339.0)</f>
        <v>42339</v>
      </c>
      <c r="C1264" s="3">
        <f>IFERROR(__xludf.DUMMYFUNCTION("""COMPUTED_VALUE"""),42369.0)</f>
        <v>42369</v>
      </c>
      <c r="D1264" s="2">
        <f>IFERROR(__xludf.DUMMYFUNCTION("""COMPUTED_VALUE"""),31.0)</f>
        <v>31</v>
      </c>
      <c r="E1264" s="2">
        <f>IFERROR(__xludf.DUMMYFUNCTION("""COMPUTED_VALUE"""),12.0)</f>
        <v>12</v>
      </c>
      <c r="F1264" s="2">
        <f>IFERROR(__xludf.DUMMYFUNCTION("""COMPUTED_VALUE"""),106733.0)</f>
        <v>106733</v>
      </c>
      <c r="G1264" s="2">
        <f>IFERROR(__xludf.DUMMYFUNCTION("""COMPUTED_VALUE"""),0.0)</f>
        <v>0</v>
      </c>
    </row>
    <row r="1265">
      <c r="A1265" s="2" t="str">
        <f>IFERROR(__xludf.DUMMYFUNCTION("""COMPUTED_VALUE"""),"Brazil")</f>
        <v>Brazil</v>
      </c>
      <c r="B1265" s="3">
        <f>IFERROR(__xludf.DUMMYFUNCTION("""COMPUTED_VALUE"""),42370.0)</f>
        <v>42370</v>
      </c>
      <c r="C1265" s="3">
        <f>IFERROR(__xludf.DUMMYFUNCTION("""COMPUTED_VALUE"""),42400.0)</f>
        <v>42400</v>
      </c>
      <c r="D1265" s="2">
        <f>IFERROR(__xludf.DUMMYFUNCTION("""COMPUTED_VALUE"""),31.0)</f>
        <v>31</v>
      </c>
      <c r="E1265" s="2">
        <f>IFERROR(__xludf.DUMMYFUNCTION("""COMPUTED_VALUE"""),1.0)</f>
        <v>1</v>
      </c>
      <c r="F1265" s="2">
        <f>IFERROR(__xludf.DUMMYFUNCTION("""COMPUTED_VALUE"""),106199.0)</f>
        <v>106199</v>
      </c>
      <c r="G1265" s="2">
        <f>IFERROR(__xludf.DUMMYFUNCTION("""COMPUTED_VALUE"""),0.0)</f>
        <v>0</v>
      </c>
    </row>
    <row r="1266">
      <c r="A1266" s="2" t="str">
        <f>IFERROR(__xludf.DUMMYFUNCTION("""COMPUTED_VALUE"""),"Brazil")</f>
        <v>Brazil</v>
      </c>
      <c r="B1266" s="3">
        <f>IFERROR(__xludf.DUMMYFUNCTION("""COMPUTED_VALUE"""),42401.0)</f>
        <v>42401</v>
      </c>
      <c r="C1266" s="3">
        <f>IFERROR(__xludf.DUMMYFUNCTION("""COMPUTED_VALUE"""),42429.0)</f>
        <v>42429</v>
      </c>
      <c r="D1266" s="2">
        <f>IFERROR(__xludf.DUMMYFUNCTION("""COMPUTED_VALUE"""),29.0)</f>
        <v>29</v>
      </c>
      <c r="E1266" s="2">
        <f>IFERROR(__xludf.DUMMYFUNCTION("""COMPUTED_VALUE"""),2.0)</f>
        <v>2</v>
      </c>
      <c r="F1266" s="2">
        <f>IFERROR(__xludf.DUMMYFUNCTION("""COMPUTED_VALUE"""),102818.0)</f>
        <v>102818</v>
      </c>
      <c r="G1266" s="2">
        <f>IFERROR(__xludf.DUMMYFUNCTION("""COMPUTED_VALUE"""),0.0)</f>
        <v>0</v>
      </c>
    </row>
    <row r="1267">
      <c r="A1267" s="2" t="str">
        <f>IFERROR(__xludf.DUMMYFUNCTION("""COMPUTED_VALUE"""),"Brazil")</f>
        <v>Brazil</v>
      </c>
      <c r="B1267" s="3">
        <f>IFERROR(__xludf.DUMMYFUNCTION("""COMPUTED_VALUE"""),42430.0)</f>
        <v>42430</v>
      </c>
      <c r="C1267" s="3">
        <f>IFERROR(__xludf.DUMMYFUNCTION("""COMPUTED_VALUE"""),42460.0)</f>
        <v>42460</v>
      </c>
      <c r="D1267" s="2">
        <f>IFERROR(__xludf.DUMMYFUNCTION("""COMPUTED_VALUE"""),31.0)</f>
        <v>31</v>
      </c>
      <c r="E1267" s="2">
        <f>IFERROR(__xludf.DUMMYFUNCTION("""COMPUTED_VALUE"""),3.0)</f>
        <v>3</v>
      </c>
      <c r="F1267" s="2">
        <f>IFERROR(__xludf.DUMMYFUNCTION("""COMPUTED_VALUE"""),111631.0)</f>
        <v>111631</v>
      </c>
      <c r="G1267" s="2">
        <f>IFERROR(__xludf.DUMMYFUNCTION("""COMPUTED_VALUE"""),0.0)</f>
        <v>0</v>
      </c>
    </row>
    <row r="1268">
      <c r="A1268" s="2" t="str">
        <f>IFERROR(__xludf.DUMMYFUNCTION("""COMPUTED_VALUE"""),"Brazil")</f>
        <v>Brazil</v>
      </c>
      <c r="B1268" s="3">
        <f>IFERROR(__xludf.DUMMYFUNCTION("""COMPUTED_VALUE"""),42461.0)</f>
        <v>42461</v>
      </c>
      <c r="C1268" s="3">
        <f>IFERROR(__xludf.DUMMYFUNCTION("""COMPUTED_VALUE"""),42490.0)</f>
        <v>42490</v>
      </c>
      <c r="D1268" s="2">
        <f>IFERROR(__xludf.DUMMYFUNCTION("""COMPUTED_VALUE"""),30.0)</f>
        <v>30</v>
      </c>
      <c r="E1268" s="2">
        <f>IFERROR(__xludf.DUMMYFUNCTION("""COMPUTED_VALUE"""),4.0)</f>
        <v>4</v>
      </c>
      <c r="F1268" s="2">
        <f>IFERROR(__xludf.DUMMYFUNCTION("""COMPUTED_VALUE"""),112127.0)</f>
        <v>112127</v>
      </c>
      <c r="G1268" s="2">
        <f>IFERROR(__xludf.DUMMYFUNCTION("""COMPUTED_VALUE"""),0.0)</f>
        <v>0</v>
      </c>
    </row>
    <row r="1269">
      <c r="A1269" s="2" t="str">
        <f>IFERROR(__xludf.DUMMYFUNCTION("""COMPUTED_VALUE"""),"Brazil")</f>
        <v>Brazil</v>
      </c>
      <c r="B1269" s="3">
        <f>IFERROR(__xludf.DUMMYFUNCTION("""COMPUTED_VALUE"""),42491.0)</f>
        <v>42491</v>
      </c>
      <c r="C1269" s="3">
        <f>IFERROR(__xludf.DUMMYFUNCTION("""COMPUTED_VALUE"""),42521.0)</f>
        <v>42521</v>
      </c>
      <c r="D1269" s="2">
        <f>IFERROR(__xludf.DUMMYFUNCTION("""COMPUTED_VALUE"""),31.0)</f>
        <v>31</v>
      </c>
      <c r="E1269" s="2">
        <f>IFERROR(__xludf.DUMMYFUNCTION("""COMPUTED_VALUE"""),5.0)</f>
        <v>5</v>
      </c>
      <c r="F1269" s="2">
        <f>IFERROR(__xludf.DUMMYFUNCTION("""COMPUTED_VALUE"""),115315.0)</f>
        <v>115315</v>
      </c>
      <c r="G1269" s="2">
        <f>IFERROR(__xludf.DUMMYFUNCTION("""COMPUTED_VALUE"""),0.0)</f>
        <v>0</v>
      </c>
    </row>
    <row r="1270">
      <c r="A1270" s="2" t="str">
        <f>IFERROR(__xludf.DUMMYFUNCTION("""COMPUTED_VALUE"""),"Brazil")</f>
        <v>Brazil</v>
      </c>
      <c r="B1270" s="3">
        <f>IFERROR(__xludf.DUMMYFUNCTION("""COMPUTED_VALUE"""),42522.0)</f>
        <v>42522</v>
      </c>
      <c r="C1270" s="3">
        <f>IFERROR(__xludf.DUMMYFUNCTION("""COMPUTED_VALUE"""),42551.0)</f>
        <v>42551</v>
      </c>
      <c r="D1270" s="2">
        <f>IFERROR(__xludf.DUMMYFUNCTION("""COMPUTED_VALUE"""),30.0)</f>
        <v>30</v>
      </c>
      <c r="E1270" s="2">
        <f>IFERROR(__xludf.DUMMYFUNCTION("""COMPUTED_VALUE"""),6.0)</f>
        <v>6</v>
      </c>
      <c r="F1270" s="2">
        <f>IFERROR(__xludf.DUMMYFUNCTION("""COMPUTED_VALUE"""),117216.0)</f>
        <v>117216</v>
      </c>
      <c r="G1270" s="2">
        <f>IFERROR(__xludf.DUMMYFUNCTION("""COMPUTED_VALUE"""),0.0)</f>
        <v>0</v>
      </c>
    </row>
    <row r="1271">
      <c r="A1271" s="2" t="str">
        <f>IFERROR(__xludf.DUMMYFUNCTION("""COMPUTED_VALUE"""),"Brazil")</f>
        <v>Brazil</v>
      </c>
      <c r="B1271" s="3">
        <f>IFERROR(__xludf.DUMMYFUNCTION("""COMPUTED_VALUE"""),42552.0)</f>
        <v>42552</v>
      </c>
      <c r="C1271" s="3">
        <f>IFERROR(__xludf.DUMMYFUNCTION("""COMPUTED_VALUE"""),42582.0)</f>
        <v>42582</v>
      </c>
      <c r="D1271" s="2">
        <f>IFERROR(__xludf.DUMMYFUNCTION("""COMPUTED_VALUE"""),31.0)</f>
        <v>31</v>
      </c>
      <c r="E1271" s="2">
        <f>IFERROR(__xludf.DUMMYFUNCTION("""COMPUTED_VALUE"""),7.0)</f>
        <v>7</v>
      </c>
      <c r="F1271" s="2">
        <f>IFERROR(__xludf.DUMMYFUNCTION("""COMPUTED_VALUE"""),118151.0)</f>
        <v>118151</v>
      </c>
      <c r="G1271" s="2">
        <f>IFERROR(__xludf.DUMMYFUNCTION("""COMPUTED_VALUE"""),0.0)</f>
        <v>0</v>
      </c>
    </row>
    <row r="1272">
      <c r="A1272" s="2" t="str">
        <f>IFERROR(__xludf.DUMMYFUNCTION("""COMPUTED_VALUE"""),"Brazil")</f>
        <v>Brazil</v>
      </c>
      <c r="B1272" s="3">
        <f>IFERROR(__xludf.DUMMYFUNCTION("""COMPUTED_VALUE"""),42583.0)</f>
        <v>42583</v>
      </c>
      <c r="C1272" s="3">
        <f>IFERROR(__xludf.DUMMYFUNCTION("""COMPUTED_VALUE"""),42613.0)</f>
        <v>42613</v>
      </c>
      <c r="D1272" s="2">
        <f>IFERROR(__xludf.DUMMYFUNCTION("""COMPUTED_VALUE"""),31.0)</f>
        <v>31</v>
      </c>
      <c r="E1272" s="2">
        <f>IFERROR(__xludf.DUMMYFUNCTION("""COMPUTED_VALUE"""),8.0)</f>
        <v>8</v>
      </c>
      <c r="F1272" s="2">
        <f>IFERROR(__xludf.DUMMYFUNCTION("""COMPUTED_VALUE"""),111120.0)</f>
        <v>111120</v>
      </c>
      <c r="G1272" s="2">
        <f>IFERROR(__xludf.DUMMYFUNCTION("""COMPUTED_VALUE"""),0.0)</f>
        <v>0</v>
      </c>
    </row>
    <row r="1273">
      <c r="A1273" s="2" t="str">
        <f>IFERROR(__xludf.DUMMYFUNCTION("""COMPUTED_VALUE"""),"Brazil")</f>
        <v>Brazil</v>
      </c>
      <c r="B1273" s="3">
        <f>IFERROR(__xludf.DUMMYFUNCTION("""COMPUTED_VALUE"""),42614.0)</f>
        <v>42614</v>
      </c>
      <c r="C1273" s="3">
        <f>IFERROR(__xludf.DUMMYFUNCTION("""COMPUTED_VALUE"""),42643.0)</f>
        <v>42643</v>
      </c>
      <c r="D1273" s="2">
        <f>IFERROR(__xludf.DUMMYFUNCTION("""COMPUTED_VALUE"""),30.0)</f>
        <v>30</v>
      </c>
      <c r="E1273" s="2">
        <f>IFERROR(__xludf.DUMMYFUNCTION("""COMPUTED_VALUE"""),9.0)</f>
        <v>9</v>
      </c>
      <c r="F1273" s="2">
        <f>IFERROR(__xludf.DUMMYFUNCTION("""COMPUTED_VALUE"""),102873.0)</f>
        <v>102873</v>
      </c>
      <c r="G1273" s="2">
        <f>IFERROR(__xludf.DUMMYFUNCTION("""COMPUTED_VALUE"""),0.0)</f>
        <v>0</v>
      </c>
    </row>
    <row r="1274">
      <c r="A1274" s="2" t="str">
        <f>IFERROR(__xludf.DUMMYFUNCTION("""COMPUTED_VALUE"""),"Brazil")</f>
        <v>Brazil</v>
      </c>
      <c r="B1274" s="3">
        <f>IFERROR(__xludf.DUMMYFUNCTION("""COMPUTED_VALUE"""),42644.0)</f>
        <v>42644</v>
      </c>
      <c r="C1274" s="3">
        <f>IFERROR(__xludf.DUMMYFUNCTION("""COMPUTED_VALUE"""),42674.0)</f>
        <v>42674</v>
      </c>
      <c r="D1274" s="2">
        <f>IFERROR(__xludf.DUMMYFUNCTION("""COMPUTED_VALUE"""),31.0)</f>
        <v>31</v>
      </c>
      <c r="E1274" s="2">
        <f>IFERROR(__xludf.DUMMYFUNCTION("""COMPUTED_VALUE"""),10.0)</f>
        <v>10</v>
      </c>
      <c r="F1274" s="2">
        <f>IFERROR(__xludf.DUMMYFUNCTION("""COMPUTED_VALUE"""),107472.0)</f>
        <v>107472</v>
      </c>
      <c r="G1274" s="2">
        <f>IFERROR(__xludf.DUMMYFUNCTION("""COMPUTED_VALUE"""),0.0)</f>
        <v>0</v>
      </c>
    </row>
    <row r="1275">
      <c r="A1275" s="2" t="str">
        <f>IFERROR(__xludf.DUMMYFUNCTION("""COMPUTED_VALUE"""),"Brazil")</f>
        <v>Brazil</v>
      </c>
      <c r="B1275" s="3">
        <f>IFERROR(__xludf.DUMMYFUNCTION("""COMPUTED_VALUE"""),42675.0)</f>
        <v>42675</v>
      </c>
      <c r="C1275" s="3">
        <f>IFERROR(__xludf.DUMMYFUNCTION("""COMPUTED_VALUE"""),42704.0)</f>
        <v>42704</v>
      </c>
      <c r="D1275" s="2">
        <f>IFERROR(__xludf.DUMMYFUNCTION("""COMPUTED_VALUE"""),30.0)</f>
        <v>30</v>
      </c>
      <c r="E1275" s="2">
        <f>IFERROR(__xludf.DUMMYFUNCTION("""COMPUTED_VALUE"""),11.0)</f>
        <v>11</v>
      </c>
      <c r="F1275" s="2">
        <f>IFERROR(__xludf.DUMMYFUNCTION("""COMPUTED_VALUE"""),99625.0)</f>
        <v>99625</v>
      </c>
      <c r="G1275" s="2">
        <f>IFERROR(__xludf.DUMMYFUNCTION("""COMPUTED_VALUE"""),0.0)</f>
        <v>0</v>
      </c>
    </row>
    <row r="1276">
      <c r="A1276" s="2" t="str">
        <f>IFERROR(__xludf.DUMMYFUNCTION("""COMPUTED_VALUE"""),"Brazil")</f>
        <v>Brazil</v>
      </c>
      <c r="B1276" s="3">
        <f>IFERROR(__xludf.DUMMYFUNCTION("""COMPUTED_VALUE"""),42705.0)</f>
        <v>42705</v>
      </c>
      <c r="C1276" s="3">
        <f>IFERROR(__xludf.DUMMYFUNCTION("""COMPUTED_VALUE"""),42735.0)</f>
        <v>42735</v>
      </c>
      <c r="D1276" s="2">
        <f>IFERROR(__xludf.DUMMYFUNCTION("""COMPUTED_VALUE"""),31.0)</f>
        <v>31</v>
      </c>
      <c r="E1276" s="2">
        <f>IFERROR(__xludf.DUMMYFUNCTION("""COMPUTED_VALUE"""),12.0)</f>
        <v>12</v>
      </c>
      <c r="F1276" s="2">
        <f>IFERROR(__xludf.DUMMYFUNCTION("""COMPUTED_VALUE"""),105227.0)</f>
        <v>105227</v>
      </c>
      <c r="G1276" s="2">
        <f>IFERROR(__xludf.DUMMYFUNCTION("""COMPUTED_VALUE"""),0.0)</f>
        <v>0</v>
      </c>
    </row>
    <row r="1277">
      <c r="A1277" s="2" t="str">
        <f>IFERROR(__xludf.DUMMYFUNCTION("""COMPUTED_VALUE"""),"Brazil")</f>
        <v>Brazil</v>
      </c>
      <c r="B1277" s="3">
        <f>IFERROR(__xludf.DUMMYFUNCTION("""COMPUTED_VALUE"""),42736.0)</f>
        <v>42736</v>
      </c>
      <c r="C1277" s="3">
        <f>IFERROR(__xludf.DUMMYFUNCTION("""COMPUTED_VALUE"""),42766.0)</f>
        <v>42766</v>
      </c>
      <c r="D1277" s="2">
        <f>IFERROR(__xludf.DUMMYFUNCTION("""COMPUTED_VALUE"""),31.0)</f>
        <v>31</v>
      </c>
      <c r="E1277" s="2">
        <f>IFERROR(__xludf.DUMMYFUNCTION("""COMPUTED_VALUE"""),1.0)</f>
        <v>1</v>
      </c>
      <c r="F1277" s="2">
        <f>IFERROR(__xludf.DUMMYFUNCTION("""COMPUTED_VALUE"""),105899.0)</f>
        <v>105899</v>
      </c>
      <c r="G1277" s="2">
        <f>IFERROR(__xludf.DUMMYFUNCTION("""COMPUTED_VALUE"""),0.0)</f>
        <v>0</v>
      </c>
    </row>
    <row r="1278">
      <c r="A1278" s="2" t="str">
        <f>IFERROR(__xludf.DUMMYFUNCTION("""COMPUTED_VALUE"""),"Brazil")</f>
        <v>Brazil</v>
      </c>
      <c r="B1278" s="3">
        <f>IFERROR(__xludf.DUMMYFUNCTION("""COMPUTED_VALUE"""),42767.0)</f>
        <v>42767</v>
      </c>
      <c r="C1278" s="3">
        <f>IFERROR(__xludf.DUMMYFUNCTION("""COMPUTED_VALUE"""),42794.0)</f>
        <v>42794</v>
      </c>
      <c r="D1278" s="2">
        <f>IFERROR(__xludf.DUMMYFUNCTION("""COMPUTED_VALUE"""),28.0)</f>
        <v>28</v>
      </c>
      <c r="E1278" s="2">
        <f>IFERROR(__xludf.DUMMYFUNCTION("""COMPUTED_VALUE"""),2.0)</f>
        <v>2</v>
      </c>
      <c r="F1278" s="2">
        <f>IFERROR(__xludf.DUMMYFUNCTION("""COMPUTED_VALUE"""),97082.0)</f>
        <v>97082</v>
      </c>
      <c r="G1278" s="2">
        <f>IFERROR(__xludf.DUMMYFUNCTION("""COMPUTED_VALUE"""),0.0)</f>
        <v>0</v>
      </c>
    </row>
    <row r="1279">
      <c r="A1279" s="2" t="str">
        <f>IFERROR(__xludf.DUMMYFUNCTION("""COMPUTED_VALUE"""),"Brazil")</f>
        <v>Brazil</v>
      </c>
      <c r="B1279" s="3">
        <f>IFERROR(__xludf.DUMMYFUNCTION("""COMPUTED_VALUE"""),42795.0)</f>
        <v>42795</v>
      </c>
      <c r="C1279" s="3">
        <f>IFERROR(__xludf.DUMMYFUNCTION("""COMPUTED_VALUE"""),42825.0)</f>
        <v>42825</v>
      </c>
      <c r="D1279" s="2">
        <f>IFERROR(__xludf.DUMMYFUNCTION("""COMPUTED_VALUE"""),31.0)</f>
        <v>31</v>
      </c>
      <c r="E1279" s="2">
        <f>IFERROR(__xludf.DUMMYFUNCTION("""COMPUTED_VALUE"""),3.0)</f>
        <v>3</v>
      </c>
      <c r="F1279" s="2">
        <f>IFERROR(__xludf.DUMMYFUNCTION("""COMPUTED_VALUE"""),108850.0)</f>
        <v>108850</v>
      </c>
      <c r="G1279" s="2">
        <f>IFERROR(__xludf.DUMMYFUNCTION("""COMPUTED_VALUE"""),0.0)</f>
        <v>0</v>
      </c>
    </row>
    <row r="1280">
      <c r="A1280" s="2" t="str">
        <f>IFERROR(__xludf.DUMMYFUNCTION("""COMPUTED_VALUE"""),"Brazil")</f>
        <v>Brazil</v>
      </c>
      <c r="B1280" s="3">
        <f>IFERROR(__xludf.DUMMYFUNCTION("""COMPUTED_VALUE"""),42826.0)</f>
        <v>42826</v>
      </c>
      <c r="C1280" s="3">
        <f>IFERROR(__xludf.DUMMYFUNCTION("""COMPUTED_VALUE"""),42855.0)</f>
        <v>42855</v>
      </c>
      <c r="D1280" s="2">
        <f>IFERROR(__xludf.DUMMYFUNCTION("""COMPUTED_VALUE"""),30.0)</f>
        <v>30</v>
      </c>
      <c r="E1280" s="2">
        <f>IFERROR(__xludf.DUMMYFUNCTION("""COMPUTED_VALUE"""),4.0)</f>
        <v>4</v>
      </c>
      <c r="F1280" s="2">
        <f>IFERROR(__xludf.DUMMYFUNCTION("""COMPUTED_VALUE"""),107063.0)</f>
        <v>107063</v>
      </c>
      <c r="G1280" s="2">
        <f>IFERROR(__xludf.DUMMYFUNCTION("""COMPUTED_VALUE"""),0.0)</f>
        <v>0</v>
      </c>
    </row>
    <row r="1281">
      <c r="A1281" s="2" t="str">
        <f>IFERROR(__xludf.DUMMYFUNCTION("""COMPUTED_VALUE"""),"Brazil")</f>
        <v>Brazil</v>
      </c>
      <c r="B1281" s="3">
        <f>IFERROR(__xludf.DUMMYFUNCTION("""COMPUTED_VALUE"""),42856.0)</f>
        <v>42856</v>
      </c>
      <c r="C1281" s="3">
        <f>IFERROR(__xludf.DUMMYFUNCTION("""COMPUTED_VALUE"""),42886.0)</f>
        <v>42886</v>
      </c>
      <c r="D1281" s="2">
        <f>IFERROR(__xludf.DUMMYFUNCTION("""COMPUTED_VALUE"""),31.0)</f>
        <v>31</v>
      </c>
      <c r="E1281" s="2">
        <f>IFERROR(__xludf.DUMMYFUNCTION("""COMPUTED_VALUE"""),5.0)</f>
        <v>5</v>
      </c>
      <c r="F1281" s="2">
        <f>IFERROR(__xludf.DUMMYFUNCTION("""COMPUTED_VALUE"""),114774.0)</f>
        <v>114774</v>
      </c>
      <c r="G1281" s="2">
        <f>IFERROR(__xludf.DUMMYFUNCTION("""COMPUTED_VALUE"""),0.0)</f>
        <v>0</v>
      </c>
    </row>
    <row r="1282">
      <c r="A1282" s="2" t="str">
        <f>IFERROR(__xludf.DUMMYFUNCTION("""COMPUTED_VALUE"""),"Brazil")</f>
        <v>Brazil</v>
      </c>
      <c r="B1282" s="3">
        <f>IFERROR(__xludf.DUMMYFUNCTION("""COMPUTED_VALUE"""),42887.0)</f>
        <v>42887</v>
      </c>
      <c r="C1282" s="3">
        <f>IFERROR(__xludf.DUMMYFUNCTION("""COMPUTED_VALUE"""),42916.0)</f>
        <v>42916</v>
      </c>
      <c r="D1282" s="2">
        <f>IFERROR(__xludf.DUMMYFUNCTION("""COMPUTED_VALUE"""),30.0)</f>
        <v>30</v>
      </c>
      <c r="E1282" s="2">
        <f>IFERROR(__xludf.DUMMYFUNCTION("""COMPUTED_VALUE"""),6.0)</f>
        <v>6</v>
      </c>
      <c r="F1282" s="2">
        <f>IFERROR(__xludf.DUMMYFUNCTION("""COMPUTED_VALUE"""),114324.0)</f>
        <v>114324</v>
      </c>
      <c r="G1282" s="2">
        <f>IFERROR(__xludf.DUMMYFUNCTION("""COMPUTED_VALUE"""),0.0)</f>
        <v>0</v>
      </c>
    </row>
    <row r="1283">
      <c r="A1283" s="2" t="str">
        <f>IFERROR(__xludf.DUMMYFUNCTION("""COMPUTED_VALUE"""),"Brazil")</f>
        <v>Brazil</v>
      </c>
      <c r="B1283" s="3">
        <f>IFERROR(__xludf.DUMMYFUNCTION("""COMPUTED_VALUE"""),42917.0)</f>
        <v>42917</v>
      </c>
      <c r="C1283" s="3">
        <f>IFERROR(__xludf.DUMMYFUNCTION("""COMPUTED_VALUE"""),42947.0)</f>
        <v>42947</v>
      </c>
      <c r="D1283" s="2">
        <f>IFERROR(__xludf.DUMMYFUNCTION("""COMPUTED_VALUE"""),31.0)</f>
        <v>31</v>
      </c>
      <c r="E1283" s="2">
        <f>IFERROR(__xludf.DUMMYFUNCTION("""COMPUTED_VALUE"""),7.0)</f>
        <v>7</v>
      </c>
      <c r="F1283" s="2">
        <f>IFERROR(__xludf.DUMMYFUNCTION("""COMPUTED_VALUE"""),122610.0)</f>
        <v>122610</v>
      </c>
      <c r="G1283" s="2">
        <f>IFERROR(__xludf.DUMMYFUNCTION("""COMPUTED_VALUE"""),0.0)</f>
        <v>0</v>
      </c>
    </row>
    <row r="1284">
      <c r="A1284" s="2" t="str">
        <f>IFERROR(__xludf.DUMMYFUNCTION("""COMPUTED_VALUE"""),"Brazil")</f>
        <v>Brazil</v>
      </c>
      <c r="B1284" s="3">
        <f>IFERROR(__xludf.DUMMYFUNCTION("""COMPUTED_VALUE"""),42948.0)</f>
        <v>42948</v>
      </c>
      <c r="C1284" s="3">
        <f>IFERROR(__xludf.DUMMYFUNCTION("""COMPUTED_VALUE"""),42978.0)</f>
        <v>42978</v>
      </c>
      <c r="D1284" s="2">
        <f>IFERROR(__xludf.DUMMYFUNCTION("""COMPUTED_VALUE"""),31.0)</f>
        <v>31</v>
      </c>
      <c r="E1284" s="2">
        <f>IFERROR(__xludf.DUMMYFUNCTION("""COMPUTED_VALUE"""),8.0)</f>
        <v>8</v>
      </c>
      <c r="F1284" s="2">
        <f>IFERROR(__xludf.DUMMYFUNCTION("""COMPUTED_VALUE"""),114698.0)</f>
        <v>114698</v>
      </c>
      <c r="G1284" s="2">
        <f>IFERROR(__xludf.DUMMYFUNCTION("""COMPUTED_VALUE"""),0.0)</f>
        <v>0</v>
      </c>
    </row>
    <row r="1285">
      <c r="A1285" s="2" t="str">
        <f>IFERROR(__xludf.DUMMYFUNCTION("""COMPUTED_VALUE"""),"Brazil")</f>
        <v>Brazil</v>
      </c>
      <c r="B1285" s="3">
        <f>IFERROR(__xludf.DUMMYFUNCTION("""COMPUTED_VALUE"""),42979.0)</f>
        <v>42979</v>
      </c>
      <c r="C1285" s="3">
        <f>IFERROR(__xludf.DUMMYFUNCTION("""COMPUTED_VALUE"""),43008.0)</f>
        <v>43008</v>
      </c>
      <c r="D1285" s="2">
        <f>IFERROR(__xludf.DUMMYFUNCTION("""COMPUTED_VALUE"""),30.0)</f>
        <v>30</v>
      </c>
      <c r="E1285" s="2">
        <f>IFERROR(__xludf.DUMMYFUNCTION("""COMPUTED_VALUE"""),9.0)</f>
        <v>9</v>
      </c>
      <c r="F1285" s="2">
        <f>IFERROR(__xludf.DUMMYFUNCTION("""COMPUTED_VALUE"""),107336.0)</f>
        <v>107336</v>
      </c>
      <c r="G1285" s="2">
        <f>IFERROR(__xludf.DUMMYFUNCTION("""COMPUTED_VALUE"""),0.0)</f>
        <v>0</v>
      </c>
    </row>
    <row r="1286">
      <c r="A1286" s="2" t="str">
        <f>IFERROR(__xludf.DUMMYFUNCTION("""COMPUTED_VALUE"""),"Brazil")</f>
        <v>Brazil</v>
      </c>
      <c r="B1286" s="3">
        <f>IFERROR(__xludf.DUMMYFUNCTION("""COMPUTED_VALUE"""),43009.0)</f>
        <v>43009</v>
      </c>
      <c r="C1286" s="3">
        <f>IFERROR(__xludf.DUMMYFUNCTION("""COMPUTED_VALUE"""),43039.0)</f>
        <v>43039</v>
      </c>
      <c r="D1286" s="2">
        <f>IFERROR(__xludf.DUMMYFUNCTION("""COMPUTED_VALUE"""),31.0)</f>
        <v>31</v>
      </c>
      <c r="E1286" s="2">
        <f>IFERROR(__xludf.DUMMYFUNCTION("""COMPUTED_VALUE"""),10.0)</f>
        <v>10</v>
      </c>
      <c r="F1286" s="2">
        <f>IFERROR(__xludf.DUMMYFUNCTION("""COMPUTED_VALUE"""),109666.0)</f>
        <v>109666</v>
      </c>
      <c r="G1286" s="2">
        <f>IFERROR(__xludf.DUMMYFUNCTION("""COMPUTED_VALUE"""),0.0)</f>
        <v>0</v>
      </c>
    </row>
    <row r="1287">
      <c r="A1287" s="2" t="str">
        <f>IFERROR(__xludf.DUMMYFUNCTION("""COMPUTED_VALUE"""),"Brazil")</f>
        <v>Brazil</v>
      </c>
      <c r="B1287" s="3">
        <f>IFERROR(__xludf.DUMMYFUNCTION("""COMPUTED_VALUE"""),43040.0)</f>
        <v>43040</v>
      </c>
      <c r="C1287" s="3">
        <f>IFERROR(__xludf.DUMMYFUNCTION("""COMPUTED_VALUE"""),43069.0)</f>
        <v>43069</v>
      </c>
      <c r="D1287" s="2">
        <f>IFERROR(__xludf.DUMMYFUNCTION("""COMPUTED_VALUE"""),30.0)</f>
        <v>30</v>
      </c>
      <c r="E1287" s="2">
        <f>IFERROR(__xludf.DUMMYFUNCTION("""COMPUTED_VALUE"""),11.0)</f>
        <v>11</v>
      </c>
      <c r="F1287" s="2">
        <f>IFERROR(__xludf.DUMMYFUNCTION("""COMPUTED_VALUE"""),102390.0)</f>
        <v>102390</v>
      </c>
      <c r="G1287" s="2">
        <f>IFERROR(__xludf.DUMMYFUNCTION("""COMPUTED_VALUE"""),0.0)</f>
        <v>0</v>
      </c>
    </row>
    <row r="1288">
      <c r="A1288" s="2" t="str">
        <f>IFERROR(__xludf.DUMMYFUNCTION("""COMPUTED_VALUE"""),"Brazil")</f>
        <v>Brazil</v>
      </c>
      <c r="B1288" s="3">
        <f>IFERROR(__xludf.DUMMYFUNCTION("""COMPUTED_VALUE"""),43070.0)</f>
        <v>43070</v>
      </c>
      <c r="C1288" s="3">
        <f>IFERROR(__xludf.DUMMYFUNCTION("""COMPUTED_VALUE"""),43100.0)</f>
        <v>43100</v>
      </c>
      <c r="D1288" s="2">
        <f>IFERROR(__xludf.DUMMYFUNCTION("""COMPUTED_VALUE"""),31.0)</f>
        <v>31</v>
      </c>
      <c r="E1288" s="2">
        <f>IFERROR(__xludf.DUMMYFUNCTION("""COMPUTED_VALUE"""),12.0)</f>
        <v>12</v>
      </c>
      <c r="F1288" s="2">
        <f>IFERROR(__xludf.DUMMYFUNCTION("""COMPUTED_VALUE"""),107971.0)</f>
        <v>107971</v>
      </c>
      <c r="G1288" s="2">
        <f>IFERROR(__xludf.DUMMYFUNCTION("""COMPUTED_VALUE"""),0.0)</f>
        <v>0</v>
      </c>
    </row>
    <row r="1289">
      <c r="A1289" s="2" t="str">
        <f>IFERROR(__xludf.DUMMYFUNCTION("""COMPUTED_VALUE"""),"Brazil")</f>
        <v>Brazil</v>
      </c>
      <c r="B1289" s="3">
        <f>IFERROR(__xludf.DUMMYFUNCTION("""COMPUTED_VALUE"""),43101.0)</f>
        <v>43101</v>
      </c>
      <c r="C1289" s="3">
        <f>IFERROR(__xludf.DUMMYFUNCTION("""COMPUTED_VALUE"""),43131.0)</f>
        <v>43131</v>
      </c>
      <c r="D1289" s="2">
        <f>IFERROR(__xludf.DUMMYFUNCTION("""COMPUTED_VALUE"""),31.0)</f>
        <v>31</v>
      </c>
      <c r="E1289" s="2">
        <f>IFERROR(__xludf.DUMMYFUNCTION("""COMPUTED_VALUE"""),1.0)</f>
        <v>1</v>
      </c>
      <c r="F1289" s="2">
        <f>IFERROR(__xludf.DUMMYFUNCTION("""COMPUTED_VALUE"""),106838.0)</f>
        <v>106838</v>
      </c>
      <c r="G1289" s="2">
        <f>IFERROR(__xludf.DUMMYFUNCTION("""COMPUTED_VALUE"""),0.0)</f>
        <v>0</v>
      </c>
    </row>
    <row r="1290">
      <c r="A1290" s="2" t="str">
        <f>IFERROR(__xludf.DUMMYFUNCTION("""COMPUTED_VALUE"""),"Brazil")</f>
        <v>Brazil</v>
      </c>
      <c r="B1290" s="3">
        <f>IFERROR(__xludf.DUMMYFUNCTION("""COMPUTED_VALUE"""),43132.0)</f>
        <v>43132</v>
      </c>
      <c r="C1290" s="3">
        <f>IFERROR(__xludf.DUMMYFUNCTION("""COMPUTED_VALUE"""),43159.0)</f>
        <v>43159</v>
      </c>
      <c r="D1290" s="2">
        <f>IFERROR(__xludf.DUMMYFUNCTION("""COMPUTED_VALUE"""),28.0)</f>
        <v>28</v>
      </c>
      <c r="E1290" s="2">
        <f>IFERROR(__xludf.DUMMYFUNCTION("""COMPUTED_VALUE"""),2.0)</f>
        <v>2</v>
      </c>
      <c r="F1290" s="2">
        <f>IFERROR(__xludf.DUMMYFUNCTION("""COMPUTED_VALUE"""),94994.0)</f>
        <v>94994</v>
      </c>
      <c r="G1290" s="2">
        <f>IFERROR(__xludf.DUMMYFUNCTION("""COMPUTED_VALUE"""),0.0)</f>
        <v>0</v>
      </c>
    </row>
    <row r="1291">
      <c r="A1291" s="2" t="str">
        <f>IFERROR(__xludf.DUMMYFUNCTION("""COMPUTED_VALUE"""),"Brazil")</f>
        <v>Brazil</v>
      </c>
      <c r="B1291" s="3">
        <f>IFERROR(__xludf.DUMMYFUNCTION("""COMPUTED_VALUE"""),43160.0)</f>
        <v>43160</v>
      </c>
      <c r="C1291" s="3">
        <f>IFERROR(__xludf.DUMMYFUNCTION("""COMPUTED_VALUE"""),43190.0)</f>
        <v>43190</v>
      </c>
      <c r="D1291" s="2">
        <f>IFERROR(__xludf.DUMMYFUNCTION("""COMPUTED_VALUE"""),31.0)</f>
        <v>31</v>
      </c>
      <c r="E1291" s="2">
        <f>IFERROR(__xludf.DUMMYFUNCTION("""COMPUTED_VALUE"""),3.0)</f>
        <v>3</v>
      </c>
      <c r="F1291" s="2">
        <f>IFERROR(__xludf.DUMMYFUNCTION("""COMPUTED_VALUE"""),109390.0)</f>
        <v>109390</v>
      </c>
      <c r="G1291" s="2">
        <f>IFERROR(__xludf.DUMMYFUNCTION("""COMPUTED_VALUE"""),0.0)</f>
        <v>0</v>
      </c>
    </row>
    <row r="1292">
      <c r="A1292" s="2" t="str">
        <f>IFERROR(__xludf.DUMMYFUNCTION("""COMPUTED_VALUE"""),"Brazil")</f>
        <v>Brazil</v>
      </c>
      <c r="B1292" s="3">
        <f>IFERROR(__xludf.DUMMYFUNCTION("""COMPUTED_VALUE"""),43191.0)</f>
        <v>43191</v>
      </c>
      <c r="C1292" s="3">
        <f>IFERROR(__xludf.DUMMYFUNCTION("""COMPUTED_VALUE"""),43220.0)</f>
        <v>43220</v>
      </c>
      <c r="D1292" s="2">
        <f>IFERROR(__xludf.DUMMYFUNCTION("""COMPUTED_VALUE"""),30.0)</f>
        <v>30</v>
      </c>
      <c r="E1292" s="2">
        <f>IFERROR(__xludf.DUMMYFUNCTION("""COMPUTED_VALUE"""),4.0)</f>
        <v>4</v>
      </c>
      <c r="F1292" s="2">
        <f>IFERROR(__xludf.DUMMYFUNCTION("""COMPUTED_VALUE"""),107849.0)</f>
        <v>107849</v>
      </c>
      <c r="G1292" s="2">
        <f>IFERROR(__xludf.DUMMYFUNCTION("""COMPUTED_VALUE"""),0.0)</f>
        <v>0</v>
      </c>
    </row>
    <row r="1293">
      <c r="A1293" s="2" t="str">
        <f>IFERROR(__xludf.DUMMYFUNCTION("""COMPUTED_VALUE"""),"Brazil")</f>
        <v>Brazil</v>
      </c>
      <c r="B1293" s="3">
        <f>IFERROR(__xludf.DUMMYFUNCTION("""COMPUTED_VALUE"""),43221.0)</f>
        <v>43221</v>
      </c>
      <c r="C1293" s="3">
        <f>IFERROR(__xludf.DUMMYFUNCTION("""COMPUTED_VALUE"""),43251.0)</f>
        <v>43251</v>
      </c>
      <c r="D1293" s="2">
        <f>IFERROR(__xludf.DUMMYFUNCTION("""COMPUTED_VALUE"""),31.0)</f>
        <v>31</v>
      </c>
      <c r="E1293" s="2">
        <f>IFERROR(__xludf.DUMMYFUNCTION("""COMPUTED_VALUE"""),5.0)</f>
        <v>5</v>
      </c>
      <c r="F1293" s="2">
        <f>IFERROR(__xludf.DUMMYFUNCTION("""COMPUTED_VALUE"""),115068.0)</f>
        <v>115068</v>
      </c>
      <c r="G1293" s="2">
        <f>IFERROR(__xludf.DUMMYFUNCTION("""COMPUTED_VALUE"""),0.0)</f>
        <v>0</v>
      </c>
    </row>
    <row r="1294">
      <c r="A1294" s="2" t="str">
        <f>IFERROR(__xludf.DUMMYFUNCTION("""COMPUTED_VALUE"""),"Brazil")</f>
        <v>Brazil</v>
      </c>
      <c r="B1294" s="3">
        <f>IFERROR(__xludf.DUMMYFUNCTION("""COMPUTED_VALUE"""),43252.0)</f>
        <v>43252</v>
      </c>
      <c r="C1294" s="3">
        <f>IFERROR(__xludf.DUMMYFUNCTION("""COMPUTED_VALUE"""),43281.0)</f>
        <v>43281</v>
      </c>
      <c r="D1294" s="2">
        <f>IFERROR(__xludf.DUMMYFUNCTION("""COMPUTED_VALUE"""),30.0)</f>
        <v>30</v>
      </c>
      <c r="E1294" s="2">
        <f>IFERROR(__xludf.DUMMYFUNCTION("""COMPUTED_VALUE"""),6.0)</f>
        <v>6</v>
      </c>
      <c r="F1294" s="2">
        <f>IFERROR(__xludf.DUMMYFUNCTION("""COMPUTED_VALUE"""),116967.0)</f>
        <v>116967</v>
      </c>
      <c r="G1294" s="2">
        <f>IFERROR(__xludf.DUMMYFUNCTION("""COMPUTED_VALUE"""),0.0)</f>
        <v>0</v>
      </c>
    </row>
    <row r="1295">
      <c r="A1295" s="2" t="str">
        <f>IFERROR(__xludf.DUMMYFUNCTION("""COMPUTED_VALUE"""),"Brazil")</f>
        <v>Brazil</v>
      </c>
      <c r="B1295" s="3">
        <f>IFERROR(__xludf.DUMMYFUNCTION("""COMPUTED_VALUE"""),43282.0)</f>
        <v>43282</v>
      </c>
      <c r="C1295" s="3">
        <f>IFERROR(__xludf.DUMMYFUNCTION("""COMPUTED_VALUE"""),43312.0)</f>
        <v>43312</v>
      </c>
      <c r="D1295" s="2">
        <f>IFERROR(__xludf.DUMMYFUNCTION("""COMPUTED_VALUE"""),31.0)</f>
        <v>31</v>
      </c>
      <c r="E1295" s="2">
        <f>IFERROR(__xludf.DUMMYFUNCTION("""COMPUTED_VALUE"""),7.0)</f>
        <v>7</v>
      </c>
      <c r="F1295" s="2">
        <f>IFERROR(__xludf.DUMMYFUNCTION("""COMPUTED_VALUE"""),119675.0)</f>
        <v>119675</v>
      </c>
      <c r="G1295" s="2">
        <f>IFERROR(__xludf.DUMMYFUNCTION("""COMPUTED_VALUE"""),0.0)</f>
        <v>0</v>
      </c>
    </row>
    <row r="1296">
      <c r="A1296" s="2" t="str">
        <f>IFERROR(__xludf.DUMMYFUNCTION("""COMPUTED_VALUE"""),"Brazil")</f>
        <v>Brazil</v>
      </c>
      <c r="B1296" s="3">
        <f>IFERROR(__xludf.DUMMYFUNCTION("""COMPUTED_VALUE"""),43313.0)</f>
        <v>43313</v>
      </c>
      <c r="C1296" s="3">
        <f>IFERROR(__xludf.DUMMYFUNCTION("""COMPUTED_VALUE"""),43343.0)</f>
        <v>43343</v>
      </c>
      <c r="D1296" s="2">
        <f>IFERROR(__xludf.DUMMYFUNCTION("""COMPUTED_VALUE"""),31.0)</f>
        <v>31</v>
      </c>
      <c r="E1296" s="2">
        <f>IFERROR(__xludf.DUMMYFUNCTION("""COMPUTED_VALUE"""),8.0)</f>
        <v>8</v>
      </c>
      <c r="F1296" s="2">
        <f>IFERROR(__xludf.DUMMYFUNCTION("""COMPUTED_VALUE"""),115169.0)</f>
        <v>115169</v>
      </c>
      <c r="G1296" s="2">
        <f>IFERROR(__xludf.DUMMYFUNCTION("""COMPUTED_VALUE"""),0.0)</f>
        <v>0</v>
      </c>
    </row>
    <row r="1297">
      <c r="A1297" s="2" t="str">
        <f>IFERROR(__xludf.DUMMYFUNCTION("""COMPUTED_VALUE"""),"Brazil")</f>
        <v>Brazil</v>
      </c>
      <c r="B1297" s="3">
        <f>IFERROR(__xludf.DUMMYFUNCTION("""COMPUTED_VALUE"""),43344.0)</f>
        <v>43344</v>
      </c>
      <c r="C1297" s="3">
        <f>IFERROR(__xludf.DUMMYFUNCTION("""COMPUTED_VALUE"""),43373.0)</f>
        <v>43373</v>
      </c>
      <c r="D1297" s="2">
        <f>IFERROR(__xludf.DUMMYFUNCTION("""COMPUTED_VALUE"""),30.0)</f>
        <v>30</v>
      </c>
      <c r="E1297" s="2">
        <f>IFERROR(__xludf.DUMMYFUNCTION("""COMPUTED_VALUE"""),9.0)</f>
        <v>9</v>
      </c>
      <c r="F1297" s="2">
        <f>IFERROR(__xludf.DUMMYFUNCTION("""COMPUTED_VALUE"""),108897.0)</f>
        <v>108897</v>
      </c>
      <c r="G1297" s="2">
        <f>IFERROR(__xludf.DUMMYFUNCTION("""COMPUTED_VALUE"""),0.0)</f>
        <v>0</v>
      </c>
    </row>
    <row r="1298">
      <c r="A1298" s="2" t="str">
        <f>IFERROR(__xludf.DUMMYFUNCTION("""COMPUTED_VALUE"""),"Brazil")</f>
        <v>Brazil</v>
      </c>
      <c r="B1298" s="3">
        <f>IFERROR(__xludf.DUMMYFUNCTION("""COMPUTED_VALUE"""),43374.0)</f>
        <v>43374</v>
      </c>
      <c r="C1298" s="3">
        <f>IFERROR(__xludf.DUMMYFUNCTION("""COMPUTED_VALUE"""),43404.0)</f>
        <v>43404</v>
      </c>
      <c r="D1298" s="2">
        <f>IFERROR(__xludf.DUMMYFUNCTION("""COMPUTED_VALUE"""),31.0)</f>
        <v>31</v>
      </c>
      <c r="E1298" s="2">
        <f>IFERROR(__xludf.DUMMYFUNCTION("""COMPUTED_VALUE"""),10.0)</f>
        <v>10</v>
      </c>
      <c r="F1298" s="2">
        <f>IFERROR(__xludf.DUMMYFUNCTION("""COMPUTED_VALUE"""),107666.0)</f>
        <v>107666</v>
      </c>
      <c r="G1298" s="2">
        <f>IFERROR(__xludf.DUMMYFUNCTION("""COMPUTED_VALUE"""),0.0)</f>
        <v>0</v>
      </c>
    </row>
    <row r="1299">
      <c r="A1299" s="2" t="str">
        <f>IFERROR(__xludf.DUMMYFUNCTION("""COMPUTED_VALUE"""),"Brazil")</f>
        <v>Brazil</v>
      </c>
      <c r="B1299" s="3">
        <f>IFERROR(__xludf.DUMMYFUNCTION("""COMPUTED_VALUE"""),43405.0)</f>
        <v>43405</v>
      </c>
      <c r="C1299" s="3">
        <f>IFERROR(__xludf.DUMMYFUNCTION("""COMPUTED_VALUE"""),43434.0)</f>
        <v>43434</v>
      </c>
      <c r="D1299" s="2">
        <f>IFERROR(__xludf.DUMMYFUNCTION("""COMPUTED_VALUE"""),30.0)</f>
        <v>30</v>
      </c>
      <c r="E1299" s="2">
        <f>IFERROR(__xludf.DUMMYFUNCTION("""COMPUTED_VALUE"""),11.0)</f>
        <v>11</v>
      </c>
      <c r="F1299" s="2">
        <f>IFERROR(__xludf.DUMMYFUNCTION("""COMPUTED_VALUE"""),103328.0)</f>
        <v>103328</v>
      </c>
      <c r="G1299" s="2">
        <f>IFERROR(__xludf.DUMMYFUNCTION("""COMPUTED_VALUE"""),0.0)</f>
        <v>0</v>
      </c>
    </row>
    <row r="1300">
      <c r="A1300" s="2" t="str">
        <f>IFERROR(__xludf.DUMMYFUNCTION("""COMPUTED_VALUE"""),"Brazil")</f>
        <v>Brazil</v>
      </c>
      <c r="B1300" s="3">
        <f>IFERROR(__xludf.DUMMYFUNCTION("""COMPUTED_VALUE"""),43435.0)</f>
        <v>43435</v>
      </c>
      <c r="C1300" s="3">
        <f>IFERROR(__xludf.DUMMYFUNCTION("""COMPUTED_VALUE"""),43465.0)</f>
        <v>43465</v>
      </c>
      <c r="D1300" s="2">
        <f>IFERROR(__xludf.DUMMYFUNCTION("""COMPUTED_VALUE"""),31.0)</f>
        <v>31</v>
      </c>
      <c r="E1300" s="2">
        <f>IFERROR(__xludf.DUMMYFUNCTION("""COMPUTED_VALUE"""),12.0)</f>
        <v>12</v>
      </c>
      <c r="F1300" s="2">
        <f>IFERROR(__xludf.DUMMYFUNCTION("""COMPUTED_VALUE"""),110878.0)</f>
        <v>110878</v>
      </c>
      <c r="G1300" s="2">
        <f>IFERROR(__xludf.DUMMYFUNCTION("""COMPUTED_VALUE"""),0.0)</f>
        <v>0</v>
      </c>
    </row>
    <row r="1301">
      <c r="A1301" s="2" t="str">
        <f>IFERROR(__xludf.DUMMYFUNCTION("""COMPUTED_VALUE"""),"Brazil")</f>
        <v>Brazil</v>
      </c>
      <c r="B1301" s="3">
        <f>IFERROR(__xludf.DUMMYFUNCTION("""COMPUTED_VALUE"""),43466.0)</f>
        <v>43466</v>
      </c>
      <c r="C1301" s="3">
        <f>IFERROR(__xludf.DUMMYFUNCTION("""COMPUTED_VALUE"""),43496.0)</f>
        <v>43496</v>
      </c>
      <c r="D1301" s="2">
        <f>IFERROR(__xludf.DUMMYFUNCTION("""COMPUTED_VALUE"""),31.0)</f>
        <v>31</v>
      </c>
      <c r="E1301" s="2">
        <f>IFERROR(__xludf.DUMMYFUNCTION("""COMPUTED_VALUE"""),1.0)</f>
        <v>1</v>
      </c>
      <c r="F1301" s="2">
        <f>IFERROR(__xludf.DUMMYFUNCTION("""COMPUTED_VALUE"""),110373.0)</f>
        <v>110373</v>
      </c>
      <c r="G1301" s="2">
        <f>IFERROR(__xludf.DUMMYFUNCTION("""COMPUTED_VALUE"""),0.0)</f>
        <v>0</v>
      </c>
    </row>
    <row r="1302">
      <c r="A1302" s="2" t="str">
        <f>IFERROR(__xludf.DUMMYFUNCTION("""COMPUTED_VALUE"""),"Brazil")</f>
        <v>Brazil</v>
      </c>
      <c r="B1302" s="3">
        <f>IFERROR(__xludf.DUMMYFUNCTION("""COMPUTED_VALUE"""),43497.0)</f>
        <v>43497</v>
      </c>
      <c r="C1302" s="3">
        <f>IFERROR(__xludf.DUMMYFUNCTION("""COMPUTED_VALUE"""),43524.0)</f>
        <v>43524</v>
      </c>
      <c r="D1302" s="2">
        <f>IFERROR(__xludf.DUMMYFUNCTION("""COMPUTED_VALUE"""),28.0)</f>
        <v>28</v>
      </c>
      <c r="E1302" s="2">
        <f>IFERROR(__xludf.DUMMYFUNCTION("""COMPUTED_VALUE"""),2.0)</f>
        <v>2</v>
      </c>
      <c r="F1302" s="2">
        <f>IFERROR(__xludf.DUMMYFUNCTION("""COMPUTED_VALUE"""),97737.0)</f>
        <v>97737</v>
      </c>
      <c r="G1302" s="2">
        <f>IFERROR(__xludf.DUMMYFUNCTION("""COMPUTED_VALUE"""),0.0)</f>
        <v>0</v>
      </c>
    </row>
    <row r="1303">
      <c r="A1303" s="2" t="str">
        <f>IFERROR(__xludf.DUMMYFUNCTION("""COMPUTED_VALUE"""),"Brazil")</f>
        <v>Brazil</v>
      </c>
      <c r="B1303" s="3">
        <f>IFERROR(__xludf.DUMMYFUNCTION("""COMPUTED_VALUE"""),43525.0)</f>
        <v>43525</v>
      </c>
      <c r="C1303" s="3">
        <f>IFERROR(__xludf.DUMMYFUNCTION("""COMPUTED_VALUE"""),43555.0)</f>
        <v>43555</v>
      </c>
      <c r="D1303" s="2">
        <f>IFERROR(__xludf.DUMMYFUNCTION("""COMPUTED_VALUE"""),31.0)</f>
        <v>31</v>
      </c>
      <c r="E1303" s="2">
        <f>IFERROR(__xludf.DUMMYFUNCTION("""COMPUTED_VALUE"""),3.0)</f>
        <v>3</v>
      </c>
      <c r="F1303" s="2">
        <f>IFERROR(__xludf.DUMMYFUNCTION("""COMPUTED_VALUE"""),109549.0)</f>
        <v>109549</v>
      </c>
      <c r="G1303" s="2">
        <f>IFERROR(__xludf.DUMMYFUNCTION("""COMPUTED_VALUE"""),0.0)</f>
        <v>0</v>
      </c>
    </row>
    <row r="1304">
      <c r="A1304" s="2" t="str">
        <f>IFERROR(__xludf.DUMMYFUNCTION("""COMPUTED_VALUE"""),"Brazil")</f>
        <v>Brazil</v>
      </c>
      <c r="B1304" s="3">
        <f>IFERROR(__xludf.DUMMYFUNCTION("""COMPUTED_VALUE"""),43556.0)</f>
        <v>43556</v>
      </c>
      <c r="C1304" s="3">
        <f>IFERROR(__xludf.DUMMYFUNCTION("""COMPUTED_VALUE"""),43585.0)</f>
        <v>43585</v>
      </c>
      <c r="D1304" s="2">
        <f>IFERROR(__xludf.DUMMYFUNCTION("""COMPUTED_VALUE"""),30.0)</f>
        <v>30</v>
      </c>
      <c r="E1304" s="2">
        <f>IFERROR(__xludf.DUMMYFUNCTION("""COMPUTED_VALUE"""),4.0)</f>
        <v>4</v>
      </c>
      <c r="F1304" s="2">
        <f>IFERROR(__xludf.DUMMYFUNCTION("""COMPUTED_VALUE"""),110370.0)</f>
        <v>110370</v>
      </c>
      <c r="G1304" s="2">
        <f>IFERROR(__xludf.DUMMYFUNCTION("""COMPUTED_VALUE"""),0.0)</f>
        <v>0</v>
      </c>
    </row>
    <row r="1305">
      <c r="A1305" s="2" t="str">
        <f>IFERROR(__xludf.DUMMYFUNCTION("""COMPUTED_VALUE"""),"Brazil")</f>
        <v>Brazil</v>
      </c>
      <c r="B1305" s="3">
        <f>IFERROR(__xludf.DUMMYFUNCTION("""COMPUTED_VALUE"""),43586.0)</f>
        <v>43586</v>
      </c>
      <c r="C1305" s="3">
        <f>IFERROR(__xludf.DUMMYFUNCTION("""COMPUTED_VALUE"""),43616.0)</f>
        <v>43616</v>
      </c>
      <c r="D1305" s="2">
        <f>IFERROR(__xludf.DUMMYFUNCTION("""COMPUTED_VALUE"""),31.0)</f>
        <v>31</v>
      </c>
      <c r="E1305" s="2">
        <f>IFERROR(__xludf.DUMMYFUNCTION("""COMPUTED_VALUE"""),5.0)</f>
        <v>5</v>
      </c>
      <c r="F1305" s="2">
        <f>IFERROR(__xludf.DUMMYFUNCTION("""COMPUTED_VALUE"""),118737.0)</f>
        <v>118737</v>
      </c>
      <c r="G1305" s="2">
        <f>IFERROR(__xludf.DUMMYFUNCTION("""COMPUTED_VALUE"""),0.0)</f>
        <v>0</v>
      </c>
    </row>
    <row r="1306">
      <c r="A1306" s="2" t="str">
        <f>IFERROR(__xludf.DUMMYFUNCTION("""COMPUTED_VALUE"""),"Brazil")</f>
        <v>Brazil</v>
      </c>
      <c r="B1306" s="3">
        <f>IFERROR(__xludf.DUMMYFUNCTION("""COMPUTED_VALUE"""),43617.0)</f>
        <v>43617</v>
      </c>
      <c r="C1306" s="3">
        <f>IFERROR(__xludf.DUMMYFUNCTION("""COMPUTED_VALUE"""),43646.0)</f>
        <v>43646</v>
      </c>
      <c r="D1306" s="2">
        <f>IFERROR(__xludf.DUMMYFUNCTION("""COMPUTED_VALUE"""),30.0)</f>
        <v>30</v>
      </c>
      <c r="E1306" s="2">
        <f>IFERROR(__xludf.DUMMYFUNCTION("""COMPUTED_VALUE"""),6.0)</f>
        <v>6</v>
      </c>
      <c r="F1306" s="2">
        <f>IFERROR(__xludf.DUMMYFUNCTION("""COMPUTED_VALUE"""),118911.0)</f>
        <v>118911</v>
      </c>
      <c r="G1306" s="2">
        <f>IFERROR(__xludf.DUMMYFUNCTION("""COMPUTED_VALUE"""),0.0)</f>
        <v>0</v>
      </c>
    </row>
    <row r="1307">
      <c r="A1307" s="2" t="str">
        <f>IFERROR(__xludf.DUMMYFUNCTION("""COMPUTED_VALUE"""),"Brazil")</f>
        <v>Brazil</v>
      </c>
      <c r="B1307" s="3">
        <f>IFERROR(__xludf.DUMMYFUNCTION("""COMPUTED_VALUE"""),43647.0)</f>
        <v>43647</v>
      </c>
      <c r="C1307" s="3">
        <f>IFERROR(__xludf.DUMMYFUNCTION("""COMPUTED_VALUE"""),43677.0)</f>
        <v>43677</v>
      </c>
      <c r="D1307" s="2">
        <f>IFERROR(__xludf.DUMMYFUNCTION("""COMPUTED_VALUE"""),31.0)</f>
        <v>31</v>
      </c>
      <c r="E1307" s="2">
        <f>IFERROR(__xludf.DUMMYFUNCTION("""COMPUTED_VALUE"""),7.0)</f>
        <v>7</v>
      </c>
      <c r="F1307" s="2">
        <f>IFERROR(__xludf.DUMMYFUNCTION("""COMPUTED_VALUE"""),124885.0)</f>
        <v>124885</v>
      </c>
      <c r="G1307" s="2">
        <f>IFERROR(__xludf.DUMMYFUNCTION("""COMPUTED_VALUE"""),0.0)</f>
        <v>0</v>
      </c>
    </row>
    <row r="1308">
      <c r="A1308" s="2" t="str">
        <f>IFERROR(__xludf.DUMMYFUNCTION("""COMPUTED_VALUE"""),"Brazil")</f>
        <v>Brazil</v>
      </c>
      <c r="B1308" s="3">
        <f>IFERROR(__xludf.DUMMYFUNCTION("""COMPUTED_VALUE"""),43678.0)</f>
        <v>43678</v>
      </c>
      <c r="C1308" s="3">
        <f>IFERROR(__xludf.DUMMYFUNCTION("""COMPUTED_VALUE"""),43708.0)</f>
        <v>43708</v>
      </c>
      <c r="D1308" s="2">
        <f>IFERROR(__xludf.DUMMYFUNCTION("""COMPUTED_VALUE"""),31.0)</f>
        <v>31</v>
      </c>
      <c r="E1308" s="2">
        <f>IFERROR(__xludf.DUMMYFUNCTION("""COMPUTED_VALUE"""),8.0)</f>
        <v>8</v>
      </c>
      <c r="F1308" s="2">
        <f>IFERROR(__xludf.DUMMYFUNCTION("""COMPUTED_VALUE"""),118568.0)</f>
        <v>118568</v>
      </c>
      <c r="G1308" s="2">
        <f>IFERROR(__xludf.DUMMYFUNCTION("""COMPUTED_VALUE"""),0.0)</f>
        <v>0</v>
      </c>
    </row>
    <row r="1309">
      <c r="A1309" s="2" t="str">
        <f>IFERROR(__xludf.DUMMYFUNCTION("""COMPUTED_VALUE"""),"Brazil")</f>
        <v>Brazil</v>
      </c>
      <c r="B1309" s="3">
        <f>IFERROR(__xludf.DUMMYFUNCTION("""COMPUTED_VALUE"""),43709.0)</f>
        <v>43709</v>
      </c>
      <c r="C1309" s="3">
        <f>IFERROR(__xludf.DUMMYFUNCTION("""COMPUTED_VALUE"""),43738.0)</f>
        <v>43738</v>
      </c>
      <c r="D1309" s="2">
        <f>IFERROR(__xludf.DUMMYFUNCTION("""COMPUTED_VALUE"""),30.0)</f>
        <v>30</v>
      </c>
      <c r="E1309" s="2">
        <f>IFERROR(__xludf.DUMMYFUNCTION("""COMPUTED_VALUE"""),9.0)</f>
        <v>9</v>
      </c>
      <c r="F1309" s="2">
        <f>IFERROR(__xludf.DUMMYFUNCTION("""COMPUTED_VALUE"""),112312.0)</f>
        <v>112312</v>
      </c>
      <c r="G1309" s="2">
        <f>IFERROR(__xludf.DUMMYFUNCTION("""COMPUTED_VALUE"""),0.0)</f>
        <v>0</v>
      </c>
    </row>
    <row r="1310">
      <c r="A1310" s="2" t="str">
        <f>IFERROR(__xludf.DUMMYFUNCTION("""COMPUTED_VALUE"""),"Brazil")</f>
        <v>Brazil</v>
      </c>
      <c r="B1310" s="3">
        <f>IFERROR(__xludf.DUMMYFUNCTION("""COMPUTED_VALUE"""),43739.0)</f>
        <v>43739</v>
      </c>
      <c r="C1310" s="3">
        <f>IFERROR(__xludf.DUMMYFUNCTION("""COMPUTED_VALUE"""),43769.0)</f>
        <v>43769</v>
      </c>
      <c r="D1310" s="2">
        <f>IFERROR(__xludf.DUMMYFUNCTION("""COMPUTED_VALUE"""),31.0)</f>
        <v>31</v>
      </c>
      <c r="E1310" s="2">
        <f>IFERROR(__xludf.DUMMYFUNCTION("""COMPUTED_VALUE"""),10.0)</f>
        <v>10</v>
      </c>
      <c r="F1310" s="2">
        <f>IFERROR(__xludf.DUMMYFUNCTION("""COMPUTED_VALUE"""),111532.0)</f>
        <v>111532</v>
      </c>
      <c r="G1310" s="2">
        <f>IFERROR(__xludf.DUMMYFUNCTION("""COMPUTED_VALUE"""),0.0)</f>
        <v>0</v>
      </c>
    </row>
    <row r="1311">
      <c r="A1311" s="2" t="str">
        <f>IFERROR(__xludf.DUMMYFUNCTION("""COMPUTED_VALUE"""),"Brazil")</f>
        <v>Brazil</v>
      </c>
      <c r="B1311" s="3">
        <f>IFERROR(__xludf.DUMMYFUNCTION("""COMPUTED_VALUE"""),43770.0)</f>
        <v>43770</v>
      </c>
      <c r="C1311" s="3">
        <f>IFERROR(__xludf.DUMMYFUNCTION("""COMPUTED_VALUE"""),43799.0)</f>
        <v>43799</v>
      </c>
      <c r="D1311" s="2">
        <f>IFERROR(__xludf.DUMMYFUNCTION("""COMPUTED_VALUE"""),30.0)</f>
        <v>30</v>
      </c>
      <c r="E1311" s="2">
        <f>IFERROR(__xludf.DUMMYFUNCTION("""COMPUTED_VALUE"""),11.0)</f>
        <v>11</v>
      </c>
      <c r="F1311" s="2">
        <f>IFERROR(__xludf.DUMMYFUNCTION("""COMPUTED_VALUE"""),105635.0)</f>
        <v>105635</v>
      </c>
      <c r="G1311" s="2">
        <f>IFERROR(__xludf.DUMMYFUNCTION("""COMPUTED_VALUE"""),0.0)</f>
        <v>0</v>
      </c>
    </row>
    <row r="1312">
      <c r="A1312" s="2" t="str">
        <f>IFERROR(__xludf.DUMMYFUNCTION("""COMPUTED_VALUE"""),"Brazil")</f>
        <v>Brazil</v>
      </c>
      <c r="B1312" s="3">
        <f>IFERROR(__xludf.DUMMYFUNCTION("""COMPUTED_VALUE"""),43800.0)</f>
        <v>43800</v>
      </c>
      <c r="C1312" s="3">
        <f>IFERROR(__xludf.DUMMYFUNCTION("""COMPUTED_VALUE"""),43830.0)</f>
        <v>43830</v>
      </c>
      <c r="D1312" s="2">
        <f>IFERROR(__xludf.DUMMYFUNCTION("""COMPUTED_VALUE"""),31.0)</f>
        <v>31</v>
      </c>
      <c r="E1312" s="2">
        <f>IFERROR(__xludf.DUMMYFUNCTION("""COMPUTED_VALUE"""),12.0)</f>
        <v>12</v>
      </c>
      <c r="F1312" s="2">
        <f>IFERROR(__xludf.DUMMYFUNCTION("""COMPUTED_VALUE"""),111193.0)</f>
        <v>111193</v>
      </c>
      <c r="G1312" s="2">
        <f>IFERROR(__xludf.DUMMYFUNCTION("""COMPUTED_VALUE"""),0.0)</f>
        <v>0</v>
      </c>
    </row>
    <row r="1313">
      <c r="A1313" s="2" t="str">
        <f>IFERROR(__xludf.DUMMYFUNCTION("""COMPUTED_VALUE"""),"Brazil")</f>
        <v>Brazil</v>
      </c>
      <c r="B1313" s="3">
        <f>IFERROR(__xludf.DUMMYFUNCTION("""COMPUTED_VALUE"""),43831.0)</f>
        <v>43831</v>
      </c>
      <c r="C1313" s="3">
        <f>IFERROR(__xludf.DUMMYFUNCTION("""COMPUTED_VALUE"""),43861.0)</f>
        <v>43861</v>
      </c>
      <c r="D1313" s="2">
        <f>IFERROR(__xludf.DUMMYFUNCTION("""COMPUTED_VALUE"""),31.0)</f>
        <v>31</v>
      </c>
      <c r="E1313" s="2">
        <f>IFERROR(__xludf.DUMMYFUNCTION("""COMPUTED_VALUE"""),1.0)</f>
        <v>1</v>
      </c>
      <c r="F1313" s="2">
        <f>IFERROR(__xludf.DUMMYFUNCTION("""COMPUTED_VALUE"""),113395.0)</f>
        <v>113395</v>
      </c>
      <c r="G1313" s="2">
        <f>IFERROR(__xludf.DUMMYFUNCTION("""COMPUTED_VALUE"""),0.0)</f>
        <v>0</v>
      </c>
    </row>
    <row r="1314">
      <c r="A1314" s="2" t="str">
        <f>IFERROR(__xludf.DUMMYFUNCTION("""COMPUTED_VALUE"""),"Brazil")</f>
        <v>Brazil</v>
      </c>
      <c r="B1314" s="3">
        <f>IFERROR(__xludf.DUMMYFUNCTION("""COMPUTED_VALUE"""),43862.0)</f>
        <v>43862</v>
      </c>
      <c r="C1314" s="3">
        <f>IFERROR(__xludf.DUMMYFUNCTION("""COMPUTED_VALUE"""),43890.0)</f>
        <v>43890</v>
      </c>
      <c r="D1314" s="2">
        <f>IFERROR(__xludf.DUMMYFUNCTION("""COMPUTED_VALUE"""),29.0)</f>
        <v>29</v>
      </c>
      <c r="E1314" s="2">
        <f>IFERROR(__xludf.DUMMYFUNCTION("""COMPUTED_VALUE"""),2.0)</f>
        <v>2</v>
      </c>
      <c r="F1314" s="2">
        <f>IFERROR(__xludf.DUMMYFUNCTION("""COMPUTED_VALUE"""),106414.0)</f>
        <v>106414</v>
      </c>
      <c r="G1314" s="2">
        <f>IFERROR(__xludf.DUMMYFUNCTION("""COMPUTED_VALUE"""),0.0)</f>
        <v>0</v>
      </c>
    </row>
    <row r="1315">
      <c r="A1315" s="2" t="str">
        <f>IFERROR(__xludf.DUMMYFUNCTION("""COMPUTED_VALUE"""),"Brazil")</f>
        <v>Brazil</v>
      </c>
      <c r="B1315" s="3">
        <f>IFERROR(__xludf.DUMMYFUNCTION("""COMPUTED_VALUE"""),43891.0)</f>
        <v>43891</v>
      </c>
      <c r="C1315" s="3">
        <f>IFERROR(__xludf.DUMMYFUNCTION("""COMPUTED_VALUE"""),43921.0)</f>
        <v>43921</v>
      </c>
      <c r="D1315" s="2">
        <f>IFERROR(__xludf.DUMMYFUNCTION("""COMPUTED_VALUE"""),31.0)</f>
        <v>31</v>
      </c>
      <c r="E1315" s="2">
        <f>IFERROR(__xludf.DUMMYFUNCTION("""COMPUTED_VALUE"""),3.0)</f>
        <v>3</v>
      </c>
      <c r="F1315" s="2">
        <f>IFERROR(__xludf.DUMMYFUNCTION("""COMPUTED_VALUE"""),120185.0)</f>
        <v>120185</v>
      </c>
      <c r="G1315" s="2">
        <f>IFERROR(__xludf.DUMMYFUNCTION("""COMPUTED_VALUE"""),201.0)</f>
        <v>201</v>
      </c>
    </row>
    <row r="1316">
      <c r="A1316" s="2" t="str">
        <f>IFERROR(__xludf.DUMMYFUNCTION("""COMPUTED_VALUE"""),"Brazil")</f>
        <v>Brazil</v>
      </c>
      <c r="B1316" s="3">
        <f>IFERROR(__xludf.DUMMYFUNCTION("""COMPUTED_VALUE"""),43922.0)</f>
        <v>43922</v>
      </c>
      <c r="C1316" s="3">
        <f>IFERROR(__xludf.DUMMYFUNCTION("""COMPUTED_VALUE"""),43951.0)</f>
        <v>43951</v>
      </c>
      <c r="D1316" s="2">
        <f>IFERROR(__xludf.DUMMYFUNCTION("""COMPUTED_VALUE"""),30.0)</f>
        <v>30</v>
      </c>
      <c r="E1316" s="2">
        <f>IFERROR(__xludf.DUMMYFUNCTION("""COMPUTED_VALUE"""),4.0)</f>
        <v>4</v>
      </c>
      <c r="F1316" s="2">
        <f>IFERROR(__xludf.DUMMYFUNCTION("""COMPUTED_VALUE"""),125923.0)</f>
        <v>125923</v>
      </c>
      <c r="G1316" s="2">
        <f>IFERROR(__xludf.DUMMYFUNCTION("""COMPUTED_VALUE"""),5805.0)</f>
        <v>5805</v>
      </c>
    </row>
    <row r="1317">
      <c r="A1317" s="2" t="str">
        <f>IFERROR(__xludf.DUMMYFUNCTION("""COMPUTED_VALUE"""),"Brazil")</f>
        <v>Brazil</v>
      </c>
      <c r="B1317" s="3">
        <f>IFERROR(__xludf.DUMMYFUNCTION("""COMPUTED_VALUE"""),43952.0)</f>
        <v>43952</v>
      </c>
      <c r="C1317" s="3">
        <f>IFERROR(__xludf.DUMMYFUNCTION("""COMPUTED_VALUE"""),43982.0)</f>
        <v>43982</v>
      </c>
      <c r="D1317" s="2">
        <f>IFERROR(__xludf.DUMMYFUNCTION("""COMPUTED_VALUE"""),31.0)</f>
        <v>31</v>
      </c>
      <c r="E1317" s="2">
        <f>IFERROR(__xludf.DUMMYFUNCTION("""COMPUTED_VALUE"""),5.0)</f>
        <v>5</v>
      </c>
      <c r="F1317" s="2">
        <f>IFERROR(__xludf.DUMMYFUNCTION("""COMPUTED_VALUE"""),156908.0)</f>
        <v>156908</v>
      </c>
      <c r="G1317" s="2">
        <f>IFERROR(__xludf.DUMMYFUNCTION("""COMPUTED_VALUE"""),23308.0)</f>
        <v>23308</v>
      </c>
    </row>
    <row r="1318">
      <c r="A1318" s="2" t="str">
        <f>IFERROR(__xludf.DUMMYFUNCTION("""COMPUTED_VALUE"""),"Brazil")</f>
        <v>Brazil</v>
      </c>
      <c r="B1318" s="3">
        <f>IFERROR(__xludf.DUMMYFUNCTION("""COMPUTED_VALUE"""),43983.0)</f>
        <v>43983</v>
      </c>
      <c r="C1318" s="3">
        <f>IFERROR(__xludf.DUMMYFUNCTION("""COMPUTED_VALUE"""),44012.0)</f>
        <v>44012</v>
      </c>
      <c r="D1318" s="2">
        <f>IFERROR(__xludf.DUMMYFUNCTION("""COMPUTED_VALUE"""),30.0)</f>
        <v>30</v>
      </c>
      <c r="E1318" s="2">
        <f>IFERROR(__xludf.DUMMYFUNCTION("""COMPUTED_VALUE"""),6.0)</f>
        <v>6</v>
      </c>
      <c r="F1318" s="2">
        <f>IFERROR(__xludf.DUMMYFUNCTION("""COMPUTED_VALUE"""),142885.0)</f>
        <v>142885</v>
      </c>
      <c r="G1318" s="2">
        <f>IFERROR(__xludf.DUMMYFUNCTION("""COMPUTED_VALUE"""),30280.0)</f>
        <v>30280</v>
      </c>
    </row>
    <row r="1319">
      <c r="A1319" s="2" t="str">
        <f>IFERROR(__xludf.DUMMYFUNCTION("""COMPUTED_VALUE"""),"Brazil")</f>
        <v>Brazil</v>
      </c>
      <c r="B1319" s="3">
        <f>IFERROR(__xludf.DUMMYFUNCTION("""COMPUTED_VALUE"""),44013.0)</f>
        <v>44013</v>
      </c>
      <c r="C1319" s="3">
        <f>IFERROR(__xludf.DUMMYFUNCTION("""COMPUTED_VALUE"""),44043.0)</f>
        <v>44043</v>
      </c>
      <c r="D1319" s="2">
        <f>IFERROR(__xludf.DUMMYFUNCTION("""COMPUTED_VALUE"""),31.0)</f>
        <v>31</v>
      </c>
      <c r="E1319" s="2">
        <f>IFERROR(__xludf.DUMMYFUNCTION("""COMPUTED_VALUE"""),7.0)</f>
        <v>7</v>
      </c>
      <c r="F1319" s="2">
        <f>IFERROR(__xludf.DUMMYFUNCTION("""COMPUTED_VALUE"""),147571.0)</f>
        <v>147571</v>
      </c>
      <c r="G1319" s="2">
        <f>IFERROR(__xludf.DUMMYFUNCTION("""COMPUTED_VALUE"""),32881.0)</f>
        <v>32881</v>
      </c>
    </row>
    <row r="1320">
      <c r="A1320" s="2" t="str">
        <f>IFERROR(__xludf.DUMMYFUNCTION("""COMPUTED_VALUE"""),"Brazil")</f>
        <v>Brazil</v>
      </c>
      <c r="B1320" s="3">
        <f>IFERROR(__xludf.DUMMYFUNCTION("""COMPUTED_VALUE"""),44044.0)</f>
        <v>44044</v>
      </c>
      <c r="C1320" s="3">
        <f>IFERROR(__xludf.DUMMYFUNCTION("""COMPUTED_VALUE"""),44074.0)</f>
        <v>44074</v>
      </c>
      <c r="D1320" s="2">
        <f>IFERROR(__xludf.DUMMYFUNCTION("""COMPUTED_VALUE"""),31.0)</f>
        <v>31</v>
      </c>
      <c r="E1320" s="2">
        <f>IFERROR(__xludf.DUMMYFUNCTION("""COMPUTED_VALUE"""),8.0)</f>
        <v>8</v>
      </c>
      <c r="F1320" s="2">
        <f>IFERROR(__xludf.DUMMYFUNCTION("""COMPUTED_VALUE"""),143383.0)</f>
        <v>143383</v>
      </c>
      <c r="G1320" s="2">
        <f>IFERROR(__xludf.DUMMYFUNCTION("""COMPUTED_VALUE"""),28906.0)</f>
        <v>28906</v>
      </c>
    </row>
    <row r="1321">
      <c r="A1321" s="2" t="str">
        <f>IFERROR(__xludf.DUMMYFUNCTION("""COMPUTED_VALUE"""),"Brazil")</f>
        <v>Brazil</v>
      </c>
      <c r="B1321" s="3">
        <f>IFERROR(__xludf.DUMMYFUNCTION("""COMPUTED_VALUE"""),44075.0)</f>
        <v>44075</v>
      </c>
      <c r="C1321" s="3">
        <f>IFERROR(__xludf.DUMMYFUNCTION("""COMPUTED_VALUE"""),44104.0)</f>
        <v>44104</v>
      </c>
      <c r="D1321" s="2">
        <f>IFERROR(__xludf.DUMMYFUNCTION("""COMPUTED_VALUE"""),30.0)</f>
        <v>30</v>
      </c>
      <c r="E1321" s="2">
        <f>IFERROR(__xludf.DUMMYFUNCTION("""COMPUTED_VALUE"""),9.0)</f>
        <v>9</v>
      </c>
      <c r="F1321" s="2">
        <f>IFERROR(__xludf.DUMMYFUNCTION("""COMPUTED_VALUE"""),128972.0)</f>
        <v>128972</v>
      </c>
      <c r="G1321" s="2">
        <f>IFERROR(__xludf.DUMMYFUNCTION("""COMPUTED_VALUE"""),22571.0)</f>
        <v>22571</v>
      </c>
    </row>
    <row r="1322">
      <c r="A1322" s="2" t="str">
        <f>IFERROR(__xludf.DUMMYFUNCTION("""COMPUTED_VALUE"""),"Brazil")</f>
        <v>Brazil</v>
      </c>
      <c r="B1322" s="3">
        <f>IFERROR(__xludf.DUMMYFUNCTION("""COMPUTED_VALUE"""),44105.0)</f>
        <v>44105</v>
      </c>
      <c r="C1322" s="3">
        <f>IFERROR(__xludf.DUMMYFUNCTION("""COMPUTED_VALUE"""),44135.0)</f>
        <v>44135</v>
      </c>
      <c r="D1322" s="2">
        <f>IFERROR(__xludf.DUMMYFUNCTION("""COMPUTED_VALUE"""),31.0)</f>
        <v>31</v>
      </c>
      <c r="E1322" s="2">
        <f>IFERROR(__xludf.DUMMYFUNCTION("""COMPUTED_VALUE"""),10.0)</f>
        <v>10</v>
      </c>
      <c r="F1322" s="2">
        <f>IFERROR(__xludf.DUMMYFUNCTION("""COMPUTED_VALUE"""),130493.0)</f>
        <v>130493</v>
      </c>
      <c r="G1322" s="2">
        <f>IFERROR(__xludf.DUMMYFUNCTION("""COMPUTED_VALUE"""),15932.0)</f>
        <v>15932</v>
      </c>
    </row>
    <row r="1323">
      <c r="A1323" s="2" t="str">
        <f>IFERROR(__xludf.DUMMYFUNCTION("""COMPUTED_VALUE"""),"Brazil")</f>
        <v>Brazil</v>
      </c>
      <c r="B1323" s="3">
        <f>IFERROR(__xludf.DUMMYFUNCTION("""COMPUTED_VALUE"""),44136.0)</f>
        <v>44136</v>
      </c>
      <c r="C1323" s="3">
        <f>IFERROR(__xludf.DUMMYFUNCTION("""COMPUTED_VALUE"""),44165.0)</f>
        <v>44165</v>
      </c>
      <c r="D1323" s="2">
        <f>IFERROR(__xludf.DUMMYFUNCTION("""COMPUTED_VALUE"""),30.0)</f>
        <v>30</v>
      </c>
      <c r="E1323" s="2">
        <f>IFERROR(__xludf.DUMMYFUNCTION("""COMPUTED_VALUE"""),11.0)</f>
        <v>11</v>
      </c>
      <c r="F1323" s="2">
        <f>IFERROR(__xludf.DUMMYFUNCTION("""COMPUTED_VALUE"""),124326.0)</f>
        <v>124326</v>
      </c>
      <c r="G1323" s="2">
        <f>IFERROR(__xludf.DUMMYFUNCTION("""COMPUTED_VALUE"""),13236.0)</f>
        <v>13236</v>
      </c>
    </row>
    <row r="1324">
      <c r="A1324" s="2" t="str">
        <f>IFERROR(__xludf.DUMMYFUNCTION("""COMPUTED_VALUE"""),"Brazil")</f>
        <v>Brazil</v>
      </c>
      <c r="B1324" s="3">
        <f>IFERROR(__xludf.DUMMYFUNCTION("""COMPUTED_VALUE"""),44166.0)</f>
        <v>44166</v>
      </c>
      <c r="C1324" s="3">
        <f>IFERROR(__xludf.DUMMYFUNCTION("""COMPUTED_VALUE"""),44196.0)</f>
        <v>44196</v>
      </c>
      <c r="D1324" s="2">
        <f>IFERROR(__xludf.DUMMYFUNCTION("""COMPUTED_VALUE"""),31.0)</f>
        <v>31</v>
      </c>
      <c r="E1324" s="2">
        <f>IFERROR(__xludf.DUMMYFUNCTION("""COMPUTED_VALUE"""),12.0)</f>
        <v>12</v>
      </c>
      <c r="F1324" s="2">
        <f>IFERROR(__xludf.DUMMYFUNCTION("""COMPUTED_VALUE"""),141190.0)</f>
        <v>141190</v>
      </c>
      <c r="G1324" s="2">
        <f>IFERROR(__xludf.DUMMYFUNCTION("""COMPUTED_VALUE"""),21829.0)</f>
        <v>21829</v>
      </c>
    </row>
    <row r="1325">
      <c r="A1325" s="2" t="str">
        <f>IFERROR(__xludf.DUMMYFUNCTION("""COMPUTED_VALUE"""),"Brazil")</f>
        <v>Brazil</v>
      </c>
      <c r="B1325" s="3">
        <f>IFERROR(__xludf.DUMMYFUNCTION("""COMPUTED_VALUE"""),44197.0)</f>
        <v>44197</v>
      </c>
      <c r="C1325" s="3">
        <f>IFERROR(__xludf.DUMMYFUNCTION("""COMPUTED_VALUE"""),44227.0)</f>
        <v>44227</v>
      </c>
      <c r="D1325" s="2">
        <f>IFERROR(__xludf.DUMMYFUNCTION("""COMPUTED_VALUE"""),31.0)</f>
        <v>31</v>
      </c>
      <c r="E1325" s="2">
        <f>IFERROR(__xludf.DUMMYFUNCTION("""COMPUTED_VALUE"""),1.0)</f>
        <v>1</v>
      </c>
      <c r="F1325" s="2">
        <f>IFERROR(__xludf.DUMMYFUNCTION("""COMPUTED_VALUE"""),147526.0)</f>
        <v>147526</v>
      </c>
      <c r="G1325" s="2">
        <f>IFERROR(__xludf.DUMMYFUNCTION("""COMPUTED_VALUE"""),29555.0)</f>
        <v>29555</v>
      </c>
    </row>
    <row r="1326">
      <c r="A1326" s="2" t="str">
        <f>IFERROR(__xludf.DUMMYFUNCTION("""COMPUTED_VALUE"""),"Brazil")</f>
        <v>Brazil</v>
      </c>
      <c r="B1326" s="3">
        <f>IFERROR(__xludf.DUMMYFUNCTION("""COMPUTED_VALUE"""),44228.0)</f>
        <v>44228</v>
      </c>
      <c r="C1326" s="3">
        <f>IFERROR(__xludf.DUMMYFUNCTION("""COMPUTED_VALUE"""),44255.0)</f>
        <v>44255</v>
      </c>
      <c r="D1326" s="2">
        <f>IFERROR(__xludf.DUMMYFUNCTION("""COMPUTED_VALUE"""),28.0)</f>
        <v>28</v>
      </c>
      <c r="E1326" s="2">
        <f>IFERROR(__xludf.DUMMYFUNCTION("""COMPUTED_VALUE"""),2.0)</f>
        <v>2</v>
      </c>
      <c r="F1326" s="2">
        <f>IFERROR(__xludf.DUMMYFUNCTION("""COMPUTED_VALUE"""),135290.0)</f>
        <v>135290</v>
      </c>
      <c r="G1326" s="2">
        <f>IFERROR(__xludf.DUMMYFUNCTION("""COMPUTED_VALUE"""),30438.0)</f>
        <v>30438</v>
      </c>
    </row>
    <row r="1327">
      <c r="A1327" s="2" t="str">
        <f>IFERROR(__xludf.DUMMYFUNCTION("""COMPUTED_VALUE"""),"Brazil")</f>
        <v>Brazil</v>
      </c>
      <c r="B1327" s="3">
        <f>IFERROR(__xludf.DUMMYFUNCTION("""COMPUTED_VALUE"""),44256.0)</f>
        <v>44256</v>
      </c>
      <c r="C1327" s="3">
        <f>IFERROR(__xludf.DUMMYFUNCTION("""COMPUTED_VALUE"""),44286.0)</f>
        <v>44286</v>
      </c>
      <c r="D1327" s="2">
        <f>IFERROR(__xludf.DUMMYFUNCTION("""COMPUTED_VALUE"""),31.0)</f>
        <v>31</v>
      </c>
      <c r="E1327" s="2">
        <f>IFERROR(__xludf.DUMMYFUNCTION("""COMPUTED_VALUE"""),3.0)</f>
        <v>3</v>
      </c>
      <c r="F1327" s="2">
        <f>IFERROR(__xludf.DUMMYFUNCTION("""COMPUTED_VALUE"""),205125.0)</f>
        <v>205125</v>
      </c>
      <c r="G1327" s="2">
        <f>IFERROR(__xludf.DUMMYFUNCTION("""COMPUTED_VALUE"""),66573.0)</f>
        <v>66573</v>
      </c>
    </row>
    <row r="1328">
      <c r="A1328" s="2" t="str">
        <f>IFERROR(__xludf.DUMMYFUNCTION("""COMPUTED_VALUE"""),"Brazil")</f>
        <v>Brazil</v>
      </c>
      <c r="B1328" s="3">
        <f>IFERROR(__xludf.DUMMYFUNCTION("""COMPUTED_VALUE"""),44287.0)</f>
        <v>44287</v>
      </c>
      <c r="C1328" s="3">
        <f>IFERROR(__xludf.DUMMYFUNCTION("""COMPUTED_VALUE"""),44316.0)</f>
        <v>44316</v>
      </c>
      <c r="D1328" s="2">
        <f>IFERROR(__xludf.DUMMYFUNCTION("""COMPUTED_VALUE"""),30.0)</f>
        <v>30</v>
      </c>
      <c r="E1328" s="2">
        <f>IFERROR(__xludf.DUMMYFUNCTION("""COMPUTED_VALUE"""),4.0)</f>
        <v>4</v>
      </c>
      <c r="F1328" s="2">
        <f>IFERROR(__xludf.DUMMYFUNCTION("""COMPUTED_VALUE"""),204893.0)</f>
        <v>204893</v>
      </c>
      <c r="G1328" s="2">
        <f>IFERROR(__xludf.DUMMYFUNCTION("""COMPUTED_VALUE"""),82266.0)</f>
        <v>82266</v>
      </c>
    </row>
    <row r="1329">
      <c r="A1329" s="2" t="str">
        <f>IFERROR(__xludf.DUMMYFUNCTION("""COMPUTED_VALUE"""),"Brazil")</f>
        <v>Brazil</v>
      </c>
      <c r="B1329" s="3">
        <f>IFERROR(__xludf.DUMMYFUNCTION("""COMPUTED_VALUE"""),44317.0)</f>
        <v>44317</v>
      </c>
      <c r="C1329" s="3">
        <f>IFERROR(__xludf.DUMMYFUNCTION("""COMPUTED_VALUE"""),44347.0)</f>
        <v>44347</v>
      </c>
      <c r="D1329" s="2">
        <f>IFERROR(__xludf.DUMMYFUNCTION("""COMPUTED_VALUE"""),31.0)</f>
        <v>31</v>
      </c>
      <c r="E1329" s="2">
        <f>IFERROR(__xludf.DUMMYFUNCTION("""COMPUTED_VALUE"""),5.0)</f>
        <v>5</v>
      </c>
      <c r="F1329" s="2">
        <f>IFERROR(__xludf.DUMMYFUNCTION("""COMPUTED_VALUE"""),178877.0)</f>
        <v>178877</v>
      </c>
      <c r="G1329" s="2">
        <f>IFERROR(__xludf.DUMMYFUNCTION("""COMPUTED_VALUE"""),59010.0)</f>
        <v>59010</v>
      </c>
    </row>
    <row r="1330">
      <c r="A1330" s="2" t="str">
        <f>IFERROR(__xludf.DUMMYFUNCTION("""COMPUTED_VALUE"""),"Brazil")</f>
        <v>Brazil</v>
      </c>
      <c r="B1330" s="3">
        <f>IFERROR(__xludf.DUMMYFUNCTION("""COMPUTED_VALUE"""),44348.0)</f>
        <v>44348</v>
      </c>
      <c r="C1330" s="3">
        <f>IFERROR(__xludf.DUMMYFUNCTION("""COMPUTED_VALUE"""),44377.0)</f>
        <v>44377</v>
      </c>
      <c r="D1330" s="2">
        <f>IFERROR(__xludf.DUMMYFUNCTION("""COMPUTED_VALUE"""),30.0)</f>
        <v>30</v>
      </c>
      <c r="E1330" s="2">
        <f>IFERROR(__xludf.DUMMYFUNCTION("""COMPUTED_VALUE"""),6.0)</f>
        <v>6</v>
      </c>
      <c r="F1330" s="2">
        <f>IFERROR(__xludf.DUMMYFUNCTION("""COMPUTED_VALUE"""),178844.0)</f>
        <v>178844</v>
      </c>
      <c r="G1330" s="2">
        <f>IFERROR(__xludf.DUMMYFUNCTION("""COMPUTED_VALUE"""),55275.0)</f>
        <v>55275</v>
      </c>
    </row>
    <row r="1331">
      <c r="A1331" s="2" t="str">
        <f>IFERROR(__xludf.DUMMYFUNCTION("""COMPUTED_VALUE"""),"Brazil")</f>
        <v>Brazil</v>
      </c>
      <c r="B1331" s="3">
        <f>IFERROR(__xludf.DUMMYFUNCTION("""COMPUTED_VALUE"""),44378.0)</f>
        <v>44378</v>
      </c>
      <c r="C1331" s="3">
        <f>IFERROR(__xludf.DUMMYFUNCTION("""COMPUTED_VALUE"""),44408.0)</f>
        <v>44408</v>
      </c>
      <c r="D1331" s="2">
        <f>IFERROR(__xludf.DUMMYFUNCTION("""COMPUTED_VALUE"""),31.0)</f>
        <v>31</v>
      </c>
      <c r="E1331" s="2">
        <f>IFERROR(__xludf.DUMMYFUNCTION("""COMPUTED_VALUE"""),7.0)</f>
        <v>7</v>
      </c>
      <c r="F1331" s="2">
        <f>IFERROR(__xludf.DUMMYFUNCTION("""COMPUTED_VALUE"""),162439.0)</f>
        <v>162439</v>
      </c>
      <c r="G1331" s="2">
        <f>IFERROR(__xludf.DUMMYFUNCTION("""COMPUTED_VALUE"""),38304.0)</f>
        <v>38304</v>
      </c>
    </row>
    <row r="1332">
      <c r="A1332" s="2" t="str">
        <f>IFERROR(__xludf.DUMMYFUNCTION("""COMPUTED_VALUE"""),"Brazil")</f>
        <v>Brazil</v>
      </c>
      <c r="B1332" s="3">
        <f>IFERROR(__xludf.DUMMYFUNCTION("""COMPUTED_VALUE"""),44409.0)</f>
        <v>44409</v>
      </c>
      <c r="C1332" s="3">
        <f>IFERROR(__xludf.DUMMYFUNCTION("""COMPUTED_VALUE"""),44439.0)</f>
        <v>44439</v>
      </c>
      <c r="D1332" s="2">
        <f>IFERROR(__xludf.DUMMYFUNCTION("""COMPUTED_VALUE"""),31.0)</f>
        <v>31</v>
      </c>
      <c r="E1332" s="2">
        <f>IFERROR(__xludf.DUMMYFUNCTION("""COMPUTED_VALUE"""),8.0)</f>
        <v>8</v>
      </c>
      <c r="F1332" s="2">
        <f>IFERROR(__xludf.DUMMYFUNCTION("""COMPUTED_VALUE"""),149206.0)</f>
        <v>149206</v>
      </c>
      <c r="G1332" s="2">
        <f>IFERROR(__xludf.DUMMYFUNCTION("""COMPUTED_VALUE"""),24043.0)</f>
        <v>24043</v>
      </c>
    </row>
    <row r="1333">
      <c r="A1333" s="2" t="str">
        <f>IFERROR(__xludf.DUMMYFUNCTION("""COMPUTED_VALUE"""),"Brazil")</f>
        <v>Brazil</v>
      </c>
      <c r="B1333" s="3">
        <f>IFERROR(__xludf.DUMMYFUNCTION("""COMPUTED_VALUE"""),44440.0)</f>
        <v>44440</v>
      </c>
      <c r="C1333" s="3">
        <f>IFERROR(__xludf.DUMMYFUNCTION("""COMPUTED_VALUE"""),44469.0)</f>
        <v>44469</v>
      </c>
      <c r="D1333" s="2">
        <f>IFERROR(__xludf.DUMMYFUNCTION("""COMPUTED_VALUE"""),30.0)</f>
        <v>30</v>
      </c>
      <c r="E1333" s="2">
        <f>IFERROR(__xludf.DUMMYFUNCTION("""COMPUTED_VALUE"""),9.0)</f>
        <v>9</v>
      </c>
      <c r="F1333" s="2">
        <f>IFERROR(__xludf.DUMMYFUNCTION("""COMPUTED_VALUE"""),129743.0)</f>
        <v>129743</v>
      </c>
      <c r="G1333" s="2">
        <f>IFERROR(__xludf.DUMMYFUNCTION("""COMPUTED_VALUE"""),16336.0)</f>
        <v>16336</v>
      </c>
    </row>
  </sheetData>
  <autoFilter ref="$A$1:$G$133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tr">
        <f>IFERROR(__xludf.DUMMYFUNCTION("IMPORTRANGE(""https://docs.google.com/spreadsheets/d/1qs64yg3caddAEvkwbZDeEmZNDwba-IIvR-KuUQhuC1k/edit#gid=576546727"", ""Poblacion!A1:B"")"),"Pais")</f>
        <v>Pais</v>
      </c>
      <c r="B1" s="2" t="str">
        <f>IFERROR(__xludf.DUMMYFUNCTION("""COMPUTED_VALUE"""),"Poblacion")</f>
        <v>Poblacion</v>
      </c>
    </row>
    <row r="2">
      <c r="A2" s="2" t="str">
        <f>IFERROR(__xludf.DUMMYFUNCTION("""COMPUTED_VALUE"""),"Mexico")</f>
        <v>Mexico</v>
      </c>
      <c r="B2" s="4">
        <f>IFERROR(__xludf.DUMMYFUNCTION("""COMPUTED_VALUE"""),1.3026222E8)</f>
        <v>130262220</v>
      </c>
      <c r="C2" s="4"/>
    </row>
    <row r="3">
      <c r="A3" s="2" t="str">
        <f>IFERROR(__xludf.DUMMYFUNCTION("""COMPUTED_VALUE"""),"Peru")</f>
        <v>Peru</v>
      </c>
      <c r="B3" s="4">
        <f>IFERROR(__xludf.DUMMYFUNCTION("""COMPUTED_VALUE"""),3.3359415E7)</f>
        <v>33359415</v>
      </c>
      <c r="C3" s="4"/>
    </row>
    <row r="4">
      <c r="A4" s="2" t="str">
        <f>IFERROR(__xludf.DUMMYFUNCTION("""COMPUTED_VALUE"""),"Chile")</f>
        <v>Chile</v>
      </c>
      <c r="B4" s="4">
        <f>IFERROR(__xludf.DUMMYFUNCTION("""COMPUTED_VALUE"""),1.9212362E7)</f>
        <v>19212362</v>
      </c>
      <c r="C4" s="4"/>
    </row>
    <row r="5">
      <c r="A5" s="2" t="str">
        <f>IFERROR(__xludf.DUMMYFUNCTION("""COMPUTED_VALUE"""),"Brazil")</f>
        <v>Brazil</v>
      </c>
      <c r="B5" s="4">
        <f>IFERROR(__xludf.DUMMYFUNCTION("""COMPUTED_VALUE"""),2.13993441E8)</f>
        <v>213993441</v>
      </c>
      <c r="C5" s="4"/>
    </row>
    <row r="6">
      <c r="A6" s="2" t="str">
        <f>IFERROR(__xludf.DUMMYFUNCTION("""COMPUTED_VALUE"""),"Colombia")</f>
        <v>Colombia</v>
      </c>
      <c r="B6" s="4">
        <f>IFERROR(__xludf.DUMMYFUNCTION("""COMPUTED_VALUE"""),5.1265841E7)</f>
        <v>51265841</v>
      </c>
      <c r="C6" s="4"/>
    </row>
    <row r="7">
      <c r="A7" s="2"/>
      <c r="B7" s="2"/>
    </row>
    <row r="8">
      <c r="A8" s="2"/>
      <c r="B8" s="2"/>
    </row>
    <row r="9">
      <c r="A9" s="2"/>
      <c r="B9" s="2"/>
    </row>
    <row r="10">
      <c r="A10" s="2"/>
      <c r="B10" s="2"/>
    </row>
    <row r="11">
      <c r="A11" s="2"/>
      <c r="B11" s="4"/>
    </row>
    <row r="12">
      <c r="A12" s="2"/>
      <c r="B12" s="2"/>
    </row>
    <row r="13">
      <c r="A13" s="2"/>
      <c r="B13" s="2"/>
    </row>
    <row r="14">
      <c r="A14" s="2"/>
      <c r="B14" s="2"/>
    </row>
    <row r="15">
      <c r="A15" s="2"/>
      <c r="B15" s="2"/>
    </row>
    <row r="16">
      <c r="A16" s="2"/>
      <c r="B16" s="2"/>
    </row>
    <row r="17">
      <c r="A17" s="2"/>
      <c r="B17" s="2"/>
    </row>
    <row r="18">
      <c r="A18" s="2"/>
      <c r="B18" s="2"/>
    </row>
    <row r="19">
      <c r="A19" s="2"/>
      <c r="B19" s="2"/>
    </row>
    <row r="20">
      <c r="A20" s="2"/>
      <c r="B20" s="2"/>
    </row>
    <row r="21">
      <c r="A21" s="2"/>
      <c r="B21" s="2"/>
    </row>
    <row r="22">
      <c r="A22" s="2"/>
      <c r="B22" s="2"/>
    </row>
    <row r="23">
      <c r="A23" s="2"/>
      <c r="B23" s="2"/>
    </row>
    <row r="24">
      <c r="A24" s="2"/>
      <c r="B24" s="2"/>
    </row>
    <row r="25">
      <c r="A25" s="2"/>
      <c r="B25" s="2"/>
    </row>
    <row r="26">
      <c r="A26" s="2"/>
      <c r="B26" s="2"/>
    </row>
    <row r="27">
      <c r="A27" s="2"/>
      <c r="B27" s="2"/>
    </row>
    <row r="28">
      <c r="A28" s="2"/>
      <c r="B28" s="2"/>
    </row>
    <row r="29">
      <c r="A29" s="2"/>
      <c r="B29" s="2"/>
    </row>
    <row r="30">
      <c r="A30" s="2"/>
      <c r="B30" s="2"/>
    </row>
    <row r="31">
      <c r="A31" s="2"/>
      <c r="B31" s="2"/>
    </row>
    <row r="32">
      <c r="A32" s="2"/>
      <c r="B32" s="2"/>
    </row>
    <row r="33">
      <c r="A33" s="2"/>
      <c r="B33" s="2"/>
    </row>
    <row r="34">
      <c r="A34" s="2"/>
      <c r="B34" s="2"/>
    </row>
    <row r="35">
      <c r="A35" s="2"/>
      <c r="B35" s="2"/>
    </row>
    <row r="36">
      <c r="A36" s="2"/>
      <c r="B36" s="2"/>
    </row>
    <row r="37">
      <c r="A37" s="2"/>
      <c r="B37" s="2"/>
    </row>
    <row r="38">
      <c r="A38" s="2"/>
      <c r="B38" s="2"/>
    </row>
    <row r="39">
      <c r="A39" s="2"/>
      <c r="B39" s="2"/>
    </row>
    <row r="40">
      <c r="A40" s="2"/>
      <c r="B40" s="2"/>
    </row>
    <row r="41">
      <c r="A41" s="2"/>
      <c r="B41" s="2"/>
    </row>
    <row r="42">
      <c r="A42" s="2"/>
      <c r="B42" s="2"/>
    </row>
    <row r="43">
      <c r="A43" s="2"/>
      <c r="B43" s="2"/>
    </row>
    <row r="44">
      <c r="A44" s="2"/>
      <c r="B44" s="2"/>
    </row>
    <row r="45">
      <c r="A45" s="2"/>
      <c r="B45" s="2"/>
    </row>
    <row r="46">
      <c r="A46" s="2"/>
      <c r="B46" s="2"/>
    </row>
    <row r="47">
      <c r="A47" s="2"/>
      <c r="B47" s="2"/>
    </row>
    <row r="48">
      <c r="A48" s="2"/>
      <c r="B48" s="2"/>
    </row>
    <row r="49">
      <c r="A49" s="2"/>
      <c r="B49" s="2"/>
    </row>
    <row r="50">
      <c r="A50" s="2"/>
      <c r="B50" s="2"/>
    </row>
    <row r="51">
      <c r="A51" s="2"/>
      <c r="B51" s="2"/>
    </row>
    <row r="52">
      <c r="A52" s="2"/>
      <c r="B52" s="2"/>
    </row>
    <row r="53">
      <c r="A53" s="2"/>
      <c r="B53" s="2"/>
    </row>
    <row r="54">
      <c r="A54" s="2"/>
      <c r="B54" s="2"/>
    </row>
    <row r="55">
      <c r="A55" s="2"/>
      <c r="B55" s="2"/>
    </row>
    <row r="56">
      <c r="A56" s="2"/>
      <c r="B56" s="2"/>
    </row>
    <row r="57">
      <c r="A57" s="2"/>
      <c r="B57" s="2"/>
    </row>
    <row r="58">
      <c r="A58" s="2"/>
      <c r="B58" s="2"/>
    </row>
    <row r="59">
      <c r="A59" s="2"/>
      <c r="B59" s="2"/>
    </row>
    <row r="60">
      <c r="A60" s="2"/>
      <c r="B60" s="2"/>
    </row>
    <row r="61">
      <c r="A61" s="2"/>
      <c r="B61" s="2"/>
    </row>
    <row r="62">
      <c r="A62" s="2"/>
      <c r="B62" s="2"/>
    </row>
    <row r="63">
      <c r="A63" s="2"/>
      <c r="B63" s="2"/>
    </row>
    <row r="64">
      <c r="A64" s="2"/>
      <c r="B64" s="2"/>
    </row>
    <row r="65">
      <c r="A65" s="2"/>
      <c r="B65" s="2"/>
    </row>
    <row r="66">
      <c r="A66" s="2"/>
      <c r="B66" s="2"/>
    </row>
    <row r="67">
      <c r="A67" s="2"/>
      <c r="B67" s="2"/>
    </row>
    <row r="68">
      <c r="A68" s="2"/>
      <c r="B68" s="2"/>
    </row>
    <row r="69">
      <c r="A69" s="2"/>
      <c r="B69" s="2"/>
    </row>
    <row r="70">
      <c r="A70" s="2"/>
      <c r="B70" s="2"/>
    </row>
    <row r="71">
      <c r="A71" s="2"/>
      <c r="B71" s="2"/>
    </row>
    <row r="72">
      <c r="A72" s="2"/>
      <c r="B72" s="2"/>
    </row>
    <row r="73">
      <c r="A73" s="2"/>
      <c r="B73" s="2"/>
    </row>
    <row r="74">
      <c r="A74" s="2"/>
      <c r="B74" s="2"/>
    </row>
    <row r="75">
      <c r="A75" s="2"/>
      <c r="B75" s="2"/>
    </row>
    <row r="76">
      <c r="A76" s="2"/>
      <c r="B76" s="2"/>
    </row>
    <row r="77">
      <c r="A77" s="2"/>
      <c r="B77" s="2"/>
    </row>
    <row r="78">
      <c r="A78" s="2"/>
      <c r="B78" s="2"/>
    </row>
    <row r="79">
      <c r="A79" s="2"/>
      <c r="B79" s="2"/>
    </row>
    <row r="80">
      <c r="A80" s="2"/>
      <c r="B80" s="2"/>
    </row>
    <row r="81">
      <c r="A81" s="2"/>
      <c r="B81" s="2"/>
    </row>
    <row r="82">
      <c r="A82" s="2"/>
      <c r="B82" s="2"/>
    </row>
    <row r="83">
      <c r="A83" s="2"/>
      <c r="B83" s="2"/>
    </row>
    <row r="84">
      <c r="A84" s="2"/>
      <c r="B84" s="2"/>
    </row>
    <row r="85">
      <c r="A85" s="2"/>
      <c r="B85" s="2"/>
    </row>
    <row r="86">
      <c r="A86" s="2"/>
      <c r="B86" s="2"/>
    </row>
    <row r="87">
      <c r="A87" s="2"/>
      <c r="B87" s="2"/>
    </row>
    <row r="88">
      <c r="A88" s="2"/>
      <c r="B88" s="2"/>
    </row>
    <row r="89">
      <c r="A89" s="2"/>
      <c r="B89" s="2"/>
    </row>
    <row r="90">
      <c r="A90" s="2"/>
      <c r="B90" s="2"/>
    </row>
    <row r="91">
      <c r="A91" s="2"/>
      <c r="B91" s="2"/>
    </row>
    <row r="92">
      <c r="A92" s="2"/>
      <c r="B92" s="2"/>
    </row>
    <row r="93">
      <c r="A93" s="2"/>
      <c r="B93" s="2"/>
    </row>
    <row r="94">
      <c r="A94" s="2"/>
      <c r="B94" s="2"/>
    </row>
    <row r="95">
      <c r="A95" s="2"/>
      <c r="B95" s="2"/>
    </row>
    <row r="96">
      <c r="A96" s="2"/>
      <c r="B96" s="2"/>
    </row>
    <row r="97">
      <c r="A97" s="2"/>
      <c r="B97" s="2"/>
    </row>
    <row r="98">
      <c r="A98" s="2"/>
      <c r="B98" s="2"/>
    </row>
    <row r="99">
      <c r="A99" s="2"/>
      <c r="B99" s="2"/>
    </row>
    <row r="100">
      <c r="A100" s="2"/>
      <c r="B100" s="2"/>
    </row>
    <row r="101">
      <c r="A101" s="2"/>
      <c r="B101" s="2"/>
    </row>
    <row r="102">
      <c r="A102" s="2"/>
      <c r="B102" s="2"/>
    </row>
    <row r="103">
      <c r="A103" s="2"/>
      <c r="B103" s="2"/>
    </row>
    <row r="104">
      <c r="A104" s="2"/>
      <c r="B104" s="2"/>
    </row>
    <row r="105">
      <c r="A105" s="2"/>
      <c r="B105" s="2"/>
    </row>
    <row r="106">
      <c r="A106" s="2"/>
      <c r="B106" s="2"/>
    </row>
    <row r="107">
      <c r="A107" s="2"/>
      <c r="B107" s="2"/>
    </row>
    <row r="108">
      <c r="A108" s="2"/>
      <c r="B108" s="2"/>
    </row>
    <row r="109">
      <c r="A109" s="2"/>
      <c r="B109" s="2"/>
    </row>
    <row r="110">
      <c r="A110" s="2"/>
      <c r="B110" s="2"/>
    </row>
    <row r="111">
      <c r="A111" s="2"/>
      <c r="B111" s="2"/>
    </row>
    <row r="112">
      <c r="A112" s="2"/>
      <c r="B112" s="2"/>
    </row>
    <row r="113">
      <c r="A113" s="2"/>
      <c r="B113" s="2"/>
    </row>
    <row r="114">
      <c r="A114" s="2"/>
      <c r="B114" s="2"/>
    </row>
    <row r="115">
      <c r="A115" s="2"/>
      <c r="B115" s="2"/>
    </row>
    <row r="116">
      <c r="A116" s="2"/>
      <c r="B116" s="2"/>
    </row>
    <row r="117">
      <c r="A117" s="2"/>
      <c r="B117" s="2"/>
    </row>
    <row r="118">
      <c r="A118" s="2"/>
      <c r="B118" s="2"/>
    </row>
    <row r="119">
      <c r="A119" s="2"/>
      <c r="B119" s="2"/>
    </row>
    <row r="120">
      <c r="A120" s="2"/>
      <c r="B120" s="2"/>
    </row>
    <row r="121">
      <c r="A121" s="2"/>
      <c r="B121" s="2"/>
    </row>
    <row r="122">
      <c r="A122" s="2"/>
      <c r="B122" s="2"/>
    </row>
    <row r="123">
      <c r="A123" s="2"/>
      <c r="B123" s="2"/>
    </row>
    <row r="124">
      <c r="A124" s="2"/>
      <c r="B124" s="2"/>
    </row>
    <row r="125">
      <c r="A125" s="2"/>
      <c r="B125" s="2"/>
    </row>
    <row r="126">
      <c r="A126" s="2"/>
      <c r="B126" s="2"/>
    </row>
    <row r="127">
      <c r="A127" s="2"/>
      <c r="B127" s="2"/>
    </row>
    <row r="128">
      <c r="A128" s="2"/>
      <c r="B128" s="2"/>
    </row>
    <row r="129">
      <c r="A129" s="2"/>
      <c r="B129" s="2"/>
    </row>
    <row r="130">
      <c r="A130" s="2"/>
      <c r="B130" s="2"/>
    </row>
    <row r="131">
      <c r="A131" s="2"/>
      <c r="B131" s="2"/>
    </row>
    <row r="132">
      <c r="A132" s="2"/>
      <c r="B132" s="2"/>
    </row>
    <row r="133">
      <c r="A133" s="2"/>
      <c r="B133" s="2"/>
    </row>
    <row r="134">
      <c r="A134" s="2"/>
      <c r="B134" s="2"/>
    </row>
    <row r="135">
      <c r="A135" s="2"/>
      <c r="B135" s="2"/>
    </row>
    <row r="136">
      <c r="A136" s="2"/>
      <c r="B136" s="2"/>
    </row>
    <row r="137">
      <c r="A137" s="2"/>
      <c r="B137" s="2"/>
    </row>
    <row r="138">
      <c r="A138" s="2"/>
      <c r="B138" s="2"/>
    </row>
    <row r="139">
      <c r="A139" s="2"/>
      <c r="B139" s="2"/>
    </row>
    <row r="140">
      <c r="A140" s="2"/>
      <c r="B140" s="2"/>
    </row>
    <row r="141">
      <c r="A141" s="2"/>
      <c r="B141" s="2"/>
    </row>
    <row r="142">
      <c r="A142" s="2"/>
      <c r="B142" s="2"/>
    </row>
    <row r="143">
      <c r="A143" s="2"/>
      <c r="B143" s="2"/>
    </row>
    <row r="144">
      <c r="A144" s="2"/>
      <c r="B144" s="2"/>
    </row>
    <row r="145">
      <c r="A145" s="2"/>
      <c r="B145" s="2"/>
    </row>
    <row r="146">
      <c r="A146" s="2"/>
      <c r="B146" s="2"/>
    </row>
    <row r="147">
      <c r="A147" s="2"/>
      <c r="B147" s="2"/>
    </row>
    <row r="148">
      <c r="A148" s="2"/>
      <c r="B148" s="2"/>
    </row>
    <row r="149">
      <c r="A149" s="2"/>
      <c r="B149" s="2"/>
    </row>
    <row r="150">
      <c r="A150" s="2"/>
      <c r="B150" s="2"/>
    </row>
    <row r="151">
      <c r="A151" s="2"/>
      <c r="B151" s="2"/>
    </row>
    <row r="152">
      <c r="A152" s="2"/>
      <c r="B152" s="2"/>
    </row>
    <row r="153">
      <c r="A153" s="2"/>
      <c r="B153" s="2"/>
    </row>
    <row r="154">
      <c r="A154" s="2"/>
      <c r="B154" s="2"/>
    </row>
    <row r="155">
      <c r="A155" s="2"/>
      <c r="B155" s="2"/>
    </row>
    <row r="156">
      <c r="A156" s="2"/>
      <c r="B156" s="2"/>
    </row>
    <row r="157">
      <c r="A157" s="2"/>
      <c r="B157" s="2"/>
    </row>
    <row r="158">
      <c r="A158" s="2"/>
      <c r="B158" s="2"/>
    </row>
    <row r="159">
      <c r="A159" s="2"/>
      <c r="B159" s="2"/>
    </row>
    <row r="160">
      <c r="A160" s="2"/>
      <c r="B160" s="2"/>
    </row>
    <row r="161">
      <c r="A161" s="2"/>
      <c r="B161" s="2"/>
    </row>
    <row r="162">
      <c r="A162" s="2"/>
      <c r="B162" s="2"/>
    </row>
    <row r="163">
      <c r="A163" s="2"/>
      <c r="B163" s="2"/>
    </row>
    <row r="164">
      <c r="A164" s="2"/>
      <c r="B164" s="2"/>
    </row>
    <row r="165">
      <c r="A165" s="2"/>
      <c r="B165" s="2"/>
    </row>
    <row r="166">
      <c r="A166" s="2"/>
      <c r="B166" s="2"/>
    </row>
    <row r="167">
      <c r="A167" s="2"/>
      <c r="B167" s="2"/>
    </row>
    <row r="168">
      <c r="A168" s="2"/>
      <c r="B168" s="2"/>
    </row>
    <row r="169">
      <c r="A169" s="2"/>
      <c r="B169" s="2"/>
    </row>
    <row r="170">
      <c r="A170" s="2"/>
      <c r="B170" s="2"/>
    </row>
    <row r="171">
      <c r="A171" s="2"/>
      <c r="B171" s="2"/>
    </row>
    <row r="172">
      <c r="A172" s="2"/>
      <c r="B172" s="2"/>
    </row>
    <row r="173">
      <c r="A173" s="2"/>
      <c r="B173" s="2"/>
    </row>
    <row r="174">
      <c r="A174" s="2"/>
      <c r="B174" s="2"/>
    </row>
    <row r="175">
      <c r="A175" s="2"/>
      <c r="B175" s="2"/>
    </row>
    <row r="176">
      <c r="A176" s="2"/>
      <c r="B176" s="2"/>
    </row>
    <row r="177">
      <c r="A177" s="2"/>
      <c r="B177" s="2"/>
    </row>
    <row r="178">
      <c r="A178" s="2"/>
      <c r="B178" s="2"/>
    </row>
    <row r="179">
      <c r="A179" s="2"/>
      <c r="B179" s="2"/>
    </row>
    <row r="180">
      <c r="A180" s="2"/>
      <c r="B180" s="2"/>
    </row>
    <row r="181">
      <c r="A181" s="2"/>
      <c r="B181" s="2"/>
    </row>
    <row r="182">
      <c r="A182" s="2"/>
      <c r="B182" s="2"/>
    </row>
    <row r="183">
      <c r="A183" s="2"/>
      <c r="B183" s="2"/>
    </row>
    <row r="184">
      <c r="A184" s="2"/>
      <c r="B184" s="2"/>
    </row>
    <row r="185">
      <c r="A185" s="2"/>
      <c r="B185" s="2"/>
    </row>
    <row r="186">
      <c r="A186" s="2"/>
      <c r="B186" s="2"/>
    </row>
    <row r="187">
      <c r="A187" s="2"/>
      <c r="B187" s="2"/>
    </row>
    <row r="188">
      <c r="A188" s="2"/>
      <c r="B188" s="2"/>
    </row>
    <row r="189">
      <c r="A189" s="2"/>
      <c r="B189" s="2"/>
    </row>
    <row r="190">
      <c r="A190" s="2"/>
      <c r="B190" s="2"/>
    </row>
    <row r="191">
      <c r="A191" s="2"/>
      <c r="B191" s="2"/>
    </row>
    <row r="192">
      <c r="A192" s="2"/>
      <c r="B192" s="2"/>
    </row>
    <row r="193">
      <c r="A193" s="2"/>
      <c r="B193" s="2"/>
    </row>
    <row r="194">
      <c r="A194" s="2"/>
      <c r="B194" s="2"/>
    </row>
    <row r="195">
      <c r="A195" s="2"/>
      <c r="B195" s="2"/>
    </row>
    <row r="196">
      <c r="A196" s="2"/>
      <c r="B196" s="2"/>
    </row>
    <row r="197">
      <c r="A197" s="2"/>
      <c r="B197" s="2"/>
    </row>
    <row r="198">
      <c r="A198" s="2"/>
      <c r="B198" s="2"/>
    </row>
    <row r="199">
      <c r="A199" s="2"/>
      <c r="B199" s="2"/>
    </row>
    <row r="200">
      <c r="A200" s="2"/>
      <c r="B200" s="2"/>
    </row>
    <row r="201">
      <c r="A201" s="2"/>
      <c r="B201" s="2"/>
    </row>
    <row r="202">
      <c r="A202" s="2"/>
      <c r="B202" s="2"/>
    </row>
    <row r="203">
      <c r="A203" s="2"/>
      <c r="B203" s="2"/>
    </row>
    <row r="204">
      <c r="A204" s="2"/>
      <c r="B204" s="2"/>
    </row>
    <row r="205">
      <c r="A205" s="2"/>
      <c r="B205" s="2"/>
    </row>
    <row r="206">
      <c r="A206" s="2"/>
      <c r="B206" s="2"/>
    </row>
    <row r="207">
      <c r="A207" s="2"/>
      <c r="B207" s="2"/>
    </row>
    <row r="208">
      <c r="A208" s="2"/>
      <c r="B208" s="2"/>
    </row>
    <row r="209">
      <c r="A209" s="2"/>
      <c r="B209" s="2"/>
    </row>
    <row r="210">
      <c r="A210" s="2"/>
      <c r="B210" s="2"/>
    </row>
    <row r="211">
      <c r="A211" s="2"/>
      <c r="B211" s="2"/>
    </row>
    <row r="212">
      <c r="A212" s="2"/>
      <c r="B212" s="2"/>
    </row>
    <row r="213">
      <c r="A213" s="2"/>
      <c r="B213" s="2"/>
    </row>
    <row r="214">
      <c r="A214" s="2"/>
      <c r="B214" s="2"/>
    </row>
    <row r="215">
      <c r="A215" s="2"/>
      <c r="B215" s="2"/>
    </row>
    <row r="216">
      <c r="A216" s="2"/>
      <c r="B216" s="2"/>
    </row>
    <row r="217">
      <c r="A217" s="2"/>
      <c r="B217" s="2"/>
    </row>
    <row r="218">
      <c r="A218" s="2"/>
      <c r="B218" s="2"/>
    </row>
    <row r="219">
      <c r="A219" s="2"/>
      <c r="B219" s="2"/>
    </row>
    <row r="220">
      <c r="A220" s="2"/>
      <c r="B220" s="2"/>
    </row>
    <row r="221">
      <c r="A221" s="2"/>
      <c r="B221" s="2"/>
    </row>
    <row r="222">
      <c r="A222" s="2"/>
      <c r="B222" s="2"/>
    </row>
    <row r="223">
      <c r="A223" s="2"/>
      <c r="B223" s="2"/>
    </row>
    <row r="224">
      <c r="A224" s="2"/>
      <c r="B224" s="2"/>
    </row>
    <row r="225">
      <c r="A225" s="2"/>
      <c r="B225" s="2"/>
    </row>
    <row r="226">
      <c r="A226" s="2"/>
      <c r="B226" s="2"/>
    </row>
    <row r="227">
      <c r="A227" s="2"/>
      <c r="B227" s="2"/>
    </row>
    <row r="228">
      <c r="A228" s="2"/>
      <c r="B228" s="2"/>
    </row>
    <row r="229">
      <c r="A229" s="2"/>
      <c r="B229" s="2"/>
    </row>
    <row r="230">
      <c r="A230" s="2"/>
      <c r="B230" s="2"/>
    </row>
    <row r="231">
      <c r="A231" s="2"/>
      <c r="B231" s="2"/>
    </row>
    <row r="232">
      <c r="A232" s="2"/>
      <c r="B232" s="2"/>
    </row>
    <row r="233">
      <c r="A233" s="2"/>
      <c r="B233" s="2"/>
    </row>
    <row r="234">
      <c r="A234" s="2"/>
      <c r="B234" s="2"/>
    </row>
    <row r="235">
      <c r="A235" s="2"/>
      <c r="B235" s="2"/>
    </row>
    <row r="236">
      <c r="A236" s="2"/>
      <c r="B236" s="2"/>
    </row>
    <row r="237">
      <c r="A237" s="2"/>
      <c r="B237" s="2"/>
    </row>
    <row r="238">
      <c r="A238" s="2"/>
      <c r="B238" s="2"/>
    </row>
    <row r="239">
      <c r="A239" s="2"/>
      <c r="B239" s="2"/>
    </row>
    <row r="240">
      <c r="A240" s="2"/>
      <c r="B240" s="2"/>
    </row>
    <row r="241">
      <c r="A241" s="2"/>
      <c r="B241" s="2"/>
    </row>
    <row r="242">
      <c r="A242" s="2"/>
      <c r="B242" s="2"/>
    </row>
    <row r="243">
      <c r="A243" s="2"/>
      <c r="B243" s="2"/>
    </row>
    <row r="244">
      <c r="A244" s="2"/>
      <c r="B244" s="2"/>
    </row>
    <row r="245">
      <c r="A245" s="2"/>
      <c r="B245" s="2"/>
    </row>
    <row r="246">
      <c r="A246" s="2"/>
      <c r="B246" s="2"/>
    </row>
    <row r="247">
      <c r="A247" s="2"/>
      <c r="B247" s="2"/>
    </row>
    <row r="248">
      <c r="A248" s="2"/>
      <c r="B248" s="2"/>
    </row>
    <row r="249">
      <c r="A249" s="2"/>
      <c r="B249" s="2"/>
    </row>
    <row r="250">
      <c r="A250" s="2"/>
      <c r="B250" s="2"/>
    </row>
    <row r="251">
      <c r="A251" s="2"/>
      <c r="B251" s="2"/>
    </row>
    <row r="252">
      <c r="A252" s="2"/>
      <c r="B252" s="2"/>
    </row>
    <row r="253">
      <c r="A253" s="2"/>
      <c r="B253" s="2"/>
    </row>
    <row r="254">
      <c r="A254" s="2"/>
      <c r="B254" s="2"/>
    </row>
    <row r="255">
      <c r="A255" s="2"/>
      <c r="B255" s="2"/>
    </row>
    <row r="256">
      <c r="A256" s="2"/>
      <c r="B256" s="2"/>
    </row>
    <row r="257">
      <c r="A257" s="2"/>
      <c r="B257" s="2"/>
    </row>
    <row r="258">
      <c r="A258" s="2"/>
      <c r="B258" s="2"/>
    </row>
    <row r="259">
      <c r="A259" s="2"/>
      <c r="B259" s="2"/>
    </row>
    <row r="260">
      <c r="A260" s="2"/>
      <c r="B260" s="2"/>
    </row>
    <row r="261">
      <c r="A261" s="2"/>
      <c r="B261" s="2"/>
    </row>
    <row r="262">
      <c r="A262" s="2"/>
      <c r="B262" s="2"/>
    </row>
    <row r="263">
      <c r="A263" s="2"/>
      <c r="B263" s="2"/>
    </row>
    <row r="264">
      <c r="A264" s="2"/>
      <c r="B264" s="2"/>
    </row>
    <row r="265">
      <c r="A265" s="2"/>
      <c r="B265" s="2"/>
    </row>
    <row r="266">
      <c r="A266" s="2"/>
      <c r="B266" s="2"/>
    </row>
    <row r="267">
      <c r="A267" s="2"/>
      <c r="B267" s="2"/>
    </row>
    <row r="268">
      <c r="A268" s="2"/>
      <c r="B268" s="2"/>
    </row>
    <row r="269">
      <c r="A269" s="2"/>
      <c r="B269" s="2"/>
    </row>
    <row r="270">
      <c r="A270" s="2"/>
      <c r="B270" s="2"/>
    </row>
    <row r="271">
      <c r="A271" s="2"/>
      <c r="B271" s="2"/>
    </row>
    <row r="272">
      <c r="A272" s="2"/>
      <c r="B272" s="2"/>
    </row>
    <row r="273">
      <c r="A273" s="2"/>
      <c r="B273" s="2"/>
    </row>
    <row r="274">
      <c r="A274" s="2"/>
      <c r="B274" s="2"/>
    </row>
    <row r="275">
      <c r="A275" s="2"/>
      <c r="B275" s="2"/>
    </row>
    <row r="276">
      <c r="A276" s="2"/>
      <c r="B276" s="2"/>
    </row>
    <row r="277">
      <c r="A277" s="2"/>
      <c r="B277" s="2"/>
    </row>
    <row r="278">
      <c r="A278" s="2"/>
      <c r="B278" s="2"/>
    </row>
    <row r="279">
      <c r="A279" s="2"/>
      <c r="B279" s="2"/>
    </row>
    <row r="280">
      <c r="A280" s="2"/>
      <c r="B280" s="2"/>
    </row>
    <row r="281">
      <c r="A281" s="2"/>
      <c r="B281" s="2"/>
    </row>
    <row r="282">
      <c r="A282" s="2"/>
      <c r="B282" s="2"/>
    </row>
    <row r="283">
      <c r="A283" s="2"/>
      <c r="B283" s="2"/>
    </row>
    <row r="284">
      <c r="A284" s="2"/>
      <c r="B284" s="2"/>
    </row>
    <row r="285">
      <c r="A285" s="2"/>
      <c r="B285" s="2"/>
    </row>
    <row r="286">
      <c r="A286" s="2"/>
      <c r="B286" s="2"/>
    </row>
    <row r="287">
      <c r="A287" s="2"/>
      <c r="B287" s="2"/>
    </row>
    <row r="288">
      <c r="A288" s="2"/>
      <c r="B288" s="2"/>
    </row>
    <row r="289">
      <c r="A289" s="2"/>
      <c r="B289" s="2"/>
    </row>
    <row r="290">
      <c r="A290" s="2"/>
      <c r="B290" s="2"/>
    </row>
    <row r="291">
      <c r="A291" s="2"/>
      <c r="B291" s="2"/>
    </row>
    <row r="292">
      <c r="A292" s="2"/>
      <c r="B292" s="2"/>
    </row>
    <row r="293">
      <c r="A293" s="2"/>
      <c r="B293" s="2"/>
    </row>
    <row r="294">
      <c r="A294" s="2"/>
      <c r="B294" s="2"/>
    </row>
    <row r="295">
      <c r="A295" s="2"/>
      <c r="B295" s="2"/>
    </row>
    <row r="296">
      <c r="A296" s="2"/>
      <c r="B296" s="2"/>
    </row>
    <row r="297">
      <c r="A297" s="2"/>
      <c r="B297" s="2"/>
    </row>
    <row r="298">
      <c r="A298" s="2"/>
      <c r="B298" s="2"/>
    </row>
    <row r="299">
      <c r="A299" s="2"/>
      <c r="B299" s="2"/>
    </row>
    <row r="300">
      <c r="A300" s="2"/>
      <c r="B300" s="2"/>
    </row>
    <row r="301">
      <c r="A301" s="2"/>
      <c r="B301" s="2"/>
    </row>
    <row r="302">
      <c r="A302" s="2"/>
      <c r="B302" s="2"/>
    </row>
    <row r="303">
      <c r="A303" s="2"/>
      <c r="B303" s="2"/>
    </row>
    <row r="304">
      <c r="A304" s="2"/>
      <c r="B304" s="2"/>
    </row>
    <row r="305">
      <c r="A305" s="2"/>
      <c r="B305" s="2"/>
    </row>
    <row r="306">
      <c r="A306" s="2"/>
      <c r="B306" s="2"/>
    </row>
    <row r="307">
      <c r="A307" s="2"/>
      <c r="B307" s="2"/>
    </row>
    <row r="308">
      <c r="A308" s="2"/>
      <c r="B308" s="2"/>
    </row>
    <row r="309">
      <c r="A309" s="2"/>
      <c r="B309" s="2"/>
    </row>
    <row r="310">
      <c r="A310" s="2"/>
      <c r="B310" s="2"/>
    </row>
    <row r="311">
      <c r="A311" s="2"/>
      <c r="B311" s="2"/>
    </row>
    <row r="312">
      <c r="A312" s="2"/>
      <c r="B312" s="2"/>
    </row>
    <row r="313">
      <c r="A313" s="2"/>
      <c r="B313" s="2"/>
    </row>
    <row r="314">
      <c r="A314" s="2"/>
      <c r="B314" s="2"/>
    </row>
    <row r="315">
      <c r="A315" s="2"/>
      <c r="B315" s="2"/>
    </row>
    <row r="316">
      <c r="A316" s="2"/>
      <c r="B316" s="2"/>
    </row>
    <row r="317">
      <c r="A317" s="2"/>
      <c r="B317" s="2"/>
    </row>
    <row r="318">
      <c r="A318" s="2"/>
      <c r="B318" s="2"/>
    </row>
    <row r="319">
      <c r="A319" s="2"/>
      <c r="B319" s="2"/>
    </row>
    <row r="320">
      <c r="A320" s="2"/>
      <c r="B320" s="2"/>
    </row>
    <row r="321">
      <c r="A321" s="2"/>
      <c r="B321" s="2"/>
    </row>
    <row r="322">
      <c r="A322" s="2"/>
      <c r="B322" s="2"/>
    </row>
    <row r="323">
      <c r="A323" s="2"/>
      <c r="B323" s="2"/>
    </row>
    <row r="324">
      <c r="A324" s="2"/>
      <c r="B324" s="2"/>
    </row>
    <row r="325">
      <c r="A325" s="2"/>
      <c r="B325" s="2"/>
    </row>
    <row r="326">
      <c r="A326" s="2"/>
      <c r="B326" s="2"/>
    </row>
    <row r="327">
      <c r="A327" s="2"/>
      <c r="B327" s="2"/>
    </row>
    <row r="328">
      <c r="A328" s="2"/>
      <c r="B328" s="2"/>
    </row>
    <row r="329">
      <c r="A329" s="2"/>
      <c r="B329" s="2"/>
    </row>
    <row r="330">
      <c r="A330" s="2"/>
      <c r="B330" s="2"/>
    </row>
    <row r="331">
      <c r="A331" s="2"/>
      <c r="B331" s="2"/>
    </row>
    <row r="332">
      <c r="A332" s="2"/>
      <c r="B332" s="2"/>
    </row>
    <row r="333">
      <c r="A333" s="2"/>
      <c r="B333" s="2"/>
    </row>
    <row r="334">
      <c r="A334" s="2"/>
      <c r="B334" s="2"/>
    </row>
    <row r="335">
      <c r="A335" s="2"/>
      <c r="B335" s="2"/>
    </row>
    <row r="336">
      <c r="A336" s="2"/>
      <c r="B336" s="2"/>
    </row>
    <row r="337">
      <c r="A337" s="2"/>
      <c r="B337" s="2"/>
    </row>
    <row r="338">
      <c r="A338" s="2"/>
      <c r="B338" s="2"/>
    </row>
    <row r="339">
      <c r="A339" s="2"/>
      <c r="B339" s="2"/>
    </row>
    <row r="340">
      <c r="A340" s="2"/>
      <c r="B340" s="2"/>
    </row>
    <row r="341">
      <c r="A341" s="2"/>
      <c r="B341" s="2"/>
    </row>
    <row r="342">
      <c r="A342" s="2"/>
      <c r="B342" s="2"/>
    </row>
    <row r="343">
      <c r="A343" s="2"/>
      <c r="B343" s="2"/>
    </row>
    <row r="344">
      <c r="A344" s="2"/>
      <c r="B344" s="2"/>
    </row>
    <row r="345">
      <c r="A345" s="2"/>
      <c r="B345" s="2"/>
    </row>
    <row r="346">
      <c r="A346" s="2"/>
      <c r="B346" s="2"/>
    </row>
    <row r="347">
      <c r="A347" s="2"/>
      <c r="B347" s="2"/>
    </row>
    <row r="348">
      <c r="A348" s="2"/>
      <c r="B348" s="2"/>
    </row>
    <row r="349">
      <c r="A349" s="2"/>
      <c r="B349" s="2"/>
    </row>
    <row r="350">
      <c r="A350" s="2"/>
      <c r="B350" s="2"/>
    </row>
    <row r="351">
      <c r="A351" s="2"/>
      <c r="B351" s="2"/>
    </row>
    <row r="352">
      <c r="A352" s="2"/>
      <c r="B352" s="2"/>
    </row>
    <row r="353">
      <c r="A353" s="2"/>
      <c r="B353" s="2"/>
    </row>
    <row r="354">
      <c r="A354" s="2"/>
      <c r="B354" s="2"/>
    </row>
    <row r="355">
      <c r="A355" s="2"/>
      <c r="B355" s="2"/>
    </row>
    <row r="356">
      <c r="A356" s="2"/>
      <c r="B356" s="2"/>
    </row>
    <row r="357">
      <c r="A357" s="2"/>
      <c r="B357" s="2"/>
    </row>
    <row r="358">
      <c r="A358" s="2"/>
      <c r="B358" s="2"/>
    </row>
    <row r="359">
      <c r="A359" s="2"/>
      <c r="B359" s="2"/>
    </row>
    <row r="360">
      <c r="A360" s="2"/>
      <c r="B360" s="2"/>
    </row>
    <row r="361">
      <c r="A361" s="2"/>
      <c r="B361" s="2"/>
    </row>
    <row r="362">
      <c r="A362" s="2"/>
      <c r="B362" s="2"/>
    </row>
    <row r="363">
      <c r="A363" s="2"/>
      <c r="B363" s="2"/>
    </row>
    <row r="364">
      <c r="A364" s="2"/>
      <c r="B364" s="2"/>
    </row>
    <row r="365">
      <c r="A365" s="2"/>
      <c r="B365" s="2"/>
    </row>
    <row r="366">
      <c r="A366" s="2"/>
      <c r="B366" s="2"/>
    </row>
    <row r="367">
      <c r="A367" s="2"/>
      <c r="B367" s="2"/>
    </row>
    <row r="368">
      <c r="A368" s="2"/>
      <c r="B368" s="2"/>
    </row>
    <row r="369">
      <c r="A369" s="2"/>
      <c r="B369" s="2"/>
    </row>
    <row r="370">
      <c r="A370" s="2"/>
      <c r="B370" s="2"/>
    </row>
    <row r="371">
      <c r="A371" s="2"/>
      <c r="B371" s="2"/>
    </row>
    <row r="372">
      <c r="A372" s="2"/>
      <c r="B372" s="2"/>
    </row>
    <row r="373">
      <c r="A373" s="2"/>
      <c r="B373" s="2"/>
    </row>
    <row r="374">
      <c r="A374" s="2"/>
      <c r="B374" s="2"/>
    </row>
    <row r="375">
      <c r="A375" s="2"/>
      <c r="B375" s="2"/>
    </row>
    <row r="376">
      <c r="A376" s="2"/>
      <c r="B376" s="2"/>
    </row>
    <row r="377">
      <c r="A377" s="2"/>
      <c r="B377" s="2"/>
    </row>
    <row r="378">
      <c r="A378" s="2"/>
      <c r="B378" s="2"/>
    </row>
    <row r="379">
      <c r="A379" s="2"/>
      <c r="B379" s="2"/>
    </row>
    <row r="380">
      <c r="A380" s="2"/>
      <c r="B380" s="2"/>
    </row>
    <row r="381">
      <c r="A381" s="2"/>
      <c r="B381" s="2"/>
    </row>
    <row r="382">
      <c r="A382" s="2"/>
      <c r="B382" s="2"/>
    </row>
    <row r="383">
      <c r="A383" s="2"/>
      <c r="B383" s="2"/>
    </row>
    <row r="384">
      <c r="A384" s="2"/>
      <c r="B384" s="2"/>
    </row>
    <row r="385">
      <c r="A385" s="2"/>
      <c r="B385" s="2"/>
    </row>
    <row r="386">
      <c r="A386" s="2"/>
      <c r="B386" s="2"/>
    </row>
    <row r="387">
      <c r="A387" s="2"/>
      <c r="B387" s="2"/>
    </row>
    <row r="388">
      <c r="A388" s="2"/>
      <c r="B388" s="2"/>
    </row>
    <row r="389">
      <c r="A389" s="2"/>
      <c r="B389" s="2"/>
    </row>
    <row r="390">
      <c r="A390" s="2"/>
      <c r="B390" s="2"/>
    </row>
    <row r="391">
      <c r="A391" s="2"/>
      <c r="B391" s="2"/>
    </row>
    <row r="392">
      <c r="A392" s="2"/>
      <c r="B392" s="2"/>
    </row>
    <row r="393">
      <c r="A393" s="2"/>
      <c r="B393" s="2"/>
    </row>
    <row r="394">
      <c r="A394" s="2"/>
      <c r="B394" s="2"/>
    </row>
    <row r="395">
      <c r="A395" s="2"/>
      <c r="B395" s="2"/>
    </row>
    <row r="396">
      <c r="A396" s="2"/>
      <c r="B396" s="2"/>
    </row>
    <row r="397">
      <c r="A397" s="2"/>
      <c r="B397" s="2"/>
    </row>
    <row r="398">
      <c r="A398" s="2"/>
      <c r="B398" s="2"/>
    </row>
    <row r="399">
      <c r="A399" s="2"/>
      <c r="B399" s="2"/>
    </row>
    <row r="400">
      <c r="A400" s="2"/>
      <c r="B400" s="2"/>
    </row>
    <row r="401">
      <c r="A401" s="2"/>
      <c r="B401" s="2"/>
    </row>
    <row r="402">
      <c r="A402" s="2"/>
      <c r="B402" s="2"/>
    </row>
    <row r="403">
      <c r="A403" s="2"/>
      <c r="B403" s="2"/>
    </row>
    <row r="404">
      <c r="A404" s="2"/>
      <c r="B404" s="2"/>
    </row>
    <row r="405">
      <c r="A405" s="2"/>
      <c r="B405" s="2"/>
    </row>
    <row r="406">
      <c r="A406" s="2"/>
      <c r="B406" s="2"/>
    </row>
    <row r="407">
      <c r="A407" s="2"/>
      <c r="B407" s="2"/>
    </row>
    <row r="408">
      <c r="A408" s="2"/>
      <c r="B408" s="2"/>
    </row>
    <row r="409">
      <c r="A409" s="2"/>
      <c r="B409" s="2"/>
    </row>
    <row r="410">
      <c r="A410" s="2"/>
      <c r="B410" s="2"/>
    </row>
    <row r="411">
      <c r="A411" s="2"/>
      <c r="B411" s="2"/>
    </row>
    <row r="412">
      <c r="A412" s="2"/>
      <c r="B412" s="2"/>
    </row>
    <row r="413">
      <c r="A413" s="2"/>
      <c r="B413" s="2"/>
    </row>
    <row r="414">
      <c r="A414" s="2"/>
      <c r="B414" s="2"/>
    </row>
    <row r="415">
      <c r="A415" s="2"/>
      <c r="B415" s="2"/>
    </row>
    <row r="416">
      <c r="A416" s="2"/>
      <c r="B416" s="2"/>
    </row>
    <row r="417">
      <c r="A417" s="2"/>
      <c r="B417" s="2"/>
    </row>
    <row r="418">
      <c r="A418" s="2"/>
      <c r="B418" s="2"/>
    </row>
    <row r="419">
      <c r="A419" s="2"/>
      <c r="B419" s="2"/>
    </row>
    <row r="420">
      <c r="A420" s="2"/>
      <c r="B420" s="2"/>
    </row>
    <row r="421">
      <c r="A421" s="2"/>
      <c r="B421" s="2"/>
    </row>
    <row r="422">
      <c r="A422" s="2"/>
      <c r="B422" s="2"/>
    </row>
    <row r="423">
      <c r="A423" s="2"/>
      <c r="B423" s="2"/>
    </row>
    <row r="424">
      <c r="A424" s="2"/>
      <c r="B424" s="2"/>
    </row>
    <row r="425">
      <c r="A425" s="2"/>
      <c r="B425" s="2"/>
    </row>
    <row r="426">
      <c r="A426" s="2"/>
      <c r="B426" s="2"/>
    </row>
    <row r="427">
      <c r="A427" s="2"/>
      <c r="B427" s="2"/>
    </row>
    <row r="428">
      <c r="A428" s="2"/>
      <c r="B428" s="2"/>
    </row>
    <row r="429">
      <c r="A429" s="2"/>
      <c r="B429" s="2"/>
    </row>
    <row r="430">
      <c r="A430" s="2"/>
      <c r="B430" s="2"/>
    </row>
    <row r="431">
      <c r="A431" s="2"/>
      <c r="B431" s="2"/>
    </row>
    <row r="432">
      <c r="A432" s="2"/>
      <c r="B432" s="2"/>
    </row>
    <row r="433">
      <c r="A433" s="2"/>
      <c r="B433" s="2"/>
    </row>
    <row r="434">
      <c r="A434" s="2"/>
      <c r="B434" s="2"/>
    </row>
    <row r="435">
      <c r="A435" s="2"/>
      <c r="B435" s="2"/>
    </row>
    <row r="436">
      <c r="A436" s="2"/>
      <c r="B436" s="2"/>
    </row>
    <row r="437">
      <c r="A437" s="2"/>
      <c r="B437" s="2"/>
    </row>
    <row r="438">
      <c r="A438" s="2"/>
      <c r="B438" s="2"/>
    </row>
    <row r="439">
      <c r="A439" s="2"/>
      <c r="B439" s="2"/>
    </row>
    <row r="440">
      <c r="A440" s="2"/>
      <c r="B440" s="2"/>
    </row>
    <row r="441">
      <c r="A441" s="2"/>
      <c r="B441" s="2"/>
    </row>
    <row r="442">
      <c r="A442" s="2"/>
      <c r="B442" s="2"/>
    </row>
    <row r="443">
      <c r="A443" s="2"/>
      <c r="B443" s="2"/>
    </row>
    <row r="444">
      <c r="A444" s="2"/>
      <c r="B444" s="2"/>
    </row>
    <row r="445">
      <c r="A445" s="2"/>
      <c r="B445" s="2"/>
    </row>
    <row r="446">
      <c r="A446" s="2"/>
      <c r="B446" s="2"/>
    </row>
    <row r="447">
      <c r="A447" s="2"/>
      <c r="B447" s="2"/>
    </row>
    <row r="448">
      <c r="A448" s="2"/>
      <c r="B448" s="2"/>
    </row>
    <row r="449">
      <c r="A449" s="2"/>
      <c r="B449" s="2"/>
    </row>
    <row r="450">
      <c r="A450" s="2"/>
      <c r="B450" s="2"/>
    </row>
    <row r="451">
      <c r="A451" s="2"/>
      <c r="B451" s="2"/>
    </row>
    <row r="452">
      <c r="A452" s="2"/>
      <c r="B452" s="2"/>
    </row>
    <row r="453">
      <c r="A453" s="2"/>
      <c r="B453" s="2"/>
    </row>
    <row r="454">
      <c r="A454" s="2"/>
      <c r="B454" s="2"/>
    </row>
    <row r="455">
      <c r="A455" s="2"/>
      <c r="B455" s="2"/>
    </row>
    <row r="456">
      <c r="A456" s="2"/>
      <c r="B456" s="2"/>
    </row>
    <row r="457">
      <c r="A457" s="2"/>
      <c r="B457" s="2"/>
    </row>
    <row r="458">
      <c r="A458" s="2"/>
      <c r="B458" s="2"/>
    </row>
    <row r="459">
      <c r="A459" s="2"/>
      <c r="B459" s="2"/>
    </row>
    <row r="460">
      <c r="A460" s="2"/>
      <c r="B460" s="2"/>
    </row>
    <row r="461">
      <c r="A461" s="2"/>
      <c r="B461" s="2"/>
    </row>
    <row r="462">
      <c r="A462" s="2"/>
      <c r="B462" s="2"/>
    </row>
    <row r="463">
      <c r="A463" s="2"/>
      <c r="B463" s="2"/>
    </row>
    <row r="464">
      <c r="A464" s="2"/>
      <c r="B464" s="2"/>
    </row>
    <row r="465">
      <c r="A465" s="2"/>
      <c r="B465" s="2"/>
    </row>
    <row r="466">
      <c r="A466" s="2"/>
      <c r="B466" s="2"/>
    </row>
    <row r="467">
      <c r="A467" s="2"/>
      <c r="B467" s="2"/>
    </row>
    <row r="468">
      <c r="A468" s="2"/>
      <c r="B468" s="2"/>
    </row>
    <row r="469">
      <c r="A469" s="2"/>
      <c r="B469" s="2"/>
    </row>
    <row r="470">
      <c r="A470" s="2"/>
      <c r="B470" s="2"/>
    </row>
    <row r="471">
      <c r="A471" s="2"/>
      <c r="B471" s="2"/>
    </row>
    <row r="472">
      <c r="A472" s="2"/>
      <c r="B472" s="2"/>
    </row>
    <row r="473">
      <c r="A473" s="2"/>
      <c r="B473" s="2"/>
    </row>
    <row r="474">
      <c r="A474" s="2"/>
      <c r="B474" s="2"/>
    </row>
    <row r="475">
      <c r="A475" s="2"/>
      <c r="B475" s="2"/>
    </row>
    <row r="476">
      <c r="A476" s="2"/>
      <c r="B476" s="2"/>
    </row>
    <row r="477">
      <c r="A477" s="2"/>
      <c r="B477" s="2"/>
    </row>
    <row r="478">
      <c r="A478" s="2"/>
      <c r="B478" s="2"/>
    </row>
    <row r="479">
      <c r="A479" s="2"/>
      <c r="B479" s="2"/>
    </row>
    <row r="480">
      <c r="A480" s="2"/>
      <c r="B480" s="2"/>
    </row>
    <row r="481">
      <c r="A481" s="2"/>
      <c r="B481" s="2"/>
    </row>
    <row r="482">
      <c r="A482" s="2"/>
      <c r="B482" s="2"/>
    </row>
    <row r="483">
      <c r="A483" s="2"/>
      <c r="B483" s="2"/>
    </row>
    <row r="484">
      <c r="A484" s="2"/>
      <c r="B484" s="2"/>
    </row>
    <row r="485">
      <c r="A485" s="2"/>
      <c r="B485" s="2"/>
    </row>
    <row r="486">
      <c r="A486" s="2"/>
      <c r="B486" s="2"/>
    </row>
    <row r="487">
      <c r="A487" s="2"/>
      <c r="B487" s="2"/>
    </row>
    <row r="488">
      <c r="A488" s="2"/>
      <c r="B488" s="2"/>
    </row>
    <row r="489">
      <c r="A489" s="2"/>
      <c r="B489" s="2"/>
    </row>
    <row r="490">
      <c r="A490" s="2"/>
      <c r="B490" s="2"/>
    </row>
    <row r="491">
      <c r="A491" s="2"/>
      <c r="B491" s="2"/>
    </row>
    <row r="492">
      <c r="A492" s="2"/>
      <c r="B492" s="2"/>
    </row>
    <row r="493">
      <c r="A493" s="2"/>
      <c r="B493" s="2"/>
    </row>
    <row r="494">
      <c r="A494" s="2"/>
      <c r="B494" s="2"/>
    </row>
    <row r="495">
      <c r="A495" s="2"/>
      <c r="B495" s="2"/>
    </row>
    <row r="496">
      <c r="A496" s="2"/>
      <c r="B496" s="2"/>
    </row>
    <row r="497">
      <c r="A497" s="2"/>
      <c r="B497" s="2"/>
    </row>
    <row r="498">
      <c r="A498" s="2"/>
      <c r="B498" s="2"/>
    </row>
    <row r="499">
      <c r="A499" s="2"/>
      <c r="B499" s="2"/>
    </row>
    <row r="500">
      <c r="A500" s="2"/>
      <c r="B500" s="2"/>
    </row>
    <row r="501">
      <c r="A501" s="2"/>
      <c r="B501" s="2"/>
    </row>
    <row r="502">
      <c r="A502" s="2"/>
      <c r="B502" s="2"/>
    </row>
    <row r="503">
      <c r="A503" s="2"/>
      <c r="B503" s="2"/>
    </row>
    <row r="504">
      <c r="A504" s="2"/>
      <c r="B504" s="2"/>
    </row>
    <row r="505">
      <c r="A505" s="2"/>
      <c r="B505" s="2"/>
    </row>
    <row r="506">
      <c r="A506" s="2"/>
      <c r="B506" s="2"/>
    </row>
    <row r="507">
      <c r="A507" s="2"/>
      <c r="B507" s="2"/>
    </row>
    <row r="508">
      <c r="A508" s="2"/>
      <c r="B508" s="2"/>
    </row>
    <row r="509">
      <c r="A509" s="2"/>
      <c r="B509" s="2"/>
    </row>
    <row r="510">
      <c r="A510" s="2"/>
      <c r="B510" s="2"/>
    </row>
    <row r="511">
      <c r="A511" s="2"/>
      <c r="B511" s="2"/>
    </row>
    <row r="512">
      <c r="A512" s="2"/>
      <c r="B512" s="2"/>
    </row>
    <row r="513">
      <c r="A513" s="2"/>
      <c r="B513" s="2"/>
    </row>
    <row r="514">
      <c r="A514" s="2"/>
      <c r="B514" s="2"/>
    </row>
    <row r="515">
      <c r="A515" s="2"/>
      <c r="B515" s="2"/>
    </row>
    <row r="516">
      <c r="A516" s="2"/>
      <c r="B516" s="2"/>
    </row>
    <row r="517">
      <c r="A517" s="2"/>
      <c r="B517" s="2"/>
    </row>
    <row r="518">
      <c r="A518" s="2"/>
      <c r="B518" s="2"/>
    </row>
    <row r="519">
      <c r="A519" s="2"/>
      <c r="B519" s="2"/>
    </row>
    <row r="520">
      <c r="A520" s="2"/>
      <c r="B520" s="2"/>
    </row>
    <row r="521">
      <c r="A521" s="2"/>
      <c r="B521" s="2"/>
    </row>
    <row r="522">
      <c r="A522" s="2"/>
      <c r="B522" s="2"/>
    </row>
    <row r="523">
      <c r="A523" s="2"/>
      <c r="B523" s="2"/>
    </row>
    <row r="524">
      <c r="A524" s="2"/>
      <c r="B524" s="2"/>
    </row>
    <row r="525">
      <c r="A525" s="2"/>
      <c r="B525" s="2"/>
    </row>
    <row r="526">
      <c r="A526" s="2"/>
      <c r="B526" s="2"/>
    </row>
    <row r="527">
      <c r="A527" s="2"/>
      <c r="B527" s="2"/>
    </row>
    <row r="528">
      <c r="A528" s="2"/>
      <c r="B528" s="2"/>
    </row>
    <row r="529">
      <c r="A529" s="2"/>
      <c r="B529" s="2"/>
    </row>
    <row r="530">
      <c r="A530" s="2"/>
      <c r="B530" s="2"/>
    </row>
    <row r="531">
      <c r="A531" s="2"/>
      <c r="B531" s="2"/>
    </row>
    <row r="532">
      <c r="A532" s="2"/>
      <c r="B532" s="2"/>
    </row>
    <row r="533">
      <c r="A533" s="2"/>
      <c r="B533" s="2"/>
    </row>
    <row r="534">
      <c r="A534" s="2"/>
      <c r="B534" s="2"/>
    </row>
    <row r="535">
      <c r="A535" s="2"/>
      <c r="B535" s="2"/>
    </row>
    <row r="536">
      <c r="A536" s="2"/>
      <c r="B536" s="2"/>
    </row>
    <row r="537">
      <c r="A537" s="2"/>
      <c r="B537" s="2"/>
    </row>
    <row r="538">
      <c r="A538" s="2"/>
      <c r="B538" s="2"/>
    </row>
    <row r="539">
      <c r="A539" s="2"/>
      <c r="B539" s="2"/>
    </row>
    <row r="540">
      <c r="A540" s="2"/>
      <c r="B540" s="2"/>
    </row>
    <row r="541">
      <c r="A541" s="2"/>
      <c r="B541" s="2"/>
    </row>
    <row r="542">
      <c r="A542" s="2"/>
      <c r="B542" s="2"/>
    </row>
    <row r="543">
      <c r="A543" s="2"/>
      <c r="B543" s="2"/>
    </row>
    <row r="544">
      <c r="A544" s="2"/>
      <c r="B544" s="2"/>
    </row>
    <row r="545">
      <c r="A545" s="2"/>
      <c r="B545" s="2"/>
    </row>
    <row r="546">
      <c r="A546" s="2"/>
      <c r="B546" s="2"/>
    </row>
    <row r="547">
      <c r="A547" s="2"/>
      <c r="B547" s="2"/>
    </row>
    <row r="548">
      <c r="A548" s="2"/>
      <c r="B548" s="2"/>
    </row>
    <row r="549">
      <c r="A549" s="2"/>
      <c r="B549" s="2"/>
    </row>
    <row r="550">
      <c r="A550" s="2"/>
      <c r="B550" s="2"/>
    </row>
    <row r="551">
      <c r="A551" s="2"/>
      <c r="B551" s="2"/>
    </row>
    <row r="552">
      <c r="A552" s="2"/>
      <c r="B552" s="2"/>
    </row>
    <row r="553">
      <c r="A553" s="2"/>
      <c r="B553" s="2"/>
    </row>
    <row r="554">
      <c r="A554" s="2"/>
      <c r="B554" s="2"/>
    </row>
    <row r="555">
      <c r="A555" s="2"/>
      <c r="B555" s="2"/>
    </row>
    <row r="556">
      <c r="A556" s="2"/>
      <c r="B556" s="2"/>
    </row>
    <row r="557">
      <c r="A557" s="2"/>
      <c r="B557" s="2"/>
    </row>
    <row r="558">
      <c r="A558" s="2"/>
      <c r="B558" s="2"/>
    </row>
    <row r="559">
      <c r="A559" s="2"/>
      <c r="B559" s="2"/>
    </row>
    <row r="560">
      <c r="A560" s="2"/>
      <c r="B560" s="2"/>
    </row>
    <row r="561">
      <c r="A561" s="2"/>
      <c r="B561" s="2"/>
    </row>
    <row r="562">
      <c r="A562" s="2"/>
      <c r="B562" s="2"/>
    </row>
    <row r="563">
      <c r="A563" s="2"/>
      <c r="B563" s="2"/>
    </row>
    <row r="564">
      <c r="A564" s="2"/>
      <c r="B564" s="2"/>
    </row>
    <row r="565">
      <c r="A565" s="2"/>
      <c r="B565" s="2"/>
    </row>
    <row r="566">
      <c r="A566" s="2"/>
      <c r="B566" s="2"/>
    </row>
    <row r="567">
      <c r="A567" s="2"/>
      <c r="B567" s="2"/>
    </row>
    <row r="568">
      <c r="A568" s="2"/>
      <c r="B568" s="2"/>
    </row>
    <row r="569">
      <c r="A569" s="2"/>
      <c r="B569" s="2"/>
    </row>
    <row r="570">
      <c r="A570" s="2"/>
      <c r="B570" s="2"/>
    </row>
    <row r="571">
      <c r="A571" s="2"/>
      <c r="B571" s="2"/>
    </row>
    <row r="572">
      <c r="A572" s="2"/>
      <c r="B572" s="2"/>
    </row>
    <row r="573">
      <c r="A573" s="2"/>
      <c r="B573" s="2"/>
    </row>
    <row r="574">
      <c r="A574" s="2"/>
      <c r="B574" s="2"/>
    </row>
    <row r="575">
      <c r="A575" s="2"/>
      <c r="B575" s="2"/>
    </row>
    <row r="576">
      <c r="A576" s="2"/>
      <c r="B576" s="2"/>
    </row>
    <row r="577">
      <c r="A577" s="2"/>
      <c r="B577" s="2"/>
    </row>
    <row r="578">
      <c r="A578" s="2"/>
      <c r="B578" s="2"/>
    </row>
    <row r="579">
      <c r="A579" s="2"/>
      <c r="B579" s="2"/>
    </row>
    <row r="580">
      <c r="A580" s="2"/>
      <c r="B580" s="2"/>
    </row>
    <row r="581">
      <c r="A581" s="2"/>
      <c r="B581" s="2"/>
    </row>
    <row r="582">
      <c r="A582" s="2"/>
      <c r="B582" s="2"/>
    </row>
    <row r="583">
      <c r="A583" s="2"/>
      <c r="B583" s="2"/>
    </row>
    <row r="584">
      <c r="A584" s="2"/>
      <c r="B584" s="2"/>
    </row>
    <row r="585">
      <c r="A585" s="2"/>
      <c r="B585" s="2"/>
    </row>
    <row r="586">
      <c r="A586" s="2"/>
      <c r="B586" s="2"/>
    </row>
    <row r="587">
      <c r="A587" s="2"/>
      <c r="B587" s="2"/>
    </row>
    <row r="588">
      <c r="A588" s="2"/>
      <c r="B588" s="2"/>
    </row>
    <row r="589">
      <c r="A589" s="2"/>
      <c r="B589" s="2"/>
    </row>
    <row r="590">
      <c r="A590" s="2"/>
      <c r="B590" s="2"/>
    </row>
    <row r="591">
      <c r="A591" s="2"/>
      <c r="B591" s="2"/>
    </row>
    <row r="592">
      <c r="A592" s="2"/>
      <c r="B592" s="2"/>
    </row>
    <row r="593">
      <c r="A593" s="2"/>
      <c r="B593" s="2"/>
    </row>
    <row r="594">
      <c r="A594" s="2"/>
      <c r="B594" s="2"/>
    </row>
    <row r="595">
      <c r="A595" s="2"/>
      <c r="B595" s="2"/>
    </row>
    <row r="596">
      <c r="A596" s="2"/>
      <c r="B596" s="2"/>
    </row>
    <row r="597">
      <c r="A597" s="2"/>
      <c r="B597" s="2"/>
    </row>
    <row r="598">
      <c r="A598" s="2"/>
      <c r="B598" s="2"/>
    </row>
    <row r="599">
      <c r="A599" s="2"/>
      <c r="B599" s="2"/>
    </row>
    <row r="600">
      <c r="A600" s="2"/>
      <c r="B600" s="2"/>
    </row>
    <row r="601">
      <c r="A601" s="2"/>
      <c r="B601" s="2"/>
    </row>
    <row r="602">
      <c r="A602" s="2"/>
      <c r="B602" s="2"/>
    </row>
    <row r="603">
      <c r="A603" s="2"/>
      <c r="B603" s="2"/>
    </row>
    <row r="604">
      <c r="A604" s="2"/>
      <c r="B604" s="2"/>
    </row>
    <row r="605">
      <c r="A605" s="2"/>
      <c r="B605" s="2"/>
    </row>
    <row r="606">
      <c r="A606" s="2"/>
      <c r="B606" s="2"/>
    </row>
    <row r="607">
      <c r="A607" s="2"/>
      <c r="B607" s="2"/>
    </row>
    <row r="608">
      <c r="A608" s="2"/>
      <c r="B608" s="2"/>
    </row>
    <row r="609">
      <c r="A609" s="2"/>
      <c r="B609" s="2"/>
    </row>
    <row r="610">
      <c r="A610" s="2"/>
      <c r="B610" s="2"/>
    </row>
    <row r="611">
      <c r="A611" s="2"/>
      <c r="B611" s="2"/>
    </row>
    <row r="612">
      <c r="A612" s="2"/>
      <c r="B612" s="2"/>
    </row>
    <row r="613">
      <c r="A613" s="2"/>
      <c r="B613" s="2"/>
    </row>
    <row r="614">
      <c r="A614" s="2"/>
      <c r="B614" s="2"/>
    </row>
    <row r="615">
      <c r="A615" s="2"/>
      <c r="B615" s="2"/>
    </row>
    <row r="616">
      <c r="A616" s="2"/>
      <c r="B616" s="2"/>
    </row>
    <row r="617">
      <c r="A617" s="2"/>
      <c r="B617" s="2"/>
    </row>
    <row r="618">
      <c r="A618" s="2"/>
      <c r="B618" s="2"/>
    </row>
    <row r="619">
      <c r="A619" s="2"/>
      <c r="B619" s="2"/>
    </row>
    <row r="620">
      <c r="A620" s="2"/>
      <c r="B620" s="2"/>
    </row>
    <row r="621">
      <c r="A621" s="2"/>
      <c r="B621" s="2"/>
    </row>
    <row r="622">
      <c r="A622" s="2"/>
      <c r="B622" s="2"/>
    </row>
    <row r="623">
      <c r="A623" s="2"/>
      <c r="B623" s="2"/>
    </row>
    <row r="624">
      <c r="A624" s="2"/>
      <c r="B624" s="2"/>
    </row>
    <row r="625">
      <c r="A625" s="2"/>
      <c r="B625" s="2"/>
    </row>
    <row r="626">
      <c r="A626" s="2"/>
      <c r="B626" s="2"/>
    </row>
    <row r="627">
      <c r="A627" s="2"/>
      <c r="B627" s="2"/>
    </row>
    <row r="628">
      <c r="A628" s="2"/>
      <c r="B628" s="2"/>
    </row>
    <row r="629">
      <c r="A629" s="2"/>
      <c r="B629" s="2"/>
    </row>
    <row r="630">
      <c r="A630" s="2"/>
      <c r="B630" s="2"/>
    </row>
    <row r="631">
      <c r="A631" s="2"/>
      <c r="B631" s="2"/>
    </row>
    <row r="632">
      <c r="A632" s="2"/>
      <c r="B632" s="2"/>
    </row>
    <row r="633">
      <c r="A633" s="2"/>
      <c r="B633" s="2"/>
    </row>
    <row r="634">
      <c r="A634" s="2"/>
      <c r="B634" s="2"/>
    </row>
    <row r="635">
      <c r="A635" s="2"/>
      <c r="B635" s="2"/>
    </row>
    <row r="636">
      <c r="A636" s="2"/>
      <c r="B636" s="2"/>
    </row>
    <row r="637">
      <c r="A637" s="2"/>
      <c r="B637" s="2"/>
    </row>
    <row r="638">
      <c r="A638" s="2"/>
      <c r="B638" s="2"/>
    </row>
    <row r="639">
      <c r="A639" s="2"/>
      <c r="B639" s="2"/>
    </row>
    <row r="640">
      <c r="A640" s="2"/>
      <c r="B640" s="2"/>
    </row>
    <row r="641">
      <c r="A641" s="2"/>
      <c r="B641" s="2"/>
    </row>
    <row r="642">
      <c r="A642" s="2"/>
      <c r="B642" s="2"/>
    </row>
    <row r="643">
      <c r="A643" s="2"/>
      <c r="B643" s="2"/>
    </row>
    <row r="644">
      <c r="A644" s="2"/>
      <c r="B644" s="2"/>
    </row>
    <row r="645">
      <c r="A645" s="2"/>
      <c r="B645" s="2"/>
    </row>
    <row r="646">
      <c r="A646" s="2"/>
      <c r="B646" s="2"/>
    </row>
    <row r="647">
      <c r="A647" s="2"/>
      <c r="B647" s="2"/>
    </row>
    <row r="648">
      <c r="A648" s="2"/>
      <c r="B648" s="2"/>
    </row>
    <row r="649">
      <c r="A649" s="2"/>
      <c r="B649" s="2"/>
    </row>
    <row r="650">
      <c r="A650" s="2"/>
      <c r="B650" s="2"/>
    </row>
    <row r="651">
      <c r="A651" s="2"/>
      <c r="B651" s="2"/>
    </row>
    <row r="652">
      <c r="A652" s="2"/>
      <c r="B652" s="2"/>
    </row>
    <row r="653">
      <c r="A653" s="2"/>
      <c r="B653" s="2"/>
    </row>
    <row r="654">
      <c r="A654" s="2"/>
      <c r="B654" s="2"/>
    </row>
    <row r="655">
      <c r="A655" s="2"/>
      <c r="B655" s="2"/>
    </row>
    <row r="656">
      <c r="A656" s="2"/>
      <c r="B656" s="2"/>
    </row>
    <row r="657">
      <c r="A657" s="2"/>
      <c r="B657" s="2"/>
    </row>
    <row r="658">
      <c r="A658" s="2"/>
      <c r="B658" s="2"/>
    </row>
    <row r="659">
      <c r="A659" s="2"/>
      <c r="B659" s="2"/>
    </row>
    <row r="660">
      <c r="A660" s="2"/>
      <c r="B660" s="2"/>
    </row>
    <row r="661">
      <c r="A661" s="2"/>
      <c r="B661" s="2"/>
    </row>
    <row r="662">
      <c r="A662" s="2"/>
      <c r="B662" s="2"/>
    </row>
    <row r="663">
      <c r="A663" s="2"/>
      <c r="B663" s="2"/>
    </row>
    <row r="664">
      <c r="A664" s="2"/>
      <c r="B664" s="2"/>
    </row>
    <row r="665">
      <c r="A665" s="2"/>
      <c r="B665" s="2"/>
    </row>
    <row r="666">
      <c r="A666" s="2"/>
      <c r="B666" s="2"/>
    </row>
    <row r="667">
      <c r="A667" s="2"/>
      <c r="B667" s="2"/>
    </row>
    <row r="668">
      <c r="A668" s="2"/>
      <c r="B668" s="2"/>
    </row>
    <row r="669">
      <c r="A669" s="2"/>
      <c r="B669" s="2"/>
    </row>
    <row r="670">
      <c r="A670" s="2"/>
      <c r="B670" s="2"/>
    </row>
    <row r="671">
      <c r="A671" s="2"/>
      <c r="B671" s="2"/>
    </row>
    <row r="672">
      <c r="A672" s="2"/>
      <c r="B672" s="2"/>
    </row>
    <row r="673">
      <c r="A673" s="2"/>
      <c r="B673" s="2"/>
    </row>
    <row r="674">
      <c r="A674" s="2"/>
      <c r="B674" s="2"/>
    </row>
    <row r="675">
      <c r="A675" s="2"/>
      <c r="B675" s="2"/>
    </row>
    <row r="676">
      <c r="A676" s="2"/>
      <c r="B676" s="2"/>
    </row>
    <row r="677">
      <c r="A677" s="2"/>
      <c r="B677" s="2"/>
    </row>
    <row r="678">
      <c r="A678" s="2"/>
      <c r="B678" s="2"/>
    </row>
    <row r="679">
      <c r="A679" s="2"/>
      <c r="B679" s="2"/>
    </row>
    <row r="680">
      <c r="A680" s="2"/>
      <c r="B680" s="2"/>
    </row>
    <row r="681">
      <c r="A681" s="2"/>
      <c r="B681" s="2"/>
    </row>
    <row r="682">
      <c r="A682" s="2"/>
      <c r="B682" s="2"/>
    </row>
    <row r="683">
      <c r="A683" s="2"/>
      <c r="B683" s="2"/>
    </row>
    <row r="684">
      <c r="A684" s="2"/>
      <c r="B684" s="2"/>
    </row>
    <row r="685">
      <c r="A685" s="2"/>
      <c r="B685" s="2"/>
    </row>
    <row r="686">
      <c r="A686" s="2"/>
      <c r="B686" s="2"/>
    </row>
    <row r="687">
      <c r="A687" s="2"/>
      <c r="B687" s="2"/>
    </row>
    <row r="688">
      <c r="A688" s="2"/>
      <c r="B688" s="2"/>
    </row>
    <row r="689">
      <c r="A689" s="2"/>
      <c r="B689" s="2"/>
    </row>
    <row r="690">
      <c r="A690" s="2"/>
      <c r="B690" s="2"/>
    </row>
    <row r="691">
      <c r="A691" s="2"/>
      <c r="B691" s="2"/>
    </row>
    <row r="692">
      <c r="A692" s="2"/>
      <c r="B692" s="2"/>
    </row>
    <row r="693">
      <c r="A693" s="2"/>
      <c r="B693" s="2"/>
    </row>
    <row r="694">
      <c r="A694" s="2"/>
      <c r="B694" s="2"/>
    </row>
    <row r="695">
      <c r="A695" s="2"/>
      <c r="B695" s="2"/>
    </row>
    <row r="696">
      <c r="A696" s="2"/>
      <c r="B696" s="2"/>
    </row>
    <row r="697">
      <c r="A697" s="2"/>
      <c r="B697" s="2"/>
    </row>
    <row r="698">
      <c r="A698" s="2"/>
      <c r="B698" s="2"/>
    </row>
    <row r="699">
      <c r="A699" s="2"/>
      <c r="B699" s="2"/>
    </row>
    <row r="700">
      <c r="A700" s="2"/>
      <c r="B700" s="2"/>
    </row>
    <row r="701">
      <c r="A701" s="2"/>
      <c r="B701" s="2"/>
    </row>
    <row r="702">
      <c r="A702" s="2"/>
      <c r="B702" s="2"/>
    </row>
    <row r="703">
      <c r="A703" s="2"/>
      <c r="B703" s="2"/>
    </row>
    <row r="704">
      <c r="A704" s="2"/>
      <c r="B704" s="2"/>
    </row>
    <row r="705">
      <c r="A705" s="2"/>
      <c r="B705" s="2"/>
    </row>
    <row r="706">
      <c r="A706" s="2"/>
      <c r="B706" s="2"/>
    </row>
    <row r="707">
      <c r="A707" s="2"/>
      <c r="B707" s="2"/>
    </row>
    <row r="708">
      <c r="A708" s="2"/>
      <c r="B708" s="2"/>
    </row>
    <row r="709">
      <c r="A709" s="2"/>
      <c r="B709" s="2"/>
    </row>
    <row r="710">
      <c r="A710" s="2"/>
      <c r="B710" s="2"/>
    </row>
    <row r="711">
      <c r="A711" s="2"/>
      <c r="B711" s="2"/>
    </row>
    <row r="712">
      <c r="A712" s="2"/>
      <c r="B712" s="2"/>
    </row>
    <row r="713">
      <c r="A713" s="2"/>
      <c r="B713" s="2"/>
    </row>
    <row r="714">
      <c r="A714" s="2"/>
      <c r="B714" s="2"/>
    </row>
    <row r="715">
      <c r="A715" s="2"/>
      <c r="B715" s="2"/>
    </row>
    <row r="716">
      <c r="A716" s="2"/>
      <c r="B716" s="2"/>
    </row>
    <row r="717">
      <c r="A717" s="2"/>
      <c r="B717" s="2"/>
    </row>
    <row r="718">
      <c r="A718" s="2"/>
      <c r="B718" s="2"/>
    </row>
    <row r="719">
      <c r="A719" s="2"/>
      <c r="B719" s="2"/>
    </row>
    <row r="720">
      <c r="A720" s="2"/>
      <c r="B720" s="2"/>
    </row>
    <row r="721">
      <c r="A721" s="2"/>
      <c r="B721" s="2"/>
    </row>
    <row r="722">
      <c r="A722" s="2"/>
      <c r="B722" s="2"/>
    </row>
    <row r="723">
      <c r="A723" s="2"/>
      <c r="B723" s="2"/>
    </row>
    <row r="724">
      <c r="A724" s="2"/>
      <c r="B724" s="2"/>
    </row>
    <row r="725">
      <c r="A725" s="2"/>
      <c r="B725" s="2"/>
    </row>
    <row r="726">
      <c r="A726" s="2"/>
      <c r="B726" s="2"/>
    </row>
    <row r="727">
      <c r="A727" s="2"/>
      <c r="B727" s="2"/>
    </row>
    <row r="728">
      <c r="A728" s="2"/>
      <c r="B728" s="2"/>
    </row>
    <row r="729">
      <c r="A729" s="2"/>
      <c r="B729" s="2"/>
    </row>
    <row r="730">
      <c r="A730" s="2"/>
      <c r="B730" s="2"/>
    </row>
    <row r="731">
      <c r="A731" s="2"/>
      <c r="B731" s="2"/>
    </row>
    <row r="732">
      <c r="A732" s="2"/>
      <c r="B732" s="2"/>
    </row>
    <row r="733">
      <c r="A733" s="2"/>
      <c r="B733" s="2"/>
    </row>
    <row r="734">
      <c r="A734" s="2"/>
      <c r="B734" s="2"/>
    </row>
    <row r="735">
      <c r="A735" s="2"/>
      <c r="B735" s="2"/>
    </row>
    <row r="736">
      <c r="A736" s="2"/>
      <c r="B736" s="2"/>
    </row>
    <row r="737">
      <c r="A737" s="2"/>
      <c r="B737" s="2"/>
    </row>
    <row r="738">
      <c r="A738" s="2"/>
      <c r="B738" s="2"/>
    </row>
    <row r="739">
      <c r="A739" s="2"/>
      <c r="B739" s="2"/>
    </row>
    <row r="740">
      <c r="A740" s="2"/>
      <c r="B740" s="2"/>
    </row>
    <row r="741">
      <c r="A741" s="2"/>
      <c r="B741" s="2"/>
    </row>
    <row r="742">
      <c r="A742" s="2"/>
      <c r="B742" s="2"/>
    </row>
    <row r="743">
      <c r="A743" s="2"/>
      <c r="B743" s="2"/>
    </row>
    <row r="744">
      <c r="A744" s="2"/>
      <c r="B744" s="2"/>
    </row>
    <row r="745">
      <c r="A745" s="2"/>
      <c r="B745" s="2"/>
    </row>
    <row r="746">
      <c r="A746" s="2"/>
      <c r="B746" s="2"/>
    </row>
    <row r="747">
      <c r="A747" s="2"/>
      <c r="B747" s="2"/>
    </row>
    <row r="748">
      <c r="A748" s="2"/>
      <c r="B748" s="2"/>
    </row>
    <row r="749">
      <c r="A749" s="2"/>
      <c r="B749" s="2"/>
    </row>
    <row r="750">
      <c r="A750" s="2"/>
      <c r="B750" s="2"/>
    </row>
    <row r="751">
      <c r="A751" s="2"/>
      <c r="B751" s="2"/>
    </row>
    <row r="752">
      <c r="A752" s="2"/>
      <c r="B752" s="2"/>
    </row>
    <row r="753">
      <c r="A753" s="2"/>
      <c r="B753" s="2"/>
    </row>
    <row r="754">
      <c r="A754" s="2"/>
      <c r="B754" s="2"/>
    </row>
    <row r="755">
      <c r="A755" s="2"/>
      <c r="B755" s="2"/>
    </row>
    <row r="756">
      <c r="A756" s="2"/>
      <c r="B756" s="2"/>
    </row>
    <row r="757">
      <c r="A757" s="2"/>
      <c r="B757" s="2"/>
    </row>
    <row r="758">
      <c r="A758" s="2"/>
      <c r="B758" s="2"/>
    </row>
    <row r="759">
      <c r="A759" s="2"/>
      <c r="B759" s="2"/>
    </row>
    <row r="760">
      <c r="A760" s="2"/>
      <c r="B760" s="2"/>
    </row>
    <row r="761">
      <c r="A761" s="2"/>
      <c r="B761" s="2"/>
    </row>
    <row r="762">
      <c r="A762" s="2"/>
      <c r="B762" s="2"/>
    </row>
    <row r="763">
      <c r="A763" s="2"/>
      <c r="B763" s="2"/>
    </row>
    <row r="764">
      <c r="A764" s="2"/>
      <c r="B764" s="2"/>
    </row>
    <row r="765">
      <c r="A765" s="2"/>
      <c r="B765" s="2"/>
    </row>
    <row r="766">
      <c r="A766" s="2"/>
      <c r="B766" s="2"/>
    </row>
    <row r="767">
      <c r="A767" s="2"/>
      <c r="B767" s="2"/>
    </row>
    <row r="768">
      <c r="A768" s="2"/>
      <c r="B768" s="2"/>
    </row>
    <row r="769">
      <c r="A769" s="2"/>
      <c r="B769" s="2"/>
    </row>
    <row r="770">
      <c r="A770" s="2"/>
      <c r="B770" s="2"/>
    </row>
    <row r="771">
      <c r="A771" s="2"/>
      <c r="B771" s="2"/>
    </row>
    <row r="772">
      <c r="A772" s="2"/>
      <c r="B772" s="2"/>
    </row>
    <row r="773">
      <c r="A773" s="2"/>
      <c r="B773" s="2"/>
    </row>
    <row r="774">
      <c r="A774" s="2"/>
      <c r="B774" s="2"/>
    </row>
    <row r="775">
      <c r="A775" s="2"/>
      <c r="B775" s="2"/>
    </row>
    <row r="776">
      <c r="A776" s="2"/>
      <c r="B776" s="2"/>
    </row>
    <row r="777">
      <c r="A777" s="2"/>
      <c r="B777" s="2"/>
    </row>
    <row r="778">
      <c r="A778" s="2"/>
      <c r="B778" s="2"/>
    </row>
    <row r="779">
      <c r="A779" s="2"/>
      <c r="B779" s="2"/>
    </row>
    <row r="780">
      <c r="A780" s="2"/>
      <c r="B780" s="2"/>
    </row>
    <row r="781">
      <c r="A781" s="2"/>
      <c r="B781" s="2"/>
    </row>
    <row r="782">
      <c r="A782" s="2"/>
      <c r="B782" s="2"/>
    </row>
    <row r="783">
      <c r="A783" s="2"/>
      <c r="B783" s="2"/>
    </row>
    <row r="784">
      <c r="A784" s="2"/>
      <c r="B784" s="2"/>
    </row>
    <row r="785">
      <c r="A785" s="2"/>
      <c r="B785" s="2"/>
    </row>
    <row r="786">
      <c r="A786" s="2"/>
      <c r="B786" s="2"/>
    </row>
    <row r="787">
      <c r="A787" s="2"/>
      <c r="B787" s="2"/>
    </row>
    <row r="788">
      <c r="A788" s="2"/>
      <c r="B788" s="2"/>
    </row>
    <row r="789">
      <c r="A789" s="2"/>
      <c r="B789" s="2"/>
    </row>
    <row r="790">
      <c r="A790" s="2"/>
      <c r="B790" s="2"/>
    </row>
    <row r="791">
      <c r="A791" s="2"/>
      <c r="B791" s="2"/>
    </row>
    <row r="792">
      <c r="A792" s="2"/>
      <c r="B792" s="2"/>
    </row>
    <row r="793">
      <c r="A793" s="2"/>
      <c r="B793" s="2"/>
    </row>
    <row r="794">
      <c r="A794" s="2"/>
      <c r="B794" s="2"/>
    </row>
    <row r="795">
      <c r="A795" s="2"/>
      <c r="B795" s="2"/>
    </row>
    <row r="796">
      <c r="A796" s="2"/>
      <c r="B796" s="2"/>
    </row>
    <row r="797">
      <c r="A797" s="2"/>
      <c r="B797" s="2"/>
    </row>
    <row r="798">
      <c r="A798" s="2"/>
      <c r="B798" s="2"/>
    </row>
    <row r="799">
      <c r="A799" s="2"/>
      <c r="B799" s="2"/>
    </row>
    <row r="800">
      <c r="A800" s="2"/>
      <c r="B800" s="2"/>
    </row>
    <row r="801">
      <c r="A801" s="2"/>
      <c r="B801" s="2"/>
    </row>
    <row r="802">
      <c r="A802" s="2"/>
      <c r="B802" s="2"/>
    </row>
    <row r="803">
      <c r="A803" s="2"/>
      <c r="B803" s="2"/>
    </row>
    <row r="804">
      <c r="A804" s="2"/>
      <c r="B804" s="2"/>
    </row>
    <row r="805">
      <c r="A805" s="2"/>
      <c r="B805" s="2"/>
    </row>
    <row r="806">
      <c r="A806" s="2"/>
      <c r="B806" s="2"/>
    </row>
    <row r="807">
      <c r="A807" s="2"/>
      <c r="B807" s="2"/>
    </row>
    <row r="808">
      <c r="A808" s="2"/>
      <c r="B808" s="2"/>
    </row>
    <row r="809">
      <c r="A809" s="2"/>
      <c r="B809" s="2"/>
    </row>
    <row r="810">
      <c r="A810" s="2"/>
      <c r="B810" s="2"/>
    </row>
    <row r="811">
      <c r="A811" s="2"/>
      <c r="B811" s="2"/>
    </row>
    <row r="812">
      <c r="A812" s="2"/>
      <c r="B812" s="2"/>
    </row>
    <row r="813">
      <c r="A813" s="2"/>
      <c r="B813" s="2"/>
    </row>
    <row r="814">
      <c r="A814" s="2"/>
      <c r="B814" s="2"/>
    </row>
    <row r="815">
      <c r="A815" s="2"/>
      <c r="B815" s="2"/>
    </row>
    <row r="816">
      <c r="A816" s="2"/>
      <c r="B816" s="2"/>
    </row>
    <row r="817">
      <c r="A817" s="2"/>
      <c r="B817" s="2"/>
    </row>
    <row r="818">
      <c r="A818" s="2"/>
      <c r="B818" s="2"/>
    </row>
    <row r="819">
      <c r="A819" s="2"/>
      <c r="B819" s="2"/>
    </row>
    <row r="820">
      <c r="A820" s="2"/>
      <c r="B820" s="2"/>
    </row>
    <row r="821">
      <c r="A821" s="2"/>
      <c r="B821" s="2"/>
    </row>
    <row r="822">
      <c r="A822" s="2"/>
      <c r="B822" s="2"/>
    </row>
    <row r="823">
      <c r="A823" s="2"/>
      <c r="B823" s="2"/>
    </row>
    <row r="824">
      <c r="A824" s="2"/>
      <c r="B824" s="2"/>
    </row>
    <row r="825">
      <c r="A825" s="2"/>
      <c r="B825" s="2"/>
    </row>
    <row r="826">
      <c r="A826" s="2"/>
      <c r="B826" s="2"/>
    </row>
    <row r="827">
      <c r="A827" s="2"/>
      <c r="B827" s="2"/>
    </row>
    <row r="828">
      <c r="A828" s="2"/>
      <c r="B828" s="2"/>
    </row>
    <row r="829">
      <c r="A829" s="2"/>
      <c r="B829" s="2"/>
    </row>
    <row r="830">
      <c r="A830" s="2"/>
      <c r="B830" s="2"/>
    </row>
    <row r="831">
      <c r="A831" s="2"/>
      <c r="B831" s="2"/>
    </row>
    <row r="832">
      <c r="A832" s="2"/>
      <c r="B832" s="2"/>
    </row>
    <row r="833">
      <c r="A833" s="2"/>
      <c r="B833" s="2"/>
    </row>
    <row r="834">
      <c r="A834" s="2"/>
      <c r="B834" s="2"/>
    </row>
    <row r="835">
      <c r="A835" s="2"/>
      <c r="B835" s="2"/>
    </row>
    <row r="836">
      <c r="A836" s="2"/>
      <c r="B836" s="2"/>
    </row>
    <row r="837">
      <c r="A837" s="2"/>
      <c r="B837" s="2"/>
    </row>
    <row r="838">
      <c r="A838" s="2"/>
      <c r="B838" s="2"/>
    </row>
    <row r="839">
      <c r="A839" s="2"/>
      <c r="B839" s="2"/>
    </row>
    <row r="840">
      <c r="A840" s="2"/>
      <c r="B840" s="2"/>
    </row>
    <row r="841">
      <c r="A841" s="2"/>
      <c r="B841" s="2"/>
    </row>
    <row r="842">
      <c r="A842" s="2"/>
      <c r="B842" s="2"/>
    </row>
    <row r="843">
      <c r="A843" s="2"/>
      <c r="B843" s="2"/>
    </row>
    <row r="844">
      <c r="A844" s="2"/>
      <c r="B844" s="2"/>
    </row>
    <row r="845">
      <c r="A845" s="2"/>
      <c r="B845" s="2"/>
    </row>
    <row r="846">
      <c r="A846" s="2"/>
      <c r="B846" s="2"/>
    </row>
    <row r="847">
      <c r="A847" s="2"/>
      <c r="B847" s="2"/>
    </row>
    <row r="848">
      <c r="A848" s="2"/>
      <c r="B848" s="2"/>
    </row>
    <row r="849">
      <c r="A849" s="2"/>
      <c r="B849" s="2"/>
    </row>
    <row r="850">
      <c r="A850" s="2"/>
      <c r="B850" s="2"/>
    </row>
    <row r="851">
      <c r="A851" s="2"/>
      <c r="B851" s="2"/>
    </row>
    <row r="852">
      <c r="A852" s="2"/>
      <c r="B852" s="2"/>
    </row>
    <row r="853">
      <c r="A853" s="2"/>
      <c r="B853" s="2"/>
    </row>
    <row r="854">
      <c r="A854" s="2"/>
      <c r="B854" s="2"/>
    </row>
    <row r="855">
      <c r="A855" s="2"/>
      <c r="B855" s="2"/>
    </row>
    <row r="856">
      <c r="A856" s="2"/>
      <c r="B856" s="2"/>
    </row>
    <row r="857">
      <c r="A857" s="2"/>
      <c r="B857" s="2"/>
    </row>
    <row r="858">
      <c r="A858" s="2"/>
      <c r="B858" s="2"/>
    </row>
    <row r="859">
      <c r="A859" s="2"/>
      <c r="B859" s="2"/>
    </row>
    <row r="860">
      <c r="A860" s="2"/>
      <c r="B860" s="2"/>
    </row>
    <row r="861">
      <c r="A861" s="2"/>
      <c r="B861" s="2"/>
    </row>
    <row r="862">
      <c r="A862" s="2"/>
      <c r="B862" s="2"/>
    </row>
    <row r="863">
      <c r="A863" s="2"/>
      <c r="B863" s="2"/>
    </row>
    <row r="864">
      <c r="A864" s="2"/>
      <c r="B864" s="2"/>
    </row>
    <row r="865">
      <c r="A865" s="2"/>
      <c r="B865" s="2"/>
    </row>
    <row r="866">
      <c r="A866" s="2"/>
      <c r="B866" s="2"/>
    </row>
    <row r="867">
      <c r="A867" s="2"/>
      <c r="B867" s="2"/>
    </row>
    <row r="868">
      <c r="A868" s="2"/>
      <c r="B868" s="2"/>
    </row>
    <row r="869">
      <c r="A869" s="2"/>
      <c r="B869" s="2"/>
    </row>
    <row r="870">
      <c r="A870" s="2"/>
      <c r="B870" s="2"/>
    </row>
    <row r="871">
      <c r="A871" s="2"/>
      <c r="B871" s="2"/>
    </row>
    <row r="872">
      <c r="A872" s="2"/>
      <c r="B872" s="2"/>
    </row>
    <row r="873">
      <c r="A873" s="2"/>
      <c r="B873" s="2"/>
    </row>
    <row r="874">
      <c r="A874" s="2"/>
      <c r="B874" s="2"/>
    </row>
    <row r="875">
      <c r="A875" s="2"/>
      <c r="B875" s="2"/>
    </row>
    <row r="876">
      <c r="A876" s="2"/>
      <c r="B876" s="2"/>
    </row>
    <row r="877">
      <c r="A877" s="2"/>
      <c r="B877" s="2"/>
    </row>
    <row r="878">
      <c r="A878" s="2"/>
      <c r="B878" s="2"/>
    </row>
    <row r="879">
      <c r="A879" s="2"/>
      <c r="B879" s="2"/>
    </row>
    <row r="880">
      <c r="A880" s="2"/>
      <c r="B880" s="2"/>
    </row>
    <row r="881">
      <c r="A881" s="2"/>
      <c r="B881" s="2"/>
    </row>
    <row r="882">
      <c r="A882" s="2"/>
      <c r="B882" s="2"/>
    </row>
    <row r="883">
      <c r="A883" s="2"/>
      <c r="B883" s="2"/>
    </row>
    <row r="884">
      <c r="A884" s="2"/>
      <c r="B884" s="2"/>
    </row>
    <row r="885">
      <c r="A885" s="2"/>
      <c r="B885" s="2"/>
    </row>
    <row r="886">
      <c r="A886" s="2"/>
      <c r="B886" s="2"/>
    </row>
    <row r="887">
      <c r="A887" s="2"/>
      <c r="B887" s="2"/>
    </row>
    <row r="888">
      <c r="A888" s="2"/>
      <c r="B888" s="2"/>
    </row>
    <row r="889">
      <c r="A889" s="2"/>
      <c r="B889" s="2"/>
    </row>
    <row r="890">
      <c r="A890" s="2"/>
      <c r="B890" s="2"/>
    </row>
    <row r="891">
      <c r="A891" s="2"/>
      <c r="B891" s="2"/>
    </row>
    <row r="892">
      <c r="A892" s="2"/>
      <c r="B892" s="2"/>
    </row>
    <row r="893">
      <c r="A893" s="2"/>
      <c r="B893" s="2"/>
    </row>
    <row r="894">
      <c r="A894" s="2"/>
      <c r="B894" s="2"/>
    </row>
    <row r="895">
      <c r="A895" s="2"/>
      <c r="B895" s="2"/>
    </row>
    <row r="896">
      <c r="A896" s="2"/>
      <c r="B896" s="2"/>
    </row>
    <row r="897">
      <c r="A897" s="2"/>
      <c r="B897" s="2"/>
    </row>
    <row r="898">
      <c r="A898" s="2"/>
      <c r="B898" s="2"/>
    </row>
    <row r="899">
      <c r="A899" s="2"/>
      <c r="B899" s="2"/>
    </row>
    <row r="900">
      <c r="A900" s="2"/>
      <c r="B900" s="2"/>
    </row>
    <row r="901">
      <c r="A901" s="2"/>
      <c r="B901" s="2"/>
    </row>
    <row r="902">
      <c r="A902" s="2"/>
      <c r="B902" s="2"/>
    </row>
    <row r="903">
      <c r="A903" s="2"/>
      <c r="B903" s="2"/>
    </row>
    <row r="904">
      <c r="A904" s="2"/>
      <c r="B904" s="2"/>
    </row>
    <row r="905">
      <c r="A905" s="2"/>
      <c r="B905" s="2"/>
    </row>
    <row r="906">
      <c r="A906" s="2"/>
      <c r="B906" s="2"/>
    </row>
    <row r="907">
      <c r="A907" s="2"/>
      <c r="B907" s="2"/>
    </row>
    <row r="908">
      <c r="A908" s="2"/>
      <c r="B908" s="2"/>
    </row>
    <row r="909">
      <c r="A909" s="2"/>
      <c r="B909" s="2"/>
    </row>
    <row r="910">
      <c r="A910" s="2"/>
      <c r="B910" s="2"/>
    </row>
    <row r="911">
      <c r="A911" s="2"/>
      <c r="B911" s="2"/>
    </row>
    <row r="912">
      <c r="A912" s="2"/>
      <c r="B912" s="2"/>
    </row>
    <row r="913">
      <c r="A913" s="2"/>
      <c r="B913" s="2"/>
    </row>
    <row r="914">
      <c r="A914" s="2"/>
      <c r="B914" s="2"/>
    </row>
    <row r="915">
      <c r="A915" s="2"/>
      <c r="B915" s="2"/>
    </row>
    <row r="916">
      <c r="A916" s="2"/>
      <c r="B916" s="2"/>
    </row>
    <row r="917">
      <c r="A917" s="2"/>
      <c r="B917" s="2"/>
    </row>
    <row r="918">
      <c r="A918" s="2"/>
      <c r="B918" s="2"/>
    </row>
    <row r="919">
      <c r="A919" s="2"/>
      <c r="B919" s="2"/>
    </row>
    <row r="920">
      <c r="A920" s="2"/>
      <c r="B920" s="2"/>
    </row>
    <row r="921">
      <c r="A921" s="2"/>
      <c r="B921" s="2"/>
    </row>
    <row r="922">
      <c r="A922" s="2"/>
      <c r="B922" s="2"/>
    </row>
    <row r="923">
      <c r="A923" s="2"/>
      <c r="B923" s="2"/>
    </row>
    <row r="924">
      <c r="A924" s="2"/>
      <c r="B924" s="2"/>
    </row>
    <row r="925">
      <c r="A925" s="2"/>
      <c r="B925" s="2"/>
    </row>
    <row r="926">
      <c r="A926" s="2"/>
      <c r="B926" s="2"/>
    </row>
    <row r="927">
      <c r="A927" s="2"/>
      <c r="B927" s="2"/>
    </row>
    <row r="928">
      <c r="A928" s="2"/>
      <c r="B928" s="2"/>
    </row>
    <row r="929">
      <c r="A929" s="2"/>
      <c r="B929" s="2"/>
    </row>
    <row r="930">
      <c r="A930" s="2"/>
      <c r="B930" s="2"/>
    </row>
    <row r="931">
      <c r="A931" s="2"/>
      <c r="B931" s="2"/>
    </row>
    <row r="932">
      <c r="A932" s="2"/>
      <c r="B932" s="2"/>
    </row>
    <row r="933">
      <c r="A933" s="2"/>
      <c r="B933" s="2"/>
    </row>
    <row r="934">
      <c r="A934" s="2"/>
      <c r="B934" s="2"/>
    </row>
    <row r="935">
      <c r="A935" s="2"/>
      <c r="B935" s="2"/>
    </row>
    <row r="936">
      <c r="A936" s="2"/>
      <c r="B936" s="2"/>
    </row>
    <row r="937">
      <c r="A937" s="2"/>
      <c r="B937" s="2"/>
    </row>
    <row r="938">
      <c r="A938" s="2"/>
      <c r="B938" s="2"/>
    </row>
    <row r="939">
      <c r="A939" s="2"/>
      <c r="B939" s="2"/>
    </row>
    <row r="940">
      <c r="A940" s="2"/>
      <c r="B940" s="2"/>
    </row>
    <row r="941">
      <c r="A941" s="2"/>
      <c r="B941" s="2"/>
    </row>
    <row r="942">
      <c r="A942" s="2"/>
      <c r="B942" s="2"/>
    </row>
    <row r="943">
      <c r="A943" s="2"/>
      <c r="B943" s="2"/>
    </row>
    <row r="944">
      <c r="A944" s="2"/>
      <c r="B944" s="2"/>
    </row>
    <row r="945">
      <c r="A945" s="2"/>
      <c r="B945" s="2"/>
    </row>
    <row r="946">
      <c r="A946" s="2"/>
      <c r="B946" s="2"/>
    </row>
    <row r="947">
      <c r="A947" s="2"/>
      <c r="B947" s="2"/>
    </row>
    <row r="948">
      <c r="A948" s="2"/>
      <c r="B948" s="2"/>
    </row>
    <row r="949">
      <c r="A949" s="2"/>
      <c r="B949" s="2"/>
    </row>
    <row r="950">
      <c r="A950" s="2"/>
      <c r="B950" s="2"/>
    </row>
    <row r="951">
      <c r="A951" s="2"/>
      <c r="B951" s="2"/>
    </row>
    <row r="952">
      <c r="A952" s="2"/>
      <c r="B952" s="2"/>
    </row>
    <row r="953">
      <c r="A953" s="2"/>
      <c r="B953" s="2"/>
    </row>
    <row r="954">
      <c r="A954" s="2"/>
      <c r="B954" s="2"/>
    </row>
    <row r="955">
      <c r="A955" s="2"/>
      <c r="B955" s="2"/>
    </row>
    <row r="956">
      <c r="A956" s="2"/>
      <c r="B956" s="2"/>
    </row>
    <row r="957">
      <c r="A957" s="2"/>
      <c r="B957" s="2"/>
    </row>
    <row r="958">
      <c r="A958" s="2"/>
      <c r="B958" s="2"/>
    </row>
    <row r="959">
      <c r="A959" s="2"/>
      <c r="B959" s="2"/>
    </row>
    <row r="960">
      <c r="A960" s="2"/>
      <c r="B960" s="2"/>
    </row>
    <row r="961">
      <c r="A961" s="2"/>
      <c r="B961" s="2"/>
    </row>
    <row r="962">
      <c r="A962" s="2"/>
      <c r="B962" s="2"/>
    </row>
    <row r="963">
      <c r="A963" s="2"/>
      <c r="B963" s="2"/>
    </row>
    <row r="964">
      <c r="A964" s="2"/>
      <c r="B964" s="2"/>
    </row>
    <row r="965">
      <c r="A965" s="2"/>
      <c r="B965" s="2"/>
    </row>
    <row r="966">
      <c r="A966" s="2"/>
      <c r="B966" s="2"/>
    </row>
    <row r="967">
      <c r="A967" s="2"/>
      <c r="B967" s="2"/>
    </row>
    <row r="968">
      <c r="A968" s="2"/>
      <c r="B968" s="2"/>
    </row>
    <row r="969">
      <c r="A969" s="2"/>
      <c r="B969" s="2"/>
    </row>
    <row r="970">
      <c r="A970" s="2"/>
      <c r="B970" s="2"/>
    </row>
    <row r="971">
      <c r="A971" s="2"/>
      <c r="B971" s="2"/>
    </row>
    <row r="972">
      <c r="A972" s="2"/>
      <c r="B972" s="2"/>
    </row>
    <row r="973">
      <c r="A973" s="2"/>
      <c r="B973" s="2"/>
    </row>
    <row r="974">
      <c r="A974" s="2"/>
      <c r="B974" s="2"/>
    </row>
    <row r="975">
      <c r="A975" s="2"/>
      <c r="B975" s="2"/>
    </row>
    <row r="976">
      <c r="A976" s="2"/>
      <c r="B976" s="2"/>
    </row>
    <row r="977">
      <c r="A977" s="2"/>
      <c r="B977" s="2"/>
    </row>
    <row r="978">
      <c r="A978" s="2"/>
      <c r="B978" s="2"/>
    </row>
    <row r="979">
      <c r="A979" s="2"/>
      <c r="B979" s="2"/>
    </row>
    <row r="980">
      <c r="A980" s="2"/>
      <c r="B980" s="2"/>
    </row>
    <row r="981">
      <c r="A981" s="2"/>
      <c r="B981" s="2"/>
    </row>
    <row r="982">
      <c r="A982" s="2"/>
      <c r="B982" s="2"/>
    </row>
    <row r="983">
      <c r="A983" s="2"/>
      <c r="B983" s="2"/>
    </row>
    <row r="984">
      <c r="A984" s="2"/>
      <c r="B984" s="2"/>
    </row>
    <row r="985">
      <c r="A985" s="2"/>
      <c r="B985" s="2"/>
    </row>
    <row r="986">
      <c r="A986" s="2"/>
      <c r="B986" s="2"/>
    </row>
    <row r="987">
      <c r="A987" s="2"/>
      <c r="B987" s="2"/>
    </row>
    <row r="988">
      <c r="A988" s="2"/>
      <c r="B988" s="2"/>
    </row>
    <row r="989">
      <c r="A989" s="2"/>
      <c r="B989" s="2"/>
    </row>
    <row r="990">
      <c r="A990" s="2"/>
      <c r="B990" s="2"/>
    </row>
    <row r="991">
      <c r="A991" s="2"/>
      <c r="B991" s="2"/>
    </row>
    <row r="992">
      <c r="A992" s="2"/>
      <c r="B992" s="2"/>
    </row>
    <row r="993">
      <c r="A993" s="2"/>
      <c r="B993" s="2"/>
    </row>
    <row r="994">
      <c r="A994" s="2"/>
      <c r="B994" s="2"/>
    </row>
    <row r="995">
      <c r="A995" s="2"/>
      <c r="B995" s="2"/>
    </row>
    <row r="996">
      <c r="A996" s="2"/>
      <c r="B996" s="2"/>
    </row>
    <row r="997">
      <c r="A997" s="2"/>
      <c r="B997" s="2"/>
    </row>
    <row r="998">
      <c r="A998" s="2"/>
      <c r="B998" s="2"/>
    </row>
    <row r="999">
      <c r="A999" s="2"/>
      <c r="B999" s="2"/>
    </row>
    <row r="1000">
      <c r="A1000" s="2"/>
      <c r="B1000" s="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5"/>
    <col customWidth="1" min="2" max="3" width="9.5"/>
    <col customWidth="1" min="4" max="4" width="6.88"/>
    <col customWidth="1" min="5" max="5" width="11.63"/>
    <col customWidth="1" min="6" max="6" width="14.88"/>
    <col customWidth="1" min="7" max="7" width="9.75"/>
    <col customWidth="1" min="8" max="8" width="18.0"/>
    <col customWidth="1" min="9" max="9" width="18.25"/>
    <col customWidth="1" min="10" max="10" width="14.13"/>
    <col customWidth="1" min="11" max="11" width="12.25"/>
    <col customWidth="1" min="12" max="12" width="17.88"/>
    <col customWidth="1" min="13" max="13" width="21.63"/>
  </cols>
  <sheetData>
    <row r="1" ht="49.5" customHeight="1">
      <c r="A1" s="5" t="str">
        <f>IFERROR(__xludf.DUMMYFUNCTION("QUERY(Dados!A:G, "" SELECT A,B,C,E,F,G WHERE A='Peru' AND B&gt;= date '2020-03-02'"")"),"país")</f>
        <v>país</v>
      </c>
      <c r="B1" s="5" t="str">
        <f>IFERROR(__xludf.DUMMYFUNCTION("""COMPUTED_VALUE"""),"data início")</f>
        <v>data início</v>
      </c>
      <c r="C1" s="5" t="str">
        <f>IFERROR(__xludf.DUMMYFUNCTION("""COMPUTED_VALUE"""),"data fim")</f>
        <v>data fim</v>
      </c>
      <c r="D1" s="5" t="str">
        <f>IFERROR(__xludf.DUMMYFUNCTION("""COMPUTED_VALUE"""),"semana")</f>
        <v>semana</v>
      </c>
      <c r="E1" s="6" t="str">
        <f>IFERROR(__xludf.DUMMYFUNCTION("""COMPUTED_VALUE"""),"total mortes reportadas")</f>
        <v>total mortes reportadas</v>
      </c>
      <c r="F1" s="6" t="str">
        <f>IFERROR(__xludf.DUMMYFUNCTION("""COMPUTED_VALUE"""),"total mortes reportadas por covid")</f>
        <v>total mortes reportadas por covid</v>
      </c>
      <c r="G1" s="7" t="s">
        <v>0</v>
      </c>
      <c r="H1" s="8" t="s">
        <v>1</v>
      </c>
      <c r="I1" s="9" t="s">
        <v>2</v>
      </c>
      <c r="J1" s="10" t="s">
        <v>3</v>
      </c>
      <c r="K1" s="11" t="s">
        <v>4</v>
      </c>
      <c r="L1" s="12" t="s">
        <v>5</v>
      </c>
      <c r="M1" s="13" t="s">
        <v>6</v>
      </c>
    </row>
    <row r="2">
      <c r="A2" s="2" t="str">
        <f>IFERROR(__xludf.DUMMYFUNCTION("""COMPUTED_VALUE"""),"Peru")</f>
        <v>Peru</v>
      </c>
      <c r="B2" s="3">
        <f>IFERROR(__xludf.DUMMYFUNCTION("""COMPUTED_VALUE"""),43892.0)</f>
        <v>43892</v>
      </c>
      <c r="C2" s="3">
        <f>IFERROR(__xludf.DUMMYFUNCTION("""COMPUTED_VALUE"""),43898.0)</f>
        <v>43898</v>
      </c>
      <c r="D2" s="2">
        <f>IFERROR(__xludf.DUMMYFUNCTION("""COMPUTED_VALUE"""),10.0)</f>
        <v>10</v>
      </c>
      <c r="E2" s="2">
        <f>IFERROR(__xludf.DUMMYFUNCTION("""COMPUTED_VALUE"""),2409.0)</f>
        <v>2409</v>
      </c>
      <c r="F2" s="2">
        <f>IFERROR(__xludf.DUMMYFUNCTION("""COMPUTED_VALUE"""),2.0)</f>
        <v>2</v>
      </c>
      <c r="G2" s="4">
        <f>VLOOKUP(A2,Populacao!A:B,2,0)</f>
        <v>33359415</v>
      </c>
      <c r="H2" s="14">
        <f t="shared" ref="H2:H89" si="1">(F2*100000)/G2</f>
        <v>0.00599530897</v>
      </c>
      <c r="I2" s="14">
        <f>H2</f>
        <v>0.00599530897</v>
      </c>
      <c r="J2" s="2">
        <f>AVERAGEIFS(Dados!F:F, Dados!A:A, "=Peru", Dados!G:G, "=0" , Dados!E:E, D2)</f>
        <v>2008.333333</v>
      </c>
      <c r="K2" s="2">
        <f t="shared" ref="K2:K89" si="2">E2-J2</f>
        <v>400.6666667</v>
      </c>
      <c r="L2" s="2">
        <f t="shared" ref="L2:L89" si="3">(K2*100000)/G2</f>
        <v>1.20106023</v>
      </c>
      <c r="M2" s="2">
        <f>L2</f>
        <v>1.20106023</v>
      </c>
    </row>
    <row r="3">
      <c r="A3" s="2" t="str">
        <f>IFERROR(__xludf.DUMMYFUNCTION("""COMPUTED_VALUE"""),"Peru")</f>
        <v>Peru</v>
      </c>
      <c r="B3" s="3">
        <f>IFERROR(__xludf.DUMMYFUNCTION("""COMPUTED_VALUE"""),43899.0)</f>
        <v>43899</v>
      </c>
      <c r="C3" s="3">
        <f>IFERROR(__xludf.DUMMYFUNCTION("""COMPUTED_VALUE"""),43905.0)</f>
        <v>43905</v>
      </c>
      <c r="D3" s="2">
        <f>IFERROR(__xludf.DUMMYFUNCTION("""COMPUTED_VALUE"""),11.0)</f>
        <v>11</v>
      </c>
      <c r="E3" s="2">
        <f>IFERROR(__xludf.DUMMYFUNCTION("""COMPUTED_VALUE"""),2469.0)</f>
        <v>2469</v>
      </c>
      <c r="F3" s="2">
        <f>IFERROR(__xludf.DUMMYFUNCTION("""COMPUTED_VALUE"""),3.0)</f>
        <v>3</v>
      </c>
      <c r="G3" s="4">
        <f>VLOOKUP(A3,Populacao!A:B,2,0)</f>
        <v>33359415</v>
      </c>
      <c r="H3" s="14">
        <f t="shared" si="1"/>
        <v>0.008992963456</v>
      </c>
      <c r="I3" s="14">
        <f t="shared" ref="I3:I89" si="4">H3+I2</f>
        <v>0.01498827243</v>
      </c>
      <c r="J3" s="2">
        <f>AVERAGEIFS(Dados!F:F, Dados!A:A, "=Peru", Dados!G:G, "=0" , Dados!E:E, D3)</f>
        <v>2051.666667</v>
      </c>
      <c r="K3" s="2">
        <f t="shared" si="2"/>
        <v>417.3333333</v>
      </c>
      <c r="L3" s="2">
        <f t="shared" si="3"/>
        <v>1.251021139</v>
      </c>
      <c r="M3" s="2">
        <f t="shared" ref="M3:M89" si="5">L3+M2</f>
        <v>2.452081369</v>
      </c>
    </row>
    <row r="4">
      <c r="A4" s="2" t="str">
        <f>IFERROR(__xludf.DUMMYFUNCTION("""COMPUTED_VALUE"""),"Peru")</f>
        <v>Peru</v>
      </c>
      <c r="B4" s="3">
        <f>IFERROR(__xludf.DUMMYFUNCTION("""COMPUTED_VALUE"""),43906.0)</f>
        <v>43906</v>
      </c>
      <c r="C4" s="3">
        <f>IFERROR(__xludf.DUMMYFUNCTION("""COMPUTED_VALUE"""),43912.0)</f>
        <v>43912</v>
      </c>
      <c r="D4" s="2">
        <f>IFERROR(__xludf.DUMMYFUNCTION("""COMPUTED_VALUE"""),12.0)</f>
        <v>12</v>
      </c>
      <c r="E4" s="2">
        <f>IFERROR(__xludf.DUMMYFUNCTION("""COMPUTED_VALUE"""),2185.0)</f>
        <v>2185</v>
      </c>
      <c r="F4" s="2">
        <f>IFERROR(__xludf.DUMMYFUNCTION("""COMPUTED_VALUE"""),29.0)</f>
        <v>29</v>
      </c>
      <c r="G4" s="4">
        <f>VLOOKUP(A4,Populacao!A:B,2,0)</f>
        <v>33359415</v>
      </c>
      <c r="H4" s="14">
        <f t="shared" si="1"/>
        <v>0.08693198007</v>
      </c>
      <c r="I4" s="14">
        <f t="shared" si="4"/>
        <v>0.1019202525</v>
      </c>
      <c r="J4" s="2">
        <f>AVERAGEIFS(Dados!F:F, Dados!A:A, "=Peru", Dados!G:G, "=0" , Dados!E:E, D4)</f>
        <v>1996</v>
      </c>
      <c r="K4" s="2">
        <f t="shared" si="2"/>
        <v>189</v>
      </c>
      <c r="L4" s="2">
        <f t="shared" si="3"/>
        <v>0.5665566977</v>
      </c>
      <c r="M4" s="2">
        <f t="shared" si="5"/>
        <v>3.018638067</v>
      </c>
    </row>
    <row r="5">
      <c r="A5" s="2" t="str">
        <f>IFERROR(__xludf.DUMMYFUNCTION("""COMPUTED_VALUE"""),"Peru")</f>
        <v>Peru</v>
      </c>
      <c r="B5" s="3">
        <f>IFERROR(__xludf.DUMMYFUNCTION("""COMPUTED_VALUE"""),43913.0)</f>
        <v>43913</v>
      </c>
      <c r="C5" s="3">
        <f>IFERROR(__xludf.DUMMYFUNCTION("""COMPUTED_VALUE"""),43919.0)</f>
        <v>43919</v>
      </c>
      <c r="D5" s="2">
        <f>IFERROR(__xludf.DUMMYFUNCTION("""COMPUTED_VALUE"""),13.0)</f>
        <v>13</v>
      </c>
      <c r="E5" s="2">
        <f>IFERROR(__xludf.DUMMYFUNCTION("""COMPUTED_VALUE"""),2150.0)</f>
        <v>2150</v>
      </c>
      <c r="F5" s="2">
        <f>IFERROR(__xludf.DUMMYFUNCTION("""COMPUTED_VALUE"""),61.0)</f>
        <v>61</v>
      </c>
      <c r="G5" s="4">
        <f>VLOOKUP(A5,Populacao!A:B,2,0)</f>
        <v>33359415</v>
      </c>
      <c r="H5" s="14">
        <f t="shared" si="1"/>
        <v>0.1828569236</v>
      </c>
      <c r="I5" s="14">
        <f t="shared" si="4"/>
        <v>0.2847771761</v>
      </c>
      <c r="J5" s="2">
        <f>AVERAGEIFS(Dados!F:F, Dados!A:A, "=Peru", Dados!G:G, "=0" , Dados!E:E, D5)</f>
        <v>1960</v>
      </c>
      <c r="K5" s="2">
        <f t="shared" si="2"/>
        <v>190</v>
      </c>
      <c r="L5" s="2">
        <f t="shared" si="3"/>
        <v>0.5695543522</v>
      </c>
      <c r="M5" s="2">
        <f t="shared" si="5"/>
        <v>3.588192419</v>
      </c>
    </row>
    <row r="6">
      <c r="A6" s="2" t="str">
        <f>IFERROR(__xludf.DUMMYFUNCTION("""COMPUTED_VALUE"""),"Peru")</f>
        <v>Peru</v>
      </c>
      <c r="B6" s="3">
        <f>IFERROR(__xludf.DUMMYFUNCTION("""COMPUTED_VALUE"""),43920.0)</f>
        <v>43920</v>
      </c>
      <c r="C6" s="3">
        <f>IFERROR(__xludf.DUMMYFUNCTION("""COMPUTED_VALUE"""),43926.0)</f>
        <v>43926</v>
      </c>
      <c r="D6" s="2">
        <f>IFERROR(__xludf.DUMMYFUNCTION("""COMPUTED_VALUE"""),14.0)</f>
        <v>14</v>
      </c>
      <c r="E6" s="2">
        <f>IFERROR(__xludf.DUMMYFUNCTION("""COMPUTED_VALUE"""),2390.0)</f>
        <v>2390</v>
      </c>
      <c r="F6" s="2">
        <f>IFERROR(__xludf.DUMMYFUNCTION("""COMPUTED_VALUE"""),222.0)</f>
        <v>222</v>
      </c>
      <c r="G6" s="4">
        <f>VLOOKUP(A6,Populacao!A:B,2,0)</f>
        <v>33359415</v>
      </c>
      <c r="H6" s="14">
        <f t="shared" si="1"/>
        <v>0.6654792957</v>
      </c>
      <c r="I6" s="14">
        <f t="shared" si="4"/>
        <v>0.9502564718</v>
      </c>
      <c r="J6" s="2">
        <f>AVERAGEIFS(Dados!F:F, Dados!A:A, "=Peru", Dados!G:G, "=0" , Dados!E:E, D6)</f>
        <v>1968</v>
      </c>
      <c r="K6" s="2">
        <f t="shared" si="2"/>
        <v>422</v>
      </c>
      <c r="L6" s="2">
        <f t="shared" si="3"/>
        <v>1.265010193</v>
      </c>
      <c r="M6" s="2">
        <f t="shared" si="5"/>
        <v>4.853202612</v>
      </c>
    </row>
    <row r="7">
      <c r="A7" s="2" t="str">
        <f>IFERROR(__xludf.DUMMYFUNCTION("""COMPUTED_VALUE"""),"Peru")</f>
        <v>Peru</v>
      </c>
      <c r="B7" s="3">
        <f>IFERROR(__xludf.DUMMYFUNCTION("""COMPUTED_VALUE"""),43927.0)</f>
        <v>43927</v>
      </c>
      <c r="C7" s="3">
        <f>IFERROR(__xludf.DUMMYFUNCTION("""COMPUTED_VALUE"""),43933.0)</f>
        <v>43933</v>
      </c>
      <c r="D7" s="2">
        <f>IFERROR(__xludf.DUMMYFUNCTION("""COMPUTED_VALUE"""),15.0)</f>
        <v>15</v>
      </c>
      <c r="E7" s="2">
        <f>IFERROR(__xludf.DUMMYFUNCTION("""COMPUTED_VALUE"""),2514.0)</f>
        <v>2514</v>
      </c>
      <c r="F7" s="2">
        <f>IFERROR(__xludf.DUMMYFUNCTION("""COMPUTED_VALUE"""),529.0)</f>
        <v>529</v>
      </c>
      <c r="G7" s="4">
        <f>VLOOKUP(A7,Populacao!A:B,2,0)</f>
        <v>33359415</v>
      </c>
      <c r="H7" s="14">
        <f t="shared" si="1"/>
        <v>1.585759223</v>
      </c>
      <c r="I7" s="14">
        <f t="shared" si="4"/>
        <v>2.536015695</v>
      </c>
      <c r="J7" s="2">
        <f>AVERAGEIFS(Dados!F:F, Dados!A:A, "=Peru", Dados!G:G, "=0" , Dados!E:E, D7)</f>
        <v>1896.333333</v>
      </c>
      <c r="K7" s="2">
        <f t="shared" si="2"/>
        <v>617.6666667</v>
      </c>
      <c r="L7" s="2">
        <f t="shared" si="3"/>
        <v>1.851551254</v>
      </c>
      <c r="M7" s="2">
        <f t="shared" si="5"/>
        <v>6.704753865</v>
      </c>
    </row>
    <row r="8">
      <c r="A8" s="2" t="str">
        <f>IFERROR(__xludf.DUMMYFUNCTION("""COMPUTED_VALUE"""),"Peru")</f>
        <v>Peru</v>
      </c>
      <c r="B8" s="3">
        <f>IFERROR(__xludf.DUMMYFUNCTION("""COMPUTED_VALUE"""),43934.0)</f>
        <v>43934</v>
      </c>
      <c r="C8" s="3">
        <f>IFERROR(__xludf.DUMMYFUNCTION("""COMPUTED_VALUE"""),43940.0)</f>
        <v>43940</v>
      </c>
      <c r="D8" s="2">
        <f>IFERROR(__xludf.DUMMYFUNCTION("""COMPUTED_VALUE"""),16.0)</f>
        <v>16</v>
      </c>
      <c r="E8" s="2">
        <f>IFERROR(__xludf.DUMMYFUNCTION("""COMPUTED_VALUE"""),3096.0)</f>
        <v>3096</v>
      </c>
      <c r="F8" s="2">
        <f>IFERROR(__xludf.DUMMYFUNCTION("""COMPUTED_VALUE"""),940.0)</f>
        <v>940</v>
      </c>
      <c r="G8" s="4">
        <f>VLOOKUP(A8,Populacao!A:B,2,0)</f>
        <v>33359415</v>
      </c>
      <c r="H8" s="14">
        <f t="shared" si="1"/>
        <v>2.817795216</v>
      </c>
      <c r="I8" s="14">
        <f t="shared" si="4"/>
        <v>5.353810911</v>
      </c>
      <c r="J8" s="2">
        <f>AVERAGEIFS(Dados!F:F, Dados!A:A, "=Peru", Dados!G:G, "=0" , Dados!E:E, D8)</f>
        <v>1976</v>
      </c>
      <c r="K8" s="2">
        <f t="shared" si="2"/>
        <v>1120</v>
      </c>
      <c r="L8" s="2">
        <f t="shared" si="3"/>
        <v>3.357373023</v>
      </c>
      <c r="M8" s="2">
        <f t="shared" si="5"/>
        <v>10.06212689</v>
      </c>
    </row>
    <row r="9">
      <c r="A9" s="2" t="str">
        <f>IFERROR(__xludf.DUMMYFUNCTION("""COMPUTED_VALUE"""),"Peru")</f>
        <v>Peru</v>
      </c>
      <c r="B9" s="3">
        <f>IFERROR(__xludf.DUMMYFUNCTION("""COMPUTED_VALUE"""),43941.0)</f>
        <v>43941</v>
      </c>
      <c r="C9" s="3">
        <f>IFERROR(__xludf.DUMMYFUNCTION("""COMPUTED_VALUE"""),43947.0)</f>
        <v>43947</v>
      </c>
      <c r="D9" s="2">
        <f>IFERROR(__xludf.DUMMYFUNCTION("""COMPUTED_VALUE"""),17.0)</f>
        <v>17</v>
      </c>
      <c r="E9" s="2">
        <f>IFERROR(__xludf.DUMMYFUNCTION("""COMPUTED_VALUE"""),3881.0)</f>
        <v>3881</v>
      </c>
      <c r="F9" s="2">
        <f>IFERROR(__xludf.DUMMYFUNCTION("""COMPUTED_VALUE"""),1702.0)</f>
        <v>1702</v>
      </c>
      <c r="G9" s="4">
        <f>VLOOKUP(A9,Populacao!A:B,2,0)</f>
        <v>33359415</v>
      </c>
      <c r="H9" s="14">
        <f t="shared" si="1"/>
        <v>5.102007934</v>
      </c>
      <c r="I9" s="14">
        <f t="shared" si="4"/>
        <v>10.45581884</v>
      </c>
      <c r="J9" s="2">
        <f>AVERAGEIFS(Dados!F:F, Dados!A:A, "=Peru", Dados!G:G, "=0" , Dados!E:E, D9)</f>
        <v>1899.666667</v>
      </c>
      <c r="K9" s="2">
        <f t="shared" si="2"/>
        <v>1981.333333</v>
      </c>
      <c r="L9" s="2">
        <f t="shared" si="3"/>
        <v>5.939352753</v>
      </c>
      <c r="M9" s="2">
        <f t="shared" si="5"/>
        <v>16.00147964</v>
      </c>
    </row>
    <row r="10">
      <c r="A10" s="2" t="str">
        <f>IFERROR(__xludf.DUMMYFUNCTION("""COMPUTED_VALUE"""),"Peru")</f>
        <v>Peru</v>
      </c>
      <c r="B10" s="3">
        <f>IFERROR(__xludf.DUMMYFUNCTION("""COMPUTED_VALUE"""),43948.0)</f>
        <v>43948</v>
      </c>
      <c r="C10" s="3">
        <f>IFERROR(__xludf.DUMMYFUNCTION("""COMPUTED_VALUE"""),43954.0)</f>
        <v>43954</v>
      </c>
      <c r="D10" s="2">
        <f>IFERROR(__xludf.DUMMYFUNCTION("""COMPUTED_VALUE"""),18.0)</f>
        <v>18</v>
      </c>
      <c r="E10" s="2">
        <f>IFERROR(__xludf.DUMMYFUNCTION("""COMPUTED_VALUE"""),4752.0)</f>
        <v>4752</v>
      </c>
      <c r="F10" s="2">
        <f>IFERROR(__xludf.DUMMYFUNCTION("""COMPUTED_VALUE"""),2516.0)</f>
        <v>2516</v>
      </c>
      <c r="G10" s="4">
        <f>VLOOKUP(A10,Populacao!A:B,2,0)</f>
        <v>33359415</v>
      </c>
      <c r="H10" s="14">
        <f t="shared" si="1"/>
        <v>7.542098685</v>
      </c>
      <c r="I10" s="14">
        <f t="shared" si="4"/>
        <v>17.99791753</v>
      </c>
      <c r="J10" s="2">
        <f>AVERAGEIFS(Dados!F:F, Dados!A:A, "=Peru", Dados!G:G, "=0" , Dados!E:E, D10)</f>
        <v>1983.666667</v>
      </c>
      <c r="K10" s="2">
        <f t="shared" si="2"/>
        <v>2768.333333</v>
      </c>
      <c r="L10" s="2">
        <f t="shared" si="3"/>
        <v>8.298506833</v>
      </c>
      <c r="M10" s="2">
        <f t="shared" si="5"/>
        <v>24.29998648</v>
      </c>
    </row>
    <row r="11">
      <c r="A11" s="2" t="str">
        <f>IFERROR(__xludf.DUMMYFUNCTION("""COMPUTED_VALUE"""),"Peru")</f>
        <v>Peru</v>
      </c>
      <c r="B11" s="3">
        <f>IFERROR(__xludf.DUMMYFUNCTION("""COMPUTED_VALUE"""),43955.0)</f>
        <v>43955</v>
      </c>
      <c r="C11" s="3">
        <f>IFERROR(__xludf.DUMMYFUNCTION("""COMPUTED_VALUE"""),43961.0)</f>
        <v>43961</v>
      </c>
      <c r="D11" s="2">
        <f>IFERROR(__xludf.DUMMYFUNCTION("""COMPUTED_VALUE"""),19.0)</f>
        <v>19</v>
      </c>
      <c r="E11" s="2">
        <f>IFERROR(__xludf.DUMMYFUNCTION("""COMPUTED_VALUE"""),5451.0)</f>
        <v>5451</v>
      </c>
      <c r="F11" s="2">
        <f>IFERROR(__xludf.DUMMYFUNCTION("""COMPUTED_VALUE"""),3254.0)</f>
        <v>3254</v>
      </c>
      <c r="G11" s="4">
        <f>VLOOKUP(A11,Populacao!A:B,2,0)</f>
        <v>33359415</v>
      </c>
      <c r="H11" s="14">
        <f t="shared" si="1"/>
        <v>9.754367695</v>
      </c>
      <c r="I11" s="14">
        <f t="shared" si="4"/>
        <v>27.75228522</v>
      </c>
      <c r="J11" s="2">
        <f>AVERAGEIFS(Dados!F:F, Dados!A:A, "=Peru", Dados!G:G, "=0" , Dados!E:E, D11)</f>
        <v>1911</v>
      </c>
      <c r="K11" s="2">
        <f t="shared" si="2"/>
        <v>3540</v>
      </c>
      <c r="L11" s="2">
        <f t="shared" si="3"/>
        <v>10.61169688</v>
      </c>
      <c r="M11" s="2">
        <f t="shared" si="5"/>
        <v>34.91168335</v>
      </c>
    </row>
    <row r="12">
      <c r="A12" s="2" t="str">
        <f>IFERROR(__xludf.DUMMYFUNCTION("""COMPUTED_VALUE"""),"Peru")</f>
        <v>Peru</v>
      </c>
      <c r="B12" s="3">
        <f>IFERROR(__xludf.DUMMYFUNCTION("""COMPUTED_VALUE"""),43962.0)</f>
        <v>43962</v>
      </c>
      <c r="C12" s="3">
        <f>IFERROR(__xludf.DUMMYFUNCTION("""COMPUTED_VALUE"""),43968.0)</f>
        <v>43968</v>
      </c>
      <c r="D12" s="2">
        <f>IFERROR(__xludf.DUMMYFUNCTION("""COMPUTED_VALUE"""),20.0)</f>
        <v>20</v>
      </c>
      <c r="E12" s="2">
        <f>IFERROR(__xludf.DUMMYFUNCTION("""COMPUTED_VALUE"""),5967.0)</f>
        <v>5967</v>
      </c>
      <c r="F12" s="2">
        <f>IFERROR(__xludf.DUMMYFUNCTION("""COMPUTED_VALUE"""),3577.0)</f>
        <v>3577</v>
      </c>
      <c r="G12" s="4">
        <f>VLOOKUP(A12,Populacao!A:B,2,0)</f>
        <v>33359415</v>
      </c>
      <c r="H12" s="14">
        <f t="shared" si="1"/>
        <v>10.72261009</v>
      </c>
      <c r="I12" s="14">
        <f t="shared" si="4"/>
        <v>38.47489532</v>
      </c>
      <c r="J12" s="2">
        <f>AVERAGEIFS(Dados!F:F, Dados!A:A, "=Peru", Dados!G:G, "=0" , Dados!E:E, D12)</f>
        <v>1984</v>
      </c>
      <c r="K12" s="2">
        <f t="shared" si="2"/>
        <v>3983</v>
      </c>
      <c r="L12" s="2">
        <f t="shared" si="3"/>
        <v>11.93965781</v>
      </c>
      <c r="M12" s="2">
        <f t="shared" si="5"/>
        <v>46.85134117</v>
      </c>
    </row>
    <row r="13">
      <c r="A13" s="2" t="str">
        <f>IFERROR(__xludf.DUMMYFUNCTION("""COMPUTED_VALUE"""),"Peru")</f>
        <v>Peru</v>
      </c>
      <c r="B13" s="3">
        <f>IFERROR(__xludf.DUMMYFUNCTION("""COMPUTED_VALUE"""),43969.0)</f>
        <v>43969</v>
      </c>
      <c r="C13" s="3">
        <f>IFERROR(__xludf.DUMMYFUNCTION("""COMPUTED_VALUE"""),43975.0)</f>
        <v>43975</v>
      </c>
      <c r="D13" s="2">
        <f>IFERROR(__xludf.DUMMYFUNCTION("""COMPUTED_VALUE"""),21.0)</f>
        <v>21</v>
      </c>
      <c r="E13" s="2">
        <f>IFERROR(__xludf.DUMMYFUNCTION("""COMPUTED_VALUE"""),6347.0)</f>
        <v>6347</v>
      </c>
      <c r="F13" s="2">
        <f>IFERROR(__xludf.DUMMYFUNCTION("""COMPUTED_VALUE"""),3809.0)</f>
        <v>3809</v>
      </c>
      <c r="G13" s="4">
        <f>VLOOKUP(A13,Populacao!A:B,2,0)</f>
        <v>33359415</v>
      </c>
      <c r="H13" s="14">
        <f t="shared" si="1"/>
        <v>11.41806593</v>
      </c>
      <c r="I13" s="14">
        <f t="shared" si="4"/>
        <v>49.89296125</v>
      </c>
      <c r="J13" s="2">
        <f>AVERAGEIFS(Dados!F:F, Dados!A:A, "=Peru", Dados!G:G, "=0" , Dados!E:E, D13)</f>
        <v>2034</v>
      </c>
      <c r="K13" s="2">
        <f t="shared" si="2"/>
        <v>4313</v>
      </c>
      <c r="L13" s="2">
        <f t="shared" si="3"/>
        <v>12.92888379</v>
      </c>
      <c r="M13" s="2">
        <f t="shared" si="5"/>
        <v>59.78022496</v>
      </c>
    </row>
    <row r="14">
      <c r="A14" s="2" t="str">
        <f>IFERROR(__xludf.DUMMYFUNCTION("""COMPUTED_VALUE"""),"Peru")</f>
        <v>Peru</v>
      </c>
      <c r="B14" s="3">
        <f>IFERROR(__xludf.DUMMYFUNCTION("""COMPUTED_VALUE"""),43976.0)</f>
        <v>43976</v>
      </c>
      <c r="C14" s="3">
        <f>IFERROR(__xludf.DUMMYFUNCTION("""COMPUTED_VALUE"""),43982.0)</f>
        <v>43982</v>
      </c>
      <c r="D14" s="2">
        <f>IFERROR(__xludf.DUMMYFUNCTION("""COMPUTED_VALUE"""),22.0)</f>
        <v>22</v>
      </c>
      <c r="E14" s="2">
        <f>IFERROR(__xludf.DUMMYFUNCTION("""COMPUTED_VALUE"""),6554.0)</f>
        <v>6554</v>
      </c>
      <c r="F14" s="2">
        <f>IFERROR(__xludf.DUMMYFUNCTION("""COMPUTED_VALUE"""),4066.0)</f>
        <v>4066</v>
      </c>
      <c r="G14" s="4">
        <f>VLOOKUP(A14,Populacao!A:B,2,0)</f>
        <v>33359415</v>
      </c>
      <c r="H14" s="14">
        <f t="shared" si="1"/>
        <v>12.18846314</v>
      </c>
      <c r="I14" s="14">
        <f t="shared" si="4"/>
        <v>62.08142439</v>
      </c>
      <c r="J14" s="2">
        <f>AVERAGEIFS(Dados!F:F, Dados!A:A, "=Peru", Dados!G:G, "=0" , Dados!E:E, D14)</f>
        <v>2050</v>
      </c>
      <c r="K14" s="2">
        <f t="shared" si="2"/>
        <v>4504</v>
      </c>
      <c r="L14" s="2">
        <f t="shared" si="3"/>
        <v>13.5014358</v>
      </c>
      <c r="M14" s="2">
        <f t="shared" si="5"/>
        <v>73.28166076</v>
      </c>
    </row>
    <row r="15">
      <c r="A15" s="2" t="str">
        <f>IFERROR(__xludf.DUMMYFUNCTION("""COMPUTED_VALUE"""),"Peru")</f>
        <v>Peru</v>
      </c>
      <c r="B15" s="3">
        <f>IFERROR(__xludf.DUMMYFUNCTION("""COMPUTED_VALUE"""),43983.0)</f>
        <v>43983</v>
      </c>
      <c r="C15" s="3">
        <f>IFERROR(__xludf.DUMMYFUNCTION("""COMPUTED_VALUE"""),43989.0)</f>
        <v>43989</v>
      </c>
      <c r="D15" s="2">
        <f>IFERROR(__xludf.DUMMYFUNCTION("""COMPUTED_VALUE"""),23.0)</f>
        <v>23</v>
      </c>
      <c r="E15" s="2">
        <f>IFERROR(__xludf.DUMMYFUNCTION("""COMPUTED_VALUE"""),6647.0)</f>
        <v>6647</v>
      </c>
      <c r="F15" s="2">
        <f>IFERROR(__xludf.DUMMYFUNCTION("""COMPUTED_VALUE"""),4124.0)</f>
        <v>4124</v>
      </c>
      <c r="G15" s="4">
        <f>VLOOKUP(A15,Populacao!A:B,2,0)</f>
        <v>33359415</v>
      </c>
      <c r="H15" s="14">
        <f t="shared" si="1"/>
        <v>12.3623271</v>
      </c>
      <c r="I15" s="14">
        <f t="shared" si="4"/>
        <v>74.44375149</v>
      </c>
      <c r="J15" s="2">
        <f>AVERAGEIFS(Dados!F:F, Dados!A:A, "=Peru", Dados!G:G, "=0" , Dados!E:E, D15)</f>
        <v>2135</v>
      </c>
      <c r="K15" s="2">
        <f t="shared" si="2"/>
        <v>4512</v>
      </c>
      <c r="L15" s="2">
        <f t="shared" si="3"/>
        <v>13.52541704</v>
      </c>
      <c r="M15" s="2">
        <f t="shared" si="5"/>
        <v>86.8070778</v>
      </c>
    </row>
    <row r="16">
      <c r="A16" s="2" t="str">
        <f>IFERROR(__xludf.DUMMYFUNCTION("""COMPUTED_VALUE"""),"Peru")</f>
        <v>Peru</v>
      </c>
      <c r="B16" s="3">
        <f>IFERROR(__xludf.DUMMYFUNCTION("""COMPUTED_VALUE"""),43990.0)</f>
        <v>43990</v>
      </c>
      <c r="C16" s="3">
        <f>IFERROR(__xludf.DUMMYFUNCTION("""COMPUTED_VALUE"""),43996.0)</f>
        <v>43996</v>
      </c>
      <c r="D16" s="2">
        <f>IFERROR(__xludf.DUMMYFUNCTION("""COMPUTED_VALUE"""),24.0)</f>
        <v>24</v>
      </c>
      <c r="E16" s="2">
        <f>IFERROR(__xludf.DUMMYFUNCTION("""COMPUTED_VALUE"""),6725.0)</f>
        <v>6725</v>
      </c>
      <c r="F16" s="2">
        <f>IFERROR(__xludf.DUMMYFUNCTION("""COMPUTED_VALUE"""),4176.0)</f>
        <v>4176</v>
      </c>
      <c r="G16" s="4">
        <f>VLOOKUP(A16,Populacao!A:B,2,0)</f>
        <v>33359415</v>
      </c>
      <c r="H16" s="14">
        <f t="shared" si="1"/>
        <v>12.51820513</v>
      </c>
      <c r="I16" s="14">
        <f t="shared" si="4"/>
        <v>86.96195662</v>
      </c>
      <c r="J16" s="2">
        <f>AVERAGEIFS(Dados!F:F, Dados!A:A, "=Peru", Dados!G:G, "=0" , Dados!E:E, D16)</f>
        <v>2150</v>
      </c>
      <c r="K16" s="2">
        <f t="shared" si="2"/>
        <v>4575</v>
      </c>
      <c r="L16" s="2">
        <f t="shared" si="3"/>
        <v>13.71426927</v>
      </c>
      <c r="M16" s="2">
        <f t="shared" si="5"/>
        <v>100.5213471</v>
      </c>
    </row>
    <row r="17">
      <c r="A17" s="2" t="str">
        <f>IFERROR(__xludf.DUMMYFUNCTION("""COMPUTED_VALUE"""),"Peru")</f>
        <v>Peru</v>
      </c>
      <c r="B17" s="3">
        <f>IFERROR(__xludf.DUMMYFUNCTION("""COMPUTED_VALUE"""),43997.0)</f>
        <v>43997</v>
      </c>
      <c r="C17" s="3">
        <f>IFERROR(__xludf.DUMMYFUNCTION("""COMPUTED_VALUE"""),44003.0)</f>
        <v>44003</v>
      </c>
      <c r="D17" s="2">
        <f>IFERROR(__xludf.DUMMYFUNCTION("""COMPUTED_VALUE"""),25.0)</f>
        <v>25</v>
      </c>
      <c r="E17" s="2">
        <f>IFERROR(__xludf.DUMMYFUNCTION("""COMPUTED_VALUE"""),6593.0)</f>
        <v>6593</v>
      </c>
      <c r="F17" s="2">
        <f>IFERROR(__xludf.DUMMYFUNCTION("""COMPUTED_VALUE"""),4330.0)</f>
        <v>4330</v>
      </c>
      <c r="G17" s="4">
        <f>VLOOKUP(A17,Populacao!A:B,2,0)</f>
        <v>33359415</v>
      </c>
      <c r="H17" s="14">
        <f t="shared" si="1"/>
        <v>12.97984392</v>
      </c>
      <c r="I17" s="14">
        <f t="shared" si="4"/>
        <v>99.94180054</v>
      </c>
      <c r="J17" s="2">
        <f>AVERAGEIFS(Dados!F:F, Dados!A:A, "=Peru", Dados!G:G, "=0" , Dados!E:E, D17)</f>
        <v>2223.333333</v>
      </c>
      <c r="K17" s="2">
        <f t="shared" si="2"/>
        <v>4369.666667</v>
      </c>
      <c r="L17" s="2">
        <f t="shared" si="3"/>
        <v>13.09875088</v>
      </c>
      <c r="M17" s="2">
        <f t="shared" si="5"/>
        <v>113.620098</v>
      </c>
    </row>
    <row r="18">
      <c r="A18" s="2" t="str">
        <f>IFERROR(__xludf.DUMMYFUNCTION("""COMPUTED_VALUE"""),"Peru")</f>
        <v>Peru</v>
      </c>
      <c r="B18" s="3">
        <f>IFERROR(__xludf.DUMMYFUNCTION("""COMPUTED_VALUE"""),44004.0)</f>
        <v>44004</v>
      </c>
      <c r="C18" s="3">
        <f>IFERROR(__xludf.DUMMYFUNCTION("""COMPUTED_VALUE"""),44010.0)</f>
        <v>44010</v>
      </c>
      <c r="D18" s="2">
        <f>IFERROR(__xludf.DUMMYFUNCTION("""COMPUTED_VALUE"""),26.0)</f>
        <v>26</v>
      </c>
      <c r="E18" s="2">
        <f>IFERROR(__xludf.DUMMYFUNCTION("""COMPUTED_VALUE"""),6159.0)</f>
        <v>6159</v>
      </c>
      <c r="F18" s="2">
        <f>IFERROR(__xludf.DUMMYFUNCTION("""COMPUTED_VALUE"""),3530.0)</f>
        <v>3530</v>
      </c>
      <c r="G18" s="4">
        <f>VLOOKUP(A18,Populacao!A:B,2,0)</f>
        <v>33359415</v>
      </c>
      <c r="H18" s="14">
        <f t="shared" si="1"/>
        <v>10.58172033</v>
      </c>
      <c r="I18" s="14">
        <f t="shared" si="4"/>
        <v>110.5235209</v>
      </c>
      <c r="J18" s="2">
        <f>AVERAGEIFS(Dados!F:F, Dados!A:A, "=Peru", Dados!G:G, "=0" , Dados!E:E, D18)</f>
        <v>2200.333333</v>
      </c>
      <c r="K18" s="2">
        <f t="shared" si="2"/>
        <v>3958.666667</v>
      </c>
      <c r="L18" s="2">
        <f t="shared" si="3"/>
        <v>11.86671489</v>
      </c>
      <c r="M18" s="2">
        <f t="shared" si="5"/>
        <v>125.4868128</v>
      </c>
    </row>
    <row r="19">
      <c r="A19" s="2" t="str">
        <f>IFERROR(__xludf.DUMMYFUNCTION("""COMPUTED_VALUE"""),"Peru")</f>
        <v>Peru</v>
      </c>
      <c r="B19" s="3">
        <f>IFERROR(__xludf.DUMMYFUNCTION("""COMPUTED_VALUE"""),44011.0)</f>
        <v>44011</v>
      </c>
      <c r="C19" s="3">
        <f>IFERROR(__xludf.DUMMYFUNCTION("""COMPUTED_VALUE"""),44017.0)</f>
        <v>44017</v>
      </c>
      <c r="D19" s="2">
        <f>IFERROR(__xludf.DUMMYFUNCTION("""COMPUTED_VALUE"""),27.0)</f>
        <v>27</v>
      </c>
      <c r="E19" s="2">
        <f>IFERROR(__xludf.DUMMYFUNCTION("""COMPUTED_VALUE"""),6237.0)</f>
        <v>6237</v>
      </c>
      <c r="F19" s="2">
        <f>IFERROR(__xludf.DUMMYFUNCTION("""COMPUTED_VALUE"""),3755.0)</f>
        <v>3755</v>
      </c>
      <c r="G19" s="4">
        <f>VLOOKUP(A19,Populacao!A:B,2,0)</f>
        <v>33359415</v>
      </c>
      <c r="H19" s="14">
        <f t="shared" si="1"/>
        <v>11.25619259</v>
      </c>
      <c r="I19" s="14">
        <f t="shared" si="4"/>
        <v>121.7797135</v>
      </c>
      <c r="J19" s="2">
        <f>AVERAGEIFS(Dados!F:F, Dados!A:A, "=Peru", Dados!G:G, "=0" , Dados!E:E, D19)</f>
        <v>2240</v>
      </c>
      <c r="K19" s="2">
        <f t="shared" si="2"/>
        <v>3997</v>
      </c>
      <c r="L19" s="2">
        <f t="shared" si="3"/>
        <v>11.98162498</v>
      </c>
      <c r="M19" s="2">
        <f t="shared" si="5"/>
        <v>137.4684378</v>
      </c>
    </row>
    <row r="20">
      <c r="A20" s="2" t="str">
        <f>IFERROR(__xludf.DUMMYFUNCTION("""COMPUTED_VALUE"""),"Peru")</f>
        <v>Peru</v>
      </c>
      <c r="B20" s="3">
        <f>IFERROR(__xludf.DUMMYFUNCTION("""COMPUTED_VALUE"""),44018.0)</f>
        <v>44018</v>
      </c>
      <c r="C20" s="3">
        <f>IFERROR(__xludf.DUMMYFUNCTION("""COMPUTED_VALUE"""),44024.0)</f>
        <v>44024</v>
      </c>
      <c r="D20" s="2">
        <f>IFERROR(__xludf.DUMMYFUNCTION("""COMPUTED_VALUE"""),28.0)</f>
        <v>28</v>
      </c>
      <c r="E20" s="2">
        <f>IFERROR(__xludf.DUMMYFUNCTION("""COMPUTED_VALUE"""),6493.0)</f>
        <v>6493</v>
      </c>
      <c r="F20" s="2">
        <f>IFERROR(__xludf.DUMMYFUNCTION("""COMPUTED_VALUE"""),3903.0)</f>
        <v>3903</v>
      </c>
      <c r="G20" s="4">
        <f>VLOOKUP(A20,Populacao!A:B,2,0)</f>
        <v>33359415</v>
      </c>
      <c r="H20" s="14">
        <f t="shared" si="1"/>
        <v>11.69984546</v>
      </c>
      <c r="I20" s="14">
        <f t="shared" si="4"/>
        <v>133.4795589</v>
      </c>
      <c r="J20" s="2">
        <f>AVERAGEIFS(Dados!F:F, Dados!A:A, "=Peru", Dados!G:G, "=0" , Dados!E:E, D20)</f>
        <v>2141.666667</v>
      </c>
      <c r="K20" s="2">
        <f t="shared" si="2"/>
        <v>4351.333333</v>
      </c>
      <c r="L20" s="2">
        <f t="shared" si="3"/>
        <v>13.04379388</v>
      </c>
      <c r="M20" s="2">
        <f t="shared" si="5"/>
        <v>150.5122317</v>
      </c>
    </row>
    <row r="21">
      <c r="A21" s="2" t="str">
        <f>IFERROR(__xludf.DUMMYFUNCTION("""COMPUTED_VALUE"""),"Peru")</f>
        <v>Peru</v>
      </c>
      <c r="B21" s="3">
        <f>IFERROR(__xludf.DUMMYFUNCTION("""COMPUTED_VALUE"""),44025.0)</f>
        <v>44025</v>
      </c>
      <c r="C21" s="3">
        <f>IFERROR(__xludf.DUMMYFUNCTION("""COMPUTED_VALUE"""),44031.0)</f>
        <v>44031</v>
      </c>
      <c r="D21" s="2">
        <f>IFERROR(__xludf.DUMMYFUNCTION("""COMPUTED_VALUE"""),29.0)</f>
        <v>29</v>
      </c>
      <c r="E21" s="2">
        <f>IFERROR(__xludf.DUMMYFUNCTION("""COMPUTED_VALUE"""),6763.0)</f>
        <v>6763</v>
      </c>
      <c r="F21" s="2">
        <f>IFERROR(__xludf.DUMMYFUNCTION("""COMPUTED_VALUE"""),4901.0)</f>
        <v>4901</v>
      </c>
      <c r="G21" s="4">
        <f>VLOOKUP(A21,Populacao!A:B,2,0)</f>
        <v>33359415</v>
      </c>
      <c r="H21" s="14">
        <f t="shared" si="1"/>
        <v>14.69150463</v>
      </c>
      <c r="I21" s="14">
        <f t="shared" si="4"/>
        <v>148.1710636</v>
      </c>
      <c r="J21" s="2">
        <f>AVERAGEIFS(Dados!F:F, Dados!A:A, "=Peru", Dados!G:G, "=0" , Dados!E:E, D21)</f>
        <v>2199.666667</v>
      </c>
      <c r="K21" s="2">
        <f t="shared" si="2"/>
        <v>4563.333333</v>
      </c>
      <c r="L21" s="2">
        <f t="shared" si="3"/>
        <v>13.67929663</v>
      </c>
      <c r="M21" s="2">
        <f t="shared" si="5"/>
        <v>164.1915283</v>
      </c>
    </row>
    <row r="22">
      <c r="A22" s="2" t="str">
        <f>IFERROR(__xludf.DUMMYFUNCTION("""COMPUTED_VALUE"""),"Peru")</f>
        <v>Peru</v>
      </c>
      <c r="B22" s="3">
        <f>IFERROR(__xludf.DUMMYFUNCTION("""COMPUTED_VALUE"""),44032.0)</f>
        <v>44032</v>
      </c>
      <c r="C22" s="3">
        <f>IFERROR(__xludf.DUMMYFUNCTION("""COMPUTED_VALUE"""),44038.0)</f>
        <v>44038</v>
      </c>
      <c r="D22" s="2">
        <f>IFERROR(__xludf.DUMMYFUNCTION("""COMPUTED_VALUE"""),30.0)</f>
        <v>30</v>
      </c>
      <c r="E22" s="2">
        <f>IFERROR(__xludf.DUMMYFUNCTION("""COMPUTED_VALUE"""),6778.0)</f>
        <v>6778</v>
      </c>
      <c r="F22" s="2">
        <f>IFERROR(__xludf.DUMMYFUNCTION("""COMPUTED_VALUE"""),3480.0)</f>
        <v>3480</v>
      </c>
      <c r="G22" s="4">
        <f>VLOOKUP(A22,Populacao!A:B,2,0)</f>
        <v>33359415</v>
      </c>
      <c r="H22" s="14">
        <f t="shared" si="1"/>
        <v>10.43183761</v>
      </c>
      <c r="I22" s="14">
        <f t="shared" si="4"/>
        <v>158.6029012</v>
      </c>
      <c r="J22" s="2">
        <f>AVERAGEIFS(Dados!F:F, Dados!A:A, "=Peru", Dados!G:G, "=0" , Dados!E:E, D22)</f>
        <v>2215.333333</v>
      </c>
      <c r="K22" s="2">
        <f t="shared" si="2"/>
        <v>4562.666667</v>
      </c>
      <c r="L22" s="2">
        <f t="shared" si="3"/>
        <v>13.6772982</v>
      </c>
      <c r="M22" s="2">
        <f t="shared" si="5"/>
        <v>177.8688265</v>
      </c>
    </row>
    <row r="23">
      <c r="A23" s="2" t="str">
        <f>IFERROR(__xludf.DUMMYFUNCTION("""COMPUTED_VALUE"""),"Peru")</f>
        <v>Peru</v>
      </c>
      <c r="B23" s="3">
        <f>IFERROR(__xludf.DUMMYFUNCTION("""COMPUTED_VALUE"""),44039.0)</f>
        <v>44039</v>
      </c>
      <c r="C23" s="3">
        <f>IFERROR(__xludf.DUMMYFUNCTION("""COMPUTED_VALUE"""),44045.0)</f>
        <v>44045</v>
      </c>
      <c r="D23" s="2">
        <f>IFERROR(__xludf.DUMMYFUNCTION("""COMPUTED_VALUE"""),31.0)</f>
        <v>31</v>
      </c>
      <c r="E23" s="2">
        <f>IFERROR(__xludf.DUMMYFUNCTION("""COMPUTED_VALUE"""),6918.0)</f>
        <v>6918</v>
      </c>
      <c r="F23" s="2">
        <f>IFERROR(__xludf.DUMMYFUNCTION("""COMPUTED_VALUE"""),4376.0)</f>
        <v>4376</v>
      </c>
      <c r="G23" s="4">
        <f>VLOOKUP(A23,Populacao!A:B,2,0)</f>
        <v>33359415</v>
      </c>
      <c r="H23" s="14">
        <f t="shared" si="1"/>
        <v>13.11773603</v>
      </c>
      <c r="I23" s="14">
        <f t="shared" si="4"/>
        <v>171.7206372</v>
      </c>
      <c r="J23" s="2">
        <f>AVERAGEIFS(Dados!F:F, Dados!A:A, "=Peru", Dados!G:G, "=0" , Dados!E:E, D23)</f>
        <v>2182.666667</v>
      </c>
      <c r="K23" s="2">
        <f t="shared" si="2"/>
        <v>4735.333333</v>
      </c>
      <c r="L23" s="2">
        <f t="shared" si="3"/>
        <v>14.19489321</v>
      </c>
      <c r="M23" s="2">
        <f t="shared" si="5"/>
        <v>192.0637197</v>
      </c>
    </row>
    <row r="24">
      <c r="A24" s="2" t="str">
        <f>IFERROR(__xludf.DUMMYFUNCTION("""COMPUTED_VALUE"""),"Peru")</f>
        <v>Peru</v>
      </c>
      <c r="B24" s="3">
        <f>IFERROR(__xludf.DUMMYFUNCTION("""COMPUTED_VALUE"""),44046.0)</f>
        <v>44046</v>
      </c>
      <c r="C24" s="3">
        <f>IFERROR(__xludf.DUMMYFUNCTION("""COMPUTED_VALUE"""),44052.0)</f>
        <v>44052</v>
      </c>
      <c r="D24" s="2">
        <f>IFERROR(__xludf.DUMMYFUNCTION("""COMPUTED_VALUE"""),32.0)</f>
        <v>32</v>
      </c>
      <c r="E24" s="2">
        <f>IFERROR(__xludf.DUMMYFUNCTION("""COMPUTED_VALUE"""),7120.0)</f>
        <v>7120</v>
      </c>
      <c r="F24" s="2">
        <f>IFERROR(__xludf.DUMMYFUNCTION("""COMPUTED_VALUE"""),4433.0)</f>
        <v>4433</v>
      </c>
      <c r="G24" s="4">
        <f>VLOOKUP(A24,Populacao!A:B,2,0)</f>
        <v>33359415</v>
      </c>
      <c r="H24" s="14">
        <f t="shared" si="1"/>
        <v>13.28860233</v>
      </c>
      <c r="I24" s="14">
        <f t="shared" si="4"/>
        <v>185.0092395</v>
      </c>
      <c r="J24" s="2">
        <f>AVERAGEIFS(Dados!F:F, Dados!A:A, "=Peru", Dados!G:G, "=0" , Dados!E:E, D24)</f>
        <v>2230.333333</v>
      </c>
      <c r="K24" s="2">
        <f t="shared" si="2"/>
        <v>4889.666667</v>
      </c>
      <c r="L24" s="2">
        <f t="shared" si="3"/>
        <v>14.65753121</v>
      </c>
      <c r="M24" s="2">
        <f t="shared" si="5"/>
        <v>206.721251</v>
      </c>
    </row>
    <row r="25">
      <c r="A25" s="2" t="str">
        <f>IFERROR(__xludf.DUMMYFUNCTION("""COMPUTED_VALUE"""),"Peru")</f>
        <v>Peru</v>
      </c>
      <c r="B25" s="3">
        <f>IFERROR(__xludf.DUMMYFUNCTION("""COMPUTED_VALUE"""),44053.0)</f>
        <v>44053</v>
      </c>
      <c r="C25" s="3">
        <f>IFERROR(__xludf.DUMMYFUNCTION("""COMPUTED_VALUE"""),44059.0)</f>
        <v>44059</v>
      </c>
      <c r="D25" s="2">
        <f>IFERROR(__xludf.DUMMYFUNCTION("""COMPUTED_VALUE"""),33.0)</f>
        <v>33</v>
      </c>
      <c r="E25" s="2">
        <f>IFERROR(__xludf.DUMMYFUNCTION("""COMPUTED_VALUE"""),6717.0)</f>
        <v>6717</v>
      </c>
      <c r="F25" s="2">
        <f>IFERROR(__xludf.DUMMYFUNCTION("""COMPUTED_VALUE"""),4322.0)</f>
        <v>4322</v>
      </c>
      <c r="G25" s="4">
        <f>VLOOKUP(A25,Populacao!A:B,2,0)</f>
        <v>33359415</v>
      </c>
      <c r="H25" s="14">
        <f t="shared" si="1"/>
        <v>12.95586269</v>
      </c>
      <c r="I25" s="14">
        <f t="shared" si="4"/>
        <v>197.9651022</v>
      </c>
      <c r="J25" s="2">
        <f>AVERAGEIFS(Dados!F:F, Dados!A:A, "=Peru", Dados!G:G, "=0" , Dados!E:E, D25)</f>
        <v>2135</v>
      </c>
      <c r="K25" s="2">
        <f t="shared" si="2"/>
        <v>4582</v>
      </c>
      <c r="L25" s="2">
        <f t="shared" si="3"/>
        <v>13.73525285</v>
      </c>
      <c r="M25" s="2">
        <f t="shared" si="5"/>
        <v>220.4565038</v>
      </c>
    </row>
    <row r="26">
      <c r="A26" s="2" t="str">
        <f>IFERROR(__xludf.DUMMYFUNCTION("""COMPUTED_VALUE"""),"Peru")</f>
        <v>Peru</v>
      </c>
      <c r="B26" s="3">
        <f>IFERROR(__xludf.DUMMYFUNCTION("""COMPUTED_VALUE"""),44060.0)</f>
        <v>44060</v>
      </c>
      <c r="C26" s="3">
        <f>IFERROR(__xludf.DUMMYFUNCTION("""COMPUTED_VALUE"""),44066.0)</f>
        <v>44066</v>
      </c>
      <c r="D26" s="2">
        <f>IFERROR(__xludf.DUMMYFUNCTION("""COMPUTED_VALUE"""),34.0)</f>
        <v>34</v>
      </c>
      <c r="E26" s="2">
        <f>IFERROR(__xludf.DUMMYFUNCTION("""COMPUTED_VALUE"""),6128.0)</f>
        <v>6128</v>
      </c>
      <c r="F26" s="2">
        <f>IFERROR(__xludf.DUMMYFUNCTION("""COMPUTED_VALUE"""),3786.0)</f>
        <v>3786</v>
      </c>
      <c r="G26" s="4">
        <f>VLOOKUP(A26,Populacao!A:B,2,0)</f>
        <v>33359415</v>
      </c>
      <c r="H26" s="14">
        <f t="shared" si="1"/>
        <v>11.34911988</v>
      </c>
      <c r="I26" s="14">
        <f t="shared" si="4"/>
        <v>209.3142221</v>
      </c>
      <c r="J26" s="2">
        <f>AVERAGEIFS(Dados!F:F, Dados!A:A, "=Peru", Dados!G:G, "=0" , Dados!E:E, D26)</f>
        <v>2123</v>
      </c>
      <c r="K26" s="2">
        <f t="shared" si="2"/>
        <v>4005</v>
      </c>
      <c r="L26" s="2">
        <f t="shared" si="3"/>
        <v>12.00560621</v>
      </c>
      <c r="M26" s="2">
        <f t="shared" si="5"/>
        <v>232.46211</v>
      </c>
    </row>
    <row r="27">
      <c r="A27" s="2" t="str">
        <f>IFERROR(__xludf.DUMMYFUNCTION("""COMPUTED_VALUE"""),"Peru")</f>
        <v>Peru</v>
      </c>
      <c r="B27" s="3">
        <f>IFERROR(__xludf.DUMMYFUNCTION("""COMPUTED_VALUE"""),44067.0)</f>
        <v>44067</v>
      </c>
      <c r="C27" s="3">
        <f>IFERROR(__xludf.DUMMYFUNCTION("""COMPUTED_VALUE"""),44073.0)</f>
        <v>44073</v>
      </c>
      <c r="D27" s="2">
        <f>IFERROR(__xludf.DUMMYFUNCTION("""COMPUTED_VALUE"""),35.0)</f>
        <v>35</v>
      </c>
      <c r="E27" s="2">
        <f>IFERROR(__xludf.DUMMYFUNCTION("""COMPUTED_VALUE"""),5578.0)</f>
        <v>5578</v>
      </c>
      <c r="F27" s="2">
        <f>IFERROR(__xludf.DUMMYFUNCTION("""COMPUTED_VALUE"""),3401.0)</f>
        <v>3401</v>
      </c>
      <c r="G27" s="4">
        <f>VLOOKUP(A27,Populacao!A:B,2,0)</f>
        <v>33359415</v>
      </c>
      <c r="H27" s="14">
        <f t="shared" si="1"/>
        <v>10.1950229</v>
      </c>
      <c r="I27" s="14">
        <f t="shared" si="4"/>
        <v>219.509245</v>
      </c>
      <c r="J27" s="2">
        <f>AVERAGEIFS(Dados!F:F, Dados!A:A, "=Peru", Dados!G:G, "=0" , Dados!E:E, D27)</f>
        <v>2193.333333</v>
      </c>
      <c r="K27" s="2">
        <f t="shared" si="2"/>
        <v>3384.666667</v>
      </c>
      <c r="L27" s="2">
        <f t="shared" si="3"/>
        <v>10.14606121</v>
      </c>
      <c r="M27" s="2">
        <f t="shared" si="5"/>
        <v>242.6081712</v>
      </c>
    </row>
    <row r="28">
      <c r="A28" s="2" t="str">
        <f>IFERROR(__xludf.DUMMYFUNCTION("""COMPUTED_VALUE"""),"Peru")</f>
        <v>Peru</v>
      </c>
      <c r="B28" s="3">
        <f>IFERROR(__xludf.DUMMYFUNCTION("""COMPUTED_VALUE"""),44074.0)</f>
        <v>44074</v>
      </c>
      <c r="C28" s="3">
        <f>IFERROR(__xludf.DUMMYFUNCTION("""COMPUTED_VALUE"""),44080.0)</f>
        <v>44080</v>
      </c>
      <c r="D28" s="2">
        <f>IFERROR(__xludf.DUMMYFUNCTION("""COMPUTED_VALUE"""),36.0)</f>
        <v>36</v>
      </c>
      <c r="E28" s="2">
        <f>IFERROR(__xludf.DUMMYFUNCTION("""COMPUTED_VALUE"""),4730.0)</f>
        <v>4730</v>
      </c>
      <c r="F28" s="2">
        <f>IFERROR(__xludf.DUMMYFUNCTION("""COMPUTED_VALUE"""),2674.0)</f>
        <v>2674</v>
      </c>
      <c r="G28" s="4">
        <f>VLOOKUP(A28,Populacao!A:B,2,0)</f>
        <v>33359415</v>
      </c>
      <c r="H28" s="14">
        <f t="shared" si="1"/>
        <v>8.015728094</v>
      </c>
      <c r="I28" s="14">
        <f t="shared" si="4"/>
        <v>227.5249731</v>
      </c>
      <c r="J28" s="2">
        <f>AVERAGEIFS(Dados!F:F, Dados!A:A, "=Peru", Dados!G:G, "=0" , Dados!E:E, D28)</f>
        <v>2168</v>
      </c>
      <c r="K28" s="2">
        <f t="shared" si="2"/>
        <v>2562</v>
      </c>
      <c r="L28" s="2">
        <f t="shared" si="3"/>
        <v>7.679990791</v>
      </c>
      <c r="M28" s="2">
        <f t="shared" si="5"/>
        <v>250.288162</v>
      </c>
    </row>
    <row r="29">
      <c r="A29" s="2" t="str">
        <f>IFERROR(__xludf.DUMMYFUNCTION("""COMPUTED_VALUE"""),"Peru")</f>
        <v>Peru</v>
      </c>
      <c r="B29" s="3">
        <f>IFERROR(__xludf.DUMMYFUNCTION("""COMPUTED_VALUE"""),44081.0)</f>
        <v>44081</v>
      </c>
      <c r="C29" s="3">
        <f>IFERROR(__xludf.DUMMYFUNCTION("""COMPUTED_VALUE"""),44087.0)</f>
        <v>44087</v>
      </c>
      <c r="D29" s="2">
        <f>IFERROR(__xludf.DUMMYFUNCTION("""COMPUTED_VALUE"""),37.0)</f>
        <v>37</v>
      </c>
      <c r="E29" s="2">
        <f>IFERROR(__xludf.DUMMYFUNCTION("""COMPUTED_VALUE"""),4275.0)</f>
        <v>4275</v>
      </c>
      <c r="F29" s="2">
        <f>IFERROR(__xludf.DUMMYFUNCTION("""COMPUTED_VALUE"""),2214.0)</f>
        <v>2214</v>
      </c>
      <c r="G29" s="4">
        <f>VLOOKUP(A29,Populacao!A:B,2,0)</f>
        <v>33359415</v>
      </c>
      <c r="H29" s="14">
        <f t="shared" si="1"/>
        <v>6.63680703</v>
      </c>
      <c r="I29" s="14">
        <f t="shared" si="4"/>
        <v>234.1617801</v>
      </c>
      <c r="J29" s="2">
        <f>AVERAGEIFS(Dados!F:F, Dados!A:A, "=Peru", Dados!G:G, "=0" , Dados!E:E, D29)</f>
        <v>2175</v>
      </c>
      <c r="K29" s="2">
        <f t="shared" si="2"/>
        <v>2100</v>
      </c>
      <c r="L29" s="2">
        <f t="shared" si="3"/>
        <v>6.295074419</v>
      </c>
      <c r="M29" s="2">
        <f t="shared" si="5"/>
        <v>256.5832364</v>
      </c>
    </row>
    <row r="30">
      <c r="A30" s="2" t="str">
        <f>IFERROR(__xludf.DUMMYFUNCTION("""COMPUTED_VALUE"""),"Peru")</f>
        <v>Peru</v>
      </c>
      <c r="B30" s="3">
        <f>IFERROR(__xludf.DUMMYFUNCTION("""COMPUTED_VALUE"""),44088.0)</f>
        <v>44088</v>
      </c>
      <c r="C30" s="3">
        <f>IFERROR(__xludf.DUMMYFUNCTION("""COMPUTED_VALUE"""),44094.0)</f>
        <v>44094</v>
      </c>
      <c r="D30" s="2">
        <f>IFERROR(__xludf.DUMMYFUNCTION("""COMPUTED_VALUE"""),38.0)</f>
        <v>38</v>
      </c>
      <c r="E30" s="2">
        <f>IFERROR(__xludf.DUMMYFUNCTION("""COMPUTED_VALUE"""),3885.0)</f>
        <v>3885</v>
      </c>
      <c r="F30" s="2">
        <f>IFERROR(__xludf.DUMMYFUNCTION("""COMPUTED_VALUE"""),1889.0)</f>
        <v>1889</v>
      </c>
      <c r="G30" s="4">
        <f>VLOOKUP(A30,Populacao!A:B,2,0)</f>
        <v>33359415</v>
      </c>
      <c r="H30" s="14">
        <f t="shared" si="1"/>
        <v>5.662569323</v>
      </c>
      <c r="I30" s="14">
        <f t="shared" si="4"/>
        <v>239.8243494</v>
      </c>
      <c r="J30" s="2">
        <f>AVERAGEIFS(Dados!F:F, Dados!A:A, "=Peru", Dados!G:G, "=0" , Dados!E:E, D30)</f>
        <v>2213.333333</v>
      </c>
      <c r="K30" s="2">
        <f t="shared" si="2"/>
        <v>1671.666667</v>
      </c>
      <c r="L30" s="2">
        <f t="shared" si="3"/>
        <v>5.011079081</v>
      </c>
      <c r="M30" s="2">
        <f t="shared" si="5"/>
        <v>261.5943155</v>
      </c>
    </row>
    <row r="31">
      <c r="A31" s="2" t="str">
        <f>IFERROR(__xludf.DUMMYFUNCTION("""COMPUTED_VALUE"""),"Peru")</f>
        <v>Peru</v>
      </c>
      <c r="B31" s="3">
        <f>IFERROR(__xludf.DUMMYFUNCTION("""COMPUTED_VALUE"""),44095.0)</f>
        <v>44095</v>
      </c>
      <c r="C31" s="3">
        <f>IFERROR(__xludf.DUMMYFUNCTION("""COMPUTED_VALUE"""),44101.0)</f>
        <v>44101</v>
      </c>
      <c r="D31" s="2">
        <f>IFERROR(__xludf.DUMMYFUNCTION("""COMPUTED_VALUE"""),39.0)</f>
        <v>39</v>
      </c>
      <c r="E31" s="2">
        <f>IFERROR(__xludf.DUMMYFUNCTION("""COMPUTED_VALUE"""),3483.0)</f>
        <v>3483</v>
      </c>
      <c r="F31" s="2">
        <f>IFERROR(__xludf.DUMMYFUNCTION("""COMPUTED_VALUE"""),1591.0)</f>
        <v>1591</v>
      </c>
      <c r="G31" s="4">
        <f>VLOOKUP(A31,Populacao!A:B,2,0)</f>
        <v>33359415</v>
      </c>
      <c r="H31" s="14">
        <f t="shared" si="1"/>
        <v>4.769268286</v>
      </c>
      <c r="I31" s="14">
        <f t="shared" si="4"/>
        <v>244.5936177</v>
      </c>
      <c r="J31" s="2">
        <f>AVERAGEIFS(Dados!F:F, Dados!A:A, "=Peru", Dados!G:G, "=0" , Dados!E:E, D31)</f>
        <v>2217.333333</v>
      </c>
      <c r="K31" s="2">
        <f t="shared" si="2"/>
        <v>1265.666667</v>
      </c>
      <c r="L31" s="2">
        <f t="shared" si="3"/>
        <v>3.79403136</v>
      </c>
      <c r="M31" s="2">
        <f t="shared" si="5"/>
        <v>265.3883469</v>
      </c>
    </row>
    <row r="32">
      <c r="A32" s="2" t="str">
        <f>IFERROR(__xludf.DUMMYFUNCTION("""COMPUTED_VALUE"""),"Peru")</f>
        <v>Peru</v>
      </c>
      <c r="B32" s="3">
        <f>IFERROR(__xludf.DUMMYFUNCTION("""COMPUTED_VALUE"""),44102.0)</f>
        <v>44102</v>
      </c>
      <c r="C32" s="3">
        <f>IFERROR(__xludf.DUMMYFUNCTION("""COMPUTED_VALUE"""),44108.0)</f>
        <v>44108</v>
      </c>
      <c r="D32" s="2">
        <f>IFERROR(__xludf.DUMMYFUNCTION("""COMPUTED_VALUE"""),40.0)</f>
        <v>40</v>
      </c>
      <c r="E32" s="2">
        <f>IFERROR(__xludf.DUMMYFUNCTION("""COMPUTED_VALUE"""),3235.0)</f>
        <v>3235</v>
      </c>
      <c r="F32" s="2">
        <f>IFERROR(__xludf.DUMMYFUNCTION("""COMPUTED_VALUE"""),1213.0)</f>
        <v>1213</v>
      </c>
      <c r="G32" s="4">
        <f>VLOOKUP(A32,Populacao!A:B,2,0)</f>
        <v>33359415</v>
      </c>
      <c r="H32" s="14">
        <f t="shared" si="1"/>
        <v>3.636154891</v>
      </c>
      <c r="I32" s="14">
        <f t="shared" si="4"/>
        <v>248.2297726</v>
      </c>
      <c r="J32" s="2">
        <f>AVERAGEIFS(Dados!F:F, Dados!A:A, "=Peru", Dados!G:G, "=0" , Dados!E:E, D32)</f>
        <v>2151.666667</v>
      </c>
      <c r="K32" s="2">
        <f t="shared" si="2"/>
        <v>1083.333333</v>
      </c>
      <c r="L32" s="2">
        <f t="shared" si="3"/>
        <v>3.247459026</v>
      </c>
      <c r="M32" s="2">
        <f t="shared" si="5"/>
        <v>268.6358059</v>
      </c>
    </row>
    <row r="33">
      <c r="A33" s="2" t="str">
        <f>IFERROR(__xludf.DUMMYFUNCTION("""COMPUTED_VALUE"""),"Peru")</f>
        <v>Peru</v>
      </c>
      <c r="B33" s="3">
        <f>IFERROR(__xludf.DUMMYFUNCTION("""COMPUTED_VALUE"""),44109.0)</f>
        <v>44109</v>
      </c>
      <c r="C33" s="3">
        <f>IFERROR(__xludf.DUMMYFUNCTION("""COMPUTED_VALUE"""),44115.0)</f>
        <v>44115</v>
      </c>
      <c r="D33" s="2">
        <f>IFERROR(__xludf.DUMMYFUNCTION("""COMPUTED_VALUE"""),41.0)</f>
        <v>41</v>
      </c>
      <c r="E33" s="2">
        <f>IFERROR(__xludf.DUMMYFUNCTION("""COMPUTED_VALUE"""),3147.0)</f>
        <v>3147</v>
      </c>
      <c r="F33" s="2">
        <f>IFERROR(__xludf.DUMMYFUNCTION("""COMPUTED_VALUE"""),1170.0)</f>
        <v>1170</v>
      </c>
      <c r="G33" s="4">
        <f>VLOOKUP(A33,Populacao!A:B,2,0)</f>
        <v>33359415</v>
      </c>
      <c r="H33" s="14">
        <f t="shared" si="1"/>
        <v>3.507255748</v>
      </c>
      <c r="I33" s="14">
        <f t="shared" si="4"/>
        <v>251.7370284</v>
      </c>
      <c r="J33" s="2">
        <f>AVERAGEIFS(Dados!F:F, Dados!A:A, "=Peru", Dados!G:G, "=0" , Dados!E:E, D33)</f>
        <v>2191.666667</v>
      </c>
      <c r="K33" s="2">
        <f t="shared" si="2"/>
        <v>955.3333333</v>
      </c>
      <c r="L33" s="2">
        <f t="shared" si="3"/>
        <v>2.863759252</v>
      </c>
      <c r="M33" s="2">
        <f t="shared" si="5"/>
        <v>271.4995652</v>
      </c>
    </row>
    <row r="34">
      <c r="A34" s="2" t="str">
        <f>IFERROR(__xludf.DUMMYFUNCTION("""COMPUTED_VALUE"""),"Peru")</f>
        <v>Peru</v>
      </c>
      <c r="B34" s="3">
        <f>IFERROR(__xludf.DUMMYFUNCTION("""COMPUTED_VALUE"""),44116.0)</f>
        <v>44116</v>
      </c>
      <c r="C34" s="3">
        <f>IFERROR(__xludf.DUMMYFUNCTION("""COMPUTED_VALUE"""),44122.0)</f>
        <v>44122</v>
      </c>
      <c r="D34" s="2">
        <f>IFERROR(__xludf.DUMMYFUNCTION("""COMPUTED_VALUE"""),42.0)</f>
        <v>42</v>
      </c>
      <c r="E34" s="2">
        <f>IFERROR(__xludf.DUMMYFUNCTION("""COMPUTED_VALUE"""),3001.0)</f>
        <v>3001</v>
      </c>
      <c r="F34" s="2">
        <f>IFERROR(__xludf.DUMMYFUNCTION("""COMPUTED_VALUE"""),978.0)</f>
        <v>978</v>
      </c>
      <c r="G34" s="4">
        <f>VLOOKUP(A34,Populacao!A:B,2,0)</f>
        <v>33359415</v>
      </c>
      <c r="H34" s="14">
        <f t="shared" si="1"/>
        <v>2.931706087</v>
      </c>
      <c r="I34" s="14">
        <f t="shared" si="4"/>
        <v>254.6687344</v>
      </c>
      <c r="J34" s="2">
        <f>AVERAGEIFS(Dados!F:F, Dados!A:A, "=Peru", Dados!G:G, "=0" , Dados!E:E, D34)</f>
        <v>2233</v>
      </c>
      <c r="K34" s="2">
        <f t="shared" si="2"/>
        <v>768</v>
      </c>
      <c r="L34" s="2">
        <f t="shared" si="3"/>
        <v>2.302198645</v>
      </c>
      <c r="M34" s="2">
        <f t="shared" si="5"/>
        <v>273.8017638</v>
      </c>
    </row>
    <row r="35">
      <c r="A35" s="2" t="str">
        <f>IFERROR(__xludf.DUMMYFUNCTION("""COMPUTED_VALUE"""),"Peru")</f>
        <v>Peru</v>
      </c>
      <c r="B35" s="3">
        <f>IFERROR(__xludf.DUMMYFUNCTION("""COMPUTED_VALUE"""),44123.0)</f>
        <v>44123</v>
      </c>
      <c r="C35" s="3">
        <f>IFERROR(__xludf.DUMMYFUNCTION("""COMPUTED_VALUE"""),44129.0)</f>
        <v>44129</v>
      </c>
      <c r="D35" s="2">
        <f>IFERROR(__xludf.DUMMYFUNCTION("""COMPUTED_VALUE"""),43.0)</f>
        <v>43</v>
      </c>
      <c r="E35" s="2">
        <f>IFERROR(__xludf.DUMMYFUNCTION("""COMPUTED_VALUE"""),2961.0)</f>
        <v>2961</v>
      </c>
      <c r="F35" s="2">
        <f>IFERROR(__xludf.DUMMYFUNCTION("""COMPUTED_VALUE"""),860.0)</f>
        <v>860</v>
      </c>
      <c r="G35" s="4">
        <f>VLOOKUP(A35,Populacao!A:B,2,0)</f>
        <v>33359415</v>
      </c>
      <c r="H35" s="14">
        <f t="shared" si="1"/>
        <v>2.577982857</v>
      </c>
      <c r="I35" s="14">
        <f t="shared" si="4"/>
        <v>257.2467173</v>
      </c>
      <c r="J35" s="2">
        <f>AVERAGEIFS(Dados!F:F, Dados!A:A, "=Peru", Dados!G:G, "=0" , Dados!E:E, D35)</f>
        <v>2185.666667</v>
      </c>
      <c r="K35" s="2">
        <f t="shared" si="2"/>
        <v>775.3333333</v>
      </c>
      <c r="L35" s="2">
        <f t="shared" si="3"/>
        <v>2.324181444</v>
      </c>
      <c r="M35" s="2">
        <f t="shared" si="5"/>
        <v>276.1259453</v>
      </c>
    </row>
    <row r="36">
      <c r="A36" s="2" t="str">
        <f>IFERROR(__xludf.DUMMYFUNCTION("""COMPUTED_VALUE"""),"Peru")</f>
        <v>Peru</v>
      </c>
      <c r="B36" s="3">
        <f>IFERROR(__xludf.DUMMYFUNCTION("""COMPUTED_VALUE"""),44130.0)</f>
        <v>44130</v>
      </c>
      <c r="C36" s="3">
        <f>IFERROR(__xludf.DUMMYFUNCTION("""COMPUTED_VALUE"""),44136.0)</f>
        <v>44136</v>
      </c>
      <c r="D36" s="2">
        <f>IFERROR(__xludf.DUMMYFUNCTION("""COMPUTED_VALUE"""),44.0)</f>
        <v>44</v>
      </c>
      <c r="E36" s="2">
        <f>IFERROR(__xludf.DUMMYFUNCTION("""COMPUTED_VALUE"""),2794.0)</f>
        <v>2794</v>
      </c>
      <c r="F36" s="2">
        <f>IFERROR(__xludf.DUMMYFUNCTION("""COMPUTED_VALUE"""),772.0)</f>
        <v>772</v>
      </c>
      <c r="G36" s="4">
        <f>VLOOKUP(A36,Populacao!A:B,2,0)</f>
        <v>33359415</v>
      </c>
      <c r="H36" s="14">
        <f t="shared" si="1"/>
        <v>2.314189263</v>
      </c>
      <c r="I36" s="14">
        <f t="shared" si="4"/>
        <v>259.5609066</v>
      </c>
      <c r="J36" s="2">
        <f>AVERAGEIFS(Dados!F:F, Dados!A:A, "=Peru", Dados!G:G, "=0" , Dados!E:E, D36)</f>
        <v>2205</v>
      </c>
      <c r="K36" s="2">
        <f t="shared" si="2"/>
        <v>589</v>
      </c>
      <c r="L36" s="2">
        <f t="shared" si="3"/>
        <v>1.765618492</v>
      </c>
      <c r="M36" s="2">
        <f t="shared" si="5"/>
        <v>277.8915637</v>
      </c>
    </row>
    <row r="37">
      <c r="A37" s="2" t="str">
        <f>IFERROR(__xludf.DUMMYFUNCTION("""COMPUTED_VALUE"""),"Peru")</f>
        <v>Peru</v>
      </c>
      <c r="B37" s="3">
        <f>IFERROR(__xludf.DUMMYFUNCTION("""COMPUTED_VALUE"""),44137.0)</f>
        <v>44137</v>
      </c>
      <c r="C37" s="3">
        <f>IFERROR(__xludf.DUMMYFUNCTION("""COMPUTED_VALUE"""),44143.0)</f>
        <v>44143</v>
      </c>
      <c r="D37" s="2">
        <f>IFERROR(__xludf.DUMMYFUNCTION("""COMPUTED_VALUE"""),45.0)</f>
        <v>45</v>
      </c>
      <c r="E37" s="2">
        <f>IFERROR(__xludf.DUMMYFUNCTION("""COMPUTED_VALUE"""),2861.0)</f>
        <v>2861</v>
      </c>
      <c r="F37" s="2">
        <f>IFERROR(__xludf.DUMMYFUNCTION("""COMPUTED_VALUE"""),739.0)</f>
        <v>739</v>
      </c>
      <c r="G37" s="4">
        <f>VLOOKUP(A37,Populacao!A:B,2,0)</f>
        <v>33359415</v>
      </c>
      <c r="H37" s="14">
        <f t="shared" si="1"/>
        <v>2.215266665</v>
      </c>
      <c r="I37" s="14">
        <f t="shared" si="4"/>
        <v>261.7761732</v>
      </c>
      <c r="J37" s="2">
        <f>AVERAGEIFS(Dados!F:F, Dados!A:A, "=Peru", Dados!G:G, "=0" , Dados!E:E, D37)</f>
        <v>2168</v>
      </c>
      <c r="K37" s="2">
        <f t="shared" si="2"/>
        <v>693</v>
      </c>
      <c r="L37" s="2">
        <f t="shared" si="3"/>
        <v>2.077374558</v>
      </c>
      <c r="M37" s="2">
        <f t="shared" si="5"/>
        <v>279.9689383</v>
      </c>
    </row>
    <row r="38">
      <c r="A38" s="2" t="str">
        <f>IFERROR(__xludf.DUMMYFUNCTION("""COMPUTED_VALUE"""),"Peru")</f>
        <v>Peru</v>
      </c>
      <c r="B38" s="3">
        <f>IFERROR(__xludf.DUMMYFUNCTION("""COMPUTED_VALUE"""),44144.0)</f>
        <v>44144</v>
      </c>
      <c r="C38" s="3">
        <f>IFERROR(__xludf.DUMMYFUNCTION("""COMPUTED_VALUE"""),44150.0)</f>
        <v>44150</v>
      </c>
      <c r="D38" s="2">
        <f>IFERROR(__xludf.DUMMYFUNCTION("""COMPUTED_VALUE"""),46.0)</f>
        <v>46</v>
      </c>
      <c r="E38" s="2">
        <f>IFERROR(__xludf.DUMMYFUNCTION("""COMPUTED_VALUE"""),2850.0)</f>
        <v>2850</v>
      </c>
      <c r="F38" s="2">
        <f>IFERROR(__xludf.DUMMYFUNCTION("""COMPUTED_VALUE"""),730.0)</f>
        <v>730</v>
      </c>
      <c r="G38" s="4">
        <f>VLOOKUP(A38,Populacao!A:B,2,0)</f>
        <v>33359415</v>
      </c>
      <c r="H38" s="14">
        <f t="shared" si="1"/>
        <v>2.188287774</v>
      </c>
      <c r="I38" s="14">
        <f t="shared" si="4"/>
        <v>263.964461</v>
      </c>
      <c r="J38" s="2">
        <f>AVERAGEIFS(Dados!F:F, Dados!A:A, "=Peru", Dados!G:G, "=0" , Dados!E:E, D38)</f>
        <v>2057.666667</v>
      </c>
      <c r="K38" s="2">
        <f t="shared" si="2"/>
        <v>792.3333333</v>
      </c>
      <c r="L38" s="2">
        <f t="shared" si="3"/>
        <v>2.37514157</v>
      </c>
      <c r="M38" s="2">
        <f t="shared" si="5"/>
        <v>282.3440799</v>
      </c>
    </row>
    <row r="39">
      <c r="A39" s="2" t="str">
        <f>IFERROR(__xludf.DUMMYFUNCTION("""COMPUTED_VALUE"""),"Peru")</f>
        <v>Peru</v>
      </c>
      <c r="B39" s="3">
        <f>IFERROR(__xludf.DUMMYFUNCTION("""COMPUTED_VALUE"""),44151.0)</f>
        <v>44151</v>
      </c>
      <c r="C39" s="3">
        <f>IFERROR(__xludf.DUMMYFUNCTION("""COMPUTED_VALUE"""),44157.0)</f>
        <v>44157</v>
      </c>
      <c r="D39" s="2">
        <f>IFERROR(__xludf.DUMMYFUNCTION("""COMPUTED_VALUE"""),47.0)</f>
        <v>47</v>
      </c>
      <c r="E39" s="2">
        <f>IFERROR(__xludf.DUMMYFUNCTION("""COMPUTED_VALUE"""),2755.0)</f>
        <v>2755</v>
      </c>
      <c r="F39" s="2">
        <f>IFERROR(__xludf.DUMMYFUNCTION("""COMPUTED_VALUE"""),646.0)</f>
        <v>646</v>
      </c>
      <c r="G39" s="4">
        <f>VLOOKUP(A39,Populacao!A:B,2,0)</f>
        <v>33359415</v>
      </c>
      <c r="H39" s="14">
        <f t="shared" si="1"/>
        <v>1.936484797</v>
      </c>
      <c r="I39" s="14">
        <f t="shared" si="4"/>
        <v>265.9009458</v>
      </c>
      <c r="J39" s="2">
        <f>AVERAGEIFS(Dados!F:F, Dados!A:A, "=Peru", Dados!G:G, "=0" , Dados!E:E, D39)</f>
        <v>2082.666667</v>
      </c>
      <c r="K39" s="2">
        <f t="shared" si="2"/>
        <v>672.3333333</v>
      </c>
      <c r="L39" s="2">
        <f t="shared" si="3"/>
        <v>2.015423032</v>
      </c>
      <c r="M39" s="2">
        <f t="shared" si="5"/>
        <v>284.3595029</v>
      </c>
    </row>
    <row r="40">
      <c r="A40" s="2" t="str">
        <f>IFERROR(__xludf.DUMMYFUNCTION("""COMPUTED_VALUE"""),"Peru")</f>
        <v>Peru</v>
      </c>
      <c r="B40" s="3">
        <f>IFERROR(__xludf.DUMMYFUNCTION("""COMPUTED_VALUE"""),44158.0)</f>
        <v>44158</v>
      </c>
      <c r="C40" s="3">
        <f>IFERROR(__xludf.DUMMYFUNCTION("""COMPUTED_VALUE"""),44164.0)</f>
        <v>44164</v>
      </c>
      <c r="D40" s="2">
        <f>IFERROR(__xludf.DUMMYFUNCTION("""COMPUTED_VALUE"""),48.0)</f>
        <v>48</v>
      </c>
      <c r="E40" s="2">
        <f>IFERROR(__xludf.DUMMYFUNCTION("""COMPUTED_VALUE"""),2635.0)</f>
        <v>2635</v>
      </c>
      <c r="F40" s="2">
        <f>IFERROR(__xludf.DUMMYFUNCTION("""COMPUTED_VALUE"""),661.0)</f>
        <v>661</v>
      </c>
      <c r="G40" s="4">
        <f>VLOOKUP(A40,Populacao!A:B,2,0)</f>
        <v>33359415</v>
      </c>
      <c r="H40" s="14">
        <f t="shared" si="1"/>
        <v>1.981449615</v>
      </c>
      <c r="I40" s="14">
        <f t="shared" si="4"/>
        <v>267.8823954</v>
      </c>
      <c r="J40" s="2">
        <f>AVERAGEIFS(Dados!F:F, Dados!A:A, "=Peru", Dados!G:G, "=0" , Dados!E:E, D40)</f>
        <v>2059</v>
      </c>
      <c r="K40" s="2">
        <f t="shared" si="2"/>
        <v>576</v>
      </c>
      <c r="L40" s="2">
        <f t="shared" si="3"/>
        <v>1.726648984</v>
      </c>
      <c r="M40" s="2">
        <f t="shared" si="5"/>
        <v>286.0861519</v>
      </c>
    </row>
    <row r="41">
      <c r="A41" s="2" t="str">
        <f>IFERROR(__xludf.DUMMYFUNCTION("""COMPUTED_VALUE"""),"Peru")</f>
        <v>Peru</v>
      </c>
      <c r="B41" s="3">
        <f>IFERROR(__xludf.DUMMYFUNCTION("""COMPUTED_VALUE"""),44165.0)</f>
        <v>44165</v>
      </c>
      <c r="C41" s="3">
        <f>IFERROR(__xludf.DUMMYFUNCTION("""COMPUTED_VALUE"""),44171.0)</f>
        <v>44171</v>
      </c>
      <c r="D41" s="2">
        <f>IFERROR(__xludf.DUMMYFUNCTION("""COMPUTED_VALUE"""),49.0)</f>
        <v>49</v>
      </c>
      <c r="E41" s="2">
        <f>IFERROR(__xludf.DUMMYFUNCTION("""COMPUTED_VALUE"""),2800.0)</f>
        <v>2800</v>
      </c>
      <c r="F41" s="2">
        <f>IFERROR(__xludf.DUMMYFUNCTION("""COMPUTED_VALUE"""),686.0)</f>
        <v>686</v>
      </c>
      <c r="G41" s="4">
        <f>VLOOKUP(A41,Populacao!A:B,2,0)</f>
        <v>33359415</v>
      </c>
      <c r="H41" s="14">
        <f t="shared" si="1"/>
        <v>2.056390977</v>
      </c>
      <c r="I41" s="14">
        <f t="shared" si="4"/>
        <v>269.9387864</v>
      </c>
      <c r="J41" s="2">
        <f>AVERAGEIFS(Dados!F:F, Dados!A:A, "=Peru", Dados!G:G, "=0" , Dados!E:E, D41)</f>
        <v>2088.666667</v>
      </c>
      <c r="K41" s="2">
        <f t="shared" si="2"/>
        <v>711.3333333</v>
      </c>
      <c r="L41" s="2">
        <f t="shared" si="3"/>
        <v>2.132331557</v>
      </c>
      <c r="M41" s="2">
        <f t="shared" si="5"/>
        <v>288.2184834</v>
      </c>
    </row>
    <row r="42">
      <c r="A42" s="2" t="str">
        <f>IFERROR(__xludf.DUMMYFUNCTION("""COMPUTED_VALUE"""),"Peru")</f>
        <v>Peru</v>
      </c>
      <c r="B42" s="3">
        <f>IFERROR(__xludf.DUMMYFUNCTION("""COMPUTED_VALUE"""),44172.0)</f>
        <v>44172</v>
      </c>
      <c r="C42" s="3">
        <f>IFERROR(__xludf.DUMMYFUNCTION("""COMPUTED_VALUE"""),44178.0)</f>
        <v>44178</v>
      </c>
      <c r="D42" s="2">
        <f>IFERROR(__xludf.DUMMYFUNCTION("""COMPUTED_VALUE"""),50.0)</f>
        <v>50</v>
      </c>
      <c r="E42" s="2">
        <f>IFERROR(__xludf.DUMMYFUNCTION("""COMPUTED_VALUE"""),2964.0)</f>
        <v>2964</v>
      </c>
      <c r="F42" s="2">
        <f>IFERROR(__xludf.DUMMYFUNCTION("""COMPUTED_VALUE"""),747.0)</f>
        <v>747</v>
      </c>
      <c r="G42" s="4">
        <f>VLOOKUP(A42,Populacao!A:B,2,0)</f>
        <v>33359415</v>
      </c>
      <c r="H42" s="14">
        <f t="shared" si="1"/>
        <v>2.2392479</v>
      </c>
      <c r="I42" s="14">
        <f t="shared" si="4"/>
        <v>272.1780343</v>
      </c>
      <c r="J42" s="2">
        <f>AVERAGEIFS(Dados!F:F, Dados!A:A, "=Peru", Dados!G:G, "=0" , Dados!E:E, D42)</f>
        <v>2114.666667</v>
      </c>
      <c r="K42" s="2">
        <f t="shared" si="2"/>
        <v>849.3333333</v>
      </c>
      <c r="L42" s="2">
        <f t="shared" si="3"/>
        <v>2.546007876</v>
      </c>
      <c r="M42" s="2">
        <f t="shared" si="5"/>
        <v>290.7644913</v>
      </c>
    </row>
    <row r="43">
      <c r="A43" s="2" t="str">
        <f>IFERROR(__xludf.DUMMYFUNCTION("""COMPUTED_VALUE"""),"Peru")</f>
        <v>Peru</v>
      </c>
      <c r="B43" s="3">
        <f>IFERROR(__xludf.DUMMYFUNCTION("""COMPUTED_VALUE"""),44179.0)</f>
        <v>44179</v>
      </c>
      <c r="C43" s="3">
        <f>IFERROR(__xludf.DUMMYFUNCTION("""COMPUTED_VALUE"""),44185.0)</f>
        <v>44185</v>
      </c>
      <c r="D43" s="2">
        <f>IFERROR(__xludf.DUMMYFUNCTION("""COMPUTED_VALUE"""),51.0)</f>
        <v>51</v>
      </c>
      <c r="E43" s="2">
        <f>IFERROR(__xludf.DUMMYFUNCTION("""COMPUTED_VALUE"""),3151.0)</f>
        <v>3151</v>
      </c>
      <c r="F43" s="2">
        <f>IFERROR(__xludf.DUMMYFUNCTION("""COMPUTED_VALUE"""),816.0)</f>
        <v>816</v>
      </c>
      <c r="G43" s="4">
        <f>VLOOKUP(A43,Populacao!A:B,2,0)</f>
        <v>33359415</v>
      </c>
      <c r="H43" s="14">
        <f t="shared" si="1"/>
        <v>2.44608606</v>
      </c>
      <c r="I43" s="14">
        <f t="shared" si="4"/>
        <v>274.6241204</v>
      </c>
      <c r="J43" s="2">
        <f>AVERAGEIFS(Dados!F:F, Dados!A:A, "=Peru", Dados!G:G, "=0" , Dados!E:E, D43)</f>
        <v>2100.666667</v>
      </c>
      <c r="K43" s="2">
        <f t="shared" si="2"/>
        <v>1050.333333</v>
      </c>
      <c r="L43" s="2">
        <f t="shared" si="3"/>
        <v>3.148536428</v>
      </c>
      <c r="M43" s="2">
        <f t="shared" si="5"/>
        <v>293.9130278</v>
      </c>
    </row>
    <row r="44">
      <c r="A44" s="2" t="str">
        <f>IFERROR(__xludf.DUMMYFUNCTION("""COMPUTED_VALUE"""),"Peru")</f>
        <v>Peru</v>
      </c>
      <c r="B44" s="3">
        <f>IFERROR(__xludf.DUMMYFUNCTION("""COMPUTED_VALUE"""),44186.0)</f>
        <v>44186</v>
      </c>
      <c r="C44" s="3">
        <f>IFERROR(__xludf.DUMMYFUNCTION("""COMPUTED_VALUE"""),44192.0)</f>
        <v>44192</v>
      </c>
      <c r="D44" s="2">
        <f>IFERROR(__xludf.DUMMYFUNCTION("""COMPUTED_VALUE"""),52.0)</f>
        <v>52</v>
      </c>
      <c r="E44" s="2">
        <f>IFERROR(__xludf.DUMMYFUNCTION("""COMPUTED_VALUE"""),3253.0)</f>
        <v>3253</v>
      </c>
      <c r="F44" s="2">
        <f>IFERROR(__xludf.DUMMYFUNCTION("""COMPUTED_VALUE"""),880.0)</f>
        <v>880</v>
      </c>
      <c r="G44" s="4">
        <f>VLOOKUP(A44,Populacao!A:B,2,0)</f>
        <v>33359415</v>
      </c>
      <c r="H44" s="14">
        <f t="shared" si="1"/>
        <v>2.637935947</v>
      </c>
      <c r="I44" s="14">
        <f t="shared" si="4"/>
        <v>277.2620563</v>
      </c>
      <c r="J44" s="2">
        <f>AVERAGEIFS(Dados!F:F, Dados!A:A, "=Peru", Dados!G:G, "=0" , Dados!E:E, D44)</f>
        <v>2159</v>
      </c>
      <c r="K44" s="2">
        <f t="shared" si="2"/>
        <v>1094</v>
      </c>
      <c r="L44" s="2">
        <f t="shared" si="3"/>
        <v>3.279434007</v>
      </c>
      <c r="M44" s="2">
        <f t="shared" si="5"/>
        <v>297.1924618</v>
      </c>
    </row>
    <row r="45">
      <c r="A45" s="2" t="str">
        <f>IFERROR(__xludf.DUMMYFUNCTION("""COMPUTED_VALUE"""),"Peru")</f>
        <v>Peru</v>
      </c>
      <c r="B45" s="3">
        <f>IFERROR(__xludf.DUMMYFUNCTION("""COMPUTED_VALUE"""),44193.0)</f>
        <v>44193</v>
      </c>
      <c r="C45" s="3">
        <f>IFERROR(__xludf.DUMMYFUNCTION("""COMPUTED_VALUE"""),44199.0)</f>
        <v>44199</v>
      </c>
      <c r="D45" s="2">
        <f>IFERROR(__xludf.DUMMYFUNCTION("""COMPUTED_VALUE"""),53.0)</f>
        <v>53</v>
      </c>
      <c r="E45" s="2">
        <f>IFERROR(__xludf.DUMMYFUNCTION("""COMPUTED_VALUE"""),3502.0)</f>
        <v>3502</v>
      </c>
      <c r="F45" s="2">
        <f>IFERROR(__xludf.DUMMYFUNCTION("""COMPUTED_VALUE"""),1082.0)</f>
        <v>1082</v>
      </c>
      <c r="G45" s="4">
        <f>VLOOKUP(A45,Populacao!A:B,2,0)</f>
        <v>33359415</v>
      </c>
      <c r="H45" s="14">
        <f t="shared" si="1"/>
        <v>3.243462153</v>
      </c>
      <c r="I45" s="14">
        <f t="shared" si="4"/>
        <v>280.5055185</v>
      </c>
      <c r="J45" s="2">
        <f>IFERROR(AVERAGEIFS(Dados!F:F, Dados!A:A, "=Peru", Dados!G:G, "=0" , Dados!E:E, D45),J44)</f>
        <v>2159</v>
      </c>
      <c r="K45" s="2">
        <f t="shared" si="2"/>
        <v>1343</v>
      </c>
      <c r="L45" s="2">
        <f t="shared" si="3"/>
        <v>4.025849974</v>
      </c>
      <c r="M45" s="2">
        <f t="shared" si="5"/>
        <v>301.2183117</v>
      </c>
    </row>
    <row r="46">
      <c r="A46" s="2" t="str">
        <f>IFERROR(__xludf.DUMMYFUNCTION("""COMPUTED_VALUE"""),"Peru")</f>
        <v>Peru</v>
      </c>
      <c r="B46" s="3">
        <f>IFERROR(__xludf.DUMMYFUNCTION("""COMPUTED_VALUE"""),44200.0)</f>
        <v>44200</v>
      </c>
      <c r="C46" s="3">
        <f>IFERROR(__xludf.DUMMYFUNCTION("""COMPUTED_VALUE"""),44206.0)</f>
        <v>44206</v>
      </c>
      <c r="D46" s="2">
        <f>IFERROR(__xludf.DUMMYFUNCTION("""COMPUTED_VALUE"""),1.0)</f>
        <v>1</v>
      </c>
      <c r="E46" s="2">
        <f>IFERROR(__xludf.DUMMYFUNCTION("""COMPUTED_VALUE"""),3985.0)</f>
        <v>3985</v>
      </c>
      <c r="F46" s="2">
        <f>IFERROR(__xludf.DUMMYFUNCTION("""COMPUTED_VALUE"""),1401.0)</f>
        <v>1401</v>
      </c>
      <c r="G46" s="4">
        <f>VLOOKUP(A46,Populacao!A:B,2,0)</f>
        <v>33359415</v>
      </c>
      <c r="H46" s="14">
        <f t="shared" si="1"/>
        <v>4.199713934</v>
      </c>
      <c r="I46" s="14">
        <f t="shared" si="4"/>
        <v>284.7052324</v>
      </c>
      <c r="J46" s="2">
        <f>AVERAGEIFS(Dados!F:F, Dados!A:A, "=Peru", Dados!G:G, "=0" , Dados!E:E, D46)</f>
        <v>2054.5</v>
      </c>
      <c r="K46" s="2">
        <f t="shared" si="2"/>
        <v>1930.5</v>
      </c>
      <c r="L46" s="2">
        <f t="shared" si="3"/>
        <v>5.786971984</v>
      </c>
      <c r="M46" s="2">
        <f t="shared" si="5"/>
        <v>307.0052837</v>
      </c>
    </row>
    <row r="47">
      <c r="A47" s="2" t="str">
        <f>IFERROR(__xludf.DUMMYFUNCTION("""COMPUTED_VALUE"""),"Peru")</f>
        <v>Peru</v>
      </c>
      <c r="B47" s="3">
        <f>IFERROR(__xludf.DUMMYFUNCTION("""COMPUTED_VALUE"""),44207.0)</f>
        <v>44207</v>
      </c>
      <c r="C47" s="3">
        <f>IFERROR(__xludf.DUMMYFUNCTION("""COMPUTED_VALUE"""),44213.0)</f>
        <v>44213</v>
      </c>
      <c r="D47" s="2">
        <f>IFERROR(__xludf.DUMMYFUNCTION("""COMPUTED_VALUE"""),2.0)</f>
        <v>2</v>
      </c>
      <c r="E47" s="2">
        <f>IFERROR(__xludf.DUMMYFUNCTION("""COMPUTED_VALUE"""),4638.0)</f>
        <v>4638</v>
      </c>
      <c r="F47" s="2">
        <f>IFERROR(__xludf.DUMMYFUNCTION("""COMPUTED_VALUE"""),2027.0)</f>
        <v>2027</v>
      </c>
      <c r="G47" s="4">
        <f>VLOOKUP(A47,Populacao!A:B,2,0)</f>
        <v>33359415</v>
      </c>
      <c r="H47" s="14">
        <f t="shared" si="1"/>
        <v>6.076245642</v>
      </c>
      <c r="I47" s="14">
        <f t="shared" si="4"/>
        <v>290.781478</v>
      </c>
      <c r="J47" s="2">
        <f>AVERAGEIFS(Dados!F:F, Dados!A:A, "=Peru", Dados!G:G, "=0" , Dados!E:E, D47)</f>
        <v>2051.5</v>
      </c>
      <c r="K47" s="2">
        <f t="shared" si="2"/>
        <v>2586.5</v>
      </c>
      <c r="L47" s="2">
        <f t="shared" si="3"/>
        <v>7.753433326</v>
      </c>
      <c r="M47" s="2">
        <f t="shared" si="5"/>
        <v>314.758717</v>
      </c>
    </row>
    <row r="48">
      <c r="A48" s="2" t="str">
        <f>IFERROR(__xludf.DUMMYFUNCTION("""COMPUTED_VALUE"""),"Peru")</f>
        <v>Peru</v>
      </c>
      <c r="B48" s="3">
        <f>IFERROR(__xludf.DUMMYFUNCTION("""COMPUTED_VALUE"""),44214.0)</f>
        <v>44214</v>
      </c>
      <c r="C48" s="3">
        <f>IFERROR(__xludf.DUMMYFUNCTION("""COMPUTED_VALUE"""),44220.0)</f>
        <v>44220</v>
      </c>
      <c r="D48" s="2">
        <f>IFERROR(__xludf.DUMMYFUNCTION("""COMPUTED_VALUE"""),3.0)</f>
        <v>3</v>
      </c>
      <c r="E48" s="2">
        <f>IFERROR(__xludf.DUMMYFUNCTION("""COMPUTED_VALUE"""),5704.0)</f>
        <v>5704</v>
      </c>
      <c r="F48" s="2">
        <f>IFERROR(__xludf.DUMMYFUNCTION("""COMPUTED_VALUE"""),2907.0)</f>
        <v>2907</v>
      </c>
      <c r="G48" s="4">
        <f>VLOOKUP(A48,Populacao!A:B,2,0)</f>
        <v>33359415</v>
      </c>
      <c r="H48" s="14">
        <f t="shared" si="1"/>
        <v>8.714181589</v>
      </c>
      <c r="I48" s="14">
        <f t="shared" si="4"/>
        <v>299.4956596</v>
      </c>
      <c r="J48" s="2">
        <f>AVERAGEIFS(Dados!F:F, Dados!A:A, "=Peru", Dados!G:G, "=0" , Dados!E:E, D48)</f>
        <v>2030.75</v>
      </c>
      <c r="K48" s="2">
        <f t="shared" si="2"/>
        <v>3673.25</v>
      </c>
      <c r="L48" s="2">
        <f t="shared" si="3"/>
        <v>11.01113434</v>
      </c>
      <c r="M48" s="2">
        <f t="shared" si="5"/>
        <v>325.7698514</v>
      </c>
    </row>
    <row r="49">
      <c r="A49" s="2" t="str">
        <f>IFERROR(__xludf.DUMMYFUNCTION("""COMPUTED_VALUE"""),"Peru")</f>
        <v>Peru</v>
      </c>
      <c r="B49" s="3">
        <f>IFERROR(__xludf.DUMMYFUNCTION("""COMPUTED_VALUE"""),44221.0)</f>
        <v>44221</v>
      </c>
      <c r="C49" s="3">
        <f>IFERROR(__xludf.DUMMYFUNCTION("""COMPUTED_VALUE"""),44227.0)</f>
        <v>44227</v>
      </c>
      <c r="D49" s="2">
        <f>IFERROR(__xludf.DUMMYFUNCTION("""COMPUTED_VALUE"""),4.0)</f>
        <v>4</v>
      </c>
      <c r="E49" s="2">
        <f>IFERROR(__xludf.DUMMYFUNCTION("""COMPUTED_VALUE"""),6707.0)</f>
        <v>6707</v>
      </c>
      <c r="F49" s="2">
        <f>IFERROR(__xludf.DUMMYFUNCTION("""COMPUTED_VALUE"""),3900.0)</f>
        <v>3900</v>
      </c>
      <c r="G49" s="4">
        <f>VLOOKUP(A49,Populacao!A:B,2,0)</f>
        <v>33359415</v>
      </c>
      <c r="H49" s="14">
        <f t="shared" si="1"/>
        <v>11.69085249</v>
      </c>
      <c r="I49" s="14">
        <f t="shared" si="4"/>
        <v>311.1865121</v>
      </c>
      <c r="J49" s="2">
        <f>AVERAGEIFS(Dados!F:F, Dados!A:A, "=Peru", Dados!G:G, "=0" , Dados!E:E, D49)</f>
        <v>2049.25</v>
      </c>
      <c r="K49" s="2">
        <f t="shared" si="2"/>
        <v>4657.75</v>
      </c>
      <c r="L49" s="2">
        <f t="shared" si="3"/>
        <v>13.96232518</v>
      </c>
      <c r="M49" s="2">
        <f t="shared" si="5"/>
        <v>339.7321766</v>
      </c>
    </row>
    <row r="50">
      <c r="A50" s="2" t="str">
        <f>IFERROR(__xludf.DUMMYFUNCTION("""COMPUTED_VALUE"""),"Peru")</f>
        <v>Peru</v>
      </c>
      <c r="B50" s="3">
        <f>IFERROR(__xludf.DUMMYFUNCTION("""COMPUTED_VALUE"""),44228.0)</f>
        <v>44228</v>
      </c>
      <c r="C50" s="3">
        <f>IFERROR(__xludf.DUMMYFUNCTION("""COMPUTED_VALUE"""),44234.0)</f>
        <v>44234</v>
      </c>
      <c r="D50" s="2">
        <f>IFERROR(__xludf.DUMMYFUNCTION("""COMPUTED_VALUE"""),5.0)</f>
        <v>5</v>
      </c>
      <c r="E50" s="2">
        <f>IFERROR(__xludf.DUMMYFUNCTION("""COMPUTED_VALUE"""),7021.0)</f>
        <v>7021</v>
      </c>
      <c r="F50" s="2">
        <f>IFERROR(__xludf.DUMMYFUNCTION("""COMPUTED_VALUE"""),4052.0)</f>
        <v>4052</v>
      </c>
      <c r="G50" s="4">
        <f>VLOOKUP(A50,Populacao!A:B,2,0)</f>
        <v>33359415</v>
      </c>
      <c r="H50" s="14">
        <f t="shared" si="1"/>
        <v>12.14649597</v>
      </c>
      <c r="I50" s="14">
        <f t="shared" si="4"/>
        <v>323.3330081</v>
      </c>
      <c r="J50" s="2">
        <f>AVERAGEIFS(Dados!F:F, Dados!A:A, "=Peru", Dados!G:G, "=0" , Dados!E:E, D50)</f>
        <v>2092.25</v>
      </c>
      <c r="K50" s="2">
        <f t="shared" si="2"/>
        <v>4928.75</v>
      </c>
      <c r="L50" s="2">
        <f t="shared" si="3"/>
        <v>14.77468954</v>
      </c>
      <c r="M50" s="2">
        <f t="shared" si="5"/>
        <v>354.5068661</v>
      </c>
    </row>
    <row r="51">
      <c r="A51" s="2" t="str">
        <f>IFERROR(__xludf.DUMMYFUNCTION("""COMPUTED_VALUE"""),"Peru")</f>
        <v>Peru</v>
      </c>
      <c r="B51" s="3">
        <f>IFERROR(__xludf.DUMMYFUNCTION("""COMPUTED_VALUE"""),44235.0)</f>
        <v>44235</v>
      </c>
      <c r="C51" s="3">
        <f>IFERROR(__xludf.DUMMYFUNCTION("""COMPUTED_VALUE"""),44241.0)</f>
        <v>44241</v>
      </c>
      <c r="D51" s="2">
        <f>IFERROR(__xludf.DUMMYFUNCTION("""COMPUTED_VALUE"""),6.0)</f>
        <v>6</v>
      </c>
      <c r="E51" s="2">
        <f>IFERROR(__xludf.DUMMYFUNCTION("""COMPUTED_VALUE"""),7687.0)</f>
        <v>7687</v>
      </c>
      <c r="F51" s="2">
        <f>IFERROR(__xludf.DUMMYFUNCTION("""COMPUTED_VALUE"""),4761.0)</f>
        <v>4761</v>
      </c>
      <c r="G51" s="4">
        <f>VLOOKUP(A51,Populacao!A:B,2,0)</f>
        <v>33359415</v>
      </c>
      <c r="H51" s="14">
        <f t="shared" si="1"/>
        <v>14.271833</v>
      </c>
      <c r="I51" s="14">
        <f t="shared" si="4"/>
        <v>337.6048411</v>
      </c>
      <c r="J51" s="2">
        <f>AVERAGEIFS(Dados!F:F, Dados!A:A, "=Peru", Dados!G:G, "=0" , Dados!E:E, D51)</f>
        <v>2058.25</v>
      </c>
      <c r="K51" s="2">
        <f t="shared" si="2"/>
        <v>5628.75</v>
      </c>
      <c r="L51" s="2">
        <f t="shared" si="3"/>
        <v>16.87304768</v>
      </c>
      <c r="M51" s="2">
        <f t="shared" si="5"/>
        <v>371.3799138</v>
      </c>
    </row>
    <row r="52">
      <c r="A52" s="2" t="str">
        <f>IFERROR(__xludf.DUMMYFUNCTION("""COMPUTED_VALUE"""),"Peru")</f>
        <v>Peru</v>
      </c>
      <c r="B52" s="3">
        <f>IFERROR(__xludf.DUMMYFUNCTION("""COMPUTED_VALUE"""),44242.0)</f>
        <v>44242</v>
      </c>
      <c r="C52" s="3">
        <f>IFERROR(__xludf.DUMMYFUNCTION("""COMPUTED_VALUE"""),44248.0)</f>
        <v>44248</v>
      </c>
      <c r="D52" s="2">
        <f>IFERROR(__xludf.DUMMYFUNCTION("""COMPUTED_VALUE"""),7.0)</f>
        <v>7</v>
      </c>
      <c r="E52" s="2">
        <f>IFERROR(__xludf.DUMMYFUNCTION("""COMPUTED_VALUE"""),7711.0)</f>
        <v>7711</v>
      </c>
      <c r="F52" s="2">
        <f>IFERROR(__xludf.DUMMYFUNCTION("""COMPUTED_VALUE"""),5122.0)</f>
        <v>5122</v>
      </c>
      <c r="G52" s="4">
        <f>VLOOKUP(A52,Populacao!A:B,2,0)</f>
        <v>33359415</v>
      </c>
      <c r="H52" s="14">
        <f t="shared" si="1"/>
        <v>15.35398627</v>
      </c>
      <c r="I52" s="14">
        <f t="shared" si="4"/>
        <v>352.9588274</v>
      </c>
      <c r="J52" s="2">
        <f>AVERAGEIFS(Dados!F:F, Dados!A:A, "=Peru", Dados!G:G, "=0" , Dados!E:E, D52)</f>
        <v>2086</v>
      </c>
      <c r="K52" s="2">
        <f t="shared" si="2"/>
        <v>5625</v>
      </c>
      <c r="L52" s="2">
        <f t="shared" si="3"/>
        <v>16.86180648</v>
      </c>
      <c r="M52" s="2">
        <f t="shared" si="5"/>
        <v>388.2417203</v>
      </c>
    </row>
    <row r="53">
      <c r="A53" s="2" t="str">
        <f>IFERROR(__xludf.DUMMYFUNCTION("""COMPUTED_VALUE"""),"Peru")</f>
        <v>Peru</v>
      </c>
      <c r="B53" s="3">
        <f>IFERROR(__xludf.DUMMYFUNCTION("""COMPUTED_VALUE"""),44249.0)</f>
        <v>44249</v>
      </c>
      <c r="C53" s="3">
        <f>IFERROR(__xludf.DUMMYFUNCTION("""COMPUTED_VALUE"""),44255.0)</f>
        <v>44255</v>
      </c>
      <c r="D53" s="2">
        <f>IFERROR(__xludf.DUMMYFUNCTION("""COMPUTED_VALUE"""),8.0)</f>
        <v>8</v>
      </c>
      <c r="E53" s="2">
        <f>IFERROR(__xludf.DUMMYFUNCTION("""COMPUTED_VALUE"""),7393.0)</f>
        <v>7393</v>
      </c>
      <c r="F53" s="2">
        <f>IFERROR(__xludf.DUMMYFUNCTION("""COMPUTED_VALUE"""),4757.0)</f>
        <v>4757</v>
      </c>
      <c r="G53" s="4">
        <f>VLOOKUP(A53,Populacao!A:B,2,0)</f>
        <v>33359415</v>
      </c>
      <c r="H53" s="14">
        <f t="shared" si="1"/>
        <v>14.25984239</v>
      </c>
      <c r="I53" s="14">
        <f t="shared" si="4"/>
        <v>367.2186698</v>
      </c>
      <c r="J53" s="2">
        <f>AVERAGEIFS(Dados!F:F, Dados!A:A, "=Peru", Dados!G:G, "=0" , Dados!E:E, D53)</f>
        <v>2136</v>
      </c>
      <c r="K53" s="2">
        <f t="shared" si="2"/>
        <v>5257</v>
      </c>
      <c r="L53" s="2">
        <f t="shared" si="3"/>
        <v>15.75866963</v>
      </c>
      <c r="M53" s="2">
        <f t="shared" si="5"/>
        <v>404.0003899</v>
      </c>
    </row>
    <row r="54">
      <c r="A54" s="2" t="str">
        <f>IFERROR(__xludf.DUMMYFUNCTION("""COMPUTED_VALUE"""),"Peru")</f>
        <v>Peru</v>
      </c>
      <c r="B54" s="3">
        <f>IFERROR(__xludf.DUMMYFUNCTION("""COMPUTED_VALUE"""),44256.0)</f>
        <v>44256</v>
      </c>
      <c r="C54" s="3">
        <f>IFERROR(__xludf.DUMMYFUNCTION("""COMPUTED_VALUE"""),44262.0)</f>
        <v>44262</v>
      </c>
      <c r="D54" s="2">
        <f>IFERROR(__xludf.DUMMYFUNCTION("""COMPUTED_VALUE"""),9.0)</f>
        <v>9</v>
      </c>
      <c r="E54" s="2">
        <f>IFERROR(__xludf.DUMMYFUNCTION("""COMPUTED_VALUE"""),7500.0)</f>
        <v>7500</v>
      </c>
      <c r="F54" s="2">
        <f>IFERROR(__xludf.DUMMYFUNCTION("""COMPUTED_VALUE"""),4737.0)</f>
        <v>4737</v>
      </c>
      <c r="G54" s="4">
        <f>VLOOKUP(A54,Populacao!A:B,2,0)</f>
        <v>33359415</v>
      </c>
      <c r="H54" s="14">
        <f t="shared" si="1"/>
        <v>14.1998893</v>
      </c>
      <c r="I54" s="14">
        <f t="shared" si="4"/>
        <v>381.418559</v>
      </c>
      <c r="J54" s="2">
        <f>AVERAGEIFS(Dados!F:F, Dados!A:A, "=Peru", Dados!G:G, "=0" , Dados!E:E, D54)</f>
        <v>2197</v>
      </c>
      <c r="K54" s="2">
        <f t="shared" si="2"/>
        <v>5303</v>
      </c>
      <c r="L54" s="2">
        <f t="shared" si="3"/>
        <v>15.89656174</v>
      </c>
      <c r="M54" s="2">
        <f t="shared" si="5"/>
        <v>419.8969516</v>
      </c>
    </row>
    <row r="55">
      <c r="A55" s="2" t="str">
        <f>IFERROR(__xludf.DUMMYFUNCTION("""COMPUTED_VALUE"""),"Peru")</f>
        <v>Peru</v>
      </c>
      <c r="B55" s="3">
        <f>IFERROR(__xludf.DUMMYFUNCTION("""COMPUTED_VALUE"""),44263.0)</f>
        <v>44263</v>
      </c>
      <c r="C55" s="3">
        <f>IFERROR(__xludf.DUMMYFUNCTION("""COMPUTED_VALUE"""),44269.0)</f>
        <v>44269</v>
      </c>
      <c r="D55" s="2">
        <f>IFERROR(__xludf.DUMMYFUNCTION("""COMPUTED_VALUE"""),10.0)</f>
        <v>10</v>
      </c>
      <c r="E55" s="2">
        <f>IFERROR(__xludf.DUMMYFUNCTION("""COMPUTED_VALUE"""),7379.0)</f>
        <v>7379</v>
      </c>
      <c r="F55" s="2">
        <f>IFERROR(__xludf.DUMMYFUNCTION("""COMPUTED_VALUE"""),4296.0)</f>
        <v>4296</v>
      </c>
      <c r="G55" s="4">
        <f>VLOOKUP(A55,Populacao!A:B,2,0)</f>
        <v>33359415</v>
      </c>
      <c r="H55" s="14">
        <f t="shared" si="1"/>
        <v>12.87792367</v>
      </c>
      <c r="I55" s="14">
        <f t="shared" si="4"/>
        <v>394.2964827</v>
      </c>
      <c r="J55" s="2">
        <f>AVERAGEIFS(Dados!F:F, Dados!A:A, "=Peru", Dados!G:G, "=0" , Dados!E:E, D55)</f>
        <v>2008.333333</v>
      </c>
      <c r="K55" s="2">
        <f t="shared" si="2"/>
        <v>5370.666667</v>
      </c>
      <c r="L55" s="2">
        <f t="shared" si="3"/>
        <v>16.09940302</v>
      </c>
      <c r="M55" s="2">
        <f t="shared" si="5"/>
        <v>435.9963547</v>
      </c>
    </row>
    <row r="56">
      <c r="A56" s="2" t="str">
        <f>IFERROR(__xludf.DUMMYFUNCTION("""COMPUTED_VALUE"""),"Peru")</f>
        <v>Peru</v>
      </c>
      <c r="B56" s="3">
        <f>IFERROR(__xludf.DUMMYFUNCTION("""COMPUTED_VALUE"""),44270.0)</f>
        <v>44270</v>
      </c>
      <c r="C56" s="3">
        <f>IFERROR(__xludf.DUMMYFUNCTION("""COMPUTED_VALUE"""),44276.0)</f>
        <v>44276</v>
      </c>
      <c r="D56" s="2">
        <f>IFERROR(__xludf.DUMMYFUNCTION("""COMPUTED_VALUE"""),11.0)</f>
        <v>11</v>
      </c>
      <c r="E56" s="2">
        <f>IFERROR(__xludf.DUMMYFUNCTION("""COMPUTED_VALUE"""),7427.0)</f>
        <v>7427</v>
      </c>
      <c r="F56" s="2">
        <f>IFERROR(__xludf.DUMMYFUNCTION("""COMPUTED_VALUE"""),4741.0)</f>
        <v>4741</v>
      </c>
      <c r="G56" s="4">
        <f>VLOOKUP(A56,Populacao!A:B,2,0)</f>
        <v>33359415</v>
      </c>
      <c r="H56" s="14">
        <f t="shared" si="1"/>
        <v>14.21187991</v>
      </c>
      <c r="I56" s="14">
        <f t="shared" si="4"/>
        <v>408.5083626</v>
      </c>
      <c r="J56" s="2">
        <f>AVERAGEIFS(Dados!F:F, Dados!A:A, "=Peru", Dados!G:G, "=0" , Dados!E:E, D56)</f>
        <v>2051.666667</v>
      </c>
      <c r="K56" s="2">
        <f t="shared" si="2"/>
        <v>5375.333333</v>
      </c>
      <c r="L56" s="2">
        <f t="shared" si="3"/>
        <v>16.11339208</v>
      </c>
      <c r="M56" s="2">
        <f t="shared" si="5"/>
        <v>452.1097467</v>
      </c>
    </row>
    <row r="57">
      <c r="A57" s="2" t="str">
        <f>IFERROR(__xludf.DUMMYFUNCTION("""COMPUTED_VALUE"""),"Peru")</f>
        <v>Peru</v>
      </c>
      <c r="B57" s="3">
        <f>IFERROR(__xludf.DUMMYFUNCTION("""COMPUTED_VALUE"""),44277.0)</f>
        <v>44277</v>
      </c>
      <c r="C57" s="3">
        <f>IFERROR(__xludf.DUMMYFUNCTION("""COMPUTED_VALUE"""),44283.0)</f>
        <v>44283</v>
      </c>
      <c r="D57" s="2">
        <f>IFERROR(__xludf.DUMMYFUNCTION("""COMPUTED_VALUE"""),12.0)</f>
        <v>12</v>
      </c>
      <c r="E57" s="2">
        <f>IFERROR(__xludf.DUMMYFUNCTION("""COMPUTED_VALUE"""),7570.0)</f>
        <v>7570</v>
      </c>
      <c r="F57" s="2">
        <f>IFERROR(__xludf.DUMMYFUNCTION("""COMPUTED_VALUE"""),4994.0)</f>
        <v>4994</v>
      </c>
      <c r="G57" s="4">
        <f>VLOOKUP(A57,Populacao!A:B,2,0)</f>
        <v>33359415</v>
      </c>
      <c r="H57" s="14">
        <f t="shared" si="1"/>
        <v>14.9702865</v>
      </c>
      <c r="I57" s="14">
        <f t="shared" si="4"/>
        <v>423.4786491</v>
      </c>
      <c r="J57" s="2">
        <f>AVERAGEIFS(Dados!F:F, Dados!A:A, "=Peru", Dados!G:G, "=0" , Dados!E:E, D57)</f>
        <v>1996</v>
      </c>
      <c r="K57" s="2">
        <f t="shared" si="2"/>
        <v>5574</v>
      </c>
      <c r="L57" s="2">
        <f t="shared" si="3"/>
        <v>16.7089261</v>
      </c>
      <c r="M57" s="2">
        <f t="shared" si="5"/>
        <v>468.8186728</v>
      </c>
    </row>
    <row r="58">
      <c r="A58" s="2" t="str">
        <f>IFERROR(__xludf.DUMMYFUNCTION("""COMPUTED_VALUE"""),"Peru")</f>
        <v>Peru</v>
      </c>
      <c r="B58" s="3">
        <f>IFERROR(__xludf.DUMMYFUNCTION("""COMPUTED_VALUE"""),44284.0)</f>
        <v>44284</v>
      </c>
      <c r="C58" s="3">
        <f>IFERROR(__xludf.DUMMYFUNCTION("""COMPUTED_VALUE"""),44290.0)</f>
        <v>44290</v>
      </c>
      <c r="D58" s="2">
        <f>IFERROR(__xludf.DUMMYFUNCTION("""COMPUTED_VALUE"""),13.0)</f>
        <v>13</v>
      </c>
      <c r="E58" s="2">
        <f>IFERROR(__xludf.DUMMYFUNCTION("""COMPUTED_VALUE"""),7900.0)</f>
        <v>7900</v>
      </c>
      <c r="F58" s="2">
        <f>IFERROR(__xludf.DUMMYFUNCTION("""COMPUTED_VALUE"""),5157.0)</f>
        <v>5157</v>
      </c>
      <c r="G58" s="4">
        <f>VLOOKUP(A58,Populacao!A:B,2,0)</f>
        <v>33359415</v>
      </c>
      <c r="H58" s="14">
        <f t="shared" si="1"/>
        <v>15.45890418</v>
      </c>
      <c r="I58" s="14">
        <f t="shared" si="4"/>
        <v>438.9375533</v>
      </c>
      <c r="J58" s="2">
        <f>AVERAGEIFS(Dados!F:F, Dados!A:A, "=Peru", Dados!G:G, "=0" , Dados!E:E, D58)</f>
        <v>1960</v>
      </c>
      <c r="K58" s="2">
        <f t="shared" si="2"/>
        <v>5940</v>
      </c>
      <c r="L58" s="2">
        <f t="shared" si="3"/>
        <v>17.80606764</v>
      </c>
      <c r="M58" s="2">
        <f t="shared" si="5"/>
        <v>486.6247405</v>
      </c>
    </row>
    <row r="59">
      <c r="A59" s="2" t="str">
        <f>IFERROR(__xludf.DUMMYFUNCTION("""COMPUTED_VALUE"""),"Peru")</f>
        <v>Peru</v>
      </c>
      <c r="B59" s="3">
        <f>IFERROR(__xludf.DUMMYFUNCTION("""COMPUTED_VALUE"""),44291.0)</f>
        <v>44291</v>
      </c>
      <c r="C59" s="3">
        <f>IFERROR(__xludf.DUMMYFUNCTION("""COMPUTED_VALUE"""),44297.0)</f>
        <v>44297</v>
      </c>
      <c r="D59" s="2">
        <f>IFERROR(__xludf.DUMMYFUNCTION("""COMPUTED_VALUE"""),14.0)</f>
        <v>14</v>
      </c>
      <c r="E59" s="2">
        <f>IFERROR(__xludf.DUMMYFUNCTION("""COMPUTED_VALUE"""),8468.0)</f>
        <v>8468</v>
      </c>
      <c r="F59" s="2">
        <f>IFERROR(__xludf.DUMMYFUNCTION("""COMPUTED_VALUE"""),5460.0)</f>
        <v>5460</v>
      </c>
      <c r="G59" s="4">
        <f>VLOOKUP(A59,Populacao!A:B,2,0)</f>
        <v>33359415</v>
      </c>
      <c r="H59" s="14">
        <f t="shared" si="1"/>
        <v>16.36719349</v>
      </c>
      <c r="I59" s="14">
        <f t="shared" si="4"/>
        <v>455.3047468</v>
      </c>
      <c r="J59" s="2">
        <f>AVERAGEIFS(Dados!F:F, Dados!A:A, "=Peru", Dados!G:G, "=0" , Dados!E:E, D59)</f>
        <v>1968</v>
      </c>
      <c r="K59" s="2">
        <f t="shared" si="2"/>
        <v>6500</v>
      </c>
      <c r="L59" s="2">
        <f t="shared" si="3"/>
        <v>19.48475415</v>
      </c>
      <c r="M59" s="2">
        <f t="shared" si="5"/>
        <v>506.1094946</v>
      </c>
    </row>
    <row r="60">
      <c r="A60" s="2" t="str">
        <f>IFERROR(__xludf.DUMMYFUNCTION("""COMPUTED_VALUE"""),"Peru")</f>
        <v>Peru</v>
      </c>
      <c r="B60" s="3">
        <f>IFERROR(__xludf.DUMMYFUNCTION("""COMPUTED_VALUE"""),44298.0)</f>
        <v>44298</v>
      </c>
      <c r="C60" s="3">
        <f>IFERROR(__xludf.DUMMYFUNCTION("""COMPUTED_VALUE"""),44304.0)</f>
        <v>44304</v>
      </c>
      <c r="D60" s="2">
        <f>IFERROR(__xludf.DUMMYFUNCTION("""COMPUTED_VALUE"""),15.0)</f>
        <v>15</v>
      </c>
      <c r="E60" s="2">
        <f>IFERROR(__xludf.DUMMYFUNCTION("""COMPUTED_VALUE"""),8426.0)</f>
        <v>8426</v>
      </c>
      <c r="F60" s="2">
        <f>IFERROR(__xludf.DUMMYFUNCTION("""COMPUTED_VALUE"""),5356.0)</f>
        <v>5356</v>
      </c>
      <c r="G60" s="4">
        <f>VLOOKUP(A60,Populacao!A:B,2,0)</f>
        <v>33359415</v>
      </c>
      <c r="H60" s="14">
        <f t="shared" si="1"/>
        <v>16.05543742</v>
      </c>
      <c r="I60" s="14">
        <f t="shared" si="4"/>
        <v>471.3601842</v>
      </c>
      <c r="J60" s="2">
        <f>AVERAGEIFS(Dados!F:F, Dados!A:A, "=Peru", Dados!G:G, "=0" , Dados!E:E, D60)</f>
        <v>1896.333333</v>
      </c>
      <c r="K60" s="2">
        <f t="shared" si="2"/>
        <v>6529.666667</v>
      </c>
      <c r="L60" s="2">
        <f t="shared" si="3"/>
        <v>19.57368457</v>
      </c>
      <c r="M60" s="2">
        <f t="shared" si="5"/>
        <v>525.6831792</v>
      </c>
    </row>
    <row r="61">
      <c r="A61" s="2" t="str">
        <f>IFERROR(__xludf.DUMMYFUNCTION("""COMPUTED_VALUE"""),"Peru")</f>
        <v>Peru</v>
      </c>
      <c r="B61" s="3">
        <f>IFERROR(__xludf.DUMMYFUNCTION("""COMPUTED_VALUE"""),44305.0)</f>
        <v>44305</v>
      </c>
      <c r="C61" s="3">
        <f>IFERROR(__xludf.DUMMYFUNCTION("""COMPUTED_VALUE"""),44311.0)</f>
        <v>44311</v>
      </c>
      <c r="D61" s="2">
        <f>IFERROR(__xludf.DUMMYFUNCTION("""COMPUTED_VALUE"""),16.0)</f>
        <v>16</v>
      </c>
      <c r="E61" s="2">
        <f>IFERROR(__xludf.DUMMYFUNCTION("""COMPUTED_VALUE"""),8246.0)</f>
        <v>8246</v>
      </c>
      <c r="F61" s="2">
        <f>IFERROR(__xludf.DUMMYFUNCTION("""COMPUTED_VALUE"""),5963.0)</f>
        <v>5963</v>
      </c>
      <c r="G61" s="4">
        <f>VLOOKUP(A61,Populacao!A:B,2,0)</f>
        <v>33359415</v>
      </c>
      <c r="H61" s="14">
        <f t="shared" si="1"/>
        <v>17.8750137</v>
      </c>
      <c r="I61" s="14">
        <f t="shared" si="4"/>
        <v>489.2351979</v>
      </c>
      <c r="J61" s="2">
        <f>AVERAGEIFS(Dados!F:F, Dados!A:A, "=Peru", Dados!G:G, "=0" , Dados!E:E, D61)</f>
        <v>1976</v>
      </c>
      <c r="K61" s="2">
        <f t="shared" si="2"/>
        <v>6270</v>
      </c>
      <c r="L61" s="2">
        <f t="shared" si="3"/>
        <v>18.79529362</v>
      </c>
      <c r="M61" s="2">
        <f t="shared" si="5"/>
        <v>544.4784728</v>
      </c>
    </row>
    <row r="62">
      <c r="A62" s="2" t="str">
        <f>IFERROR(__xludf.DUMMYFUNCTION("""COMPUTED_VALUE"""),"Peru")</f>
        <v>Peru</v>
      </c>
      <c r="B62" s="3">
        <f>IFERROR(__xludf.DUMMYFUNCTION("""COMPUTED_VALUE"""),44312.0)</f>
        <v>44312</v>
      </c>
      <c r="C62" s="3">
        <f>IFERROR(__xludf.DUMMYFUNCTION("""COMPUTED_VALUE"""),44318.0)</f>
        <v>44318</v>
      </c>
      <c r="D62" s="2">
        <f>IFERROR(__xludf.DUMMYFUNCTION("""COMPUTED_VALUE"""),17.0)</f>
        <v>17</v>
      </c>
      <c r="E62" s="2">
        <f>IFERROR(__xludf.DUMMYFUNCTION("""COMPUTED_VALUE"""),7695.0)</f>
        <v>7695</v>
      </c>
      <c r="F62" s="2">
        <f>IFERROR(__xludf.DUMMYFUNCTION("""COMPUTED_VALUE"""),4914.0)</f>
        <v>4914</v>
      </c>
      <c r="G62" s="4">
        <f>VLOOKUP(A62,Populacao!A:B,2,0)</f>
        <v>33359415</v>
      </c>
      <c r="H62" s="14">
        <f t="shared" si="1"/>
        <v>14.73047414</v>
      </c>
      <c r="I62" s="14">
        <f t="shared" si="4"/>
        <v>503.9656721</v>
      </c>
      <c r="J62" s="2">
        <f>AVERAGEIFS(Dados!F:F, Dados!A:A, "=Peru", Dados!G:G, "=0" , Dados!E:E, D62)</f>
        <v>1899.666667</v>
      </c>
      <c r="K62" s="2">
        <f t="shared" si="2"/>
        <v>5795.333333</v>
      </c>
      <c r="L62" s="2">
        <f t="shared" si="3"/>
        <v>17.37240696</v>
      </c>
      <c r="M62" s="2">
        <f t="shared" si="5"/>
        <v>561.8508798</v>
      </c>
    </row>
    <row r="63">
      <c r="A63" s="2" t="str">
        <f>IFERROR(__xludf.DUMMYFUNCTION("""COMPUTED_VALUE"""),"Peru")</f>
        <v>Peru</v>
      </c>
      <c r="B63" s="3">
        <f>IFERROR(__xludf.DUMMYFUNCTION("""COMPUTED_VALUE"""),44319.0)</f>
        <v>44319</v>
      </c>
      <c r="C63" s="3">
        <f>IFERROR(__xludf.DUMMYFUNCTION("""COMPUTED_VALUE"""),44325.0)</f>
        <v>44325</v>
      </c>
      <c r="D63" s="2">
        <f>IFERROR(__xludf.DUMMYFUNCTION("""COMPUTED_VALUE"""),18.0)</f>
        <v>18</v>
      </c>
      <c r="E63" s="2">
        <f>IFERROR(__xludf.DUMMYFUNCTION("""COMPUTED_VALUE"""),7171.0)</f>
        <v>7171</v>
      </c>
      <c r="F63" s="2">
        <f>IFERROR(__xludf.DUMMYFUNCTION("""COMPUTED_VALUE"""),4983.0)</f>
        <v>4983</v>
      </c>
      <c r="G63" s="4">
        <f>VLOOKUP(A63,Populacao!A:B,2,0)</f>
        <v>33359415</v>
      </c>
      <c r="H63" s="14">
        <f t="shared" si="1"/>
        <v>14.9373123</v>
      </c>
      <c r="I63" s="14">
        <f t="shared" si="4"/>
        <v>518.9029844</v>
      </c>
      <c r="J63" s="2">
        <f>AVERAGEIFS(Dados!F:F, Dados!A:A, "=Peru", Dados!G:G, "=0" , Dados!E:E, D63)</f>
        <v>1983.666667</v>
      </c>
      <c r="K63" s="2">
        <f t="shared" si="2"/>
        <v>5187.333333</v>
      </c>
      <c r="L63" s="2">
        <f t="shared" si="3"/>
        <v>15.54983303</v>
      </c>
      <c r="M63" s="2">
        <f t="shared" si="5"/>
        <v>577.4007128</v>
      </c>
    </row>
    <row r="64">
      <c r="A64" s="2" t="str">
        <f>IFERROR(__xludf.DUMMYFUNCTION("""COMPUTED_VALUE"""),"Peru")</f>
        <v>Peru</v>
      </c>
      <c r="B64" s="3">
        <f>IFERROR(__xludf.DUMMYFUNCTION("""COMPUTED_VALUE"""),44326.0)</f>
        <v>44326</v>
      </c>
      <c r="C64" s="3">
        <f>IFERROR(__xludf.DUMMYFUNCTION("""COMPUTED_VALUE"""),44332.0)</f>
        <v>44332</v>
      </c>
      <c r="D64" s="2">
        <f>IFERROR(__xludf.DUMMYFUNCTION("""COMPUTED_VALUE"""),19.0)</f>
        <v>19</v>
      </c>
      <c r="E64" s="2">
        <f>IFERROR(__xludf.DUMMYFUNCTION("""COMPUTED_VALUE"""),6533.0)</f>
        <v>6533</v>
      </c>
      <c r="F64" s="2">
        <f>IFERROR(__xludf.DUMMYFUNCTION("""COMPUTED_VALUE"""),4093.0)</f>
        <v>4093</v>
      </c>
      <c r="G64" s="4">
        <f>VLOOKUP(A64,Populacao!A:B,2,0)</f>
        <v>33359415</v>
      </c>
      <c r="H64" s="14">
        <f t="shared" si="1"/>
        <v>12.26939981</v>
      </c>
      <c r="I64" s="14">
        <f t="shared" si="4"/>
        <v>531.1723842</v>
      </c>
      <c r="J64" s="2">
        <f>AVERAGEIFS(Dados!F:F, Dados!A:A, "=Peru", Dados!G:G, "=0" , Dados!E:E, D64)</f>
        <v>1911</v>
      </c>
      <c r="K64" s="2">
        <f t="shared" si="2"/>
        <v>4622</v>
      </c>
      <c r="L64" s="2">
        <f t="shared" si="3"/>
        <v>13.85515903</v>
      </c>
      <c r="M64" s="2">
        <f t="shared" si="5"/>
        <v>591.2558718</v>
      </c>
    </row>
    <row r="65">
      <c r="A65" s="2" t="str">
        <f>IFERROR(__xludf.DUMMYFUNCTION("""COMPUTED_VALUE"""),"Peru")</f>
        <v>Peru</v>
      </c>
      <c r="B65" s="3">
        <f>IFERROR(__xludf.DUMMYFUNCTION("""COMPUTED_VALUE"""),44333.0)</f>
        <v>44333</v>
      </c>
      <c r="C65" s="3">
        <f>IFERROR(__xludf.DUMMYFUNCTION("""COMPUTED_VALUE"""),44339.0)</f>
        <v>44339</v>
      </c>
      <c r="D65" s="2">
        <f>IFERROR(__xludf.DUMMYFUNCTION("""COMPUTED_VALUE"""),20.0)</f>
        <v>20</v>
      </c>
      <c r="E65" s="2">
        <f>IFERROR(__xludf.DUMMYFUNCTION("""COMPUTED_VALUE"""),6053.0)</f>
        <v>6053</v>
      </c>
      <c r="F65" s="2">
        <f>IFERROR(__xludf.DUMMYFUNCTION("""COMPUTED_VALUE"""),3409.0)</f>
        <v>3409</v>
      </c>
      <c r="G65" s="4">
        <f>VLOOKUP(A65,Populacao!A:B,2,0)</f>
        <v>33359415</v>
      </c>
      <c r="H65" s="14">
        <f t="shared" si="1"/>
        <v>10.21900414</v>
      </c>
      <c r="I65" s="14">
        <f t="shared" si="4"/>
        <v>541.3913883</v>
      </c>
      <c r="J65" s="2">
        <f>AVERAGEIFS(Dados!F:F, Dados!A:A, "=Peru", Dados!G:G, "=0" , Dados!E:E, D65)</f>
        <v>1984</v>
      </c>
      <c r="K65" s="2">
        <f t="shared" si="2"/>
        <v>4069</v>
      </c>
      <c r="L65" s="2">
        <f t="shared" si="3"/>
        <v>12.1974561</v>
      </c>
      <c r="M65" s="2">
        <f t="shared" si="5"/>
        <v>603.4533279</v>
      </c>
    </row>
    <row r="66">
      <c r="A66" s="2" t="str">
        <f>IFERROR(__xludf.DUMMYFUNCTION("""COMPUTED_VALUE"""),"Peru")</f>
        <v>Peru</v>
      </c>
      <c r="B66" s="3">
        <f>IFERROR(__xludf.DUMMYFUNCTION("""COMPUTED_VALUE"""),44340.0)</f>
        <v>44340</v>
      </c>
      <c r="C66" s="3">
        <f>IFERROR(__xludf.DUMMYFUNCTION("""COMPUTED_VALUE"""),44346.0)</f>
        <v>44346</v>
      </c>
      <c r="D66" s="2">
        <f>IFERROR(__xludf.DUMMYFUNCTION("""COMPUTED_VALUE"""),21.0)</f>
        <v>21</v>
      </c>
      <c r="E66" s="2">
        <f>IFERROR(__xludf.DUMMYFUNCTION("""COMPUTED_VALUE"""),5629.0)</f>
        <v>5629</v>
      </c>
      <c r="F66" s="2">
        <f>IFERROR(__xludf.DUMMYFUNCTION("""COMPUTED_VALUE"""),2786.0)</f>
        <v>2786</v>
      </c>
      <c r="G66" s="4">
        <f>VLOOKUP(A66,Populacao!A:B,2,0)</f>
        <v>33359415</v>
      </c>
      <c r="H66" s="14">
        <f t="shared" si="1"/>
        <v>8.351465396</v>
      </c>
      <c r="I66" s="14">
        <f t="shared" si="4"/>
        <v>549.7428537</v>
      </c>
      <c r="J66" s="2">
        <f>AVERAGEIFS(Dados!F:F, Dados!A:A, "=Peru", Dados!G:G, "=0" , Dados!E:E, D66)</f>
        <v>2034</v>
      </c>
      <c r="K66" s="2">
        <f t="shared" si="2"/>
        <v>3595</v>
      </c>
      <c r="L66" s="2">
        <f t="shared" si="3"/>
        <v>10.77656787</v>
      </c>
      <c r="M66" s="2">
        <f t="shared" si="5"/>
        <v>614.2298958</v>
      </c>
    </row>
    <row r="67">
      <c r="A67" s="2" t="str">
        <f>IFERROR(__xludf.DUMMYFUNCTION("""COMPUTED_VALUE"""),"Peru")</f>
        <v>Peru</v>
      </c>
      <c r="B67" s="3">
        <f>IFERROR(__xludf.DUMMYFUNCTION("""COMPUTED_VALUE"""),44347.0)</f>
        <v>44347</v>
      </c>
      <c r="C67" s="3">
        <f>IFERROR(__xludf.DUMMYFUNCTION("""COMPUTED_VALUE"""),44353.0)</f>
        <v>44353</v>
      </c>
      <c r="D67" s="2">
        <f>IFERROR(__xludf.DUMMYFUNCTION("""COMPUTED_VALUE"""),22.0)</f>
        <v>22</v>
      </c>
      <c r="E67" s="2">
        <f>IFERROR(__xludf.DUMMYFUNCTION("""COMPUTED_VALUE"""),5291.0)</f>
        <v>5291</v>
      </c>
      <c r="F67" s="2">
        <f>IFERROR(__xludf.DUMMYFUNCTION("""COMPUTED_VALUE"""),2682.0)</f>
        <v>2682</v>
      </c>
      <c r="G67" s="4">
        <f>VLOOKUP(A67,Populacao!A:B,2,0)</f>
        <v>33359415</v>
      </c>
      <c r="H67" s="14">
        <f t="shared" si="1"/>
        <v>8.039709329</v>
      </c>
      <c r="I67" s="14">
        <f t="shared" si="4"/>
        <v>557.782563</v>
      </c>
      <c r="J67" s="2">
        <f>AVERAGEIFS(Dados!F:F, Dados!A:A, "=Peru", Dados!G:G, "=0" , Dados!E:E, D67)</f>
        <v>2050</v>
      </c>
      <c r="K67" s="2">
        <f t="shared" si="2"/>
        <v>3241</v>
      </c>
      <c r="L67" s="2">
        <f t="shared" si="3"/>
        <v>9.715398187</v>
      </c>
      <c r="M67" s="2">
        <f t="shared" si="5"/>
        <v>623.945294</v>
      </c>
    </row>
    <row r="68">
      <c r="A68" s="2" t="str">
        <f>IFERROR(__xludf.DUMMYFUNCTION("""COMPUTED_VALUE"""),"Peru")</f>
        <v>Peru</v>
      </c>
      <c r="B68" s="3">
        <f>IFERROR(__xludf.DUMMYFUNCTION("""COMPUTED_VALUE"""),44354.0)</f>
        <v>44354</v>
      </c>
      <c r="C68" s="3">
        <f>IFERROR(__xludf.DUMMYFUNCTION("""COMPUTED_VALUE"""),44360.0)</f>
        <v>44360</v>
      </c>
      <c r="D68" s="2">
        <f>IFERROR(__xludf.DUMMYFUNCTION("""COMPUTED_VALUE"""),23.0)</f>
        <v>23</v>
      </c>
      <c r="E68" s="2">
        <f>IFERROR(__xludf.DUMMYFUNCTION("""COMPUTED_VALUE"""),4726.0)</f>
        <v>4726</v>
      </c>
      <c r="F68" s="2">
        <f>IFERROR(__xludf.DUMMYFUNCTION("""COMPUTED_VALUE"""),2635.0)</f>
        <v>2635</v>
      </c>
      <c r="G68" s="4">
        <f>VLOOKUP(A68,Populacao!A:B,2,0)</f>
        <v>33359415</v>
      </c>
      <c r="H68" s="14">
        <f t="shared" si="1"/>
        <v>7.898819569</v>
      </c>
      <c r="I68" s="14">
        <f t="shared" si="4"/>
        <v>565.6813826</v>
      </c>
      <c r="J68" s="2">
        <f>AVERAGEIFS(Dados!F:F, Dados!A:A, "=Peru", Dados!G:G, "=0" , Dados!E:E, D68)</f>
        <v>2135</v>
      </c>
      <c r="K68" s="2">
        <f t="shared" si="2"/>
        <v>2591</v>
      </c>
      <c r="L68" s="2">
        <f t="shared" si="3"/>
        <v>7.766922771</v>
      </c>
      <c r="M68" s="2">
        <f t="shared" si="5"/>
        <v>631.7122168</v>
      </c>
    </row>
    <row r="69">
      <c r="A69" s="2" t="str">
        <f>IFERROR(__xludf.DUMMYFUNCTION("""COMPUTED_VALUE"""),"Peru")</f>
        <v>Peru</v>
      </c>
      <c r="B69" s="3">
        <f>IFERROR(__xludf.DUMMYFUNCTION("""COMPUTED_VALUE"""),44361.0)</f>
        <v>44361</v>
      </c>
      <c r="C69" s="3">
        <f>IFERROR(__xludf.DUMMYFUNCTION("""COMPUTED_VALUE"""),44367.0)</f>
        <v>44367</v>
      </c>
      <c r="D69" s="2">
        <f>IFERROR(__xludf.DUMMYFUNCTION("""COMPUTED_VALUE"""),24.0)</f>
        <v>24</v>
      </c>
      <c r="E69" s="2">
        <f>IFERROR(__xludf.DUMMYFUNCTION("""COMPUTED_VALUE"""),4333.0)</f>
        <v>4333</v>
      </c>
      <c r="F69" s="2">
        <f>IFERROR(__xludf.DUMMYFUNCTION("""COMPUTED_VALUE"""),1494.0)</f>
        <v>1494</v>
      </c>
      <c r="G69" s="4">
        <f>VLOOKUP(A69,Populacao!A:B,2,0)</f>
        <v>33359415</v>
      </c>
      <c r="H69" s="14">
        <f t="shared" si="1"/>
        <v>4.478495801</v>
      </c>
      <c r="I69" s="14">
        <f t="shared" si="4"/>
        <v>570.1598784</v>
      </c>
      <c r="J69" s="2">
        <f>AVERAGEIFS(Dados!F:F, Dados!A:A, "=Peru", Dados!G:G, "=0" , Dados!E:E, D69)</f>
        <v>2150</v>
      </c>
      <c r="K69" s="2">
        <f t="shared" si="2"/>
        <v>2183</v>
      </c>
      <c r="L69" s="2">
        <f t="shared" si="3"/>
        <v>6.543879741</v>
      </c>
      <c r="M69" s="2">
        <f t="shared" si="5"/>
        <v>638.2560965</v>
      </c>
    </row>
    <row r="70">
      <c r="A70" s="2" t="str">
        <f>IFERROR(__xludf.DUMMYFUNCTION("""COMPUTED_VALUE"""),"Peru")</f>
        <v>Peru</v>
      </c>
      <c r="B70" s="3">
        <f>IFERROR(__xludf.DUMMYFUNCTION("""COMPUTED_VALUE"""),44368.0)</f>
        <v>44368</v>
      </c>
      <c r="C70" s="3">
        <f>IFERROR(__xludf.DUMMYFUNCTION("""COMPUTED_VALUE"""),44374.0)</f>
        <v>44374</v>
      </c>
      <c r="D70" s="2">
        <f>IFERROR(__xludf.DUMMYFUNCTION("""COMPUTED_VALUE"""),25.0)</f>
        <v>25</v>
      </c>
      <c r="E70" s="2">
        <f>IFERROR(__xludf.DUMMYFUNCTION("""COMPUTED_VALUE"""),4024.0)</f>
        <v>4024</v>
      </c>
      <c r="F70" s="2">
        <f>IFERROR(__xludf.DUMMYFUNCTION("""COMPUTED_VALUE"""),1382.0)</f>
        <v>1382</v>
      </c>
      <c r="G70" s="4">
        <f>VLOOKUP(A70,Populacao!A:B,2,0)</f>
        <v>33359415</v>
      </c>
      <c r="H70" s="14">
        <f t="shared" si="1"/>
        <v>4.142758499</v>
      </c>
      <c r="I70" s="14">
        <f t="shared" si="4"/>
        <v>574.3026369</v>
      </c>
      <c r="J70" s="2">
        <f>AVERAGEIFS(Dados!F:F, Dados!A:A, "=Peru", Dados!G:G, "=0" , Dados!E:E, D70)</f>
        <v>2223.333333</v>
      </c>
      <c r="K70" s="2">
        <f t="shared" si="2"/>
        <v>1800.666667</v>
      </c>
      <c r="L70" s="2">
        <f t="shared" si="3"/>
        <v>5.39777651</v>
      </c>
      <c r="M70" s="2">
        <f t="shared" si="5"/>
        <v>643.653873</v>
      </c>
    </row>
    <row r="71">
      <c r="A71" s="2" t="str">
        <f>IFERROR(__xludf.DUMMYFUNCTION("""COMPUTED_VALUE"""),"Peru")</f>
        <v>Peru</v>
      </c>
      <c r="B71" s="3">
        <f>IFERROR(__xludf.DUMMYFUNCTION("""COMPUTED_VALUE"""),44375.0)</f>
        <v>44375</v>
      </c>
      <c r="C71" s="3">
        <f>IFERROR(__xludf.DUMMYFUNCTION("""COMPUTED_VALUE"""),44381.0)</f>
        <v>44381</v>
      </c>
      <c r="D71" s="2">
        <f>IFERROR(__xludf.DUMMYFUNCTION("""COMPUTED_VALUE"""),26.0)</f>
        <v>26</v>
      </c>
      <c r="E71" s="2">
        <f>IFERROR(__xludf.DUMMYFUNCTION("""COMPUTED_VALUE"""),3816.0)</f>
        <v>3816</v>
      </c>
      <c r="F71" s="2">
        <f>IFERROR(__xludf.DUMMYFUNCTION("""COMPUTED_VALUE"""),1646.0)</f>
        <v>1646</v>
      </c>
      <c r="G71" s="4">
        <f>VLOOKUP(A71,Populacao!A:B,2,0)</f>
        <v>33359415</v>
      </c>
      <c r="H71" s="14">
        <f t="shared" si="1"/>
        <v>4.934139283</v>
      </c>
      <c r="I71" s="14">
        <f t="shared" si="4"/>
        <v>579.2367762</v>
      </c>
      <c r="J71" s="2">
        <f>AVERAGEIFS(Dados!F:F, Dados!A:A, "=Peru", Dados!G:G, "=0" , Dados!E:E, D71)</f>
        <v>2200.333333</v>
      </c>
      <c r="K71" s="2">
        <f t="shared" si="2"/>
        <v>1615.666667</v>
      </c>
      <c r="L71" s="2">
        <f t="shared" si="3"/>
        <v>4.84321043</v>
      </c>
      <c r="M71" s="2">
        <f t="shared" si="5"/>
        <v>648.4970835</v>
      </c>
    </row>
    <row r="72">
      <c r="A72" s="2" t="str">
        <f>IFERROR(__xludf.DUMMYFUNCTION("""COMPUTED_VALUE"""),"Peru")</f>
        <v>Peru</v>
      </c>
      <c r="B72" s="3">
        <f>IFERROR(__xludf.DUMMYFUNCTION("""COMPUTED_VALUE"""),44382.0)</f>
        <v>44382</v>
      </c>
      <c r="C72" s="3">
        <f>IFERROR(__xludf.DUMMYFUNCTION("""COMPUTED_VALUE"""),44388.0)</f>
        <v>44388</v>
      </c>
      <c r="D72" s="2">
        <f>IFERROR(__xludf.DUMMYFUNCTION("""COMPUTED_VALUE"""),27.0)</f>
        <v>27</v>
      </c>
      <c r="E72" s="2">
        <f>IFERROR(__xludf.DUMMYFUNCTION("""COMPUTED_VALUE"""),3599.0)</f>
        <v>3599</v>
      </c>
      <c r="F72" s="2">
        <f>IFERROR(__xludf.DUMMYFUNCTION("""COMPUTED_VALUE"""),1157.0)</f>
        <v>1157</v>
      </c>
      <c r="G72" s="4">
        <f>VLOOKUP(A72,Populacao!A:B,2,0)</f>
        <v>33359415</v>
      </c>
      <c r="H72" s="14">
        <f t="shared" si="1"/>
        <v>3.468286239</v>
      </c>
      <c r="I72" s="14">
        <f t="shared" si="4"/>
        <v>582.7050624</v>
      </c>
      <c r="J72" s="2">
        <f>AVERAGEIFS(Dados!F:F, Dados!A:A, "=Peru", Dados!G:G, "=0" , Dados!E:E, D72)</f>
        <v>2240</v>
      </c>
      <c r="K72" s="2">
        <f t="shared" si="2"/>
        <v>1359</v>
      </c>
      <c r="L72" s="2">
        <f t="shared" si="3"/>
        <v>4.073812445</v>
      </c>
      <c r="M72" s="2">
        <f t="shared" si="5"/>
        <v>652.5708959</v>
      </c>
    </row>
    <row r="73">
      <c r="A73" s="2" t="str">
        <f>IFERROR(__xludf.DUMMYFUNCTION("""COMPUTED_VALUE"""),"Peru")</f>
        <v>Peru</v>
      </c>
      <c r="B73" s="3">
        <f>IFERROR(__xludf.DUMMYFUNCTION("""COMPUTED_VALUE"""),44389.0)</f>
        <v>44389</v>
      </c>
      <c r="C73" s="3">
        <f>IFERROR(__xludf.DUMMYFUNCTION("""COMPUTED_VALUE"""),44395.0)</f>
        <v>44395</v>
      </c>
      <c r="D73" s="2">
        <f>IFERROR(__xludf.DUMMYFUNCTION("""COMPUTED_VALUE"""),28.0)</f>
        <v>28</v>
      </c>
      <c r="E73" s="2">
        <f>IFERROR(__xludf.DUMMYFUNCTION("""COMPUTED_VALUE"""),3333.0)</f>
        <v>3333</v>
      </c>
      <c r="F73" s="2">
        <f>IFERROR(__xludf.DUMMYFUNCTION("""COMPUTED_VALUE"""),759.0)</f>
        <v>759</v>
      </c>
      <c r="G73" s="4">
        <f>VLOOKUP(A73,Populacao!A:B,2,0)</f>
        <v>33359415</v>
      </c>
      <c r="H73" s="14">
        <f t="shared" si="1"/>
        <v>2.275219754</v>
      </c>
      <c r="I73" s="14">
        <f t="shared" si="4"/>
        <v>584.9802822</v>
      </c>
      <c r="J73" s="2">
        <f>AVERAGEIFS(Dados!F:F, Dados!A:A, "=Peru", Dados!G:G, "=0" , Dados!E:E, D73)</f>
        <v>2141.666667</v>
      </c>
      <c r="K73" s="2">
        <f t="shared" si="2"/>
        <v>1191.333333</v>
      </c>
      <c r="L73" s="2">
        <f t="shared" si="3"/>
        <v>3.57120571</v>
      </c>
      <c r="M73" s="2">
        <f t="shared" si="5"/>
        <v>656.1421016</v>
      </c>
    </row>
    <row r="74">
      <c r="A74" s="2" t="str">
        <f>IFERROR(__xludf.DUMMYFUNCTION("""COMPUTED_VALUE"""),"Peru")</f>
        <v>Peru</v>
      </c>
      <c r="B74" s="3">
        <f>IFERROR(__xludf.DUMMYFUNCTION("""COMPUTED_VALUE"""),44396.0)</f>
        <v>44396</v>
      </c>
      <c r="C74" s="3">
        <f>IFERROR(__xludf.DUMMYFUNCTION("""COMPUTED_VALUE"""),44402.0)</f>
        <v>44402</v>
      </c>
      <c r="D74" s="2">
        <f>IFERROR(__xludf.DUMMYFUNCTION("""COMPUTED_VALUE"""),29.0)</f>
        <v>29</v>
      </c>
      <c r="E74" s="2">
        <f>IFERROR(__xludf.DUMMYFUNCTION("""COMPUTED_VALUE"""),3250.0)</f>
        <v>3250</v>
      </c>
      <c r="F74" s="2">
        <f>IFERROR(__xludf.DUMMYFUNCTION("""COMPUTED_VALUE"""),744.0)</f>
        <v>744</v>
      </c>
      <c r="G74" s="4">
        <f>VLOOKUP(A74,Populacao!A:B,2,0)</f>
        <v>33359415</v>
      </c>
      <c r="H74" s="14">
        <f t="shared" si="1"/>
        <v>2.230254937</v>
      </c>
      <c r="I74" s="14">
        <f t="shared" si="4"/>
        <v>587.2105371</v>
      </c>
      <c r="J74" s="2">
        <f>AVERAGEIFS(Dados!F:F, Dados!A:A, "=Peru", Dados!G:G, "=0" , Dados!E:E, D74)</f>
        <v>2199.666667</v>
      </c>
      <c r="K74" s="2">
        <f t="shared" si="2"/>
        <v>1050.333333</v>
      </c>
      <c r="L74" s="2">
        <f t="shared" si="3"/>
        <v>3.148536428</v>
      </c>
      <c r="M74" s="2">
        <f t="shared" si="5"/>
        <v>659.290638</v>
      </c>
    </row>
    <row r="75">
      <c r="A75" s="2" t="str">
        <f>IFERROR(__xludf.DUMMYFUNCTION("""COMPUTED_VALUE"""),"Peru")</f>
        <v>Peru</v>
      </c>
      <c r="B75" s="3">
        <f>IFERROR(__xludf.DUMMYFUNCTION("""COMPUTED_VALUE"""),44403.0)</f>
        <v>44403</v>
      </c>
      <c r="C75" s="3">
        <f>IFERROR(__xludf.DUMMYFUNCTION("""COMPUTED_VALUE"""),44409.0)</f>
        <v>44409</v>
      </c>
      <c r="D75" s="2">
        <f>IFERROR(__xludf.DUMMYFUNCTION("""COMPUTED_VALUE"""),30.0)</f>
        <v>30</v>
      </c>
      <c r="E75" s="2">
        <f>IFERROR(__xludf.DUMMYFUNCTION("""COMPUTED_VALUE"""),3164.0)</f>
        <v>3164</v>
      </c>
      <c r="F75" s="2">
        <f>IFERROR(__xludf.DUMMYFUNCTION("""COMPUTED_VALUE"""),548.0)</f>
        <v>548</v>
      </c>
      <c r="G75" s="4">
        <f>VLOOKUP(A75,Populacao!A:B,2,0)</f>
        <v>33359415</v>
      </c>
      <c r="H75" s="14">
        <f t="shared" si="1"/>
        <v>1.642714658</v>
      </c>
      <c r="I75" s="14">
        <f t="shared" si="4"/>
        <v>588.8532518</v>
      </c>
      <c r="J75" s="2">
        <f>AVERAGEIFS(Dados!F:F, Dados!A:A, "=Peru", Dados!G:G, "=0" , Dados!E:E, D75)</f>
        <v>2215.333333</v>
      </c>
      <c r="K75" s="2">
        <f t="shared" si="2"/>
        <v>948.6666667</v>
      </c>
      <c r="L75" s="2">
        <f t="shared" si="3"/>
        <v>2.843774888</v>
      </c>
      <c r="M75" s="2">
        <f t="shared" si="5"/>
        <v>662.1344129</v>
      </c>
    </row>
    <row r="76">
      <c r="A76" s="2" t="str">
        <f>IFERROR(__xludf.DUMMYFUNCTION("""COMPUTED_VALUE"""),"Peru")</f>
        <v>Peru</v>
      </c>
      <c r="B76" s="3">
        <f>IFERROR(__xludf.DUMMYFUNCTION("""COMPUTED_VALUE"""),44410.0)</f>
        <v>44410</v>
      </c>
      <c r="C76" s="3">
        <f>IFERROR(__xludf.DUMMYFUNCTION("""COMPUTED_VALUE"""),44416.0)</f>
        <v>44416</v>
      </c>
      <c r="D76" s="2">
        <f>IFERROR(__xludf.DUMMYFUNCTION("""COMPUTED_VALUE"""),31.0)</f>
        <v>31</v>
      </c>
      <c r="E76" s="2">
        <f>IFERROR(__xludf.DUMMYFUNCTION("""COMPUTED_VALUE"""),3062.0)</f>
        <v>3062</v>
      </c>
      <c r="F76" s="2">
        <f>IFERROR(__xludf.DUMMYFUNCTION("""COMPUTED_VALUE"""),512.0)</f>
        <v>512</v>
      </c>
      <c r="G76" s="4">
        <f>VLOOKUP(A76,Populacao!A:B,2,0)</f>
        <v>33359415</v>
      </c>
      <c r="H76" s="14">
        <f t="shared" si="1"/>
        <v>1.534799096</v>
      </c>
      <c r="I76" s="14">
        <f t="shared" si="4"/>
        <v>590.3880509</v>
      </c>
      <c r="J76" s="2">
        <f>AVERAGEIFS(Dados!F:F, Dados!A:A, "=Peru", Dados!G:G, "=0" , Dados!E:E, D76)</f>
        <v>2182.666667</v>
      </c>
      <c r="K76" s="2">
        <f t="shared" si="2"/>
        <v>879.3333333</v>
      </c>
      <c r="L76" s="2">
        <f t="shared" si="3"/>
        <v>2.635937511</v>
      </c>
      <c r="M76" s="2">
        <f t="shared" si="5"/>
        <v>664.7703504</v>
      </c>
    </row>
    <row r="77">
      <c r="A77" s="2" t="str">
        <f>IFERROR(__xludf.DUMMYFUNCTION("""COMPUTED_VALUE"""),"Peru")</f>
        <v>Peru</v>
      </c>
      <c r="B77" s="3">
        <f>IFERROR(__xludf.DUMMYFUNCTION("""COMPUTED_VALUE"""),44417.0)</f>
        <v>44417</v>
      </c>
      <c r="C77" s="3">
        <f>IFERROR(__xludf.DUMMYFUNCTION("""COMPUTED_VALUE"""),44423.0)</f>
        <v>44423</v>
      </c>
      <c r="D77" s="2">
        <f>IFERROR(__xludf.DUMMYFUNCTION("""COMPUTED_VALUE"""),32.0)</f>
        <v>32</v>
      </c>
      <c r="E77" s="2">
        <f>IFERROR(__xludf.DUMMYFUNCTION("""COMPUTED_VALUE"""),3112.0)</f>
        <v>3112</v>
      </c>
      <c r="F77" s="2">
        <f>IFERROR(__xludf.DUMMYFUNCTION("""COMPUTED_VALUE"""),443.0)</f>
        <v>443</v>
      </c>
      <c r="G77" s="4">
        <f>VLOOKUP(A77,Populacao!A:B,2,0)</f>
        <v>33359415</v>
      </c>
      <c r="H77" s="14">
        <f t="shared" si="1"/>
        <v>1.327960937</v>
      </c>
      <c r="I77" s="14">
        <f t="shared" si="4"/>
        <v>591.7160118</v>
      </c>
      <c r="J77" s="2">
        <f>AVERAGEIFS(Dados!F:F, Dados!A:A, "=Peru", Dados!G:G, "=0" , Dados!E:E, D77)</f>
        <v>2230.333333</v>
      </c>
      <c r="K77" s="2">
        <f t="shared" si="2"/>
        <v>881.6666667</v>
      </c>
      <c r="L77" s="2">
        <f t="shared" si="3"/>
        <v>2.642932038</v>
      </c>
      <c r="M77" s="2">
        <f t="shared" si="5"/>
        <v>667.4132825</v>
      </c>
    </row>
    <row r="78">
      <c r="A78" s="2" t="str">
        <f>IFERROR(__xludf.DUMMYFUNCTION("""COMPUTED_VALUE"""),"Peru")</f>
        <v>Peru</v>
      </c>
      <c r="B78" s="3">
        <f>IFERROR(__xludf.DUMMYFUNCTION("""COMPUTED_VALUE"""),44424.0)</f>
        <v>44424</v>
      </c>
      <c r="C78" s="3">
        <f>IFERROR(__xludf.DUMMYFUNCTION("""COMPUTED_VALUE"""),44430.0)</f>
        <v>44430</v>
      </c>
      <c r="D78" s="2">
        <f>IFERROR(__xludf.DUMMYFUNCTION("""COMPUTED_VALUE"""),33.0)</f>
        <v>33</v>
      </c>
      <c r="E78" s="2">
        <f>IFERROR(__xludf.DUMMYFUNCTION("""COMPUTED_VALUE"""),2936.0)</f>
        <v>2936</v>
      </c>
      <c r="F78" s="2">
        <f>IFERROR(__xludf.DUMMYFUNCTION("""COMPUTED_VALUE"""),486.0)</f>
        <v>486</v>
      </c>
      <c r="G78" s="4">
        <f>VLOOKUP(A78,Populacao!A:B,2,0)</f>
        <v>33359415</v>
      </c>
      <c r="H78" s="14">
        <f t="shared" si="1"/>
        <v>1.45686008</v>
      </c>
      <c r="I78" s="14">
        <f t="shared" si="4"/>
        <v>593.1728719</v>
      </c>
      <c r="J78" s="2">
        <f>AVERAGEIFS(Dados!F:F, Dados!A:A, "=Peru", Dados!G:G, "=0" , Dados!E:E, D78)</f>
        <v>2135</v>
      </c>
      <c r="K78" s="2">
        <f t="shared" si="2"/>
        <v>801</v>
      </c>
      <c r="L78" s="2">
        <f t="shared" si="3"/>
        <v>2.401121243</v>
      </c>
      <c r="M78" s="2">
        <f t="shared" si="5"/>
        <v>669.8144037</v>
      </c>
    </row>
    <row r="79">
      <c r="A79" s="2" t="str">
        <f>IFERROR(__xludf.DUMMYFUNCTION("""COMPUTED_VALUE"""),"Peru")</f>
        <v>Peru</v>
      </c>
      <c r="B79" s="3">
        <f>IFERROR(__xludf.DUMMYFUNCTION("""COMPUTED_VALUE"""),44431.0)</f>
        <v>44431</v>
      </c>
      <c r="C79" s="3">
        <f>IFERROR(__xludf.DUMMYFUNCTION("""COMPUTED_VALUE"""),44437.0)</f>
        <v>44437</v>
      </c>
      <c r="D79" s="2">
        <f>IFERROR(__xludf.DUMMYFUNCTION("""COMPUTED_VALUE"""),34.0)</f>
        <v>34</v>
      </c>
      <c r="E79" s="2">
        <f>IFERROR(__xludf.DUMMYFUNCTION("""COMPUTED_VALUE"""),3107.0)</f>
        <v>3107</v>
      </c>
      <c r="F79" s="2">
        <f>IFERROR(__xludf.DUMMYFUNCTION("""COMPUTED_VALUE"""),236.0)</f>
        <v>236</v>
      </c>
      <c r="G79" s="4">
        <f>VLOOKUP(A79,Populacao!A:B,2,0)</f>
        <v>33359415</v>
      </c>
      <c r="H79" s="14">
        <f t="shared" si="1"/>
        <v>0.7074464585</v>
      </c>
      <c r="I79" s="14">
        <f t="shared" si="4"/>
        <v>593.8803183</v>
      </c>
      <c r="J79" s="2">
        <f>AVERAGEIFS(Dados!F:F, Dados!A:A, "=Peru", Dados!G:G, "=0" , Dados!E:E, D79)</f>
        <v>2123</v>
      </c>
      <c r="K79" s="2">
        <f t="shared" si="2"/>
        <v>984</v>
      </c>
      <c r="L79" s="2">
        <f t="shared" si="3"/>
        <v>2.949692013</v>
      </c>
      <c r="M79" s="2">
        <f t="shared" si="5"/>
        <v>672.7640957</v>
      </c>
    </row>
    <row r="80">
      <c r="A80" s="2" t="str">
        <f>IFERROR(__xludf.DUMMYFUNCTION("""COMPUTED_VALUE"""),"Peru")</f>
        <v>Peru</v>
      </c>
      <c r="B80" s="3">
        <f>IFERROR(__xludf.DUMMYFUNCTION("""COMPUTED_VALUE"""),44438.0)</f>
        <v>44438</v>
      </c>
      <c r="C80" s="3">
        <f>IFERROR(__xludf.DUMMYFUNCTION("""COMPUTED_VALUE"""),44444.0)</f>
        <v>44444</v>
      </c>
      <c r="D80" s="2">
        <f>IFERROR(__xludf.DUMMYFUNCTION("""COMPUTED_VALUE"""),35.0)</f>
        <v>35</v>
      </c>
      <c r="E80" s="2">
        <f>IFERROR(__xludf.DUMMYFUNCTION("""COMPUTED_VALUE"""),2983.0)</f>
        <v>2983</v>
      </c>
      <c r="F80" s="2">
        <f>IFERROR(__xludf.DUMMYFUNCTION("""COMPUTED_VALUE"""),373.0)</f>
        <v>373</v>
      </c>
      <c r="G80" s="4">
        <f>VLOOKUP(A80,Populacao!A:B,2,0)</f>
        <v>33359415</v>
      </c>
      <c r="H80" s="14">
        <f t="shared" si="1"/>
        <v>1.118125123</v>
      </c>
      <c r="I80" s="14">
        <f t="shared" si="4"/>
        <v>594.9984435</v>
      </c>
      <c r="J80" s="2">
        <f>AVERAGEIFS(Dados!F:F, Dados!A:A, "=Peru", Dados!G:G, "=0" , Dados!E:E, D80)</f>
        <v>2193.333333</v>
      </c>
      <c r="K80" s="2">
        <f t="shared" si="2"/>
        <v>789.6666667</v>
      </c>
      <c r="L80" s="2">
        <f t="shared" si="3"/>
        <v>2.367147825</v>
      </c>
      <c r="M80" s="2">
        <f t="shared" si="5"/>
        <v>675.1312436</v>
      </c>
    </row>
    <row r="81">
      <c r="A81" s="2" t="str">
        <f>IFERROR(__xludf.DUMMYFUNCTION("""COMPUTED_VALUE"""),"Peru")</f>
        <v>Peru</v>
      </c>
      <c r="B81" s="3">
        <f>IFERROR(__xludf.DUMMYFUNCTION("""COMPUTED_VALUE"""),44445.0)</f>
        <v>44445</v>
      </c>
      <c r="C81" s="3">
        <f>IFERROR(__xludf.DUMMYFUNCTION("""COMPUTED_VALUE"""),44451.0)</f>
        <v>44451</v>
      </c>
      <c r="D81" s="2">
        <f>IFERROR(__xludf.DUMMYFUNCTION("""COMPUTED_VALUE"""),36.0)</f>
        <v>36</v>
      </c>
      <c r="E81" s="2">
        <f>IFERROR(__xludf.DUMMYFUNCTION("""COMPUTED_VALUE"""),2887.0)</f>
        <v>2887</v>
      </c>
      <c r="F81" s="2">
        <f>IFERROR(__xludf.DUMMYFUNCTION("""COMPUTED_VALUE"""),276.0)</f>
        <v>276</v>
      </c>
      <c r="G81" s="4">
        <f>VLOOKUP(A81,Populacao!A:B,2,0)</f>
        <v>33359415</v>
      </c>
      <c r="H81" s="14">
        <f t="shared" si="1"/>
        <v>0.8273526379</v>
      </c>
      <c r="I81" s="14">
        <f t="shared" si="4"/>
        <v>595.8257961</v>
      </c>
      <c r="J81" s="2">
        <f>AVERAGEIFS(Dados!F:F, Dados!A:A, "=Peru", Dados!G:G, "=0" , Dados!E:E, D81)</f>
        <v>2168</v>
      </c>
      <c r="K81" s="2">
        <f t="shared" si="2"/>
        <v>719</v>
      </c>
      <c r="L81" s="2">
        <f t="shared" si="3"/>
        <v>2.155313575</v>
      </c>
      <c r="M81" s="2">
        <f t="shared" si="5"/>
        <v>677.2865571</v>
      </c>
    </row>
    <row r="82">
      <c r="A82" s="2" t="str">
        <f>IFERROR(__xludf.DUMMYFUNCTION("""COMPUTED_VALUE"""),"Peru")</f>
        <v>Peru</v>
      </c>
      <c r="B82" s="3">
        <f>IFERROR(__xludf.DUMMYFUNCTION("""COMPUTED_VALUE"""),44452.0)</f>
        <v>44452</v>
      </c>
      <c r="C82" s="3">
        <f>IFERROR(__xludf.DUMMYFUNCTION("""COMPUTED_VALUE"""),44458.0)</f>
        <v>44458</v>
      </c>
      <c r="D82" s="2">
        <f>IFERROR(__xludf.DUMMYFUNCTION("""COMPUTED_VALUE"""),37.0)</f>
        <v>37</v>
      </c>
      <c r="E82" s="2">
        <f>IFERROR(__xludf.DUMMYFUNCTION("""COMPUTED_VALUE"""),2890.0)</f>
        <v>2890</v>
      </c>
      <c r="F82" s="2">
        <f>IFERROR(__xludf.DUMMYFUNCTION("""COMPUTED_VALUE"""),302.0)</f>
        <v>302</v>
      </c>
      <c r="G82" s="4">
        <f>VLOOKUP(A82,Populacao!A:B,2,0)</f>
        <v>33359415</v>
      </c>
      <c r="H82" s="14">
        <f t="shared" si="1"/>
        <v>0.9052916545</v>
      </c>
      <c r="I82" s="14">
        <f t="shared" si="4"/>
        <v>596.7310878</v>
      </c>
      <c r="J82" s="2">
        <f>AVERAGEIFS(Dados!F:F, Dados!A:A, "=Peru", Dados!G:G, "=0" , Dados!E:E, D82)</f>
        <v>2175</v>
      </c>
      <c r="K82" s="2">
        <f t="shared" si="2"/>
        <v>715</v>
      </c>
      <c r="L82" s="2">
        <f t="shared" si="3"/>
        <v>2.143322957</v>
      </c>
      <c r="M82" s="2">
        <f t="shared" si="5"/>
        <v>679.4298801</v>
      </c>
    </row>
    <row r="83">
      <c r="A83" s="2" t="str">
        <f>IFERROR(__xludf.DUMMYFUNCTION("""COMPUTED_VALUE"""),"Peru")</f>
        <v>Peru</v>
      </c>
      <c r="B83" s="3">
        <f>IFERROR(__xludf.DUMMYFUNCTION("""COMPUTED_VALUE"""),44459.0)</f>
        <v>44459</v>
      </c>
      <c r="C83" s="3">
        <f>IFERROR(__xludf.DUMMYFUNCTION("""COMPUTED_VALUE"""),44465.0)</f>
        <v>44465</v>
      </c>
      <c r="D83" s="2">
        <f>IFERROR(__xludf.DUMMYFUNCTION("""COMPUTED_VALUE"""),38.0)</f>
        <v>38</v>
      </c>
      <c r="E83" s="2">
        <f>IFERROR(__xludf.DUMMYFUNCTION("""COMPUTED_VALUE"""),2945.0)</f>
        <v>2945</v>
      </c>
      <c r="F83" s="2">
        <f>IFERROR(__xludf.DUMMYFUNCTION("""COMPUTED_VALUE"""),226.0)</f>
        <v>226</v>
      </c>
      <c r="G83" s="4">
        <f>VLOOKUP(A83,Populacao!A:B,2,0)</f>
        <v>33359415</v>
      </c>
      <c r="H83" s="14">
        <f t="shared" si="1"/>
        <v>0.6774699137</v>
      </c>
      <c r="I83" s="14">
        <f t="shared" si="4"/>
        <v>597.4085577</v>
      </c>
      <c r="J83" s="2">
        <f>AVERAGEIFS(Dados!F:F, Dados!A:A, "=Peru", Dados!G:G, "=0" , Dados!E:E, D83)</f>
        <v>2213.333333</v>
      </c>
      <c r="K83" s="2">
        <f t="shared" si="2"/>
        <v>731.6666667</v>
      </c>
      <c r="L83" s="2">
        <f t="shared" si="3"/>
        <v>2.193283865</v>
      </c>
      <c r="M83" s="2">
        <f t="shared" si="5"/>
        <v>681.623164</v>
      </c>
    </row>
    <row r="84">
      <c r="A84" s="2" t="str">
        <f>IFERROR(__xludf.DUMMYFUNCTION("""COMPUTED_VALUE"""),"Peru")</f>
        <v>Peru</v>
      </c>
      <c r="B84" s="3">
        <f>IFERROR(__xludf.DUMMYFUNCTION("""COMPUTED_VALUE"""),44466.0)</f>
        <v>44466</v>
      </c>
      <c r="C84" s="3">
        <f>IFERROR(__xludf.DUMMYFUNCTION("""COMPUTED_VALUE"""),44472.0)</f>
        <v>44472</v>
      </c>
      <c r="D84" s="2">
        <f>IFERROR(__xludf.DUMMYFUNCTION("""COMPUTED_VALUE"""),39.0)</f>
        <v>39</v>
      </c>
      <c r="E84" s="2">
        <f>IFERROR(__xludf.DUMMYFUNCTION("""COMPUTED_VALUE"""),2875.0)</f>
        <v>2875</v>
      </c>
      <c r="F84" s="2">
        <f>IFERROR(__xludf.DUMMYFUNCTION("""COMPUTED_VALUE"""),193.0)</f>
        <v>193</v>
      </c>
      <c r="G84" s="4">
        <f>VLOOKUP(A84,Populacao!A:B,2,0)</f>
        <v>33359415</v>
      </c>
      <c r="H84" s="14">
        <f t="shared" si="1"/>
        <v>0.5785473157</v>
      </c>
      <c r="I84" s="14">
        <f t="shared" si="4"/>
        <v>597.987105</v>
      </c>
      <c r="J84" s="2">
        <f>AVERAGEIFS(Dados!F:F, Dados!A:A, "=Peru", Dados!G:G, "=0" , Dados!E:E, D84)</f>
        <v>2217.333333</v>
      </c>
      <c r="K84" s="2">
        <f t="shared" si="2"/>
        <v>657.6666667</v>
      </c>
      <c r="L84" s="2">
        <f t="shared" si="3"/>
        <v>1.971457433</v>
      </c>
      <c r="M84" s="2">
        <f t="shared" si="5"/>
        <v>683.5946214</v>
      </c>
    </row>
    <row r="85">
      <c r="A85" s="2" t="str">
        <f>IFERROR(__xludf.DUMMYFUNCTION("""COMPUTED_VALUE"""),"Peru")</f>
        <v>Peru</v>
      </c>
      <c r="B85" s="3">
        <f>IFERROR(__xludf.DUMMYFUNCTION("""COMPUTED_VALUE"""),44473.0)</f>
        <v>44473</v>
      </c>
      <c r="C85" s="3">
        <f>IFERROR(__xludf.DUMMYFUNCTION("""COMPUTED_VALUE"""),44479.0)</f>
        <v>44479</v>
      </c>
      <c r="D85" s="2">
        <f>IFERROR(__xludf.DUMMYFUNCTION("""COMPUTED_VALUE"""),40.0)</f>
        <v>40</v>
      </c>
      <c r="E85" s="2">
        <f>IFERROR(__xludf.DUMMYFUNCTION("""COMPUTED_VALUE"""),2951.0)</f>
        <v>2951</v>
      </c>
      <c r="F85" s="2">
        <f>IFERROR(__xludf.DUMMYFUNCTION("""COMPUTED_VALUE"""),190.0)</f>
        <v>190</v>
      </c>
      <c r="G85" s="4">
        <f>VLOOKUP(A85,Populacao!A:B,2,0)</f>
        <v>33359415</v>
      </c>
      <c r="H85" s="14">
        <f t="shared" si="1"/>
        <v>0.5695543522</v>
      </c>
      <c r="I85" s="14">
        <f t="shared" si="4"/>
        <v>598.5566593</v>
      </c>
      <c r="J85" s="2">
        <f>AVERAGEIFS(Dados!F:F, Dados!A:A, "=Peru", Dados!G:G, "=0" , Dados!E:E, D85)</f>
        <v>2151.666667</v>
      </c>
      <c r="K85" s="2">
        <f t="shared" si="2"/>
        <v>799.3333333</v>
      </c>
      <c r="L85" s="2">
        <f t="shared" si="3"/>
        <v>2.396125152</v>
      </c>
      <c r="M85" s="2">
        <f t="shared" si="5"/>
        <v>685.9907465</v>
      </c>
    </row>
    <row r="86">
      <c r="A86" s="2" t="str">
        <f>IFERROR(__xludf.DUMMYFUNCTION("""COMPUTED_VALUE"""),"Peru")</f>
        <v>Peru</v>
      </c>
      <c r="B86" s="3">
        <f>IFERROR(__xludf.DUMMYFUNCTION("""COMPUTED_VALUE"""),44480.0)</f>
        <v>44480</v>
      </c>
      <c r="C86" s="3">
        <f>IFERROR(__xludf.DUMMYFUNCTION("""COMPUTED_VALUE"""),44486.0)</f>
        <v>44486</v>
      </c>
      <c r="D86" s="2">
        <f>IFERROR(__xludf.DUMMYFUNCTION("""COMPUTED_VALUE"""),41.0)</f>
        <v>41</v>
      </c>
      <c r="E86" s="2">
        <f>IFERROR(__xludf.DUMMYFUNCTION("""COMPUTED_VALUE"""),2855.0)</f>
        <v>2855</v>
      </c>
      <c r="F86" s="2">
        <f>IFERROR(__xludf.DUMMYFUNCTION("""COMPUTED_VALUE"""),168.0)</f>
        <v>168</v>
      </c>
      <c r="G86" s="4">
        <f>VLOOKUP(A86,Populacao!A:B,2,0)</f>
        <v>33359415</v>
      </c>
      <c r="H86" s="14">
        <f t="shared" si="1"/>
        <v>0.5036059535</v>
      </c>
      <c r="I86" s="14">
        <f t="shared" si="4"/>
        <v>599.0602653</v>
      </c>
      <c r="J86" s="2">
        <f>AVERAGEIFS(Dados!F:F, Dados!A:A, "=Peru", Dados!G:G, "=0" , Dados!E:E, D86)</f>
        <v>2191.666667</v>
      </c>
      <c r="K86" s="2">
        <f t="shared" si="2"/>
        <v>663.3333333</v>
      </c>
      <c r="L86" s="2">
        <f t="shared" si="3"/>
        <v>1.988444142</v>
      </c>
      <c r="M86" s="2">
        <f t="shared" si="5"/>
        <v>687.9791907</v>
      </c>
    </row>
    <row r="87">
      <c r="A87" s="2" t="str">
        <f>IFERROR(__xludf.DUMMYFUNCTION("""COMPUTED_VALUE"""),"Peru")</f>
        <v>Peru</v>
      </c>
      <c r="B87" s="3">
        <f>IFERROR(__xludf.DUMMYFUNCTION("""COMPUTED_VALUE"""),44487.0)</f>
        <v>44487</v>
      </c>
      <c r="C87" s="3">
        <f>IFERROR(__xludf.DUMMYFUNCTION("""COMPUTED_VALUE"""),44493.0)</f>
        <v>44493</v>
      </c>
      <c r="D87" s="2">
        <f>IFERROR(__xludf.DUMMYFUNCTION("""COMPUTED_VALUE"""),42.0)</f>
        <v>42</v>
      </c>
      <c r="E87" s="2">
        <f>IFERROR(__xludf.DUMMYFUNCTION("""COMPUTED_VALUE"""),2831.0)</f>
        <v>2831</v>
      </c>
      <c r="F87" s="2">
        <f>IFERROR(__xludf.DUMMYFUNCTION("""COMPUTED_VALUE"""),209.0)</f>
        <v>209</v>
      </c>
      <c r="G87" s="4">
        <f>VLOOKUP(A87,Populacao!A:B,2,0)</f>
        <v>33359415</v>
      </c>
      <c r="H87" s="14">
        <f t="shared" si="1"/>
        <v>0.6265097874</v>
      </c>
      <c r="I87" s="14">
        <f t="shared" si="4"/>
        <v>599.6867751</v>
      </c>
      <c r="J87" s="2">
        <f>AVERAGEIFS(Dados!F:F, Dados!A:A, "=Peru", Dados!G:G, "=0" , Dados!E:E, D87)</f>
        <v>2233</v>
      </c>
      <c r="K87" s="2">
        <f t="shared" si="2"/>
        <v>598</v>
      </c>
      <c r="L87" s="2">
        <f t="shared" si="3"/>
        <v>1.792597382</v>
      </c>
      <c r="M87" s="2">
        <f t="shared" si="5"/>
        <v>689.7717881</v>
      </c>
    </row>
    <row r="88">
      <c r="A88" s="2" t="str">
        <f>IFERROR(__xludf.DUMMYFUNCTION("""COMPUTED_VALUE"""),"Peru")</f>
        <v>Peru</v>
      </c>
      <c r="B88" s="3">
        <f>IFERROR(__xludf.DUMMYFUNCTION("""COMPUTED_VALUE"""),44494.0)</f>
        <v>44494</v>
      </c>
      <c r="C88" s="3">
        <f>IFERROR(__xludf.DUMMYFUNCTION("""COMPUTED_VALUE"""),44500.0)</f>
        <v>44500</v>
      </c>
      <c r="D88" s="2">
        <f>IFERROR(__xludf.DUMMYFUNCTION("""COMPUTED_VALUE"""),43.0)</f>
        <v>43</v>
      </c>
      <c r="E88" s="2">
        <f>IFERROR(__xludf.DUMMYFUNCTION("""COMPUTED_VALUE"""),2754.0)</f>
        <v>2754</v>
      </c>
      <c r="F88" s="2">
        <f>IFERROR(__xludf.DUMMYFUNCTION("""COMPUTED_VALUE"""),194.0)</f>
        <v>194</v>
      </c>
      <c r="G88" s="4">
        <f>VLOOKUP(A88,Populacao!A:B,2,0)</f>
        <v>33359415</v>
      </c>
      <c r="H88" s="14">
        <f t="shared" si="1"/>
        <v>0.5815449701</v>
      </c>
      <c r="I88" s="14">
        <f t="shared" si="4"/>
        <v>600.2683201</v>
      </c>
      <c r="J88" s="2">
        <f>AVERAGEIFS(Dados!F:F, Dados!A:A, "=Peru", Dados!G:G, "=0" , Dados!E:E, D88)</f>
        <v>2185.666667</v>
      </c>
      <c r="K88" s="2">
        <f t="shared" si="2"/>
        <v>568.3333333</v>
      </c>
      <c r="L88" s="2">
        <f t="shared" si="3"/>
        <v>1.703666966</v>
      </c>
      <c r="M88" s="2">
        <f t="shared" si="5"/>
        <v>691.475455</v>
      </c>
    </row>
    <row r="89">
      <c r="A89" s="2" t="str">
        <f>IFERROR(__xludf.DUMMYFUNCTION("""COMPUTED_VALUE"""),"Peru")</f>
        <v>Peru</v>
      </c>
      <c r="B89" s="3">
        <f>IFERROR(__xludf.DUMMYFUNCTION("""COMPUTED_VALUE"""),44501.0)</f>
        <v>44501</v>
      </c>
      <c r="C89" s="3">
        <f>IFERROR(__xludf.DUMMYFUNCTION("""COMPUTED_VALUE"""),44507.0)</f>
        <v>44507</v>
      </c>
      <c r="D89" s="2">
        <f>IFERROR(__xludf.DUMMYFUNCTION("""COMPUTED_VALUE"""),44.0)</f>
        <v>44</v>
      </c>
      <c r="E89" s="2">
        <f>IFERROR(__xludf.DUMMYFUNCTION("""COMPUTED_VALUE"""),2834.0)</f>
        <v>2834</v>
      </c>
      <c r="F89" s="2">
        <f>IFERROR(__xludf.DUMMYFUNCTION("""COMPUTED_VALUE"""),184.0)</f>
        <v>184</v>
      </c>
      <c r="G89" s="4">
        <f>VLOOKUP(A89,Populacao!A:B,2,0)</f>
        <v>33359415</v>
      </c>
      <c r="H89" s="14">
        <f t="shared" si="1"/>
        <v>0.5515684253</v>
      </c>
      <c r="I89" s="14">
        <f t="shared" si="4"/>
        <v>600.8198885</v>
      </c>
      <c r="J89" s="2">
        <f>AVERAGEIFS(Dados!F:F, Dados!A:A, "=Peru", Dados!G:G, "=0" , Dados!E:E, D89)</f>
        <v>2205</v>
      </c>
      <c r="K89" s="2">
        <f t="shared" si="2"/>
        <v>629</v>
      </c>
      <c r="L89" s="2">
        <f t="shared" si="3"/>
        <v>1.885524671</v>
      </c>
      <c r="M89" s="2">
        <f t="shared" si="5"/>
        <v>693.3609797</v>
      </c>
    </row>
    <row r="90">
      <c r="H90" s="14"/>
    </row>
    <row r="91">
      <c r="H91" s="14"/>
    </row>
    <row r="92">
      <c r="H92" s="14"/>
    </row>
    <row r="93">
      <c r="H93" s="14"/>
    </row>
    <row r="94">
      <c r="H94" s="14"/>
    </row>
    <row r="95">
      <c r="H95" s="14"/>
    </row>
    <row r="96">
      <c r="H96" s="14"/>
    </row>
    <row r="97">
      <c r="H97" s="14"/>
    </row>
    <row r="98">
      <c r="H98" s="14"/>
    </row>
    <row r="99">
      <c r="H99" s="14"/>
    </row>
    <row r="100">
      <c r="H100" s="14"/>
    </row>
    <row r="101">
      <c r="H101" s="14"/>
    </row>
    <row r="102">
      <c r="H102" s="14"/>
    </row>
    <row r="103">
      <c r="H103" s="14"/>
    </row>
    <row r="104">
      <c r="H104" s="14"/>
    </row>
    <row r="105">
      <c r="H105" s="14"/>
    </row>
    <row r="106">
      <c r="H106" s="14"/>
    </row>
    <row r="107">
      <c r="H107" s="14"/>
    </row>
    <row r="108">
      <c r="H108" s="14"/>
    </row>
    <row r="109">
      <c r="H109" s="14"/>
    </row>
    <row r="110">
      <c r="H110" s="14"/>
    </row>
    <row r="111">
      <c r="H111" s="14"/>
    </row>
    <row r="112">
      <c r="H112" s="14"/>
    </row>
    <row r="113">
      <c r="H113" s="14"/>
    </row>
    <row r="114">
      <c r="H114" s="14"/>
    </row>
    <row r="115">
      <c r="H115" s="14"/>
    </row>
    <row r="116">
      <c r="H116" s="14"/>
    </row>
    <row r="117">
      <c r="H117" s="14"/>
    </row>
    <row r="118">
      <c r="H118" s="14"/>
    </row>
    <row r="119">
      <c r="H119" s="14"/>
    </row>
    <row r="120">
      <c r="H120" s="14"/>
    </row>
    <row r="121">
      <c r="H121" s="14"/>
    </row>
    <row r="122">
      <c r="H122" s="14"/>
    </row>
    <row r="123">
      <c r="H123" s="14"/>
    </row>
    <row r="124">
      <c r="H124" s="14"/>
    </row>
    <row r="125">
      <c r="H125" s="14"/>
    </row>
    <row r="126">
      <c r="H126" s="14"/>
    </row>
    <row r="127">
      <c r="H127" s="14"/>
    </row>
    <row r="128">
      <c r="H128" s="14"/>
    </row>
    <row r="129">
      <c r="H129" s="14"/>
    </row>
    <row r="130">
      <c r="H130" s="14"/>
    </row>
    <row r="131">
      <c r="H131" s="14"/>
    </row>
    <row r="132">
      <c r="H132" s="14"/>
    </row>
    <row r="133">
      <c r="H133" s="14"/>
    </row>
    <row r="134">
      <c r="H134" s="14"/>
    </row>
    <row r="135">
      <c r="H135" s="14"/>
    </row>
    <row r="136">
      <c r="H136" s="14"/>
    </row>
    <row r="137">
      <c r="H137" s="14"/>
    </row>
    <row r="138">
      <c r="H138" s="14"/>
    </row>
    <row r="139">
      <c r="H139" s="14"/>
    </row>
    <row r="140">
      <c r="H140" s="14"/>
    </row>
    <row r="141">
      <c r="H141" s="14"/>
    </row>
    <row r="142">
      <c r="H142" s="14"/>
    </row>
    <row r="143">
      <c r="H143" s="14"/>
    </row>
    <row r="144">
      <c r="H144" s="14"/>
    </row>
    <row r="145">
      <c r="H145" s="14"/>
    </row>
    <row r="146">
      <c r="H146" s="14"/>
    </row>
    <row r="147">
      <c r="H147" s="14"/>
    </row>
    <row r="148">
      <c r="H148" s="14"/>
    </row>
    <row r="149">
      <c r="H149" s="14"/>
    </row>
    <row r="150">
      <c r="H150" s="14"/>
    </row>
    <row r="151">
      <c r="H151" s="14"/>
    </row>
    <row r="152">
      <c r="H152" s="14"/>
    </row>
    <row r="153">
      <c r="H153" s="14"/>
    </row>
    <row r="154">
      <c r="H154" s="14"/>
    </row>
    <row r="155">
      <c r="H155" s="14"/>
    </row>
    <row r="156">
      <c r="H156" s="14"/>
    </row>
    <row r="157">
      <c r="H157" s="14"/>
    </row>
    <row r="158">
      <c r="H158" s="14"/>
    </row>
    <row r="159">
      <c r="H159" s="14"/>
    </row>
    <row r="160">
      <c r="H160" s="14"/>
    </row>
    <row r="161">
      <c r="H161" s="14"/>
    </row>
    <row r="162">
      <c r="H162" s="14"/>
    </row>
    <row r="163">
      <c r="H163" s="14"/>
    </row>
    <row r="164">
      <c r="H164" s="14"/>
    </row>
    <row r="165">
      <c r="H165" s="14"/>
    </row>
    <row r="166">
      <c r="H166" s="14"/>
    </row>
    <row r="167">
      <c r="H167" s="14"/>
    </row>
    <row r="168">
      <c r="H168" s="14"/>
    </row>
    <row r="169">
      <c r="H169" s="14"/>
    </row>
    <row r="170">
      <c r="H170" s="14"/>
    </row>
    <row r="171">
      <c r="H171" s="14"/>
    </row>
    <row r="172">
      <c r="H172" s="14"/>
    </row>
    <row r="173">
      <c r="H173" s="14"/>
    </row>
    <row r="174">
      <c r="H174" s="14"/>
    </row>
    <row r="175">
      <c r="H175" s="14"/>
    </row>
    <row r="176">
      <c r="H176" s="14"/>
    </row>
    <row r="177">
      <c r="H177" s="14"/>
    </row>
    <row r="178">
      <c r="H178" s="14"/>
    </row>
    <row r="179">
      <c r="H179" s="14"/>
    </row>
    <row r="180">
      <c r="H180" s="14"/>
    </row>
    <row r="181">
      <c r="H181" s="14"/>
    </row>
    <row r="182">
      <c r="H182" s="14"/>
    </row>
    <row r="183">
      <c r="H183" s="14"/>
    </row>
    <row r="184">
      <c r="H184" s="14"/>
    </row>
    <row r="185">
      <c r="H185" s="14"/>
    </row>
    <row r="186">
      <c r="H186" s="14"/>
    </row>
    <row r="187">
      <c r="H187" s="14"/>
    </row>
    <row r="188">
      <c r="H188" s="14"/>
    </row>
    <row r="189">
      <c r="H189" s="14"/>
    </row>
    <row r="190">
      <c r="H190" s="14"/>
    </row>
    <row r="191">
      <c r="H191" s="14"/>
    </row>
    <row r="192">
      <c r="H192" s="14"/>
    </row>
    <row r="193">
      <c r="H193" s="14"/>
    </row>
    <row r="194">
      <c r="H194" s="14"/>
    </row>
    <row r="195">
      <c r="H195" s="14"/>
    </row>
    <row r="196">
      <c r="H196" s="14"/>
    </row>
    <row r="197">
      <c r="H197" s="14"/>
    </row>
    <row r="198">
      <c r="H198" s="14"/>
    </row>
    <row r="199">
      <c r="H199" s="14"/>
    </row>
    <row r="200">
      <c r="H200" s="14"/>
    </row>
    <row r="201">
      <c r="H201" s="14"/>
    </row>
    <row r="202">
      <c r="H202" s="14"/>
    </row>
    <row r="203">
      <c r="H203" s="14"/>
    </row>
    <row r="204">
      <c r="H204" s="14"/>
    </row>
    <row r="205">
      <c r="H205" s="14"/>
    </row>
    <row r="206">
      <c r="H206" s="14"/>
    </row>
    <row r="207">
      <c r="H207" s="14"/>
    </row>
    <row r="208">
      <c r="H208" s="14"/>
    </row>
    <row r="209">
      <c r="H209" s="14"/>
    </row>
    <row r="210">
      <c r="H210" s="14"/>
    </row>
    <row r="211">
      <c r="H211" s="14"/>
    </row>
    <row r="212">
      <c r="H212" s="14"/>
    </row>
    <row r="213">
      <c r="H213" s="14"/>
    </row>
    <row r="214">
      <c r="H214" s="14"/>
    </row>
    <row r="215">
      <c r="H215" s="14"/>
    </row>
    <row r="216">
      <c r="H216" s="14"/>
    </row>
    <row r="217">
      <c r="H217" s="14"/>
    </row>
    <row r="218">
      <c r="H218" s="14"/>
    </row>
    <row r="219">
      <c r="H219" s="14"/>
    </row>
    <row r="220">
      <c r="H220" s="14"/>
    </row>
    <row r="221">
      <c r="H221" s="14"/>
    </row>
    <row r="222">
      <c r="H222" s="14"/>
    </row>
    <row r="223">
      <c r="H223" s="14"/>
    </row>
    <row r="224">
      <c r="H224" s="14"/>
    </row>
    <row r="225">
      <c r="H225" s="14"/>
    </row>
    <row r="226">
      <c r="H226" s="14"/>
    </row>
    <row r="227">
      <c r="H227" s="14"/>
    </row>
    <row r="228">
      <c r="H228" s="14"/>
    </row>
    <row r="229">
      <c r="H229" s="14"/>
    </row>
    <row r="230">
      <c r="H230" s="14"/>
    </row>
    <row r="231">
      <c r="H231" s="14"/>
    </row>
    <row r="232">
      <c r="H232" s="14"/>
    </row>
    <row r="233">
      <c r="H233" s="14"/>
    </row>
    <row r="234">
      <c r="H234" s="14"/>
    </row>
    <row r="235">
      <c r="H235" s="14"/>
    </row>
    <row r="236">
      <c r="H236" s="14"/>
    </row>
    <row r="237">
      <c r="H237" s="14"/>
    </row>
    <row r="238">
      <c r="H238" s="14"/>
    </row>
    <row r="239">
      <c r="H239" s="14"/>
    </row>
    <row r="240">
      <c r="H240" s="14"/>
    </row>
    <row r="241">
      <c r="H241" s="14"/>
    </row>
    <row r="242">
      <c r="H242" s="14"/>
    </row>
    <row r="243">
      <c r="H243" s="14"/>
    </row>
    <row r="244">
      <c r="H244" s="14"/>
    </row>
    <row r="245">
      <c r="H245" s="14"/>
    </row>
    <row r="246">
      <c r="H246" s="14"/>
    </row>
    <row r="247">
      <c r="H247" s="14"/>
    </row>
    <row r="248">
      <c r="H248" s="14"/>
    </row>
    <row r="249">
      <c r="H249" s="14"/>
    </row>
    <row r="250">
      <c r="H250" s="14"/>
    </row>
    <row r="251">
      <c r="H251" s="14"/>
    </row>
    <row r="252">
      <c r="H252" s="14"/>
    </row>
    <row r="253">
      <c r="H253" s="14"/>
    </row>
    <row r="254">
      <c r="H254" s="14"/>
    </row>
    <row r="255">
      <c r="H255" s="14"/>
    </row>
    <row r="256">
      <c r="H256" s="14"/>
    </row>
    <row r="257">
      <c r="H257" s="14"/>
    </row>
    <row r="258">
      <c r="H258" s="14"/>
    </row>
    <row r="259">
      <c r="H259" s="14"/>
    </row>
    <row r="260">
      <c r="H260" s="14"/>
    </row>
    <row r="261">
      <c r="H261" s="14"/>
    </row>
    <row r="262">
      <c r="H262" s="14"/>
    </row>
    <row r="263">
      <c r="H263" s="14"/>
    </row>
    <row r="264">
      <c r="H264" s="14"/>
    </row>
    <row r="265">
      <c r="H265" s="14"/>
    </row>
    <row r="266">
      <c r="H266" s="14"/>
    </row>
    <row r="267">
      <c r="H267" s="14"/>
    </row>
    <row r="268">
      <c r="H268" s="14"/>
    </row>
    <row r="269">
      <c r="H269" s="14"/>
    </row>
    <row r="270">
      <c r="H270" s="14"/>
    </row>
    <row r="271">
      <c r="H271" s="14"/>
    </row>
    <row r="272">
      <c r="H272" s="14"/>
    </row>
    <row r="273">
      <c r="H273" s="14"/>
    </row>
    <row r="274">
      <c r="H274" s="14"/>
    </row>
    <row r="275">
      <c r="H275" s="14"/>
    </row>
    <row r="276">
      <c r="H276" s="14"/>
    </row>
    <row r="277">
      <c r="H277" s="14"/>
    </row>
    <row r="278">
      <c r="H278" s="14"/>
    </row>
    <row r="279">
      <c r="H279" s="14"/>
    </row>
    <row r="280">
      <c r="H280" s="14"/>
    </row>
    <row r="281">
      <c r="H281" s="14"/>
    </row>
    <row r="282">
      <c r="H282" s="14"/>
    </row>
    <row r="283">
      <c r="H283" s="14"/>
    </row>
    <row r="284">
      <c r="H284" s="14"/>
    </row>
    <row r="285">
      <c r="H285" s="14"/>
    </row>
    <row r="286">
      <c r="H286" s="14"/>
    </row>
    <row r="287">
      <c r="H287" s="14"/>
    </row>
    <row r="288">
      <c r="H288" s="14"/>
    </row>
    <row r="289">
      <c r="H289" s="14"/>
    </row>
    <row r="290">
      <c r="H290" s="14"/>
    </row>
    <row r="291">
      <c r="H291" s="14"/>
    </row>
    <row r="292">
      <c r="H292" s="14"/>
    </row>
    <row r="293">
      <c r="H293" s="14"/>
    </row>
    <row r="294">
      <c r="H294" s="14"/>
    </row>
    <row r="295">
      <c r="H295" s="14"/>
    </row>
    <row r="296">
      <c r="H296" s="14"/>
    </row>
    <row r="297">
      <c r="H297" s="14"/>
    </row>
    <row r="298">
      <c r="H298" s="14"/>
    </row>
    <row r="299">
      <c r="H299" s="14"/>
    </row>
    <row r="300">
      <c r="H300" s="14"/>
    </row>
    <row r="301">
      <c r="H301" s="14"/>
    </row>
    <row r="302">
      <c r="H302" s="14"/>
    </row>
    <row r="303">
      <c r="H303" s="14"/>
    </row>
    <row r="304">
      <c r="H304" s="14"/>
    </row>
    <row r="305">
      <c r="H305" s="14"/>
    </row>
    <row r="306">
      <c r="H306" s="14"/>
    </row>
    <row r="307">
      <c r="H307" s="14"/>
    </row>
    <row r="308">
      <c r="H308" s="14"/>
    </row>
    <row r="309">
      <c r="H309" s="14"/>
    </row>
    <row r="310">
      <c r="H310" s="14"/>
    </row>
    <row r="311">
      <c r="H311" s="14"/>
    </row>
    <row r="312">
      <c r="H312" s="14"/>
    </row>
    <row r="313">
      <c r="H313" s="14"/>
    </row>
    <row r="314">
      <c r="H314" s="14"/>
    </row>
    <row r="315">
      <c r="H315" s="14"/>
    </row>
    <row r="316">
      <c r="H316" s="14"/>
    </row>
    <row r="317">
      <c r="H317" s="14"/>
    </row>
    <row r="318">
      <c r="H318" s="14"/>
    </row>
    <row r="319">
      <c r="H319" s="14"/>
    </row>
    <row r="320">
      <c r="H320" s="14"/>
    </row>
    <row r="321">
      <c r="H321" s="14"/>
    </row>
    <row r="322">
      <c r="H322" s="14"/>
    </row>
    <row r="323">
      <c r="H323" s="14"/>
    </row>
    <row r="324">
      <c r="H324" s="14"/>
    </row>
    <row r="325">
      <c r="H325" s="14"/>
    </row>
    <row r="326">
      <c r="H326" s="14"/>
    </row>
    <row r="327">
      <c r="H327" s="14"/>
    </row>
    <row r="328">
      <c r="H328" s="14"/>
    </row>
    <row r="329">
      <c r="H329" s="14"/>
    </row>
    <row r="330">
      <c r="H330" s="14"/>
    </row>
    <row r="331">
      <c r="H331" s="14"/>
    </row>
    <row r="332">
      <c r="H332" s="14"/>
    </row>
    <row r="333">
      <c r="H333" s="14"/>
    </row>
    <row r="334">
      <c r="H334" s="14"/>
    </row>
    <row r="335">
      <c r="H335" s="14"/>
    </row>
    <row r="336">
      <c r="H336" s="14"/>
    </row>
    <row r="337">
      <c r="H337" s="14"/>
    </row>
    <row r="338">
      <c r="H338" s="14"/>
    </row>
    <row r="339">
      <c r="H339" s="14"/>
    </row>
    <row r="340">
      <c r="H340" s="14"/>
    </row>
    <row r="341">
      <c r="H341" s="14"/>
    </row>
    <row r="342">
      <c r="H342" s="14"/>
    </row>
    <row r="343">
      <c r="H343" s="14"/>
    </row>
    <row r="344">
      <c r="H344" s="14"/>
    </row>
    <row r="345">
      <c r="H345" s="14"/>
    </row>
    <row r="346">
      <c r="H346" s="14"/>
    </row>
    <row r="347">
      <c r="H347" s="14"/>
    </row>
    <row r="348">
      <c r="H348" s="14"/>
    </row>
    <row r="349">
      <c r="H349" s="14"/>
    </row>
    <row r="350">
      <c r="H350" s="14"/>
    </row>
    <row r="351">
      <c r="H351" s="14"/>
    </row>
    <row r="352">
      <c r="H352" s="14"/>
    </row>
    <row r="353">
      <c r="H353" s="14"/>
    </row>
    <row r="354">
      <c r="H354" s="14"/>
    </row>
    <row r="355">
      <c r="H355" s="14"/>
    </row>
    <row r="356">
      <c r="H356" s="14"/>
    </row>
    <row r="357">
      <c r="H357" s="14"/>
    </row>
    <row r="358">
      <c r="H358" s="14"/>
    </row>
    <row r="359">
      <c r="H359" s="14"/>
    </row>
    <row r="360">
      <c r="H360" s="14"/>
    </row>
    <row r="361">
      <c r="H361" s="14"/>
    </row>
    <row r="362">
      <c r="H362" s="14"/>
    </row>
    <row r="363">
      <c r="H363" s="14"/>
    </row>
    <row r="364">
      <c r="H364" s="14"/>
    </row>
    <row r="365">
      <c r="H365" s="14"/>
    </row>
    <row r="366">
      <c r="H366" s="14"/>
    </row>
    <row r="367">
      <c r="H367" s="14"/>
    </row>
    <row r="368">
      <c r="H368" s="14"/>
    </row>
    <row r="369">
      <c r="H369" s="14"/>
    </row>
    <row r="370">
      <c r="H370" s="14"/>
    </row>
    <row r="371">
      <c r="H371" s="14"/>
    </row>
    <row r="372">
      <c r="H372" s="14"/>
    </row>
    <row r="373">
      <c r="H373" s="14"/>
    </row>
    <row r="374">
      <c r="H374" s="14"/>
    </row>
    <row r="375">
      <c r="H375" s="14"/>
    </row>
    <row r="376">
      <c r="H376" s="14"/>
    </row>
    <row r="377">
      <c r="H377" s="14"/>
    </row>
    <row r="378">
      <c r="H378" s="14"/>
    </row>
    <row r="379">
      <c r="H379" s="14"/>
    </row>
    <row r="380">
      <c r="H380" s="14"/>
    </row>
    <row r="381">
      <c r="H381" s="14"/>
    </row>
    <row r="382">
      <c r="H382" s="14"/>
    </row>
    <row r="383">
      <c r="H383" s="14"/>
    </row>
    <row r="384">
      <c r="H384" s="14"/>
    </row>
    <row r="385">
      <c r="H385" s="14"/>
    </row>
    <row r="386">
      <c r="H386" s="14"/>
    </row>
    <row r="387">
      <c r="H387" s="14"/>
    </row>
    <row r="388">
      <c r="H388" s="14"/>
    </row>
    <row r="389">
      <c r="H389" s="14"/>
    </row>
    <row r="390">
      <c r="H390" s="14"/>
    </row>
    <row r="391">
      <c r="H391" s="14"/>
    </row>
    <row r="392">
      <c r="H392" s="14"/>
    </row>
    <row r="393">
      <c r="H393" s="14"/>
    </row>
    <row r="394">
      <c r="H394" s="14"/>
    </row>
    <row r="395">
      <c r="H395" s="14"/>
    </row>
    <row r="396">
      <c r="H396" s="14"/>
    </row>
    <row r="397">
      <c r="H397" s="14"/>
    </row>
    <row r="398">
      <c r="H398" s="14"/>
    </row>
    <row r="399">
      <c r="H399" s="14"/>
    </row>
    <row r="400">
      <c r="H400" s="14"/>
    </row>
    <row r="401">
      <c r="H401" s="14"/>
    </row>
    <row r="402">
      <c r="H402" s="14"/>
    </row>
    <row r="403">
      <c r="H403" s="14"/>
    </row>
    <row r="404">
      <c r="H404" s="14"/>
    </row>
    <row r="405">
      <c r="H405" s="14"/>
    </row>
    <row r="406">
      <c r="H406" s="14"/>
    </row>
    <row r="407">
      <c r="H407" s="14"/>
    </row>
    <row r="408">
      <c r="H408" s="14"/>
    </row>
    <row r="409">
      <c r="H409" s="14"/>
    </row>
    <row r="410">
      <c r="H410" s="14"/>
    </row>
    <row r="411">
      <c r="H411" s="14"/>
    </row>
    <row r="412">
      <c r="H412" s="14"/>
    </row>
    <row r="413">
      <c r="H413" s="14"/>
    </row>
    <row r="414">
      <c r="H414" s="14"/>
    </row>
    <row r="415">
      <c r="H415" s="14"/>
    </row>
    <row r="416">
      <c r="H416" s="14"/>
    </row>
    <row r="417">
      <c r="H417" s="14"/>
    </row>
    <row r="418">
      <c r="H418" s="14"/>
    </row>
    <row r="419">
      <c r="H419" s="14"/>
    </row>
    <row r="420">
      <c r="H420" s="14"/>
    </row>
    <row r="421">
      <c r="H421" s="14"/>
    </row>
    <row r="422">
      <c r="H422" s="14"/>
    </row>
    <row r="423">
      <c r="H423" s="14"/>
    </row>
    <row r="424">
      <c r="H424" s="14"/>
    </row>
    <row r="425">
      <c r="H425" s="14"/>
    </row>
    <row r="426">
      <c r="H426" s="14"/>
    </row>
    <row r="427">
      <c r="H427" s="14"/>
    </row>
    <row r="428">
      <c r="H428" s="14"/>
    </row>
    <row r="429">
      <c r="H429" s="14"/>
    </row>
    <row r="430">
      <c r="H430" s="14"/>
    </row>
    <row r="431">
      <c r="H431" s="14"/>
    </row>
    <row r="432">
      <c r="H432" s="14"/>
    </row>
    <row r="433">
      <c r="H433" s="14"/>
    </row>
    <row r="434">
      <c r="H434" s="14"/>
    </row>
    <row r="435">
      <c r="H435" s="14"/>
    </row>
    <row r="436">
      <c r="H436" s="14"/>
    </row>
    <row r="437">
      <c r="H437" s="14"/>
    </row>
    <row r="438">
      <c r="H438" s="14"/>
    </row>
    <row r="439">
      <c r="H439" s="14"/>
    </row>
    <row r="440">
      <c r="H440" s="14"/>
    </row>
    <row r="441">
      <c r="H441" s="14"/>
    </row>
    <row r="442">
      <c r="H442" s="14"/>
    </row>
    <row r="443">
      <c r="H443" s="14"/>
    </row>
    <row r="444">
      <c r="H444" s="14"/>
    </row>
    <row r="445">
      <c r="H445" s="14"/>
    </row>
    <row r="446">
      <c r="H446" s="14"/>
    </row>
    <row r="447">
      <c r="H447" s="14"/>
    </row>
    <row r="448">
      <c r="H448" s="14"/>
    </row>
    <row r="449">
      <c r="H449" s="14"/>
    </row>
    <row r="450">
      <c r="H450" s="14"/>
    </row>
    <row r="451">
      <c r="H451" s="14"/>
    </row>
    <row r="452">
      <c r="H452" s="14"/>
    </row>
    <row r="453">
      <c r="H453" s="14"/>
    </row>
    <row r="454">
      <c r="H454" s="14"/>
    </row>
    <row r="455">
      <c r="H455" s="14"/>
    </row>
    <row r="456">
      <c r="H456" s="14"/>
    </row>
    <row r="457">
      <c r="H457" s="14"/>
    </row>
    <row r="458">
      <c r="H458" s="14"/>
    </row>
    <row r="459">
      <c r="H459" s="14"/>
    </row>
    <row r="460">
      <c r="H460" s="14"/>
    </row>
    <row r="461">
      <c r="H461" s="14"/>
    </row>
    <row r="462">
      <c r="H462" s="14"/>
    </row>
    <row r="463">
      <c r="H463" s="14"/>
    </row>
    <row r="464">
      <c r="H464" s="14"/>
    </row>
    <row r="465">
      <c r="H465" s="14"/>
    </row>
    <row r="466">
      <c r="H466" s="14"/>
    </row>
    <row r="467">
      <c r="H467" s="14"/>
    </row>
    <row r="468">
      <c r="H468" s="14"/>
    </row>
    <row r="469">
      <c r="H469" s="14"/>
    </row>
    <row r="470">
      <c r="H470" s="14"/>
    </row>
    <row r="471">
      <c r="H471" s="14"/>
    </row>
    <row r="472">
      <c r="H472" s="14"/>
    </row>
    <row r="473">
      <c r="H473" s="14"/>
    </row>
    <row r="474">
      <c r="H474" s="14"/>
    </row>
    <row r="475">
      <c r="H475" s="14"/>
    </row>
    <row r="476">
      <c r="H476" s="14"/>
    </row>
    <row r="477">
      <c r="H477" s="14"/>
    </row>
    <row r="478">
      <c r="H478" s="14"/>
    </row>
    <row r="479">
      <c r="H479" s="14"/>
    </row>
    <row r="480">
      <c r="H480" s="14"/>
    </row>
    <row r="481">
      <c r="H481" s="14"/>
    </row>
    <row r="482">
      <c r="H482" s="14"/>
    </row>
    <row r="483">
      <c r="H483" s="14"/>
    </row>
    <row r="484">
      <c r="H484" s="14"/>
    </row>
    <row r="485">
      <c r="H485" s="14"/>
    </row>
    <row r="486">
      <c r="H486" s="14"/>
    </row>
    <row r="487">
      <c r="H487" s="14"/>
    </row>
    <row r="488">
      <c r="H488" s="14"/>
    </row>
    <row r="489">
      <c r="H489" s="14"/>
    </row>
    <row r="490">
      <c r="H490" s="14"/>
    </row>
    <row r="491">
      <c r="H491" s="14"/>
    </row>
    <row r="492">
      <c r="H492" s="14"/>
    </row>
    <row r="493">
      <c r="H493" s="14"/>
    </row>
    <row r="494">
      <c r="H494" s="14"/>
    </row>
    <row r="495">
      <c r="H495" s="14"/>
    </row>
    <row r="496">
      <c r="H496" s="14"/>
    </row>
    <row r="497">
      <c r="H497" s="14"/>
    </row>
    <row r="498">
      <c r="H498" s="14"/>
    </row>
    <row r="499">
      <c r="H499" s="14"/>
    </row>
    <row r="500">
      <c r="H500" s="14"/>
    </row>
    <row r="501">
      <c r="H501" s="14"/>
    </row>
    <row r="502">
      <c r="H502" s="14"/>
    </row>
    <row r="503">
      <c r="H503" s="14"/>
    </row>
    <row r="504">
      <c r="H504" s="14"/>
    </row>
    <row r="505">
      <c r="H505" s="14"/>
    </row>
    <row r="506">
      <c r="H506" s="14"/>
    </row>
    <row r="507">
      <c r="H507" s="14"/>
    </row>
    <row r="508">
      <c r="H508" s="14"/>
    </row>
    <row r="509">
      <c r="H509" s="14"/>
    </row>
    <row r="510">
      <c r="H510" s="14"/>
    </row>
    <row r="511">
      <c r="H511" s="14"/>
    </row>
    <row r="512">
      <c r="H512" s="14"/>
    </row>
    <row r="513">
      <c r="H513" s="14"/>
    </row>
    <row r="514">
      <c r="H514" s="14"/>
    </row>
    <row r="515">
      <c r="H515" s="14"/>
    </row>
    <row r="516">
      <c r="H516" s="14"/>
    </row>
    <row r="517">
      <c r="H517" s="14"/>
    </row>
    <row r="518">
      <c r="H518" s="14"/>
    </row>
    <row r="519">
      <c r="H519" s="14"/>
    </row>
    <row r="520">
      <c r="H520" s="14"/>
    </row>
    <row r="521">
      <c r="H521" s="14"/>
    </row>
    <row r="522">
      <c r="H522" s="14"/>
    </row>
    <row r="523">
      <c r="H523" s="14"/>
    </row>
    <row r="524">
      <c r="H524" s="14"/>
    </row>
    <row r="525">
      <c r="H525" s="14"/>
    </row>
    <row r="526">
      <c r="H526" s="14"/>
    </row>
    <row r="527">
      <c r="H527" s="14"/>
    </row>
    <row r="528">
      <c r="H528" s="14"/>
    </row>
    <row r="529">
      <c r="H529" s="14"/>
    </row>
    <row r="530">
      <c r="H530" s="14"/>
    </row>
    <row r="531">
      <c r="H531" s="14"/>
    </row>
    <row r="532">
      <c r="H532" s="14"/>
    </row>
    <row r="533">
      <c r="H533" s="14"/>
    </row>
    <row r="534">
      <c r="H534" s="14"/>
    </row>
    <row r="535">
      <c r="H535" s="14"/>
    </row>
    <row r="536">
      <c r="H536" s="14"/>
    </row>
    <row r="537">
      <c r="H537" s="14"/>
    </row>
    <row r="538">
      <c r="H538" s="14"/>
    </row>
    <row r="539">
      <c r="H539" s="14"/>
    </row>
    <row r="540">
      <c r="H540" s="14"/>
    </row>
    <row r="541">
      <c r="H541" s="14"/>
    </row>
    <row r="542">
      <c r="H542" s="14"/>
    </row>
    <row r="543">
      <c r="H543" s="14"/>
    </row>
    <row r="544">
      <c r="H544" s="14"/>
    </row>
    <row r="545">
      <c r="H545" s="14"/>
    </row>
    <row r="546">
      <c r="H546" s="14"/>
    </row>
    <row r="547">
      <c r="H547" s="14"/>
    </row>
    <row r="548">
      <c r="H548" s="14"/>
    </row>
    <row r="549">
      <c r="H549" s="14"/>
    </row>
    <row r="550">
      <c r="H550" s="14"/>
    </row>
    <row r="551">
      <c r="H551" s="14"/>
    </row>
    <row r="552">
      <c r="H552" s="14"/>
    </row>
    <row r="553">
      <c r="H553" s="14"/>
    </row>
    <row r="554">
      <c r="H554" s="14"/>
    </row>
    <row r="555">
      <c r="H555" s="14"/>
    </row>
    <row r="556">
      <c r="H556" s="14"/>
    </row>
    <row r="557">
      <c r="H557" s="14"/>
    </row>
    <row r="558">
      <c r="H558" s="14"/>
    </row>
    <row r="559">
      <c r="H559" s="14"/>
    </row>
    <row r="560">
      <c r="H560" s="14"/>
    </row>
    <row r="561">
      <c r="H561" s="14"/>
    </row>
    <row r="562">
      <c r="H562" s="14"/>
    </row>
    <row r="563">
      <c r="H563" s="14"/>
    </row>
    <row r="564">
      <c r="H564" s="14"/>
    </row>
    <row r="565">
      <c r="H565" s="14"/>
    </row>
    <row r="566">
      <c r="H566" s="14"/>
    </row>
    <row r="567">
      <c r="H567" s="14"/>
    </row>
    <row r="568">
      <c r="H568" s="14"/>
    </row>
    <row r="569">
      <c r="H569" s="14"/>
    </row>
    <row r="570">
      <c r="H570" s="14"/>
    </row>
    <row r="571">
      <c r="H571" s="14"/>
    </row>
    <row r="572">
      <c r="H572" s="14"/>
    </row>
    <row r="573">
      <c r="H573" s="14"/>
    </row>
    <row r="574">
      <c r="H574" s="14"/>
    </row>
    <row r="575">
      <c r="H575" s="14"/>
    </row>
    <row r="576">
      <c r="H576" s="14"/>
    </row>
    <row r="577">
      <c r="H577" s="14"/>
    </row>
    <row r="578">
      <c r="H578" s="14"/>
    </row>
    <row r="579">
      <c r="H579" s="14"/>
    </row>
    <row r="580">
      <c r="H580" s="14"/>
    </row>
    <row r="581">
      <c r="H581" s="14"/>
    </row>
    <row r="582">
      <c r="H582" s="14"/>
    </row>
    <row r="583">
      <c r="H583" s="14"/>
    </row>
    <row r="584">
      <c r="H584" s="14"/>
    </row>
    <row r="585">
      <c r="H585" s="14"/>
    </row>
    <row r="586">
      <c r="H586" s="14"/>
    </row>
    <row r="587">
      <c r="H587" s="14"/>
    </row>
    <row r="588">
      <c r="H588" s="14"/>
    </row>
    <row r="589">
      <c r="H589" s="14"/>
    </row>
    <row r="590">
      <c r="H590" s="14"/>
    </row>
    <row r="591">
      <c r="H591" s="14"/>
    </row>
    <row r="592">
      <c r="H592" s="14"/>
    </row>
    <row r="593">
      <c r="H593" s="14"/>
    </row>
    <row r="594">
      <c r="H594" s="14"/>
    </row>
    <row r="595">
      <c r="H595" s="14"/>
    </row>
    <row r="596">
      <c r="H596" s="14"/>
    </row>
    <row r="597">
      <c r="H597" s="14"/>
    </row>
    <row r="598">
      <c r="H598" s="14"/>
    </row>
    <row r="599">
      <c r="H599" s="14"/>
    </row>
    <row r="600">
      <c r="H600" s="14"/>
    </row>
    <row r="601">
      <c r="H601" s="14"/>
    </row>
    <row r="602">
      <c r="H602" s="14"/>
    </row>
    <row r="603">
      <c r="H603" s="14"/>
    </row>
    <row r="604">
      <c r="H604" s="14"/>
    </row>
    <row r="605">
      <c r="H605" s="14"/>
    </row>
    <row r="606">
      <c r="H606" s="14"/>
    </row>
    <row r="607">
      <c r="H607" s="14"/>
    </row>
    <row r="608">
      <c r="H608" s="14"/>
    </row>
    <row r="609">
      <c r="H609" s="14"/>
    </row>
    <row r="610">
      <c r="H610" s="14"/>
    </row>
    <row r="611">
      <c r="H611" s="14"/>
    </row>
    <row r="612">
      <c r="H612" s="14"/>
    </row>
    <row r="613">
      <c r="H613" s="14"/>
    </row>
    <row r="614">
      <c r="H614" s="14"/>
    </row>
    <row r="615">
      <c r="H615" s="14"/>
    </row>
    <row r="616">
      <c r="H616" s="14"/>
    </row>
    <row r="617">
      <c r="H617" s="14"/>
    </row>
    <row r="618">
      <c r="H618" s="14"/>
    </row>
    <row r="619">
      <c r="H619" s="14"/>
    </row>
    <row r="620">
      <c r="H620" s="14"/>
    </row>
    <row r="621">
      <c r="H621" s="14"/>
    </row>
    <row r="622">
      <c r="H622" s="14"/>
    </row>
    <row r="623">
      <c r="H623" s="14"/>
    </row>
    <row r="624">
      <c r="H624" s="14"/>
    </row>
    <row r="625">
      <c r="H625" s="14"/>
    </row>
    <row r="626">
      <c r="H626" s="14"/>
    </row>
    <row r="627">
      <c r="H627" s="14"/>
    </row>
    <row r="628">
      <c r="H628" s="14"/>
    </row>
    <row r="629">
      <c r="H629" s="14"/>
    </row>
    <row r="630">
      <c r="H630" s="14"/>
    </row>
    <row r="631">
      <c r="H631" s="14"/>
    </row>
    <row r="632">
      <c r="H632" s="14"/>
    </row>
    <row r="633">
      <c r="H633" s="14"/>
    </row>
    <row r="634">
      <c r="H634" s="14"/>
    </row>
    <row r="635">
      <c r="H635" s="14"/>
    </row>
    <row r="636">
      <c r="H636" s="14"/>
    </row>
    <row r="637">
      <c r="H637" s="14"/>
    </row>
    <row r="638">
      <c r="H638" s="14"/>
    </row>
    <row r="639">
      <c r="H639" s="14"/>
    </row>
    <row r="640">
      <c r="H640" s="14"/>
    </row>
    <row r="641">
      <c r="H641" s="14"/>
    </row>
    <row r="642">
      <c r="H642" s="14"/>
    </row>
    <row r="643">
      <c r="H643" s="14"/>
    </row>
    <row r="644">
      <c r="H644" s="14"/>
    </row>
    <row r="645">
      <c r="H645" s="14"/>
    </row>
    <row r="646">
      <c r="H646" s="14"/>
    </row>
    <row r="647">
      <c r="H647" s="14"/>
    </row>
    <row r="648">
      <c r="H648" s="14"/>
    </row>
    <row r="649">
      <c r="H649" s="14"/>
    </row>
    <row r="650">
      <c r="H650" s="14"/>
    </row>
    <row r="651">
      <c r="H651" s="14"/>
    </row>
    <row r="652">
      <c r="H652" s="14"/>
    </row>
    <row r="653">
      <c r="H653" s="14"/>
    </row>
    <row r="654">
      <c r="H654" s="14"/>
    </row>
    <row r="655">
      <c r="H655" s="14"/>
    </row>
    <row r="656">
      <c r="H656" s="14"/>
    </row>
    <row r="657">
      <c r="H657" s="14"/>
    </row>
    <row r="658">
      <c r="H658" s="14"/>
    </row>
    <row r="659">
      <c r="H659" s="14"/>
    </row>
    <row r="660">
      <c r="H660" s="14"/>
    </row>
    <row r="661">
      <c r="H661" s="14"/>
    </row>
    <row r="662">
      <c r="H662" s="14"/>
    </row>
    <row r="663">
      <c r="H663" s="14"/>
    </row>
    <row r="664">
      <c r="H664" s="14"/>
    </row>
    <row r="665">
      <c r="H665" s="14"/>
    </row>
    <row r="666">
      <c r="H666" s="14"/>
    </row>
    <row r="667">
      <c r="H667" s="14"/>
    </row>
    <row r="668">
      <c r="H668" s="14"/>
    </row>
    <row r="669">
      <c r="H669" s="14"/>
    </row>
    <row r="670">
      <c r="H670" s="14"/>
    </row>
    <row r="671">
      <c r="H671" s="14"/>
    </row>
    <row r="672">
      <c r="H672" s="14"/>
    </row>
    <row r="673">
      <c r="H673" s="14"/>
    </row>
    <row r="674">
      <c r="H674" s="14"/>
    </row>
    <row r="675">
      <c r="H675" s="14"/>
    </row>
    <row r="676">
      <c r="H676" s="14"/>
    </row>
    <row r="677">
      <c r="H677" s="14"/>
    </row>
    <row r="678">
      <c r="H678" s="14"/>
    </row>
    <row r="679">
      <c r="H679" s="14"/>
    </row>
    <row r="680">
      <c r="H680" s="14"/>
    </row>
    <row r="681">
      <c r="H681" s="14"/>
    </row>
    <row r="682">
      <c r="H682" s="14"/>
    </row>
    <row r="683">
      <c r="H683" s="14"/>
    </row>
    <row r="684">
      <c r="H684" s="14"/>
    </row>
    <row r="685">
      <c r="H685" s="14"/>
    </row>
    <row r="686">
      <c r="H686" s="14"/>
    </row>
    <row r="687">
      <c r="H687" s="14"/>
    </row>
    <row r="688">
      <c r="H688" s="14"/>
    </row>
    <row r="689">
      <c r="H689" s="14"/>
    </row>
    <row r="690">
      <c r="H690" s="14"/>
    </row>
    <row r="691">
      <c r="H691" s="14"/>
    </row>
    <row r="692">
      <c r="H692" s="14"/>
    </row>
    <row r="693">
      <c r="H693" s="14"/>
    </row>
    <row r="694">
      <c r="H694" s="14"/>
    </row>
    <row r="695">
      <c r="H695" s="14"/>
    </row>
    <row r="696">
      <c r="H696" s="14"/>
    </row>
    <row r="697">
      <c r="H697" s="14"/>
    </row>
    <row r="698">
      <c r="H698" s="14"/>
    </row>
    <row r="699">
      <c r="H699" s="14"/>
    </row>
    <row r="700">
      <c r="H700" s="14"/>
    </row>
    <row r="701">
      <c r="H701" s="14"/>
    </row>
    <row r="702">
      <c r="H702" s="14"/>
    </row>
    <row r="703">
      <c r="H703" s="14"/>
    </row>
    <row r="704">
      <c r="H704" s="14"/>
    </row>
    <row r="705">
      <c r="H705" s="14"/>
    </row>
    <row r="706">
      <c r="H706" s="14"/>
    </row>
    <row r="707">
      <c r="H707" s="14"/>
    </row>
    <row r="708">
      <c r="H708" s="14"/>
    </row>
    <row r="709">
      <c r="H709" s="14"/>
    </row>
    <row r="710">
      <c r="H710" s="14"/>
    </row>
    <row r="711">
      <c r="H711" s="14"/>
    </row>
    <row r="712">
      <c r="H712" s="14"/>
    </row>
    <row r="713">
      <c r="H713" s="14"/>
    </row>
    <row r="714">
      <c r="H714" s="14"/>
    </row>
    <row r="715">
      <c r="H715" s="14"/>
    </row>
    <row r="716">
      <c r="H716" s="14"/>
    </row>
    <row r="717">
      <c r="H717" s="14"/>
    </row>
    <row r="718">
      <c r="H718" s="14"/>
    </row>
    <row r="719">
      <c r="H719" s="14"/>
    </row>
    <row r="720">
      <c r="H720" s="14"/>
    </row>
    <row r="721">
      <c r="H721" s="14"/>
    </row>
    <row r="722">
      <c r="H722" s="14"/>
    </row>
    <row r="723">
      <c r="H723" s="14"/>
    </row>
    <row r="724">
      <c r="H724" s="14"/>
    </row>
    <row r="725">
      <c r="H725" s="14"/>
    </row>
    <row r="726">
      <c r="H726" s="14"/>
    </row>
    <row r="727">
      <c r="H727" s="14"/>
    </row>
    <row r="728">
      <c r="H728" s="14"/>
    </row>
    <row r="729">
      <c r="H729" s="14"/>
    </row>
    <row r="730">
      <c r="H730" s="14"/>
    </row>
    <row r="731">
      <c r="H731" s="14"/>
    </row>
    <row r="732">
      <c r="H732" s="14"/>
    </row>
    <row r="733">
      <c r="H733" s="14"/>
    </row>
    <row r="734">
      <c r="H734" s="14"/>
    </row>
    <row r="735">
      <c r="H735" s="14"/>
    </row>
    <row r="736">
      <c r="H736" s="14"/>
    </row>
    <row r="737">
      <c r="H737" s="14"/>
    </row>
    <row r="738">
      <c r="H738" s="14"/>
    </row>
    <row r="739">
      <c r="H739" s="14"/>
    </row>
    <row r="740">
      <c r="H740" s="14"/>
    </row>
    <row r="741">
      <c r="H741" s="14"/>
    </row>
    <row r="742">
      <c r="H742" s="14"/>
    </row>
    <row r="743">
      <c r="H743" s="14"/>
    </row>
    <row r="744">
      <c r="H744" s="14"/>
    </row>
    <row r="745">
      <c r="H745" s="14"/>
    </row>
    <row r="746">
      <c r="H746" s="14"/>
    </row>
    <row r="747">
      <c r="H747" s="14"/>
    </row>
    <row r="748">
      <c r="H748" s="14"/>
    </row>
    <row r="749">
      <c r="H749" s="14"/>
    </row>
    <row r="750">
      <c r="H750" s="14"/>
    </row>
    <row r="751">
      <c r="H751" s="14"/>
    </row>
    <row r="752">
      <c r="H752" s="14"/>
    </row>
    <row r="753">
      <c r="H753" s="14"/>
    </row>
    <row r="754">
      <c r="H754" s="14"/>
    </row>
    <row r="755">
      <c r="H755" s="14"/>
    </row>
    <row r="756">
      <c r="H756" s="14"/>
    </row>
    <row r="757">
      <c r="H757" s="14"/>
    </row>
    <row r="758">
      <c r="H758" s="14"/>
    </row>
    <row r="759">
      <c r="H759" s="14"/>
    </row>
    <row r="760">
      <c r="H760" s="14"/>
    </row>
    <row r="761">
      <c r="H761" s="14"/>
    </row>
    <row r="762">
      <c r="H762" s="14"/>
    </row>
    <row r="763">
      <c r="H763" s="14"/>
    </row>
    <row r="764">
      <c r="H764" s="14"/>
    </row>
    <row r="765">
      <c r="H765" s="14"/>
    </row>
    <row r="766">
      <c r="H766" s="14"/>
    </row>
    <row r="767">
      <c r="H767" s="14"/>
    </row>
    <row r="768">
      <c r="H768" s="14"/>
    </row>
    <row r="769">
      <c r="H769" s="14"/>
    </row>
    <row r="770">
      <c r="H770" s="14"/>
    </row>
    <row r="771">
      <c r="H771" s="14"/>
    </row>
    <row r="772">
      <c r="H772" s="14"/>
    </row>
    <row r="773">
      <c r="H773" s="14"/>
    </row>
    <row r="774">
      <c r="H774" s="14"/>
    </row>
    <row r="775">
      <c r="H775" s="14"/>
    </row>
    <row r="776">
      <c r="H776" s="14"/>
    </row>
    <row r="777">
      <c r="H777" s="14"/>
    </row>
    <row r="778">
      <c r="H778" s="14"/>
    </row>
    <row r="779">
      <c r="H779" s="14"/>
    </row>
    <row r="780">
      <c r="H780" s="14"/>
    </row>
    <row r="781">
      <c r="H781" s="14"/>
    </row>
    <row r="782">
      <c r="H782" s="14"/>
    </row>
    <row r="783">
      <c r="H783" s="14"/>
    </row>
    <row r="784">
      <c r="H784" s="14"/>
    </row>
    <row r="785">
      <c r="H785" s="14"/>
    </row>
    <row r="786">
      <c r="H786" s="14"/>
    </row>
    <row r="787">
      <c r="H787" s="14"/>
    </row>
    <row r="788">
      <c r="H788" s="14"/>
    </row>
    <row r="789">
      <c r="H789" s="14"/>
    </row>
    <row r="790">
      <c r="H790" s="14"/>
    </row>
    <row r="791">
      <c r="H791" s="14"/>
    </row>
    <row r="792">
      <c r="H792" s="14"/>
    </row>
    <row r="793">
      <c r="H793" s="14"/>
    </row>
    <row r="794">
      <c r="H794" s="14"/>
    </row>
    <row r="795">
      <c r="H795" s="14"/>
    </row>
    <row r="796">
      <c r="H796" s="14"/>
    </row>
    <row r="797">
      <c r="H797" s="14"/>
    </row>
    <row r="798">
      <c r="H798" s="14"/>
    </row>
    <row r="799">
      <c r="H799" s="14"/>
    </row>
    <row r="800">
      <c r="H800" s="14"/>
    </row>
    <row r="801">
      <c r="H801" s="14"/>
    </row>
    <row r="802">
      <c r="H802" s="14"/>
    </row>
    <row r="803">
      <c r="H803" s="14"/>
    </row>
    <row r="804">
      <c r="H804" s="14"/>
    </row>
    <row r="805">
      <c r="H805" s="14"/>
    </row>
    <row r="806">
      <c r="H806" s="14"/>
    </row>
    <row r="807">
      <c r="H807" s="14"/>
    </row>
    <row r="808">
      <c r="H808" s="14"/>
    </row>
    <row r="809">
      <c r="H809" s="14"/>
    </row>
    <row r="810">
      <c r="H810" s="14"/>
    </row>
    <row r="811">
      <c r="H811" s="14"/>
    </row>
    <row r="812">
      <c r="H812" s="14"/>
    </row>
    <row r="813">
      <c r="H813" s="14"/>
    </row>
    <row r="814">
      <c r="H814" s="14"/>
    </row>
    <row r="815">
      <c r="H815" s="14"/>
    </row>
    <row r="816">
      <c r="H816" s="14"/>
    </row>
    <row r="817">
      <c r="H817" s="14"/>
    </row>
    <row r="818">
      <c r="H818" s="14"/>
    </row>
    <row r="819">
      <c r="H819" s="14"/>
    </row>
    <row r="820">
      <c r="H820" s="14"/>
    </row>
    <row r="821">
      <c r="H821" s="14"/>
    </row>
    <row r="822">
      <c r="H822" s="14"/>
    </row>
    <row r="823">
      <c r="H823" s="14"/>
    </row>
    <row r="824">
      <c r="H824" s="14"/>
    </row>
    <row r="825">
      <c r="H825" s="14"/>
    </row>
    <row r="826">
      <c r="H826" s="14"/>
    </row>
    <row r="827">
      <c r="H827" s="14"/>
    </row>
    <row r="828">
      <c r="H828" s="14"/>
    </row>
    <row r="829">
      <c r="H829" s="14"/>
    </row>
    <row r="830">
      <c r="H830" s="14"/>
    </row>
    <row r="831">
      <c r="H831" s="14"/>
    </row>
    <row r="832">
      <c r="H832" s="14"/>
    </row>
    <row r="833">
      <c r="H833" s="14"/>
    </row>
    <row r="834">
      <c r="H834" s="14"/>
    </row>
    <row r="835">
      <c r="H835" s="14"/>
    </row>
    <row r="836">
      <c r="H836" s="14"/>
    </row>
    <row r="837">
      <c r="H837" s="14"/>
    </row>
    <row r="838">
      <c r="H838" s="14"/>
    </row>
    <row r="839">
      <c r="H839" s="14"/>
    </row>
    <row r="840">
      <c r="H840" s="14"/>
    </row>
    <row r="841">
      <c r="H841" s="14"/>
    </row>
    <row r="842">
      <c r="H842" s="14"/>
    </row>
    <row r="843">
      <c r="H843" s="14"/>
    </row>
    <row r="844">
      <c r="H844" s="14"/>
    </row>
    <row r="845">
      <c r="H845" s="14"/>
    </row>
    <row r="846">
      <c r="H846" s="14"/>
    </row>
    <row r="847">
      <c r="H847" s="14"/>
    </row>
    <row r="848">
      <c r="H848" s="14"/>
    </row>
    <row r="849">
      <c r="H849" s="14"/>
    </row>
    <row r="850">
      <c r="H850" s="14"/>
    </row>
    <row r="851">
      <c r="H851" s="14"/>
    </row>
    <row r="852">
      <c r="H852" s="14"/>
    </row>
    <row r="853">
      <c r="H853" s="14"/>
    </row>
    <row r="854">
      <c r="H854" s="14"/>
    </row>
    <row r="855">
      <c r="H855" s="14"/>
    </row>
    <row r="856">
      <c r="H856" s="14"/>
    </row>
    <row r="857">
      <c r="H857" s="14"/>
    </row>
    <row r="858">
      <c r="H858" s="14"/>
    </row>
    <row r="859">
      <c r="H859" s="14"/>
    </row>
    <row r="860">
      <c r="H860" s="14"/>
    </row>
    <row r="861">
      <c r="H861" s="14"/>
    </row>
    <row r="862">
      <c r="H862" s="14"/>
    </row>
    <row r="863">
      <c r="H863" s="14"/>
    </row>
    <row r="864">
      <c r="H864" s="14"/>
    </row>
    <row r="865">
      <c r="H865" s="14"/>
    </row>
    <row r="866">
      <c r="H866" s="14"/>
    </row>
    <row r="867">
      <c r="H867" s="14"/>
    </row>
    <row r="868">
      <c r="H868" s="14"/>
    </row>
    <row r="869">
      <c r="H869" s="14"/>
    </row>
    <row r="870">
      <c r="H870" s="14"/>
    </row>
    <row r="871">
      <c r="H871" s="14"/>
    </row>
    <row r="872">
      <c r="H872" s="14"/>
    </row>
    <row r="873">
      <c r="H873" s="14"/>
    </row>
    <row r="874">
      <c r="H874" s="14"/>
    </row>
    <row r="875">
      <c r="H875" s="14"/>
    </row>
    <row r="876">
      <c r="H876" s="14"/>
    </row>
    <row r="877">
      <c r="H877" s="14"/>
    </row>
    <row r="878">
      <c r="H878" s="14"/>
    </row>
    <row r="879">
      <c r="H879" s="14"/>
    </row>
    <row r="880">
      <c r="H880" s="14"/>
    </row>
    <row r="881">
      <c r="H881" s="14"/>
    </row>
    <row r="882">
      <c r="H882" s="14"/>
    </row>
    <row r="883">
      <c r="H883" s="14"/>
    </row>
    <row r="884">
      <c r="H884" s="14"/>
    </row>
    <row r="885">
      <c r="H885" s="14"/>
    </row>
    <row r="886">
      <c r="H886" s="14"/>
    </row>
    <row r="887">
      <c r="H887" s="14"/>
    </row>
    <row r="888">
      <c r="H888" s="14"/>
    </row>
    <row r="889">
      <c r="H889" s="14"/>
    </row>
    <row r="890">
      <c r="H890" s="14"/>
    </row>
    <row r="891">
      <c r="H891" s="14"/>
    </row>
    <row r="892">
      <c r="H892" s="14"/>
    </row>
    <row r="893">
      <c r="H893" s="14"/>
    </row>
    <row r="894">
      <c r="H894" s="14"/>
    </row>
    <row r="895">
      <c r="H895" s="14"/>
    </row>
    <row r="896">
      <c r="H896" s="14"/>
    </row>
    <row r="897">
      <c r="H897" s="14"/>
    </row>
    <row r="898">
      <c r="H898" s="14"/>
    </row>
    <row r="899">
      <c r="H899" s="14"/>
    </row>
    <row r="900">
      <c r="H900" s="14"/>
    </row>
    <row r="901">
      <c r="H901" s="14"/>
    </row>
    <row r="902">
      <c r="H902" s="14"/>
    </row>
    <row r="903">
      <c r="H903" s="14"/>
    </row>
    <row r="904">
      <c r="H904" s="14"/>
    </row>
    <row r="905">
      <c r="H905" s="14"/>
    </row>
    <row r="906">
      <c r="H906" s="14"/>
    </row>
    <row r="907">
      <c r="H907" s="14"/>
    </row>
    <row r="908">
      <c r="H908" s="14"/>
    </row>
    <row r="909">
      <c r="H909" s="14"/>
    </row>
    <row r="910">
      <c r="H910" s="14"/>
    </row>
    <row r="911">
      <c r="H911" s="14"/>
    </row>
    <row r="912">
      <c r="H912" s="14"/>
    </row>
    <row r="913">
      <c r="H913" s="14"/>
    </row>
    <row r="914">
      <c r="H914" s="14"/>
    </row>
    <row r="915">
      <c r="H915" s="14"/>
    </row>
    <row r="916">
      <c r="H916" s="14"/>
    </row>
    <row r="917">
      <c r="H917" s="14"/>
    </row>
    <row r="918">
      <c r="H918" s="14"/>
    </row>
    <row r="919">
      <c r="H919" s="14"/>
    </row>
    <row r="920">
      <c r="H920" s="14"/>
    </row>
    <row r="921">
      <c r="H921" s="14"/>
    </row>
    <row r="922">
      <c r="H922" s="14"/>
    </row>
    <row r="923">
      <c r="H923" s="14"/>
    </row>
    <row r="924">
      <c r="H924" s="14"/>
    </row>
    <row r="925">
      <c r="H925" s="14"/>
    </row>
    <row r="926">
      <c r="H926" s="14"/>
    </row>
    <row r="927">
      <c r="H927" s="14"/>
    </row>
    <row r="928">
      <c r="H928" s="14"/>
    </row>
    <row r="929">
      <c r="H929" s="14"/>
    </row>
    <row r="930">
      <c r="H930" s="14"/>
    </row>
    <row r="931">
      <c r="H931" s="14"/>
    </row>
    <row r="932">
      <c r="H932" s="14"/>
    </row>
    <row r="933">
      <c r="H933" s="14"/>
    </row>
    <row r="934">
      <c r="H934" s="14"/>
    </row>
    <row r="935">
      <c r="H935" s="14"/>
    </row>
    <row r="936">
      <c r="H936" s="14"/>
    </row>
    <row r="937">
      <c r="H937" s="14"/>
    </row>
    <row r="938">
      <c r="H938" s="14"/>
    </row>
    <row r="939">
      <c r="H939" s="14"/>
    </row>
    <row r="940">
      <c r="H940" s="14"/>
    </row>
    <row r="941">
      <c r="H941" s="14"/>
    </row>
    <row r="942">
      <c r="H942" s="14"/>
    </row>
    <row r="943">
      <c r="H943" s="14"/>
    </row>
    <row r="944">
      <c r="H944" s="14"/>
    </row>
    <row r="945">
      <c r="H945" s="14"/>
    </row>
    <row r="946">
      <c r="H946" s="14"/>
    </row>
    <row r="947">
      <c r="H947" s="14"/>
    </row>
    <row r="948">
      <c r="H948" s="14"/>
    </row>
    <row r="949">
      <c r="H949" s="14"/>
    </row>
    <row r="950">
      <c r="H950" s="14"/>
    </row>
    <row r="951">
      <c r="H951" s="14"/>
    </row>
    <row r="952">
      <c r="H952" s="14"/>
    </row>
    <row r="953">
      <c r="H953" s="14"/>
    </row>
    <row r="954">
      <c r="H954" s="14"/>
    </row>
    <row r="955">
      <c r="H955" s="14"/>
    </row>
    <row r="956">
      <c r="H956" s="14"/>
    </row>
    <row r="957">
      <c r="H957" s="14"/>
    </row>
    <row r="958">
      <c r="H958" s="14"/>
    </row>
    <row r="959">
      <c r="H959" s="14"/>
    </row>
    <row r="960">
      <c r="H960" s="14"/>
    </row>
    <row r="961">
      <c r="H961" s="14"/>
    </row>
    <row r="962">
      <c r="H962" s="14"/>
    </row>
    <row r="963">
      <c r="H963" s="14"/>
    </row>
    <row r="964">
      <c r="H964" s="14"/>
    </row>
    <row r="965">
      <c r="H965" s="14"/>
    </row>
    <row r="966">
      <c r="H966" s="14"/>
    </row>
    <row r="967">
      <c r="H967" s="14"/>
    </row>
    <row r="968">
      <c r="H968" s="14"/>
    </row>
    <row r="969">
      <c r="H969" s="14"/>
    </row>
    <row r="970">
      <c r="H970" s="14"/>
    </row>
    <row r="971">
      <c r="H971" s="14"/>
    </row>
    <row r="972">
      <c r="H972" s="14"/>
    </row>
    <row r="973">
      <c r="H973" s="14"/>
    </row>
    <row r="974">
      <c r="H974" s="14"/>
    </row>
    <row r="975">
      <c r="H975" s="14"/>
    </row>
    <row r="976">
      <c r="H976" s="14"/>
    </row>
    <row r="977">
      <c r="H977" s="14"/>
    </row>
    <row r="978">
      <c r="H978" s="14"/>
    </row>
    <row r="979">
      <c r="H979" s="14"/>
    </row>
    <row r="980">
      <c r="H980" s="14"/>
    </row>
    <row r="981">
      <c r="H981" s="14"/>
    </row>
    <row r="982">
      <c r="H982" s="14"/>
    </row>
    <row r="983">
      <c r="H983" s="14"/>
    </row>
    <row r="984">
      <c r="H984" s="14"/>
    </row>
    <row r="985">
      <c r="H985" s="14"/>
    </row>
    <row r="986">
      <c r="H986" s="14"/>
    </row>
    <row r="987">
      <c r="H987" s="14"/>
    </row>
    <row r="988">
      <c r="H988" s="14"/>
    </row>
    <row r="989">
      <c r="H989" s="14"/>
    </row>
    <row r="990">
      <c r="H990" s="14"/>
    </row>
    <row r="991">
      <c r="H991" s="14"/>
    </row>
    <row r="992">
      <c r="H992" s="14"/>
    </row>
    <row r="993">
      <c r="H993" s="14"/>
    </row>
    <row r="994">
      <c r="H994" s="14"/>
    </row>
    <row r="995">
      <c r="H995" s="14"/>
    </row>
    <row r="996">
      <c r="H996" s="14"/>
    </row>
    <row r="997">
      <c r="H997" s="14"/>
    </row>
    <row r="998">
      <c r="H998" s="14"/>
    </row>
    <row r="999">
      <c r="H999" s="14"/>
    </row>
    <row r="1000">
      <c r="H1000" s="14"/>
    </row>
    <row r="1001">
      <c r="H1001" s="14"/>
    </row>
    <row r="1002">
      <c r="H1002" s="14"/>
    </row>
    <row r="1003">
      <c r="H1003" s="14"/>
    </row>
    <row r="1004">
      <c r="H1004" s="14"/>
    </row>
    <row r="1005">
      <c r="H1005" s="14"/>
    </row>
    <row r="1006">
      <c r="H1006" s="14"/>
    </row>
    <row r="1007">
      <c r="H1007" s="14"/>
    </row>
    <row r="1008">
      <c r="H1008" s="14"/>
    </row>
    <row r="1009">
      <c r="H1009" s="14"/>
    </row>
    <row r="1010">
      <c r="H1010" s="14"/>
    </row>
    <row r="1011">
      <c r="H1011" s="14"/>
    </row>
    <row r="1012">
      <c r="H1012" s="14"/>
    </row>
    <row r="1013">
      <c r="H1013" s="14"/>
    </row>
    <row r="1014">
      <c r="H1014" s="14"/>
    </row>
    <row r="1015">
      <c r="H1015" s="14"/>
    </row>
    <row r="1016">
      <c r="H1016" s="14"/>
    </row>
    <row r="1017">
      <c r="H1017" s="14"/>
    </row>
    <row r="1018">
      <c r="H1018" s="14"/>
    </row>
    <row r="1019">
      <c r="H1019" s="14"/>
    </row>
    <row r="1020">
      <c r="H1020" s="14"/>
    </row>
    <row r="1021">
      <c r="H1021" s="14"/>
    </row>
    <row r="1022">
      <c r="H1022" s="14"/>
    </row>
    <row r="1023">
      <c r="H1023" s="14"/>
    </row>
    <row r="1024">
      <c r="H1024" s="14"/>
    </row>
    <row r="1025">
      <c r="H1025" s="14"/>
    </row>
    <row r="1026">
      <c r="H1026" s="14"/>
    </row>
    <row r="1027">
      <c r="H1027" s="14"/>
    </row>
    <row r="1028">
      <c r="H1028" s="14"/>
    </row>
    <row r="1029">
      <c r="H1029" s="14"/>
    </row>
    <row r="1030">
      <c r="H1030" s="14"/>
    </row>
    <row r="1031">
      <c r="H1031" s="14"/>
    </row>
    <row r="1032">
      <c r="H1032" s="14"/>
    </row>
    <row r="1033">
      <c r="H1033" s="14"/>
    </row>
    <row r="1034">
      <c r="H1034" s="14"/>
    </row>
    <row r="1035">
      <c r="H1035" s="14"/>
    </row>
    <row r="1036">
      <c r="H1036" s="14"/>
    </row>
    <row r="1037">
      <c r="H1037" s="14"/>
    </row>
    <row r="1038">
      <c r="H1038" s="14"/>
    </row>
    <row r="1039">
      <c r="H1039" s="14"/>
    </row>
    <row r="1040">
      <c r="H1040" s="14"/>
    </row>
    <row r="1041">
      <c r="H1041" s="14"/>
    </row>
    <row r="1042">
      <c r="H1042" s="14"/>
    </row>
    <row r="1043">
      <c r="H1043" s="14"/>
    </row>
    <row r="1044">
      <c r="H1044" s="14"/>
    </row>
    <row r="1045">
      <c r="H1045" s="14"/>
    </row>
    <row r="1046">
      <c r="H1046" s="14"/>
    </row>
    <row r="1047">
      <c r="H1047" s="14"/>
    </row>
    <row r="1048">
      <c r="H1048" s="14"/>
    </row>
    <row r="1049">
      <c r="H1049" s="14"/>
    </row>
    <row r="1050">
      <c r="H1050" s="14"/>
    </row>
    <row r="1051">
      <c r="H1051" s="14"/>
    </row>
    <row r="1052">
      <c r="H1052" s="14"/>
    </row>
    <row r="1053">
      <c r="H1053" s="14"/>
    </row>
    <row r="1054">
      <c r="H1054" s="14"/>
    </row>
    <row r="1055">
      <c r="H1055" s="14"/>
    </row>
    <row r="1056">
      <c r="H1056" s="14"/>
    </row>
    <row r="1057">
      <c r="H1057" s="14"/>
    </row>
    <row r="1058">
      <c r="H1058" s="14"/>
    </row>
    <row r="1059">
      <c r="H1059" s="14"/>
    </row>
    <row r="1060">
      <c r="H1060" s="14"/>
    </row>
    <row r="1061">
      <c r="H1061" s="14"/>
    </row>
    <row r="1062">
      <c r="H1062" s="14"/>
    </row>
    <row r="1063">
      <c r="H1063" s="14"/>
    </row>
    <row r="1064">
      <c r="H1064" s="14"/>
    </row>
    <row r="1065">
      <c r="H1065" s="14"/>
    </row>
    <row r="1066">
      <c r="H1066" s="14"/>
    </row>
    <row r="1067">
      <c r="H1067" s="14"/>
    </row>
    <row r="1068">
      <c r="H1068" s="14"/>
    </row>
    <row r="1069">
      <c r="H1069" s="14"/>
    </row>
    <row r="1070">
      <c r="H1070" s="14"/>
    </row>
    <row r="1071">
      <c r="H1071" s="14"/>
    </row>
    <row r="1072">
      <c r="H1072" s="14"/>
    </row>
    <row r="1073">
      <c r="H1073" s="14"/>
    </row>
    <row r="1074">
      <c r="H1074" s="14"/>
    </row>
    <row r="1075">
      <c r="H1075" s="14"/>
    </row>
    <row r="1076">
      <c r="H1076" s="14"/>
    </row>
    <row r="1077">
      <c r="H1077" s="14"/>
    </row>
    <row r="1078">
      <c r="H1078" s="14"/>
    </row>
    <row r="1079">
      <c r="H1079" s="14"/>
    </row>
    <row r="1080">
      <c r="H1080" s="14"/>
    </row>
    <row r="1081">
      <c r="H1081" s="14"/>
    </row>
    <row r="1082">
      <c r="H1082" s="14"/>
    </row>
    <row r="1083">
      <c r="H1083" s="14"/>
    </row>
    <row r="1084">
      <c r="H1084" s="14"/>
    </row>
    <row r="1085">
      <c r="H1085" s="14"/>
    </row>
    <row r="1086">
      <c r="H1086" s="14"/>
    </row>
    <row r="1087">
      <c r="H1087" s="14"/>
    </row>
    <row r="1088">
      <c r="H1088" s="14"/>
    </row>
    <row r="1089">
      <c r="H1089" s="14"/>
    </row>
    <row r="1090">
      <c r="H1090" s="14"/>
    </row>
    <row r="1091">
      <c r="H1091" s="14"/>
    </row>
    <row r="1092">
      <c r="H1092" s="14"/>
    </row>
    <row r="1093">
      <c r="H1093" s="14"/>
    </row>
    <row r="1094">
      <c r="H1094" s="14"/>
    </row>
    <row r="1095">
      <c r="H1095" s="14"/>
    </row>
    <row r="1096">
      <c r="H1096" s="14"/>
    </row>
    <row r="1097">
      <c r="H1097" s="14"/>
    </row>
    <row r="1098">
      <c r="H1098" s="14"/>
    </row>
    <row r="1099">
      <c r="H1099" s="14"/>
    </row>
    <row r="1100">
      <c r="H1100" s="14"/>
    </row>
    <row r="1101">
      <c r="H1101" s="14"/>
    </row>
    <row r="1102">
      <c r="H1102" s="14"/>
    </row>
    <row r="1103">
      <c r="H1103" s="14"/>
    </row>
    <row r="1104">
      <c r="H1104" s="14"/>
    </row>
    <row r="1105">
      <c r="H1105" s="14"/>
    </row>
    <row r="1106">
      <c r="H1106" s="14"/>
    </row>
    <row r="1107">
      <c r="H1107" s="14"/>
    </row>
    <row r="1108">
      <c r="H1108" s="14"/>
    </row>
    <row r="1109">
      <c r="H1109" s="14"/>
    </row>
    <row r="1110">
      <c r="H1110" s="14"/>
    </row>
    <row r="1111">
      <c r="H1111" s="14"/>
    </row>
    <row r="1112">
      <c r="H1112" s="14"/>
    </row>
    <row r="1113">
      <c r="H1113" s="14"/>
    </row>
    <row r="1114">
      <c r="H1114" s="14"/>
    </row>
    <row r="1115">
      <c r="H1115" s="14"/>
    </row>
    <row r="1116">
      <c r="H1116" s="14"/>
    </row>
    <row r="1117">
      <c r="H1117" s="14"/>
    </row>
    <row r="1118">
      <c r="H1118" s="14"/>
    </row>
    <row r="1119">
      <c r="H1119" s="14"/>
    </row>
    <row r="1120">
      <c r="H1120" s="14"/>
    </row>
    <row r="1121">
      <c r="H1121" s="14"/>
    </row>
    <row r="1122">
      <c r="H1122" s="14"/>
    </row>
    <row r="1123">
      <c r="H1123" s="14"/>
    </row>
    <row r="1124">
      <c r="H1124" s="14"/>
    </row>
    <row r="1125">
      <c r="H1125" s="14"/>
    </row>
    <row r="1126">
      <c r="H1126" s="14"/>
    </row>
    <row r="1127">
      <c r="H1127" s="14"/>
    </row>
    <row r="1128">
      <c r="H1128" s="14"/>
    </row>
    <row r="1129">
      <c r="H1129" s="14"/>
    </row>
    <row r="1130">
      <c r="H1130" s="14"/>
    </row>
    <row r="1131">
      <c r="H1131" s="14"/>
    </row>
    <row r="1132">
      <c r="H1132" s="14"/>
    </row>
    <row r="1133">
      <c r="H1133" s="14"/>
    </row>
    <row r="1134">
      <c r="H1134" s="14"/>
    </row>
    <row r="1135">
      <c r="H1135" s="14"/>
    </row>
    <row r="1136">
      <c r="H1136" s="14"/>
    </row>
    <row r="1137">
      <c r="H1137" s="14"/>
    </row>
    <row r="1138">
      <c r="H1138" s="14"/>
    </row>
    <row r="1139">
      <c r="H1139" s="14"/>
    </row>
    <row r="1140">
      <c r="H1140" s="14"/>
    </row>
    <row r="1141">
      <c r="H1141" s="14"/>
    </row>
    <row r="1142">
      <c r="H1142" s="14"/>
    </row>
    <row r="1143">
      <c r="H1143" s="14"/>
    </row>
    <row r="1144">
      <c r="H1144" s="14"/>
    </row>
    <row r="1145">
      <c r="H1145" s="14"/>
    </row>
    <row r="1146">
      <c r="H1146" s="14"/>
    </row>
    <row r="1147">
      <c r="H1147" s="14"/>
    </row>
    <row r="1148">
      <c r="H1148" s="14"/>
    </row>
    <row r="1149">
      <c r="H1149" s="14"/>
    </row>
    <row r="1150">
      <c r="H1150" s="14"/>
    </row>
    <row r="1151">
      <c r="H1151" s="14"/>
    </row>
    <row r="1152">
      <c r="H1152" s="14"/>
    </row>
    <row r="1153">
      <c r="H1153" s="14"/>
    </row>
    <row r="1154">
      <c r="H1154" s="14"/>
    </row>
    <row r="1155">
      <c r="H1155" s="14"/>
    </row>
    <row r="1156">
      <c r="H1156" s="14"/>
    </row>
    <row r="1157">
      <c r="H1157" s="14"/>
    </row>
    <row r="1158">
      <c r="H1158" s="14"/>
    </row>
    <row r="1159">
      <c r="H1159" s="14"/>
    </row>
    <row r="1160">
      <c r="H1160" s="14"/>
    </row>
    <row r="1161">
      <c r="H1161" s="14"/>
    </row>
    <row r="1162">
      <c r="H1162" s="14"/>
    </row>
    <row r="1163">
      <c r="H1163" s="14"/>
    </row>
    <row r="1164">
      <c r="H1164" s="14"/>
    </row>
    <row r="1165">
      <c r="H1165" s="14"/>
    </row>
    <row r="1166">
      <c r="H1166" s="14"/>
    </row>
    <row r="1167">
      <c r="H1167" s="14"/>
    </row>
    <row r="1168">
      <c r="H1168" s="14"/>
    </row>
    <row r="1169">
      <c r="H1169" s="14"/>
    </row>
    <row r="1170">
      <c r="H1170" s="14"/>
    </row>
    <row r="1171">
      <c r="H1171" s="14"/>
    </row>
    <row r="1172">
      <c r="H1172" s="14"/>
    </row>
    <row r="1173">
      <c r="H1173" s="14"/>
    </row>
    <row r="1174">
      <c r="H1174" s="14"/>
    </row>
    <row r="1175">
      <c r="H1175" s="14"/>
    </row>
    <row r="1176">
      <c r="H1176" s="14"/>
    </row>
    <row r="1177">
      <c r="H1177" s="14"/>
    </row>
    <row r="1178">
      <c r="H1178" s="14"/>
    </row>
    <row r="1179">
      <c r="H1179" s="14"/>
    </row>
    <row r="1180">
      <c r="H1180" s="14"/>
    </row>
    <row r="1181">
      <c r="H1181" s="14"/>
    </row>
    <row r="1182">
      <c r="H1182" s="14"/>
    </row>
    <row r="1183">
      <c r="H1183" s="14"/>
    </row>
    <row r="1184">
      <c r="H1184" s="14"/>
    </row>
    <row r="1185">
      <c r="H1185" s="14"/>
    </row>
    <row r="1186">
      <c r="H1186" s="14"/>
    </row>
    <row r="1187">
      <c r="H1187" s="14"/>
    </row>
    <row r="1188">
      <c r="H1188" s="14"/>
    </row>
    <row r="1189">
      <c r="H1189" s="14"/>
    </row>
    <row r="1190">
      <c r="H1190" s="14"/>
    </row>
    <row r="1191">
      <c r="H1191" s="14"/>
    </row>
    <row r="1192">
      <c r="H1192" s="14"/>
    </row>
    <row r="1193">
      <c r="H1193" s="14"/>
    </row>
    <row r="1194">
      <c r="H1194" s="14"/>
    </row>
    <row r="1195">
      <c r="H1195" s="14"/>
    </row>
    <row r="1196">
      <c r="H1196" s="14"/>
    </row>
    <row r="1197">
      <c r="H1197" s="14"/>
    </row>
    <row r="1198">
      <c r="H1198" s="14"/>
    </row>
    <row r="1199">
      <c r="H1199" s="14"/>
    </row>
    <row r="1200">
      <c r="H1200" s="14"/>
    </row>
    <row r="1201">
      <c r="H1201" s="14"/>
    </row>
    <row r="1202">
      <c r="H1202" s="14"/>
    </row>
    <row r="1203">
      <c r="H1203" s="14"/>
    </row>
    <row r="1204">
      <c r="H1204" s="14"/>
    </row>
    <row r="1205">
      <c r="H1205" s="14"/>
    </row>
    <row r="1206">
      <c r="H1206" s="14"/>
    </row>
    <row r="1207">
      <c r="H1207" s="14"/>
    </row>
    <row r="1208">
      <c r="H1208" s="14"/>
    </row>
    <row r="1209">
      <c r="H1209" s="14"/>
    </row>
    <row r="1210">
      <c r="H1210" s="14"/>
    </row>
    <row r="1211">
      <c r="H1211" s="14"/>
    </row>
    <row r="1212">
      <c r="H1212" s="14"/>
    </row>
    <row r="1213">
      <c r="H1213" s="14"/>
    </row>
    <row r="1214">
      <c r="H1214" s="14"/>
    </row>
    <row r="1215">
      <c r="H1215" s="14"/>
    </row>
    <row r="1216">
      <c r="H1216" s="14"/>
    </row>
    <row r="1217">
      <c r="H1217" s="14"/>
    </row>
    <row r="1218">
      <c r="H1218" s="14"/>
    </row>
    <row r="1219">
      <c r="H1219" s="14"/>
    </row>
    <row r="1220">
      <c r="H1220" s="14"/>
    </row>
    <row r="1221">
      <c r="H1221" s="14"/>
    </row>
    <row r="1222">
      <c r="H1222" s="14"/>
    </row>
    <row r="1223">
      <c r="H1223" s="14"/>
    </row>
    <row r="1224">
      <c r="H1224" s="14"/>
    </row>
    <row r="1225">
      <c r="H1225" s="14"/>
    </row>
    <row r="1226">
      <c r="H1226" s="14"/>
    </row>
    <row r="1227">
      <c r="H1227" s="14"/>
    </row>
    <row r="1228">
      <c r="H1228" s="14"/>
    </row>
    <row r="1229">
      <c r="H1229" s="14"/>
    </row>
    <row r="1230">
      <c r="H1230" s="14"/>
    </row>
    <row r="1231">
      <c r="H1231" s="14"/>
    </row>
    <row r="1232">
      <c r="H1232" s="14"/>
    </row>
    <row r="1233">
      <c r="H1233" s="14"/>
    </row>
    <row r="1234">
      <c r="H1234" s="14"/>
    </row>
    <row r="1235">
      <c r="H1235" s="14"/>
    </row>
    <row r="1236">
      <c r="H1236" s="14"/>
    </row>
    <row r="1237">
      <c r="H1237" s="14"/>
    </row>
    <row r="1238">
      <c r="H1238" s="14"/>
    </row>
    <row r="1239">
      <c r="H1239" s="14"/>
    </row>
    <row r="1240">
      <c r="H1240" s="14"/>
    </row>
    <row r="1241">
      <c r="H1241" s="14"/>
    </row>
    <row r="1242">
      <c r="H1242" s="14"/>
    </row>
    <row r="1243">
      <c r="H1243" s="14"/>
    </row>
    <row r="1244">
      <c r="H1244" s="14"/>
    </row>
    <row r="1245">
      <c r="H1245" s="14"/>
    </row>
    <row r="1246">
      <c r="H1246" s="14"/>
    </row>
    <row r="1247">
      <c r="H1247" s="14"/>
    </row>
    <row r="1248">
      <c r="H1248" s="14"/>
    </row>
    <row r="1249">
      <c r="H1249" s="14"/>
    </row>
    <row r="1250">
      <c r="H1250" s="14"/>
    </row>
    <row r="1251">
      <c r="H1251" s="14"/>
    </row>
    <row r="1252">
      <c r="H1252" s="14"/>
    </row>
    <row r="1253">
      <c r="H1253" s="14"/>
    </row>
    <row r="1254">
      <c r="H1254" s="14"/>
    </row>
    <row r="1255">
      <c r="H1255" s="14"/>
    </row>
    <row r="1256">
      <c r="H1256" s="14"/>
    </row>
    <row r="1257">
      <c r="H1257" s="14"/>
    </row>
    <row r="1258">
      <c r="H1258" s="14"/>
    </row>
    <row r="1259">
      <c r="H1259" s="14"/>
    </row>
    <row r="1260">
      <c r="H1260" s="14"/>
    </row>
    <row r="1261">
      <c r="H1261" s="14"/>
    </row>
    <row r="1262">
      <c r="H1262" s="14"/>
    </row>
    <row r="1263">
      <c r="H1263" s="14"/>
    </row>
    <row r="1264">
      <c r="H1264" s="14"/>
    </row>
    <row r="1265">
      <c r="H1265" s="14"/>
    </row>
    <row r="1266">
      <c r="H1266" s="14"/>
    </row>
    <row r="1267">
      <c r="H1267" s="14"/>
    </row>
    <row r="1268">
      <c r="H1268" s="14"/>
    </row>
    <row r="1269">
      <c r="H1269" s="14"/>
    </row>
    <row r="1270">
      <c r="H1270" s="14"/>
    </row>
    <row r="1271">
      <c r="H1271" s="14"/>
    </row>
    <row r="1272">
      <c r="H1272" s="14"/>
    </row>
    <row r="1273">
      <c r="H1273" s="14"/>
    </row>
    <row r="1274">
      <c r="H1274" s="14"/>
    </row>
    <row r="1275">
      <c r="H1275" s="14"/>
    </row>
    <row r="1276">
      <c r="H1276" s="14"/>
    </row>
    <row r="1277">
      <c r="H1277" s="14"/>
    </row>
    <row r="1278">
      <c r="H1278" s="14"/>
    </row>
    <row r="1279">
      <c r="H1279" s="14"/>
    </row>
    <row r="1280">
      <c r="H1280" s="14"/>
    </row>
    <row r="1281">
      <c r="H1281" s="14"/>
    </row>
    <row r="1282">
      <c r="H1282" s="14"/>
    </row>
    <row r="1283">
      <c r="H1283" s="14"/>
    </row>
    <row r="1284">
      <c r="H1284" s="14"/>
    </row>
    <row r="1285">
      <c r="H1285" s="14"/>
    </row>
    <row r="1286">
      <c r="H1286" s="14"/>
    </row>
    <row r="1287">
      <c r="H1287" s="14"/>
    </row>
    <row r="1288">
      <c r="H1288" s="14"/>
    </row>
    <row r="1289">
      <c r="H1289" s="14"/>
    </row>
    <row r="1290">
      <c r="H1290" s="14"/>
    </row>
    <row r="1291">
      <c r="H1291" s="14"/>
    </row>
    <row r="1292">
      <c r="H1292" s="14"/>
    </row>
    <row r="1293">
      <c r="H1293" s="14"/>
    </row>
    <row r="1294">
      <c r="H1294" s="14"/>
    </row>
    <row r="1295">
      <c r="H1295" s="14"/>
    </row>
    <row r="1296">
      <c r="H1296" s="14"/>
    </row>
    <row r="1297">
      <c r="H1297" s="14"/>
    </row>
    <row r="1298">
      <c r="H1298" s="14"/>
    </row>
    <row r="1299">
      <c r="H1299" s="14"/>
    </row>
    <row r="1300">
      <c r="H1300" s="14"/>
    </row>
    <row r="1301">
      <c r="H1301" s="14"/>
    </row>
    <row r="1302">
      <c r="H1302" s="14"/>
    </row>
    <row r="1303">
      <c r="H1303" s="14"/>
    </row>
    <row r="1304">
      <c r="H1304" s="14"/>
    </row>
    <row r="1305">
      <c r="H1305" s="14"/>
    </row>
    <row r="1306">
      <c r="H1306" s="14"/>
    </row>
    <row r="1307">
      <c r="H1307" s="14"/>
    </row>
    <row r="1308">
      <c r="H1308" s="14"/>
    </row>
    <row r="1309">
      <c r="H1309" s="14"/>
    </row>
    <row r="1310">
      <c r="H1310" s="14"/>
    </row>
    <row r="1311">
      <c r="H1311" s="14"/>
    </row>
    <row r="1312">
      <c r="H1312" s="14"/>
    </row>
    <row r="1313">
      <c r="H1313" s="14"/>
    </row>
    <row r="1314">
      <c r="H1314" s="14"/>
    </row>
    <row r="1315">
      <c r="H1315" s="14"/>
    </row>
    <row r="1316">
      <c r="H1316" s="14"/>
    </row>
    <row r="1317">
      <c r="H1317" s="14"/>
    </row>
    <row r="1318">
      <c r="H1318" s="14"/>
    </row>
    <row r="1319">
      <c r="H1319" s="14"/>
    </row>
    <row r="1320">
      <c r="H1320" s="14"/>
    </row>
    <row r="1321">
      <c r="H1321" s="14"/>
    </row>
    <row r="1322">
      <c r="H1322" s="14"/>
    </row>
    <row r="1323">
      <c r="H1323" s="14"/>
    </row>
    <row r="1324">
      <c r="H1324" s="14"/>
    </row>
    <row r="1325">
      <c r="H1325" s="14"/>
    </row>
    <row r="1326">
      <c r="H1326" s="14"/>
    </row>
    <row r="1327">
      <c r="H1327" s="14"/>
    </row>
    <row r="1328">
      <c r="H1328" s="14"/>
    </row>
    <row r="1329">
      <c r="H1329" s="14"/>
    </row>
    <row r="1330">
      <c r="H1330" s="14"/>
    </row>
    <row r="1331">
      <c r="H1331" s="14"/>
    </row>
    <row r="1332">
      <c r="H1332" s="14"/>
    </row>
    <row r="1333">
      <c r="H1333" s="14"/>
    </row>
    <row r="1334">
      <c r="H1334" s="14"/>
    </row>
    <row r="1335">
      <c r="H1335" s="14"/>
    </row>
    <row r="1336">
      <c r="H1336" s="14"/>
    </row>
    <row r="1337">
      <c r="H1337" s="14"/>
    </row>
    <row r="1338">
      <c r="H1338" s="14"/>
    </row>
    <row r="1339">
      <c r="H1339" s="14"/>
    </row>
    <row r="1340">
      <c r="H1340" s="14"/>
    </row>
    <row r="1341">
      <c r="H1341" s="14"/>
    </row>
    <row r="1342">
      <c r="H1342" s="14"/>
    </row>
    <row r="1343">
      <c r="H1343" s="14"/>
    </row>
    <row r="1344">
      <c r="H1344" s="14"/>
    </row>
    <row r="1345">
      <c r="H1345" s="14"/>
    </row>
    <row r="1346">
      <c r="H1346" s="14"/>
    </row>
    <row r="1347">
      <c r="H1347" s="14"/>
    </row>
    <row r="1348">
      <c r="H1348" s="14"/>
    </row>
    <row r="1349">
      <c r="H1349" s="14"/>
    </row>
    <row r="1350">
      <c r="H1350" s="14"/>
    </row>
    <row r="1351">
      <c r="H1351" s="14"/>
    </row>
    <row r="1352">
      <c r="H1352" s="14"/>
    </row>
    <row r="1353">
      <c r="H1353" s="14"/>
    </row>
    <row r="1354">
      <c r="H1354" s="14"/>
    </row>
    <row r="1355">
      <c r="H1355" s="14"/>
    </row>
    <row r="1356">
      <c r="H1356" s="14"/>
    </row>
    <row r="1357">
      <c r="H1357" s="14"/>
    </row>
    <row r="1358">
      <c r="H1358" s="14"/>
    </row>
    <row r="1359">
      <c r="H1359" s="14"/>
    </row>
    <row r="1360">
      <c r="H1360" s="14"/>
    </row>
    <row r="1361">
      <c r="H1361" s="14"/>
    </row>
    <row r="1362">
      <c r="H1362" s="14"/>
    </row>
    <row r="1363">
      <c r="H1363" s="14"/>
    </row>
    <row r="1364">
      <c r="H1364" s="14"/>
    </row>
    <row r="1365">
      <c r="H1365" s="14"/>
    </row>
    <row r="1366">
      <c r="H1366" s="14"/>
    </row>
    <row r="1367">
      <c r="H1367" s="14"/>
    </row>
    <row r="1368">
      <c r="H1368" s="14"/>
    </row>
    <row r="1369">
      <c r="H1369" s="14"/>
    </row>
    <row r="1370">
      <c r="H1370" s="14"/>
    </row>
    <row r="1371">
      <c r="H1371" s="14"/>
    </row>
    <row r="1372">
      <c r="H1372" s="14"/>
    </row>
    <row r="1373">
      <c r="H1373" s="14"/>
    </row>
    <row r="1374">
      <c r="H1374" s="14"/>
    </row>
    <row r="1375">
      <c r="H1375" s="14"/>
    </row>
    <row r="1376">
      <c r="H1376" s="14"/>
    </row>
    <row r="1377">
      <c r="H1377" s="14"/>
    </row>
    <row r="1378">
      <c r="H1378" s="14"/>
    </row>
    <row r="1379">
      <c r="H1379" s="14"/>
    </row>
    <row r="1380">
      <c r="H1380" s="14"/>
    </row>
    <row r="1381">
      <c r="H1381" s="14"/>
    </row>
    <row r="1382">
      <c r="H1382" s="14"/>
    </row>
    <row r="1383">
      <c r="H1383" s="14"/>
    </row>
    <row r="1384">
      <c r="H1384" s="14"/>
    </row>
    <row r="1385">
      <c r="H1385" s="14"/>
    </row>
    <row r="1386">
      <c r="H1386" s="14"/>
    </row>
    <row r="1387">
      <c r="H1387" s="14"/>
    </row>
    <row r="1388">
      <c r="H1388" s="14"/>
    </row>
    <row r="1389">
      <c r="H1389" s="14"/>
    </row>
    <row r="1390">
      <c r="H1390" s="14"/>
    </row>
    <row r="1391">
      <c r="H1391" s="14"/>
    </row>
    <row r="1392">
      <c r="H1392" s="14"/>
    </row>
    <row r="1393">
      <c r="H1393" s="14"/>
    </row>
    <row r="1394">
      <c r="H1394" s="14"/>
    </row>
    <row r="1395">
      <c r="H1395" s="14"/>
    </row>
    <row r="1396">
      <c r="H1396" s="14"/>
    </row>
    <row r="1397">
      <c r="H1397" s="14"/>
    </row>
    <row r="1398">
      <c r="H1398" s="14"/>
    </row>
    <row r="1399">
      <c r="H1399" s="14"/>
    </row>
    <row r="1400">
      <c r="H1400" s="14"/>
    </row>
    <row r="1401">
      <c r="H1401" s="14"/>
    </row>
    <row r="1402">
      <c r="H1402" s="14"/>
    </row>
    <row r="1403">
      <c r="H1403" s="14"/>
    </row>
    <row r="1404">
      <c r="H1404" s="14"/>
    </row>
    <row r="1405">
      <c r="H1405" s="14"/>
    </row>
    <row r="1406">
      <c r="H1406" s="14"/>
    </row>
    <row r="1407">
      <c r="H1407" s="14"/>
    </row>
    <row r="1408">
      <c r="H1408" s="14"/>
    </row>
    <row r="1409">
      <c r="H1409" s="14"/>
    </row>
    <row r="1410">
      <c r="H1410" s="14"/>
    </row>
    <row r="1411">
      <c r="H1411" s="14"/>
    </row>
    <row r="1412">
      <c r="H1412" s="14"/>
    </row>
    <row r="1413">
      <c r="H1413" s="14"/>
    </row>
    <row r="1414">
      <c r="H1414" s="14"/>
    </row>
    <row r="1415">
      <c r="H1415" s="14"/>
    </row>
    <row r="1416">
      <c r="H1416" s="14"/>
    </row>
    <row r="1417">
      <c r="H1417" s="14"/>
    </row>
    <row r="1418">
      <c r="H1418" s="14"/>
    </row>
    <row r="1419">
      <c r="H1419" s="14"/>
    </row>
    <row r="1420">
      <c r="H1420" s="14"/>
    </row>
    <row r="1421">
      <c r="H1421" s="14"/>
    </row>
    <row r="1422">
      <c r="H1422" s="14"/>
    </row>
    <row r="1423">
      <c r="H1423" s="14"/>
    </row>
    <row r="1424">
      <c r="H1424" s="14"/>
    </row>
    <row r="1425">
      <c r="H1425" s="14"/>
    </row>
    <row r="1426">
      <c r="H1426" s="14"/>
    </row>
    <row r="1427">
      <c r="H1427" s="14"/>
    </row>
    <row r="1428">
      <c r="H1428" s="14"/>
    </row>
    <row r="1429">
      <c r="H1429" s="14"/>
    </row>
    <row r="1430">
      <c r="H1430" s="14"/>
    </row>
    <row r="1431">
      <c r="H1431" s="14"/>
    </row>
    <row r="1432">
      <c r="H1432" s="14"/>
    </row>
    <row r="1433">
      <c r="H1433" s="14"/>
    </row>
    <row r="1434">
      <c r="H1434" s="14"/>
    </row>
    <row r="1435">
      <c r="H1435" s="14"/>
    </row>
    <row r="1436">
      <c r="H1436" s="14"/>
    </row>
    <row r="1437">
      <c r="H1437" s="14"/>
    </row>
    <row r="1438">
      <c r="H1438" s="14"/>
    </row>
    <row r="1439">
      <c r="H1439" s="14"/>
    </row>
    <row r="1440">
      <c r="H1440" s="14"/>
    </row>
    <row r="1441">
      <c r="H1441" s="14"/>
    </row>
    <row r="1442">
      <c r="H1442" s="14"/>
    </row>
    <row r="1443">
      <c r="H1443" s="14"/>
    </row>
    <row r="1444">
      <c r="H1444" s="14"/>
    </row>
    <row r="1445">
      <c r="H1445" s="14"/>
    </row>
    <row r="1446">
      <c r="H1446" s="14"/>
    </row>
    <row r="1447">
      <c r="H1447" s="14"/>
    </row>
    <row r="1448">
      <c r="H1448" s="14"/>
    </row>
    <row r="1449">
      <c r="H1449" s="14"/>
    </row>
    <row r="1450">
      <c r="H1450" s="14"/>
    </row>
    <row r="1451">
      <c r="H1451" s="14"/>
    </row>
    <row r="1452">
      <c r="H1452" s="14"/>
    </row>
    <row r="1453">
      <c r="H1453" s="14"/>
    </row>
    <row r="1454">
      <c r="H1454" s="14"/>
    </row>
    <row r="1455">
      <c r="H1455" s="14"/>
    </row>
    <row r="1456">
      <c r="H1456" s="14"/>
    </row>
    <row r="1457">
      <c r="H1457" s="14"/>
    </row>
    <row r="1458">
      <c r="H1458" s="14"/>
    </row>
    <row r="1459">
      <c r="H1459" s="14"/>
    </row>
    <row r="1460">
      <c r="H1460" s="14"/>
    </row>
    <row r="1461">
      <c r="H1461" s="14"/>
    </row>
    <row r="1462">
      <c r="H1462" s="14"/>
    </row>
    <row r="1463">
      <c r="H1463" s="14"/>
    </row>
    <row r="1464">
      <c r="H1464" s="14"/>
    </row>
    <row r="1465">
      <c r="H1465" s="14"/>
    </row>
    <row r="1466">
      <c r="H1466" s="14"/>
    </row>
    <row r="1467">
      <c r="H1467" s="14"/>
    </row>
    <row r="1468">
      <c r="H1468" s="14"/>
    </row>
    <row r="1469">
      <c r="H1469" s="14"/>
    </row>
    <row r="1470">
      <c r="H1470" s="14"/>
    </row>
    <row r="1471">
      <c r="H1471" s="14"/>
    </row>
    <row r="1472">
      <c r="H1472" s="14"/>
    </row>
    <row r="1473">
      <c r="H1473" s="14"/>
    </row>
    <row r="1474">
      <c r="H1474" s="14"/>
    </row>
    <row r="1475">
      <c r="H1475" s="14"/>
    </row>
    <row r="1476">
      <c r="H1476" s="14"/>
    </row>
    <row r="1477">
      <c r="H1477" s="14"/>
    </row>
    <row r="1478">
      <c r="H1478" s="14"/>
    </row>
    <row r="1479">
      <c r="H1479" s="14"/>
    </row>
    <row r="1480">
      <c r="H1480" s="14"/>
    </row>
    <row r="1481">
      <c r="H1481" s="14"/>
    </row>
    <row r="1482">
      <c r="H1482" s="14"/>
    </row>
    <row r="1483">
      <c r="H1483" s="14"/>
    </row>
    <row r="1484">
      <c r="H1484" s="14"/>
    </row>
    <row r="1485">
      <c r="H1485" s="14"/>
    </row>
    <row r="1486">
      <c r="H1486" s="14"/>
    </row>
    <row r="1487">
      <c r="H1487" s="14"/>
    </row>
    <row r="1488">
      <c r="H1488" s="14"/>
    </row>
    <row r="1489">
      <c r="H1489" s="14"/>
    </row>
    <row r="1490">
      <c r="H1490" s="14"/>
    </row>
    <row r="1491">
      <c r="H1491" s="14"/>
    </row>
    <row r="1492">
      <c r="H1492" s="14"/>
    </row>
    <row r="1493">
      <c r="H1493" s="14"/>
    </row>
    <row r="1494">
      <c r="H1494" s="14"/>
    </row>
    <row r="1495">
      <c r="H1495" s="14"/>
    </row>
    <row r="1496">
      <c r="H1496" s="14"/>
    </row>
    <row r="1497">
      <c r="H1497" s="14"/>
    </row>
    <row r="1498">
      <c r="H1498" s="14"/>
    </row>
    <row r="1499">
      <c r="H1499" s="14"/>
    </row>
    <row r="1500">
      <c r="H1500" s="14"/>
    </row>
    <row r="1501">
      <c r="H1501" s="14"/>
    </row>
    <row r="1502">
      <c r="H1502" s="14"/>
    </row>
    <row r="1503">
      <c r="H1503" s="14"/>
    </row>
    <row r="1504">
      <c r="H1504" s="14"/>
    </row>
    <row r="1505">
      <c r="H1505" s="14"/>
    </row>
    <row r="1506">
      <c r="H1506" s="14"/>
    </row>
    <row r="1507">
      <c r="H1507" s="14"/>
    </row>
    <row r="1508">
      <c r="H1508" s="14"/>
    </row>
    <row r="1509">
      <c r="H1509" s="14"/>
    </row>
    <row r="1510">
      <c r="H1510" s="14"/>
    </row>
    <row r="1511">
      <c r="H1511" s="14"/>
    </row>
    <row r="1512">
      <c r="H1512" s="14"/>
    </row>
    <row r="1513">
      <c r="H1513" s="14"/>
    </row>
    <row r="1514">
      <c r="H1514" s="14"/>
    </row>
    <row r="1515">
      <c r="H1515" s="14"/>
    </row>
    <row r="1516">
      <c r="H1516" s="14"/>
    </row>
    <row r="1517">
      <c r="H1517" s="14"/>
    </row>
    <row r="1518">
      <c r="H1518" s="14"/>
    </row>
    <row r="1519">
      <c r="H1519" s="14"/>
    </row>
    <row r="1520">
      <c r="H1520" s="14"/>
    </row>
    <row r="1521">
      <c r="H1521" s="14"/>
    </row>
    <row r="1522">
      <c r="H1522" s="14"/>
    </row>
    <row r="1523">
      <c r="H1523" s="14"/>
    </row>
    <row r="1524">
      <c r="H1524" s="14"/>
    </row>
    <row r="1525">
      <c r="H1525" s="14"/>
    </row>
    <row r="1526">
      <c r="H1526" s="14"/>
    </row>
    <row r="1527">
      <c r="H1527" s="14"/>
    </row>
    <row r="1528">
      <c r="H1528" s="14"/>
    </row>
    <row r="1529">
      <c r="H1529" s="14"/>
    </row>
    <row r="1530">
      <c r="H1530" s="14"/>
    </row>
    <row r="1531">
      <c r="H1531" s="14"/>
    </row>
    <row r="1532">
      <c r="H1532" s="14"/>
    </row>
    <row r="1533">
      <c r="H1533" s="14"/>
    </row>
    <row r="1534">
      <c r="H1534" s="14"/>
    </row>
    <row r="1535">
      <c r="H1535" s="14"/>
    </row>
    <row r="1536">
      <c r="H1536" s="14"/>
    </row>
    <row r="1537">
      <c r="H1537" s="14"/>
    </row>
    <row r="1538">
      <c r="H1538" s="14"/>
    </row>
    <row r="1539">
      <c r="H1539" s="14"/>
    </row>
    <row r="1540">
      <c r="H1540" s="14"/>
    </row>
    <row r="1541">
      <c r="H1541" s="14"/>
    </row>
    <row r="1542">
      <c r="H1542" s="14"/>
    </row>
    <row r="1543">
      <c r="H1543" s="14"/>
    </row>
    <row r="1544">
      <c r="H1544" s="14"/>
    </row>
    <row r="1545">
      <c r="H1545" s="14"/>
    </row>
    <row r="1546">
      <c r="H1546" s="14"/>
    </row>
    <row r="1547">
      <c r="H1547" s="14"/>
    </row>
    <row r="1548">
      <c r="H1548" s="14"/>
    </row>
    <row r="1549">
      <c r="H1549" s="14"/>
    </row>
    <row r="1550">
      <c r="H1550" s="14"/>
    </row>
    <row r="1551">
      <c r="H1551" s="14"/>
    </row>
    <row r="1552">
      <c r="H1552" s="14"/>
    </row>
    <row r="1553">
      <c r="H1553" s="14"/>
    </row>
    <row r="1554">
      <c r="H1554" s="14"/>
    </row>
    <row r="1555">
      <c r="H1555" s="14"/>
    </row>
    <row r="1556">
      <c r="H1556" s="14"/>
    </row>
    <row r="1557">
      <c r="H1557" s="14"/>
    </row>
    <row r="1558">
      <c r="H1558" s="14"/>
    </row>
    <row r="1559">
      <c r="H1559" s="14"/>
    </row>
    <row r="1560">
      <c r="H1560" s="14"/>
    </row>
    <row r="1561">
      <c r="H1561" s="14"/>
    </row>
    <row r="1562">
      <c r="H1562" s="14"/>
    </row>
    <row r="1563">
      <c r="H1563" s="14"/>
    </row>
    <row r="1564">
      <c r="H1564" s="14"/>
    </row>
    <row r="1565">
      <c r="H1565" s="14"/>
    </row>
    <row r="1566">
      <c r="H1566" s="14"/>
    </row>
    <row r="1567">
      <c r="H1567" s="14"/>
    </row>
    <row r="1568">
      <c r="H1568" s="14"/>
    </row>
    <row r="1569">
      <c r="H1569" s="14"/>
    </row>
    <row r="1570">
      <c r="H1570" s="14"/>
    </row>
    <row r="1571">
      <c r="H1571" s="14"/>
    </row>
    <row r="1572">
      <c r="H1572" s="14"/>
    </row>
    <row r="1573">
      <c r="H1573" s="14"/>
    </row>
    <row r="1574">
      <c r="H1574" s="14"/>
    </row>
    <row r="1575">
      <c r="H1575" s="14"/>
    </row>
    <row r="1576">
      <c r="H1576" s="14"/>
    </row>
    <row r="1577">
      <c r="H1577" s="14"/>
    </row>
    <row r="1578">
      <c r="H1578" s="14"/>
    </row>
    <row r="1579">
      <c r="H1579" s="14"/>
    </row>
    <row r="1580">
      <c r="H1580" s="14"/>
    </row>
    <row r="1581">
      <c r="H1581" s="14"/>
    </row>
    <row r="1582">
      <c r="H1582" s="14"/>
    </row>
    <row r="1583">
      <c r="H1583" s="14"/>
    </row>
    <row r="1584">
      <c r="H1584" s="14"/>
    </row>
    <row r="1585">
      <c r="H1585" s="14"/>
    </row>
    <row r="1586">
      <c r="H1586" s="14"/>
    </row>
    <row r="1587">
      <c r="H1587" s="14"/>
    </row>
    <row r="1588">
      <c r="H1588" s="14"/>
    </row>
    <row r="1589">
      <c r="H1589" s="14"/>
    </row>
    <row r="1590">
      <c r="H1590" s="14"/>
    </row>
    <row r="1591">
      <c r="H1591" s="14"/>
    </row>
    <row r="1592">
      <c r="H1592" s="14"/>
    </row>
    <row r="1593">
      <c r="H1593" s="14"/>
    </row>
    <row r="1594">
      <c r="H1594" s="14"/>
    </row>
    <row r="1595">
      <c r="H1595" s="14"/>
    </row>
    <row r="1596">
      <c r="H1596" s="14"/>
    </row>
    <row r="1597">
      <c r="H1597" s="14"/>
    </row>
    <row r="1598">
      <c r="H1598" s="14"/>
    </row>
    <row r="1599">
      <c r="H1599" s="14"/>
    </row>
    <row r="1600">
      <c r="H1600" s="14"/>
    </row>
    <row r="1601">
      <c r="H1601" s="14"/>
    </row>
    <row r="1602">
      <c r="H1602" s="14"/>
    </row>
    <row r="1603">
      <c r="H1603" s="14"/>
    </row>
    <row r="1604">
      <c r="H1604" s="14"/>
    </row>
    <row r="1605">
      <c r="H1605" s="14"/>
    </row>
    <row r="1606">
      <c r="H1606" s="14"/>
    </row>
    <row r="1607">
      <c r="H1607" s="14"/>
    </row>
    <row r="1608">
      <c r="H1608" s="14"/>
    </row>
    <row r="1609">
      <c r="H1609" s="14"/>
    </row>
    <row r="1610">
      <c r="H1610" s="14"/>
    </row>
    <row r="1611">
      <c r="H1611" s="14"/>
    </row>
    <row r="1612">
      <c r="H1612" s="14"/>
    </row>
    <row r="1613">
      <c r="H1613" s="14"/>
    </row>
    <row r="1614">
      <c r="H1614" s="14"/>
    </row>
    <row r="1615">
      <c r="H1615" s="14"/>
    </row>
    <row r="1616">
      <c r="H1616" s="14"/>
    </row>
    <row r="1617">
      <c r="H1617" s="14"/>
    </row>
    <row r="1618">
      <c r="H1618" s="14"/>
    </row>
    <row r="1619">
      <c r="H1619" s="14"/>
    </row>
    <row r="1620">
      <c r="H1620" s="14"/>
    </row>
    <row r="1621">
      <c r="H1621" s="14"/>
    </row>
    <row r="1622">
      <c r="H1622" s="14"/>
    </row>
    <row r="1623">
      <c r="H1623" s="14"/>
    </row>
    <row r="1624">
      <c r="H1624" s="14"/>
    </row>
    <row r="1625">
      <c r="H1625" s="14"/>
    </row>
    <row r="1626">
      <c r="H1626" s="14"/>
    </row>
    <row r="1627">
      <c r="H1627" s="14"/>
    </row>
    <row r="1628">
      <c r="H1628" s="14"/>
    </row>
    <row r="1629">
      <c r="H1629" s="14"/>
    </row>
    <row r="1630">
      <c r="H1630" s="14"/>
    </row>
    <row r="1631">
      <c r="H1631" s="14"/>
    </row>
    <row r="1632">
      <c r="H1632" s="14"/>
    </row>
    <row r="1633">
      <c r="H1633" s="14"/>
    </row>
    <row r="1634">
      <c r="H1634" s="14"/>
    </row>
    <row r="1635">
      <c r="H1635" s="14"/>
    </row>
    <row r="1636">
      <c r="H1636" s="14"/>
    </row>
    <row r="1637">
      <c r="H1637" s="14"/>
    </row>
    <row r="1638">
      <c r="H1638" s="14"/>
    </row>
    <row r="1639">
      <c r="H1639" s="14"/>
    </row>
    <row r="1640">
      <c r="H1640" s="14"/>
    </row>
    <row r="1641">
      <c r="H1641" s="14"/>
    </row>
    <row r="1642">
      <c r="H1642" s="14"/>
    </row>
    <row r="1643">
      <c r="H1643" s="14"/>
    </row>
    <row r="1644">
      <c r="H1644" s="14"/>
    </row>
    <row r="1645">
      <c r="H1645" s="14"/>
    </row>
    <row r="1646">
      <c r="H1646" s="14"/>
    </row>
    <row r="1647">
      <c r="H1647" s="14"/>
    </row>
    <row r="1648">
      <c r="H1648" s="14"/>
    </row>
    <row r="1649">
      <c r="H1649" s="14"/>
    </row>
    <row r="1650">
      <c r="H1650" s="14"/>
    </row>
    <row r="1651">
      <c r="H1651" s="14"/>
    </row>
    <row r="1652">
      <c r="H1652" s="14"/>
    </row>
    <row r="1653">
      <c r="H1653" s="14"/>
    </row>
    <row r="1654">
      <c r="H1654" s="14"/>
    </row>
    <row r="1655">
      <c r="H1655" s="14"/>
    </row>
    <row r="1656">
      <c r="H1656" s="14"/>
    </row>
    <row r="1657">
      <c r="H1657" s="14"/>
    </row>
    <row r="1658">
      <c r="H1658" s="14"/>
    </row>
    <row r="1659">
      <c r="H1659" s="14"/>
    </row>
    <row r="1660">
      <c r="H1660" s="14"/>
    </row>
    <row r="1661">
      <c r="H1661" s="14"/>
    </row>
    <row r="1662">
      <c r="H1662" s="14"/>
    </row>
    <row r="1663">
      <c r="H1663" s="14"/>
    </row>
    <row r="1664">
      <c r="H1664" s="14"/>
    </row>
    <row r="1665">
      <c r="H1665" s="14"/>
    </row>
    <row r="1666">
      <c r="H1666" s="14"/>
    </row>
    <row r="1667">
      <c r="H1667" s="14"/>
    </row>
    <row r="1668">
      <c r="H1668" s="14"/>
    </row>
    <row r="1669">
      <c r="H1669" s="14"/>
    </row>
    <row r="1670">
      <c r="H1670" s="14"/>
    </row>
    <row r="1671">
      <c r="H1671" s="14"/>
    </row>
    <row r="1672">
      <c r="H1672" s="14"/>
    </row>
    <row r="1673">
      <c r="H1673" s="14"/>
    </row>
    <row r="1674">
      <c r="H1674" s="14"/>
    </row>
    <row r="1675">
      <c r="H1675" s="14"/>
    </row>
    <row r="1676">
      <c r="H1676" s="14"/>
    </row>
    <row r="1677">
      <c r="H1677" s="14"/>
    </row>
    <row r="1678">
      <c r="H1678" s="14"/>
    </row>
    <row r="1679">
      <c r="H1679" s="14"/>
    </row>
    <row r="1680">
      <c r="H1680" s="14"/>
    </row>
    <row r="1681">
      <c r="H1681" s="14"/>
    </row>
    <row r="1682">
      <c r="H1682" s="14"/>
    </row>
    <row r="1683">
      <c r="H1683" s="14"/>
    </row>
    <row r="1684">
      <c r="H1684" s="14"/>
    </row>
    <row r="1685">
      <c r="H1685" s="14"/>
    </row>
    <row r="1686">
      <c r="H1686" s="14"/>
    </row>
    <row r="1687">
      <c r="H1687" s="14"/>
    </row>
    <row r="1688">
      <c r="H1688" s="14"/>
    </row>
    <row r="1689">
      <c r="H1689" s="14"/>
    </row>
    <row r="1690">
      <c r="H1690" s="14"/>
    </row>
    <row r="1691">
      <c r="H1691" s="14"/>
    </row>
    <row r="1692">
      <c r="H1692" s="14"/>
    </row>
    <row r="1693">
      <c r="H1693" s="14"/>
    </row>
    <row r="1694">
      <c r="H1694" s="14"/>
    </row>
    <row r="1695">
      <c r="H1695" s="14"/>
    </row>
    <row r="1696">
      <c r="H1696" s="14"/>
    </row>
    <row r="1697">
      <c r="H1697" s="14"/>
    </row>
    <row r="1698">
      <c r="H1698" s="14"/>
    </row>
    <row r="1699">
      <c r="H1699" s="14"/>
    </row>
    <row r="1700">
      <c r="H1700" s="14"/>
    </row>
    <row r="1701">
      <c r="H1701" s="14"/>
    </row>
    <row r="1702">
      <c r="H1702" s="14"/>
    </row>
    <row r="1703">
      <c r="H1703" s="14"/>
    </row>
    <row r="1704">
      <c r="H1704" s="14"/>
    </row>
    <row r="1705">
      <c r="H1705" s="14"/>
    </row>
    <row r="1706">
      <c r="H1706" s="14"/>
    </row>
    <row r="1707">
      <c r="H1707" s="14"/>
    </row>
    <row r="1708">
      <c r="H1708" s="14"/>
    </row>
    <row r="1709">
      <c r="H1709" s="14"/>
    </row>
    <row r="1710">
      <c r="H1710" s="14"/>
    </row>
    <row r="1711">
      <c r="H1711" s="14"/>
    </row>
    <row r="1712">
      <c r="H1712" s="14"/>
    </row>
    <row r="1713">
      <c r="H1713" s="14"/>
    </row>
    <row r="1714">
      <c r="H1714" s="14"/>
    </row>
    <row r="1715">
      <c r="H1715" s="14"/>
    </row>
    <row r="1716">
      <c r="H1716" s="14"/>
    </row>
    <row r="1717">
      <c r="H1717" s="14"/>
    </row>
    <row r="1718">
      <c r="H1718" s="14"/>
    </row>
    <row r="1719">
      <c r="H1719" s="14"/>
    </row>
    <row r="1720">
      <c r="H1720" s="14"/>
    </row>
    <row r="1721">
      <c r="H1721" s="14"/>
    </row>
    <row r="1722">
      <c r="H1722" s="14"/>
    </row>
    <row r="1723">
      <c r="H1723" s="14"/>
    </row>
    <row r="1724">
      <c r="H1724" s="14"/>
    </row>
    <row r="1725">
      <c r="H1725" s="14"/>
    </row>
    <row r="1726">
      <c r="H1726" s="14"/>
    </row>
    <row r="1727">
      <c r="H1727" s="14"/>
    </row>
    <row r="1728">
      <c r="H1728" s="14"/>
    </row>
    <row r="1729">
      <c r="H1729" s="14"/>
    </row>
    <row r="1730">
      <c r="H1730" s="14"/>
    </row>
    <row r="1731">
      <c r="H1731" s="14"/>
    </row>
    <row r="1732">
      <c r="H1732" s="14"/>
    </row>
    <row r="1733">
      <c r="H1733" s="14"/>
    </row>
    <row r="1734">
      <c r="H1734" s="14"/>
    </row>
    <row r="1735">
      <c r="H1735" s="14"/>
    </row>
    <row r="1736">
      <c r="H1736" s="14"/>
    </row>
    <row r="1737">
      <c r="H1737" s="14"/>
    </row>
    <row r="1738">
      <c r="H1738" s="14"/>
    </row>
    <row r="1739">
      <c r="H1739" s="14"/>
    </row>
    <row r="1740">
      <c r="H1740" s="14"/>
    </row>
    <row r="1741">
      <c r="H1741" s="14"/>
    </row>
    <row r="1742">
      <c r="H1742" s="14"/>
    </row>
    <row r="1743">
      <c r="H1743" s="14"/>
    </row>
    <row r="1744">
      <c r="H1744" s="14"/>
    </row>
    <row r="1745">
      <c r="H1745" s="14"/>
    </row>
    <row r="1746">
      <c r="H1746" s="14"/>
    </row>
    <row r="1747">
      <c r="H1747" s="14"/>
    </row>
    <row r="1748">
      <c r="H1748" s="14"/>
    </row>
    <row r="1749">
      <c r="H1749" s="14"/>
    </row>
    <row r="1750">
      <c r="H1750" s="14"/>
    </row>
    <row r="1751">
      <c r="H1751" s="14"/>
    </row>
    <row r="1752">
      <c r="H1752" s="14"/>
    </row>
    <row r="1753">
      <c r="H1753" s="14"/>
    </row>
    <row r="1754">
      <c r="H1754" s="14"/>
    </row>
    <row r="1755">
      <c r="H1755" s="14"/>
    </row>
    <row r="1756">
      <c r="H1756" s="14"/>
    </row>
    <row r="1757">
      <c r="H1757" s="14"/>
    </row>
    <row r="1758">
      <c r="H1758" s="14"/>
    </row>
    <row r="1759">
      <c r="H1759" s="14"/>
    </row>
    <row r="1760">
      <c r="H1760" s="14"/>
    </row>
    <row r="1761">
      <c r="H1761" s="14"/>
    </row>
    <row r="1762">
      <c r="H1762" s="14"/>
    </row>
    <row r="1763">
      <c r="H1763" s="14"/>
    </row>
    <row r="1764">
      <c r="H1764" s="14"/>
    </row>
    <row r="1765">
      <c r="H1765" s="14"/>
    </row>
    <row r="1766">
      <c r="H1766" s="14"/>
    </row>
    <row r="1767">
      <c r="H1767" s="14"/>
    </row>
    <row r="1768">
      <c r="H1768" s="14"/>
    </row>
    <row r="1769">
      <c r="H1769" s="14"/>
    </row>
    <row r="1770">
      <c r="H1770" s="14"/>
    </row>
    <row r="1771">
      <c r="H1771" s="14"/>
    </row>
    <row r="1772">
      <c r="H1772" s="14"/>
    </row>
    <row r="1773">
      <c r="H1773" s="14"/>
    </row>
    <row r="1774">
      <c r="H1774" s="14"/>
    </row>
    <row r="1775">
      <c r="H1775" s="14"/>
    </row>
    <row r="1776">
      <c r="H1776" s="14"/>
    </row>
    <row r="1777">
      <c r="H1777" s="14"/>
    </row>
    <row r="1778">
      <c r="H1778" s="14"/>
    </row>
    <row r="1779">
      <c r="H1779" s="14"/>
    </row>
    <row r="1780">
      <c r="H1780" s="14"/>
    </row>
    <row r="1781">
      <c r="H1781" s="14"/>
    </row>
    <row r="1782">
      <c r="H1782" s="14"/>
    </row>
    <row r="1783">
      <c r="H1783" s="14"/>
    </row>
    <row r="1784">
      <c r="H1784" s="14"/>
    </row>
    <row r="1785">
      <c r="H1785" s="14"/>
    </row>
    <row r="1786">
      <c r="H1786" s="14"/>
    </row>
    <row r="1787">
      <c r="H1787" s="14"/>
    </row>
    <row r="1788">
      <c r="H1788" s="14"/>
    </row>
    <row r="1789">
      <c r="H1789" s="14"/>
    </row>
    <row r="1790">
      <c r="H1790" s="14"/>
    </row>
    <row r="1791">
      <c r="H1791" s="14"/>
    </row>
    <row r="1792">
      <c r="H1792" s="14"/>
    </row>
    <row r="1793">
      <c r="H1793" s="14"/>
    </row>
    <row r="1794">
      <c r="H1794" s="14"/>
    </row>
    <row r="1795">
      <c r="H1795" s="14"/>
    </row>
    <row r="1796">
      <c r="H1796" s="14"/>
    </row>
    <row r="1797">
      <c r="H1797" s="14"/>
    </row>
    <row r="1798">
      <c r="H1798" s="14"/>
    </row>
    <row r="1799">
      <c r="H1799" s="14"/>
    </row>
    <row r="1800">
      <c r="H1800" s="14"/>
    </row>
    <row r="1801">
      <c r="H1801" s="14"/>
    </row>
    <row r="1802">
      <c r="H1802" s="14"/>
    </row>
    <row r="1803">
      <c r="H1803" s="14"/>
    </row>
    <row r="1804">
      <c r="H1804" s="14"/>
    </row>
    <row r="1805">
      <c r="H1805" s="14"/>
    </row>
    <row r="1806">
      <c r="H1806" s="14"/>
    </row>
    <row r="1807">
      <c r="H1807" s="14"/>
    </row>
    <row r="1808">
      <c r="H1808" s="14"/>
    </row>
    <row r="1809">
      <c r="H1809" s="14"/>
    </row>
    <row r="1810">
      <c r="H1810" s="14"/>
    </row>
    <row r="1811">
      <c r="H1811" s="14"/>
    </row>
    <row r="1812">
      <c r="H1812" s="14"/>
    </row>
    <row r="1813">
      <c r="H1813" s="14"/>
    </row>
    <row r="1814">
      <c r="H1814" s="14"/>
    </row>
    <row r="1815">
      <c r="H1815" s="14"/>
    </row>
    <row r="1816">
      <c r="H1816" s="14"/>
    </row>
    <row r="1817">
      <c r="H1817" s="14"/>
    </row>
    <row r="1818">
      <c r="H1818" s="14"/>
    </row>
    <row r="1819">
      <c r="H1819" s="14"/>
    </row>
    <row r="1820">
      <c r="H1820" s="14"/>
    </row>
    <row r="1821">
      <c r="H1821" s="14"/>
    </row>
    <row r="1822">
      <c r="H1822" s="14"/>
    </row>
    <row r="1823">
      <c r="H1823" s="14"/>
    </row>
    <row r="1824">
      <c r="H1824" s="14"/>
    </row>
    <row r="1825">
      <c r="H1825" s="14"/>
    </row>
    <row r="1826">
      <c r="H1826" s="14"/>
    </row>
    <row r="1827">
      <c r="H1827" s="14"/>
    </row>
    <row r="1828">
      <c r="H1828" s="14"/>
    </row>
    <row r="1829">
      <c r="H1829" s="14"/>
    </row>
    <row r="1830">
      <c r="H1830" s="14"/>
    </row>
    <row r="1831">
      <c r="H1831" s="14"/>
    </row>
    <row r="1832">
      <c r="H1832" s="14"/>
    </row>
    <row r="1833">
      <c r="H1833" s="1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25"/>
    <col customWidth="1" min="2" max="3" width="9.5"/>
    <col customWidth="1" min="4" max="4" width="6.88"/>
    <col customWidth="1" min="5" max="5" width="11.13"/>
    <col customWidth="1" min="6" max="6" width="13.25"/>
    <col customWidth="1" min="7" max="7" width="11.75"/>
    <col customWidth="1" min="8" max="8" width="11.88"/>
    <col customWidth="1" min="9" max="9" width="18.0"/>
    <col customWidth="1" min="12" max="12" width="14.13"/>
    <col customWidth="1" min="13" max="13" width="14.25"/>
  </cols>
  <sheetData>
    <row r="1" ht="39.75" customHeight="1">
      <c r="A1" s="6" t="str">
        <f>IFERROR(__xludf.DUMMYFUNCTION("QUERY(Dados!A:G, ""SELECT A,B,C,E,F, G where A= 'Mexico' and G &gt; 0"")"),"país")</f>
        <v>país</v>
      </c>
      <c r="B1" s="6" t="str">
        <f>IFERROR(__xludf.DUMMYFUNCTION("""COMPUTED_VALUE"""),"data início")</f>
        <v>data início</v>
      </c>
      <c r="C1" s="6" t="str">
        <f>IFERROR(__xludf.DUMMYFUNCTION("""COMPUTED_VALUE"""),"data fim")</f>
        <v>data fim</v>
      </c>
      <c r="D1" s="6" t="str">
        <f>IFERROR(__xludf.DUMMYFUNCTION("""COMPUTED_VALUE"""),"semana")</f>
        <v>semana</v>
      </c>
      <c r="E1" s="6" t="str">
        <f>IFERROR(__xludf.DUMMYFUNCTION("""COMPUTED_VALUE"""),"total mortes reportadas")</f>
        <v>total mortes reportadas</v>
      </c>
      <c r="F1" s="6" t="str">
        <f>IFERROR(__xludf.DUMMYFUNCTION("""COMPUTED_VALUE"""),"total mortes reportadas por covid")</f>
        <v>total mortes reportadas por covid</v>
      </c>
      <c r="G1" s="7" t="s">
        <v>7</v>
      </c>
      <c r="H1" s="8" t="s">
        <v>1</v>
      </c>
      <c r="I1" s="9" t="s">
        <v>2</v>
      </c>
      <c r="J1" s="10" t="s">
        <v>3</v>
      </c>
      <c r="K1" s="11" t="s">
        <v>4</v>
      </c>
      <c r="L1" s="12" t="s">
        <v>5</v>
      </c>
      <c r="M1" s="13" t="s">
        <v>6</v>
      </c>
    </row>
    <row r="2">
      <c r="A2" s="2" t="str">
        <f>IFERROR(__xludf.DUMMYFUNCTION("""COMPUTED_VALUE"""),"Mexico")</f>
        <v>Mexico</v>
      </c>
      <c r="B2" s="3">
        <f>IFERROR(__xludf.DUMMYFUNCTION("""COMPUTED_VALUE"""),43906.0)</f>
        <v>43906</v>
      </c>
      <c r="C2" s="3">
        <f>IFERROR(__xludf.DUMMYFUNCTION("""COMPUTED_VALUE"""),43912.0)</f>
        <v>43912</v>
      </c>
      <c r="D2" s="2">
        <f>IFERROR(__xludf.DUMMYFUNCTION("""COMPUTED_VALUE"""),12.0)</f>
        <v>12</v>
      </c>
      <c r="E2" s="2">
        <f>IFERROR(__xludf.DUMMYFUNCTION("""COMPUTED_VALUE"""),13187.0)</f>
        <v>13187</v>
      </c>
      <c r="F2" s="2">
        <f>IFERROR(__xludf.DUMMYFUNCTION("""COMPUTED_VALUE"""),3.0)</f>
        <v>3</v>
      </c>
      <c r="G2" s="4">
        <f>VLOOKUP(A2,Populacao!A:B,2,0)</f>
        <v>130262220</v>
      </c>
      <c r="H2" s="2">
        <f t="shared" ref="H2:H83" si="1">F2*100000/G2</f>
        <v>0.002303046885</v>
      </c>
      <c r="I2" s="2">
        <f>H2</f>
        <v>0.002303046885</v>
      </c>
      <c r="J2" s="2">
        <f>AVERAGEIFS(Dados!F:F,Dados!A:A, "=Mexico", Dados!G:G, "=0", Dados!E:E, D2)</f>
        <v>13468.6</v>
      </c>
      <c r="K2" s="2">
        <f t="shared" ref="K2:K83" si="2">E2-J2</f>
        <v>-281.6</v>
      </c>
      <c r="L2" s="2">
        <f t="shared" ref="L2:L83" si="3">K2*100000/G2</f>
        <v>-0.2161793343</v>
      </c>
      <c r="M2" s="2">
        <f>L2</f>
        <v>-0.2161793343</v>
      </c>
    </row>
    <row r="3">
      <c r="A3" s="2" t="str">
        <f>IFERROR(__xludf.DUMMYFUNCTION("""COMPUTED_VALUE"""),"Mexico")</f>
        <v>Mexico</v>
      </c>
      <c r="B3" s="3">
        <f>IFERROR(__xludf.DUMMYFUNCTION("""COMPUTED_VALUE"""),43913.0)</f>
        <v>43913</v>
      </c>
      <c r="C3" s="3">
        <f>IFERROR(__xludf.DUMMYFUNCTION("""COMPUTED_VALUE"""),43919.0)</f>
        <v>43919</v>
      </c>
      <c r="D3" s="2">
        <f>IFERROR(__xludf.DUMMYFUNCTION("""COMPUTED_VALUE"""),13.0)</f>
        <v>13</v>
      </c>
      <c r="E3" s="2">
        <f>IFERROR(__xludf.DUMMYFUNCTION("""COMPUTED_VALUE"""),13698.0)</f>
        <v>13698</v>
      </c>
      <c r="F3" s="2">
        <f>IFERROR(__xludf.DUMMYFUNCTION("""COMPUTED_VALUE"""),17.0)</f>
        <v>17</v>
      </c>
      <c r="G3" s="4">
        <f>VLOOKUP(A3,Populacao!A:B,2,0)</f>
        <v>130262220</v>
      </c>
      <c r="H3" s="2">
        <f t="shared" si="1"/>
        <v>0.01305059901</v>
      </c>
      <c r="I3" s="2">
        <f t="shared" ref="I3:I83" si="4">H3+I2</f>
        <v>0.0153536459</v>
      </c>
      <c r="J3" s="2">
        <f>AVERAGEIFS(Dados!F:F,Dados!A:A, "=Mexico", Dados!G:G, "=0", Dados!E:E, D3)</f>
        <v>13175.6</v>
      </c>
      <c r="K3" s="2">
        <f t="shared" si="2"/>
        <v>522.4</v>
      </c>
      <c r="L3" s="2">
        <f t="shared" si="3"/>
        <v>0.4010372309</v>
      </c>
      <c r="M3" s="2">
        <f t="shared" ref="M3:M83" si="5">L3+M2</f>
        <v>0.1848578966</v>
      </c>
    </row>
    <row r="4">
      <c r="A4" s="2" t="str">
        <f>IFERROR(__xludf.DUMMYFUNCTION("""COMPUTED_VALUE"""),"Mexico")</f>
        <v>Mexico</v>
      </c>
      <c r="B4" s="3">
        <f>IFERROR(__xludf.DUMMYFUNCTION("""COMPUTED_VALUE"""),43920.0)</f>
        <v>43920</v>
      </c>
      <c r="C4" s="3">
        <f>IFERROR(__xludf.DUMMYFUNCTION("""COMPUTED_VALUE"""),43926.0)</f>
        <v>43926</v>
      </c>
      <c r="D4" s="2">
        <f>IFERROR(__xludf.DUMMYFUNCTION("""COMPUTED_VALUE"""),14.0)</f>
        <v>14</v>
      </c>
      <c r="E4" s="2">
        <f>IFERROR(__xludf.DUMMYFUNCTION("""COMPUTED_VALUE"""),13533.0)</f>
        <v>13533</v>
      </c>
      <c r="F4" s="2">
        <f>IFERROR(__xludf.DUMMYFUNCTION("""COMPUTED_VALUE"""),74.0)</f>
        <v>74</v>
      </c>
      <c r="G4" s="4">
        <f>VLOOKUP(A4,Populacao!A:B,2,0)</f>
        <v>130262220</v>
      </c>
      <c r="H4" s="2">
        <f t="shared" si="1"/>
        <v>0.05680848983</v>
      </c>
      <c r="I4" s="2">
        <f t="shared" si="4"/>
        <v>0.07216213573</v>
      </c>
      <c r="J4" s="2">
        <f>AVERAGEIFS(Dados!F:F,Dados!A:A, "=Mexico", Dados!G:G, "=0", Dados!E:E, D4)</f>
        <v>13256.6</v>
      </c>
      <c r="K4" s="2">
        <f t="shared" si="2"/>
        <v>276.4</v>
      </c>
      <c r="L4" s="2">
        <f t="shared" si="3"/>
        <v>0.2121873863</v>
      </c>
      <c r="M4" s="2">
        <f t="shared" si="5"/>
        <v>0.397045283</v>
      </c>
    </row>
    <row r="5">
      <c r="A5" s="2" t="str">
        <f>IFERROR(__xludf.DUMMYFUNCTION("""COMPUTED_VALUE"""),"Mexico")</f>
        <v>Mexico</v>
      </c>
      <c r="B5" s="3">
        <f>IFERROR(__xludf.DUMMYFUNCTION("""COMPUTED_VALUE"""),43927.0)</f>
        <v>43927</v>
      </c>
      <c r="C5" s="3">
        <f>IFERROR(__xludf.DUMMYFUNCTION("""COMPUTED_VALUE"""),43933.0)</f>
        <v>43933</v>
      </c>
      <c r="D5" s="2">
        <f>IFERROR(__xludf.DUMMYFUNCTION("""COMPUTED_VALUE"""),15.0)</f>
        <v>15</v>
      </c>
      <c r="E5" s="2">
        <f>IFERROR(__xludf.DUMMYFUNCTION("""COMPUTED_VALUE"""),14030.0)</f>
        <v>14030</v>
      </c>
      <c r="F5" s="2">
        <f>IFERROR(__xludf.DUMMYFUNCTION("""COMPUTED_VALUE"""),202.0)</f>
        <v>202</v>
      </c>
      <c r="G5" s="4">
        <f>VLOOKUP(A5,Populacao!A:B,2,0)</f>
        <v>130262220</v>
      </c>
      <c r="H5" s="2">
        <f t="shared" si="1"/>
        <v>0.1550718236</v>
      </c>
      <c r="I5" s="2">
        <f t="shared" si="4"/>
        <v>0.2272339593</v>
      </c>
      <c r="J5" s="2">
        <f>AVERAGEIFS(Dados!F:F,Dados!A:A, "=Mexico", Dados!G:G, "=0", Dados!E:E, D5)</f>
        <v>12888</v>
      </c>
      <c r="K5" s="2">
        <f t="shared" si="2"/>
        <v>1142</v>
      </c>
      <c r="L5" s="2">
        <f t="shared" si="3"/>
        <v>0.8766931809</v>
      </c>
      <c r="M5" s="2">
        <f t="shared" si="5"/>
        <v>1.273738464</v>
      </c>
    </row>
    <row r="6">
      <c r="A6" s="2" t="str">
        <f>IFERROR(__xludf.DUMMYFUNCTION("""COMPUTED_VALUE"""),"Mexico")</f>
        <v>Mexico</v>
      </c>
      <c r="B6" s="3">
        <f>IFERROR(__xludf.DUMMYFUNCTION("""COMPUTED_VALUE"""),43934.0)</f>
        <v>43934</v>
      </c>
      <c r="C6" s="3">
        <f>IFERROR(__xludf.DUMMYFUNCTION("""COMPUTED_VALUE"""),43940.0)</f>
        <v>43940</v>
      </c>
      <c r="D6" s="2">
        <f>IFERROR(__xludf.DUMMYFUNCTION("""COMPUTED_VALUE"""),16.0)</f>
        <v>16</v>
      </c>
      <c r="E6" s="2">
        <f>IFERROR(__xludf.DUMMYFUNCTION("""COMPUTED_VALUE"""),14993.0)</f>
        <v>14993</v>
      </c>
      <c r="F6" s="2">
        <f>IFERROR(__xludf.DUMMYFUNCTION("""COMPUTED_VALUE"""),390.0)</f>
        <v>390</v>
      </c>
      <c r="G6" s="4">
        <f>VLOOKUP(A6,Populacao!A:B,2,0)</f>
        <v>130262220</v>
      </c>
      <c r="H6" s="2">
        <f t="shared" si="1"/>
        <v>0.299396095</v>
      </c>
      <c r="I6" s="2">
        <f t="shared" si="4"/>
        <v>0.5266300544</v>
      </c>
      <c r="J6" s="2">
        <f>AVERAGEIFS(Dados!F:F,Dados!A:A, "=Mexico", Dados!G:G, "=0", Dados!E:E, D6)</f>
        <v>12754</v>
      </c>
      <c r="K6" s="2">
        <f t="shared" si="2"/>
        <v>2239</v>
      </c>
      <c r="L6" s="2">
        <f t="shared" si="3"/>
        <v>1.718840658</v>
      </c>
      <c r="M6" s="2">
        <f t="shared" si="5"/>
        <v>2.992579122</v>
      </c>
    </row>
    <row r="7">
      <c r="A7" s="2" t="str">
        <f>IFERROR(__xludf.DUMMYFUNCTION("""COMPUTED_VALUE"""),"Mexico")</f>
        <v>Mexico</v>
      </c>
      <c r="B7" s="3">
        <f>IFERROR(__xludf.DUMMYFUNCTION("""COMPUTED_VALUE"""),43941.0)</f>
        <v>43941</v>
      </c>
      <c r="C7" s="3">
        <f>IFERROR(__xludf.DUMMYFUNCTION("""COMPUTED_VALUE"""),43947.0)</f>
        <v>43947</v>
      </c>
      <c r="D7" s="2">
        <f>IFERROR(__xludf.DUMMYFUNCTION("""COMPUTED_VALUE"""),17.0)</f>
        <v>17</v>
      </c>
      <c r="E7" s="2">
        <f>IFERROR(__xludf.DUMMYFUNCTION("""COMPUTED_VALUE"""),17068.0)</f>
        <v>17068</v>
      </c>
      <c r="F7" s="2">
        <f>IFERROR(__xludf.DUMMYFUNCTION("""COMPUTED_VALUE"""),665.0)</f>
        <v>665</v>
      </c>
      <c r="G7" s="4">
        <f>VLOOKUP(A7,Populacao!A:B,2,0)</f>
        <v>130262220</v>
      </c>
      <c r="H7" s="2">
        <f t="shared" si="1"/>
        <v>0.5105087262</v>
      </c>
      <c r="I7" s="2">
        <f t="shared" si="4"/>
        <v>1.037138781</v>
      </c>
      <c r="J7" s="2">
        <f>AVERAGEIFS(Dados!F:F,Dados!A:A, "=Mexico", Dados!G:G, "=0", Dados!E:E, D7)</f>
        <v>12924.4</v>
      </c>
      <c r="K7" s="2">
        <f t="shared" si="2"/>
        <v>4143.6</v>
      </c>
      <c r="L7" s="2">
        <f t="shared" si="3"/>
        <v>3.180968358</v>
      </c>
      <c r="M7" s="2">
        <f t="shared" si="5"/>
        <v>6.17354748</v>
      </c>
    </row>
    <row r="8">
      <c r="A8" s="2" t="str">
        <f>IFERROR(__xludf.DUMMYFUNCTION("""COMPUTED_VALUE"""),"Mexico")</f>
        <v>Mexico</v>
      </c>
      <c r="B8" s="3">
        <f>IFERROR(__xludf.DUMMYFUNCTION("""COMPUTED_VALUE"""),43948.0)</f>
        <v>43948</v>
      </c>
      <c r="C8" s="3">
        <f>IFERROR(__xludf.DUMMYFUNCTION("""COMPUTED_VALUE"""),43954.0)</f>
        <v>43954</v>
      </c>
      <c r="D8" s="2">
        <f>IFERROR(__xludf.DUMMYFUNCTION("""COMPUTED_VALUE"""),18.0)</f>
        <v>18</v>
      </c>
      <c r="E8" s="2">
        <f>IFERROR(__xludf.DUMMYFUNCTION("""COMPUTED_VALUE"""),18811.0)</f>
        <v>18811</v>
      </c>
      <c r="F8" s="2">
        <f>IFERROR(__xludf.DUMMYFUNCTION("""COMPUTED_VALUE"""),803.0)</f>
        <v>803</v>
      </c>
      <c r="G8" s="4">
        <f>VLOOKUP(A8,Populacao!A:B,2,0)</f>
        <v>130262220</v>
      </c>
      <c r="H8" s="2">
        <f t="shared" si="1"/>
        <v>0.6164488829</v>
      </c>
      <c r="I8" s="2">
        <f t="shared" si="4"/>
        <v>1.653587663</v>
      </c>
      <c r="J8" s="2">
        <f>AVERAGEIFS(Dados!F:F,Dados!A:A, "=Mexico", Dados!G:G, "=0", Dados!E:E, D8)</f>
        <v>12848</v>
      </c>
      <c r="K8" s="2">
        <f t="shared" si="2"/>
        <v>5963</v>
      </c>
      <c r="L8" s="2">
        <f t="shared" si="3"/>
        <v>4.577689525</v>
      </c>
      <c r="M8" s="2">
        <f t="shared" si="5"/>
        <v>10.751237</v>
      </c>
    </row>
    <row r="9">
      <c r="A9" s="2" t="str">
        <f>IFERROR(__xludf.DUMMYFUNCTION("""COMPUTED_VALUE"""),"Mexico")</f>
        <v>Mexico</v>
      </c>
      <c r="B9" s="3">
        <f>IFERROR(__xludf.DUMMYFUNCTION("""COMPUTED_VALUE"""),43955.0)</f>
        <v>43955</v>
      </c>
      <c r="C9" s="3">
        <f>IFERROR(__xludf.DUMMYFUNCTION("""COMPUTED_VALUE"""),43961.0)</f>
        <v>43961</v>
      </c>
      <c r="D9" s="2">
        <f>IFERROR(__xludf.DUMMYFUNCTION("""COMPUTED_VALUE"""),19.0)</f>
        <v>19</v>
      </c>
      <c r="E9" s="2">
        <f>IFERROR(__xludf.DUMMYFUNCTION("""COMPUTED_VALUE"""),20622.0)</f>
        <v>20622</v>
      </c>
      <c r="F9" s="2">
        <f>IFERROR(__xludf.DUMMYFUNCTION("""COMPUTED_VALUE"""),1311.0)</f>
        <v>1311</v>
      </c>
      <c r="G9" s="4">
        <f>VLOOKUP(A9,Populacao!A:B,2,0)</f>
        <v>130262220</v>
      </c>
      <c r="H9" s="2">
        <f t="shared" si="1"/>
        <v>1.006431489</v>
      </c>
      <c r="I9" s="2">
        <f t="shared" si="4"/>
        <v>2.660019152</v>
      </c>
      <c r="J9" s="2">
        <f>AVERAGEIFS(Dados!F:F,Dados!A:A, "=Mexico", Dados!G:G, "=0", Dados!E:E, D9)</f>
        <v>12796.2</v>
      </c>
      <c r="K9" s="2">
        <f t="shared" si="2"/>
        <v>7825.8</v>
      </c>
      <c r="L9" s="2">
        <f t="shared" si="3"/>
        <v>6.007728104</v>
      </c>
      <c r="M9" s="2">
        <f t="shared" si="5"/>
        <v>16.75896511</v>
      </c>
    </row>
    <row r="10">
      <c r="A10" s="2" t="str">
        <f>IFERROR(__xludf.DUMMYFUNCTION("""COMPUTED_VALUE"""),"Mexico")</f>
        <v>Mexico</v>
      </c>
      <c r="B10" s="3">
        <f>IFERROR(__xludf.DUMMYFUNCTION("""COMPUTED_VALUE"""),43962.0)</f>
        <v>43962</v>
      </c>
      <c r="C10" s="3">
        <f>IFERROR(__xludf.DUMMYFUNCTION("""COMPUTED_VALUE"""),43968.0)</f>
        <v>43968</v>
      </c>
      <c r="D10" s="2">
        <f>IFERROR(__xludf.DUMMYFUNCTION("""COMPUTED_VALUE"""),20.0)</f>
        <v>20</v>
      </c>
      <c r="E10" s="2">
        <f>IFERROR(__xludf.DUMMYFUNCTION("""COMPUTED_VALUE"""),22313.0)</f>
        <v>22313</v>
      </c>
      <c r="F10" s="2">
        <f>IFERROR(__xludf.DUMMYFUNCTION("""COMPUTED_VALUE"""),1712.0)</f>
        <v>1712</v>
      </c>
      <c r="G10" s="4">
        <f>VLOOKUP(A10,Populacao!A:B,2,0)</f>
        <v>130262220</v>
      </c>
      <c r="H10" s="2">
        <f t="shared" si="1"/>
        <v>1.314272089</v>
      </c>
      <c r="I10" s="2">
        <f t="shared" si="4"/>
        <v>3.974291241</v>
      </c>
      <c r="J10" s="2">
        <f>AVERAGEIFS(Dados!F:F,Dados!A:A, "=Mexico", Dados!G:G, "=0", Dados!E:E, D10)</f>
        <v>12867.6</v>
      </c>
      <c r="K10" s="2">
        <f t="shared" si="2"/>
        <v>9445.4</v>
      </c>
      <c r="L10" s="2">
        <f t="shared" si="3"/>
        <v>7.251066349</v>
      </c>
      <c r="M10" s="2">
        <f t="shared" si="5"/>
        <v>24.01003146</v>
      </c>
    </row>
    <row r="11">
      <c r="A11" s="2" t="str">
        <f>IFERROR(__xludf.DUMMYFUNCTION("""COMPUTED_VALUE"""),"Mexico")</f>
        <v>Mexico</v>
      </c>
      <c r="B11" s="3">
        <f>IFERROR(__xludf.DUMMYFUNCTION("""COMPUTED_VALUE"""),43969.0)</f>
        <v>43969</v>
      </c>
      <c r="C11" s="3">
        <f>IFERROR(__xludf.DUMMYFUNCTION("""COMPUTED_VALUE"""),43975.0)</f>
        <v>43975</v>
      </c>
      <c r="D11" s="2">
        <f>IFERROR(__xludf.DUMMYFUNCTION("""COMPUTED_VALUE"""),21.0)</f>
        <v>21</v>
      </c>
      <c r="E11" s="2">
        <f>IFERROR(__xludf.DUMMYFUNCTION("""COMPUTED_VALUE"""),23231.0)</f>
        <v>23231</v>
      </c>
      <c r="F11" s="2">
        <f>IFERROR(__xludf.DUMMYFUNCTION("""COMPUTED_VALUE"""),2217.0)</f>
        <v>2217</v>
      </c>
      <c r="G11" s="4">
        <f>VLOOKUP(A11,Populacao!A:B,2,0)</f>
        <v>130262220</v>
      </c>
      <c r="H11" s="2">
        <f t="shared" si="1"/>
        <v>1.701951648</v>
      </c>
      <c r="I11" s="2">
        <f t="shared" si="4"/>
        <v>5.676242889</v>
      </c>
      <c r="J11" s="2">
        <f>AVERAGEIFS(Dados!F:F,Dados!A:A, "=Mexico", Dados!G:G, "=0", Dados!E:E, D11)</f>
        <v>13065</v>
      </c>
      <c r="K11" s="2">
        <f t="shared" si="2"/>
        <v>10166</v>
      </c>
      <c r="L11" s="2">
        <f t="shared" si="3"/>
        <v>7.804258211</v>
      </c>
      <c r="M11" s="2">
        <f t="shared" si="5"/>
        <v>31.81428967</v>
      </c>
    </row>
    <row r="12">
      <c r="A12" s="2" t="str">
        <f>IFERROR(__xludf.DUMMYFUNCTION("""COMPUTED_VALUE"""),"Mexico")</f>
        <v>Mexico</v>
      </c>
      <c r="B12" s="3">
        <f>IFERROR(__xludf.DUMMYFUNCTION("""COMPUTED_VALUE"""),43976.0)</f>
        <v>43976</v>
      </c>
      <c r="C12" s="3">
        <f>IFERROR(__xludf.DUMMYFUNCTION("""COMPUTED_VALUE"""),43982.0)</f>
        <v>43982</v>
      </c>
      <c r="D12" s="2">
        <f>IFERROR(__xludf.DUMMYFUNCTION("""COMPUTED_VALUE"""),22.0)</f>
        <v>22</v>
      </c>
      <c r="E12" s="2">
        <f>IFERROR(__xludf.DUMMYFUNCTION("""COMPUTED_VALUE"""),23167.0)</f>
        <v>23167</v>
      </c>
      <c r="F12" s="2">
        <f>IFERROR(__xludf.DUMMYFUNCTION("""COMPUTED_VALUE"""),2536.0)</f>
        <v>2536</v>
      </c>
      <c r="G12" s="4">
        <f>VLOOKUP(A12,Populacao!A:B,2,0)</f>
        <v>130262220</v>
      </c>
      <c r="H12" s="2">
        <f t="shared" si="1"/>
        <v>1.9468423</v>
      </c>
      <c r="I12" s="2">
        <f t="shared" si="4"/>
        <v>7.623085189</v>
      </c>
      <c r="J12" s="2">
        <f>AVERAGEIFS(Dados!F:F,Dados!A:A, "=Mexico", Dados!G:G, "=0", Dados!E:E, D12)</f>
        <v>12669</v>
      </c>
      <c r="K12" s="2">
        <f t="shared" si="2"/>
        <v>10498</v>
      </c>
      <c r="L12" s="2">
        <f t="shared" si="3"/>
        <v>8.059128733</v>
      </c>
      <c r="M12" s="2">
        <f t="shared" si="5"/>
        <v>39.8734184</v>
      </c>
    </row>
    <row r="13">
      <c r="A13" s="2" t="str">
        <f>IFERROR(__xludf.DUMMYFUNCTION("""COMPUTED_VALUE"""),"Mexico")</f>
        <v>Mexico</v>
      </c>
      <c r="B13" s="3">
        <f>IFERROR(__xludf.DUMMYFUNCTION("""COMPUTED_VALUE"""),43983.0)</f>
        <v>43983</v>
      </c>
      <c r="C13" s="3">
        <f>IFERROR(__xludf.DUMMYFUNCTION("""COMPUTED_VALUE"""),43989.0)</f>
        <v>43989</v>
      </c>
      <c r="D13" s="2">
        <f>IFERROR(__xludf.DUMMYFUNCTION("""COMPUTED_VALUE"""),23.0)</f>
        <v>23</v>
      </c>
      <c r="E13" s="2">
        <f>IFERROR(__xludf.DUMMYFUNCTION("""COMPUTED_VALUE"""),24121.0)</f>
        <v>24121</v>
      </c>
      <c r="F13" s="2">
        <f>IFERROR(__xludf.DUMMYFUNCTION("""COMPUTED_VALUE"""),3769.0)</f>
        <v>3769</v>
      </c>
      <c r="G13" s="4">
        <f>VLOOKUP(A13,Populacao!A:B,2,0)</f>
        <v>130262220</v>
      </c>
      <c r="H13" s="2">
        <f t="shared" si="1"/>
        <v>2.89339457</v>
      </c>
      <c r="I13" s="2">
        <f t="shared" si="4"/>
        <v>10.51647976</v>
      </c>
      <c r="J13" s="2">
        <f>AVERAGEIFS(Dados!F:F,Dados!A:A, "=Mexico", Dados!G:G, "=0", Dados!E:E, D13)</f>
        <v>12609.4</v>
      </c>
      <c r="K13" s="2">
        <f t="shared" si="2"/>
        <v>11511.6</v>
      </c>
      <c r="L13" s="2">
        <f t="shared" si="3"/>
        <v>8.837251507</v>
      </c>
      <c r="M13" s="2">
        <f t="shared" si="5"/>
        <v>48.71066991</v>
      </c>
    </row>
    <row r="14">
      <c r="A14" s="2" t="str">
        <f>IFERROR(__xludf.DUMMYFUNCTION("""COMPUTED_VALUE"""),"Mexico")</f>
        <v>Mexico</v>
      </c>
      <c r="B14" s="3">
        <f>IFERROR(__xludf.DUMMYFUNCTION("""COMPUTED_VALUE"""),43990.0)</f>
        <v>43990</v>
      </c>
      <c r="C14" s="3">
        <f>IFERROR(__xludf.DUMMYFUNCTION("""COMPUTED_VALUE"""),43996.0)</f>
        <v>43996</v>
      </c>
      <c r="D14" s="2">
        <f>IFERROR(__xludf.DUMMYFUNCTION("""COMPUTED_VALUE"""),24.0)</f>
        <v>24</v>
      </c>
      <c r="E14" s="2">
        <f>IFERROR(__xludf.DUMMYFUNCTION("""COMPUTED_VALUE"""),24719.0)</f>
        <v>24719</v>
      </c>
      <c r="F14" s="2">
        <f>IFERROR(__xludf.DUMMYFUNCTION("""COMPUTED_VALUE"""),3442.0)</f>
        <v>3442</v>
      </c>
      <c r="G14" s="4">
        <f>VLOOKUP(A14,Populacao!A:B,2,0)</f>
        <v>130262220</v>
      </c>
      <c r="H14" s="2">
        <f t="shared" si="1"/>
        <v>2.642362459</v>
      </c>
      <c r="I14" s="2">
        <f t="shared" si="4"/>
        <v>13.15884222</v>
      </c>
      <c r="J14" s="2">
        <f>AVERAGEIFS(Dados!F:F,Dados!A:A, "=Mexico", Dados!G:G, "=0", Dados!E:E, D14)</f>
        <v>12455.2</v>
      </c>
      <c r="K14" s="2">
        <f t="shared" si="2"/>
        <v>12263.8</v>
      </c>
      <c r="L14" s="2">
        <f t="shared" si="3"/>
        <v>9.414702129</v>
      </c>
      <c r="M14" s="2">
        <f t="shared" si="5"/>
        <v>58.12537204</v>
      </c>
    </row>
    <row r="15">
      <c r="A15" s="2" t="str">
        <f>IFERROR(__xludf.DUMMYFUNCTION("""COMPUTED_VALUE"""),"Mexico")</f>
        <v>Mexico</v>
      </c>
      <c r="B15" s="3">
        <f>IFERROR(__xludf.DUMMYFUNCTION("""COMPUTED_VALUE"""),43997.0)</f>
        <v>43997</v>
      </c>
      <c r="C15" s="3">
        <f>IFERROR(__xludf.DUMMYFUNCTION("""COMPUTED_VALUE"""),44003.0)</f>
        <v>44003</v>
      </c>
      <c r="D15" s="2">
        <f>IFERROR(__xludf.DUMMYFUNCTION("""COMPUTED_VALUE"""),25.0)</f>
        <v>25</v>
      </c>
      <c r="E15" s="2">
        <f>IFERROR(__xludf.DUMMYFUNCTION("""COMPUTED_VALUE"""),24945.0)</f>
        <v>24945</v>
      </c>
      <c r="F15" s="2">
        <f>IFERROR(__xludf.DUMMYFUNCTION("""COMPUTED_VALUE"""),4684.0)</f>
        <v>4684</v>
      </c>
      <c r="G15" s="4">
        <f>VLOOKUP(A15,Populacao!A:B,2,0)</f>
        <v>130262220</v>
      </c>
      <c r="H15" s="2">
        <f t="shared" si="1"/>
        <v>3.59582387</v>
      </c>
      <c r="I15" s="2">
        <f t="shared" si="4"/>
        <v>16.75466609</v>
      </c>
      <c r="J15" s="2">
        <f>AVERAGEIFS(Dados!F:F,Dados!A:A, "=Mexico", Dados!G:G, "=0", Dados!E:E, D15)</f>
        <v>12655</v>
      </c>
      <c r="K15" s="2">
        <f t="shared" si="2"/>
        <v>12290</v>
      </c>
      <c r="L15" s="2">
        <f t="shared" si="3"/>
        <v>9.434815405</v>
      </c>
      <c r="M15" s="2">
        <f t="shared" si="5"/>
        <v>67.56018744</v>
      </c>
    </row>
    <row r="16">
      <c r="A16" s="2" t="str">
        <f>IFERROR(__xludf.DUMMYFUNCTION("""COMPUTED_VALUE"""),"Mexico")</f>
        <v>Mexico</v>
      </c>
      <c r="B16" s="3">
        <f>IFERROR(__xludf.DUMMYFUNCTION("""COMPUTED_VALUE"""),44004.0)</f>
        <v>44004</v>
      </c>
      <c r="C16" s="3">
        <f>IFERROR(__xludf.DUMMYFUNCTION("""COMPUTED_VALUE"""),44010.0)</f>
        <v>44010</v>
      </c>
      <c r="D16" s="2">
        <f>IFERROR(__xludf.DUMMYFUNCTION("""COMPUTED_VALUE"""),26.0)</f>
        <v>26</v>
      </c>
      <c r="E16" s="2">
        <f>IFERROR(__xludf.DUMMYFUNCTION("""COMPUTED_VALUE"""),24718.0)</f>
        <v>24718</v>
      </c>
      <c r="F16" s="2">
        <f>IFERROR(__xludf.DUMMYFUNCTION("""COMPUTED_VALUE"""),4823.0)</f>
        <v>4823</v>
      </c>
      <c r="G16" s="4">
        <f>VLOOKUP(A16,Populacao!A:B,2,0)</f>
        <v>130262220</v>
      </c>
      <c r="H16" s="2">
        <f t="shared" si="1"/>
        <v>3.702531709</v>
      </c>
      <c r="I16" s="2">
        <f t="shared" si="4"/>
        <v>20.4571978</v>
      </c>
      <c r="J16" s="2">
        <f>AVERAGEIFS(Dados!F:F,Dados!A:A, "=Mexico", Dados!G:G, "=0", Dados!E:E, D16)</f>
        <v>12446.2</v>
      </c>
      <c r="K16" s="2">
        <f t="shared" si="2"/>
        <v>12271.8</v>
      </c>
      <c r="L16" s="2">
        <f t="shared" si="3"/>
        <v>9.420843588</v>
      </c>
      <c r="M16" s="2">
        <f t="shared" si="5"/>
        <v>76.98103103</v>
      </c>
    </row>
    <row r="17">
      <c r="A17" s="2" t="str">
        <f>IFERROR(__xludf.DUMMYFUNCTION("""COMPUTED_VALUE"""),"Mexico")</f>
        <v>Mexico</v>
      </c>
      <c r="B17" s="3">
        <f>IFERROR(__xludf.DUMMYFUNCTION("""COMPUTED_VALUE"""),44011.0)</f>
        <v>44011</v>
      </c>
      <c r="C17" s="3">
        <f>IFERROR(__xludf.DUMMYFUNCTION("""COMPUTED_VALUE"""),44017.0)</f>
        <v>44017</v>
      </c>
      <c r="D17" s="2">
        <f>IFERROR(__xludf.DUMMYFUNCTION("""COMPUTED_VALUE"""),27.0)</f>
        <v>27</v>
      </c>
      <c r="E17" s="2">
        <f>IFERROR(__xludf.DUMMYFUNCTION("""COMPUTED_VALUE"""),25495.0)</f>
        <v>25495</v>
      </c>
      <c r="F17" s="2">
        <f>IFERROR(__xludf.DUMMYFUNCTION("""COMPUTED_VALUE"""),3991.0)</f>
        <v>3991</v>
      </c>
      <c r="G17" s="4">
        <f>VLOOKUP(A17,Populacao!A:B,2,0)</f>
        <v>130262220</v>
      </c>
      <c r="H17" s="2">
        <f t="shared" si="1"/>
        <v>3.063820039</v>
      </c>
      <c r="I17" s="2">
        <f t="shared" si="4"/>
        <v>23.52101784</v>
      </c>
      <c r="J17" s="2">
        <f>AVERAGEIFS(Dados!F:F,Dados!A:A, "=Mexico", Dados!G:G, "=0", Dados!E:E, D17)</f>
        <v>12573</v>
      </c>
      <c r="K17" s="2">
        <f t="shared" si="2"/>
        <v>12922</v>
      </c>
      <c r="L17" s="2">
        <f t="shared" si="3"/>
        <v>9.919990616</v>
      </c>
      <c r="M17" s="2">
        <f t="shared" si="5"/>
        <v>86.90102165</v>
      </c>
    </row>
    <row r="18">
      <c r="A18" s="2" t="str">
        <f>IFERROR(__xludf.DUMMYFUNCTION("""COMPUTED_VALUE"""),"Mexico")</f>
        <v>Mexico</v>
      </c>
      <c r="B18" s="3">
        <f>IFERROR(__xludf.DUMMYFUNCTION("""COMPUTED_VALUE"""),44018.0)</f>
        <v>44018</v>
      </c>
      <c r="C18" s="3">
        <f>IFERROR(__xludf.DUMMYFUNCTION("""COMPUTED_VALUE"""),44024.0)</f>
        <v>44024</v>
      </c>
      <c r="D18" s="2">
        <f>IFERROR(__xludf.DUMMYFUNCTION("""COMPUTED_VALUE"""),28.0)</f>
        <v>28</v>
      </c>
      <c r="E18" s="2">
        <f>IFERROR(__xludf.DUMMYFUNCTION("""COMPUTED_VALUE"""),26446.0)</f>
        <v>26446</v>
      </c>
      <c r="F18" s="2">
        <f>IFERROR(__xludf.DUMMYFUNCTION("""COMPUTED_VALUE"""),4367.0)</f>
        <v>4367</v>
      </c>
      <c r="G18" s="4">
        <f>VLOOKUP(A18,Populacao!A:B,2,0)</f>
        <v>130262220</v>
      </c>
      <c r="H18" s="2">
        <f t="shared" si="1"/>
        <v>3.352468582</v>
      </c>
      <c r="I18" s="2">
        <f t="shared" si="4"/>
        <v>26.87348642</v>
      </c>
      <c r="J18" s="2">
        <f>AVERAGEIFS(Dados!F:F,Dados!A:A, "=Mexico", Dados!G:G, "=0", Dados!E:E, D18)</f>
        <v>12572.2</v>
      </c>
      <c r="K18" s="2">
        <f t="shared" si="2"/>
        <v>13873.8</v>
      </c>
      <c r="L18" s="2">
        <f t="shared" si="3"/>
        <v>10.65067062</v>
      </c>
      <c r="M18" s="2">
        <f t="shared" si="5"/>
        <v>97.55169227</v>
      </c>
    </row>
    <row r="19">
      <c r="A19" s="2" t="str">
        <f>IFERROR(__xludf.DUMMYFUNCTION("""COMPUTED_VALUE"""),"Mexico")</f>
        <v>Mexico</v>
      </c>
      <c r="B19" s="3">
        <f>IFERROR(__xludf.DUMMYFUNCTION("""COMPUTED_VALUE"""),44025.0)</f>
        <v>44025</v>
      </c>
      <c r="C19" s="3">
        <f>IFERROR(__xludf.DUMMYFUNCTION("""COMPUTED_VALUE"""),44031.0)</f>
        <v>44031</v>
      </c>
      <c r="D19" s="2">
        <f>IFERROR(__xludf.DUMMYFUNCTION("""COMPUTED_VALUE"""),29.0)</f>
        <v>29</v>
      </c>
      <c r="E19" s="2">
        <f>IFERROR(__xludf.DUMMYFUNCTION("""COMPUTED_VALUE"""),26446.0)</f>
        <v>26446</v>
      </c>
      <c r="F19" s="2">
        <f>IFERROR(__xludf.DUMMYFUNCTION("""COMPUTED_VALUE"""),4178.0)</f>
        <v>4178</v>
      </c>
      <c r="G19" s="4">
        <f>VLOOKUP(A19,Populacao!A:B,2,0)</f>
        <v>130262220</v>
      </c>
      <c r="H19" s="2">
        <f t="shared" si="1"/>
        <v>3.207376628</v>
      </c>
      <c r="I19" s="2">
        <f t="shared" si="4"/>
        <v>30.08086305</v>
      </c>
      <c r="J19" s="2">
        <f>AVERAGEIFS(Dados!F:F,Dados!A:A, "=Mexico", Dados!G:G, "=0", Dados!E:E, D19)</f>
        <v>12688.2</v>
      </c>
      <c r="K19" s="2">
        <f t="shared" si="2"/>
        <v>13757.8</v>
      </c>
      <c r="L19" s="2">
        <f t="shared" si="3"/>
        <v>10.56161948</v>
      </c>
      <c r="M19" s="2">
        <f t="shared" si="5"/>
        <v>108.1133117</v>
      </c>
    </row>
    <row r="20">
      <c r="A20" s="2" t="str">
        <f>IFERROR(__xludf.DUMMYFUNCTION("""COMPUTED_VALUE"""),"Mexico")</f>
        <v>Mexico</v>
      </c>
      <c r="B20" s="3">
        <f>IFERROR(__xludf.DUMMYFUNCTION("""COMPUTED_VALUE"""),44032.0)</f>
        <v>44032</v>
      </c>
      <c r="C20" s="3">
        <f>IFERROR(__xludf.DUMMYFUNCTION("""COMPUTED_VALUE"""),44038.0)</f>
        <v>44038</v>
      </c>
      <c r="D20" s="2">
        <f>IFERROR(__xludf.DUMMYFUNCTION("""COMPUTED_VALUE"""),30.0)</f>
        <v>30</v>
      </c>
      <c r="E20" s="2">
        <f>IFERROR(__xludf.DUMMYFUNCTION("""COMPUTED_VALUE"""),25733.0)</f>
        <v>25733</v>
      </c>
      <c r="F20" s="2">
        <f>IFERROR(__xludf.DUMMYFUNCTION("""COMPUTED_VALUE"""),4496.0)</f>
        <v>4496</v>
      </c>
      <c r="G20" s="4">
        <f>VLOOKUP(A20,Populacao!A:B,2,0)</f>
        <v>130262220</v>
      </c>
      <c r="H20" s="2">
        <f t="shared" si="1"/>
        <v>3.451499598</v>
      </c>
      <c r="I20" s="2">
        <f t="shared" si="4"/>
        <v>33.53236265</v>
      </c>
      <c r="J20" s="2">
        <f>AVERAGEIFS(Dados!F:F,Dados!A:A, "=Mexico", Dados!G:G, "=0", Dados!E:E, D20)</f>
        <v>12744.4</v>
      </c>
      <c r="K20" s="2">
        <f t="shared" si="2"/>
        <v>12988.6</v>
      </c>
      <c r="L20" s="2">
        <f t="shared" si="3"/>
        <v>9.971118257</v>
      </c>
      <c r="M20" s="2">
        <f t="shared" si="5"/>
        <v>118.08443</v>
      </c>
    </row>
    <row r="21">
      <c r="A21" s="2" t="str">
        <f>IFERROR(__xludf.DUMMYFUNCTION("""COMPUTED_VALUE"""),"Mexico")</f>
        <v>Mexico</v>
      </c>
      <c r="B21" s="3">
        <f>IFERROR(__xludf.DUMMYFUNCTION("""COMPUTED_VALUE"""),44039.0)</f>
        <v>44039</v>
      </c>
      <c r="C21" s="3">
        <f>IFERROR(__xludf.DUMMYFUNCTION("""COMPUTED_VALUE"""),44045.0)</f>
        <v>44045</v>
      </c>
      <c r="D21" s="2">
        <f>IFERROR(__xludf.DUMMYFUNCTION("""COMPUTED_VALUE"""),31.0)</f>
        <v>31</v>
      </c>
      <c r="E21" s="2">
        <f>IFERROR(__xludf.DUMMYFUNCTION("""COMPUTED_VALUE"""),24795.0)</f>
        <v>24795</v>
      </c>
      <c r="F21" s="2">
        <f>IFERROR(__xludf.DUMMYFUNCTION("""COMPUTED_VALUE"""),4066.0)</f>
        <v>4066</v>
      </c>
      <c r="G21" s="4">
        <f>VLOOKUP(A21,Populacao!A:B,2,0)</f>
        <v>130262220</v>
      </c>
      <c r="H21" s="2">
        <f t="shared" si="1"/>
        <v>3.121396211</v>
      </c>
      <c r="I21" s="2">
        <f t="shared" si="4"/>
        <v>36.65375886</v>
      </c>
      <c r="J21" s="2">
        <f>AVERAGEIFS(Dados!F:F,Dados!A:A, "=Mexico", Dados!G:G, "=0", Dados!E:E, D21)</f>
        <v>12819.8</v>
      </c>
      <c r="K21" s="2">
        <f t="shared" si="2"/>
        <v>11975.2</v>
      </c>
      <c r="L21" s="2">
        <f t="shared" si="3"/>
        <v>9.193149019</v>
      </c>
      <c r="M21" s="2">
        <f t="shared" si="5"/>
        <v>127.277579</v>
      </c>
    </row>
    <row r="22">
      <c r="A22" s="2" t="str">
        <f>IFERROR(__xludf.DUMMYFUNCTION("""COMPUTED_VALUE"""),"Mexico")</f>
        <v>Mexico</v>
      </c>
      <c r="B22" s="3">
        <f>IFERROR(__xludf.DUMMYFUNCTION("""COMPUTED_VALUE"""),44046.0)</f>
        <v>44046</v>
      </c>
      <c r="C22" s="3">
        <f>IFERROR(__xludf.DUMMYFUNCTION("""COMPUTED_VALUE"""),44052.0)</f>
        <v>44052</v>
      </c>
      <c r="D22" s="2">
        <f>IFERROR(__xludf.DUMMYFUNCTION("""COMPUTED_VALUE"""),32.0)</f>
        <v>32</v>
      </c>
      <c r="E22" s="2">
        <f>IFERROR(__xludf.DUMMYFUNCTION("""COMPUTED_VALUE"""),23817.0)</f>
        <v>23817</v>
      </c>
      <c r="F22" s="2">
        <f>IFERROR(__xludf.DUMMYFUNCTION("""COMPUTED_VALUE"""),4552.0)</f>
        <v>4552</v>
      </c>
      <c r="G22" s="4">
        <f>VLOOKUP(A22,Populacao!A:B,2,0)</f>
        <v>130262220</v>
      </c>
      <c r="H22" s="2">
        <f t="shared" si="1"/>
        <v>3.494489807</v>
      </c>
      <c r="I22" s="2">
        <f t="shared" si="4"/>
        <v>40.14824866</v>
      </c>
      <c r="J22" s="2">
        <f>AVERAGEIFS(Dados!F:F,Dados!A:A, "=Mexico", Dados!G:G, "=0", Dados!E:E, D22)</f>
        <v>12543.6</v>
      </c>
      <c r="K22" s="2">
        <f t="shared" si="2"/>
        <v>11273.4</v>
      </c>
      <c r="L22" s="2">
        <f t="shared" si="3"/>
        <v>8.654389584</v>
      </c>
      <c r="M22" s="2">
        <f t="shared" si="5"/>
        <v>135.9319686</v>
      </c>
    </row>
    <row r="23">
      <c r="A23" s="2" t="str">
        <f>IFERROR(__xludf.DUMMYFUNCTION("""COMPUTED_VALUE"""),"Mexico")</f>
        <v>Mexico</v>
      </c>
      <c r="B23" s="3">
        <f>IFERROR(__xludf.DUMMYFUNCTION("""COMPUTED_VALUE"""),44053.0)</f>
        <v>44053</v>
      </c>
      <c r="C23" s="3">
        <f>IFERROR(__xludf.DUMMYFUNCTION("""COMPUTED_VALUE"""),44059.0)</f>
        <v>44059</v>
      </c>
      <c r="D23" s="2">
        <f>IFERROR(__xludf.DUMMYFUNCTION("""COMPUTED_VALUE"""),33.0)</f>
        <v>33</v>
      </c>
      <c r="E23" s="2">
        <f>IFERROR(__xludf.DUMMYFUNCTION("""COMPUTED_VALUE"""),22666.0)</f>
        <v>22666</v>
      </c>
      <c r="F23" s="2">
        <f>IFERROR(__xludf.DUMMYFUNCTION("""COMPUTED_VALUE"""),4459.0)</f>
        <v>4459</v>
      </c>
      <c r="G23" s="4">
        <f>VLOOKUP(A23,Populacao!A:B,2,0)</f>
        <v>130262220</v>
      </c>
      <c r="H23" s="2">
        <f t="shared" si="1"/>
        <v>3.423095353</v>
      </c>
      <c r="I23" s="2">
        <f t="shared" si="4"/>
        <v>43.57134402</v>
      </c>
      <c r="J23" s="2">
        <f>AVERAGEIFS(Dados!F:F,Dados!A:A, "=Mexico", Dados!G:G, "=0", Dados!E:E, D23)</f>
        <v>12603</v>
      </c>
      <c r="K23" s="2">
        <f t="shared" si="2"/>
        <v>10063</v>
      </c>
      <c r="L23" s="2">
        <f t="shared" si="3"/>
        <v>7.725186934</v>
      </c>
      <c r="M23" s="2">
        <f t="shared" si="5"/>
        <v>143.6571555</v>
      </c>
    </row>
    <row r="24">
      <c r="A24" s="2" t="str">
        <f>IFERROR(__xludf.DUMMYFUNCTION("""COMPUTED_VALUE"""),"Mexico")</f>
        <v>Mexico</v>
      </c>
      <c r="B24" s="3">
        <f>IFERROR(__xludf.DUMMYFUNCTION("""COMPUTED_VALUE"""),44060.0)</f>
        <v>44060</v>
      </c>
      <c r="C24" s="3">
        <f>IFERROR(__xludf.DUMMYFUNCTION("""COMPUTED_VALUE"""),44066.0)</f>
        <v>44066</v>
      </c>
      <c r="D24" s="2">
        <f>IFERROR(__xludf.DUMMYFUNCTION("""COMPUTED_VALUE"""),34.0)</f>
        <v>34</v>
      </c>
      <c r="E24" s="2">
        <f>IFERROR(__xludf.DUMMYFUNCTION("""COMPUTED_VALUE"""),21725.0)</f>
        <v>21725</v>
      </c>
      <c r="F24" s="2">
        <f>IFERROR(__xludf.DUMMYFUNCTION("""COMPUTED_VALUE"""),3723.0)</f>
        <v>3723</v>
      </c>
      <c r="G24" s="4">
        <f>VLOOKUP(A24,Populacao!A:B,2,0)</f>
        <v>130262220</v>
      </c>
      <c r="H24" s="2">
        <f t="shared" si="1"/>
        <v>2.858081184</v>
      </c>
      <c r="I24" s="2">
        <f t="shared" si="4"/>
        <v>46.4294252</v>
      </c>
      <c r="J24" s="2">
        <f>AVERAGEIFS(Dados!F:F,Dados!A:A, "=Mexico", Dados!G:G, "=0", Dados!E:E, D24)</f>
        <v>12428.6</v>
      </c>
      <c r="K24" s="2">
        <f t="shared" si="2"/>
        <v>9296.4</v>
      </c>
      <c r="L24" s="2">
        <f t="shared" si="3"/>
        <v>7.136681687</v>
      </c>
      <c r="M24" s="2">
        <f t="shared" si="5"/>
        <v>150.7938372</v>
      </c>
    </row>
    <row r="25">
      <c r="A25" s="2" t="str">
        <f>IFERROR(__xludf.DUMMYFUNCTION("""COMPUTED_VALUE"""),"Mexico")</f>
        <v>Mexico</v>
      </c>
      <c r="B25" s="3">
        <f>IFERROR(__xludf.DUMMYFUNCTION("""COMPUTED_VALUE"""),44067.0)</f>
        <v>44067</v>
      </c>
      <c r="C25" s="3">
        <f>IFERROR(__xludf.DUMMYFUNCTION("""COMPUTED_VALUE"""),44073.0)</f>
        <v>44073</v>
      </c>
      <c r="D25" s="2">
        <f>IFERROR(__xludf.DUMMYFUNCTION("""COMPUTED_VALUE"""),35.0)</f>
        <v>35</v>
      </c>
      <c r="E25" s="2">
        <f>IFERROR(__xludf.DUMMYFUNCTION("""COMPUTED_VALUE"""),20837.0)</f>
        <v>20837</v>
      </c>
      <c r="F25" s="2">
        <f>IFERROR(__xludf.DUMMYFUNCTION("""COMPUTED_VALUE"""),3678.0)</f>
        <v>3678</v>
      </c>
      <c r="G25" s="4">
        <f>VLOOKUP(A25,Populacao!A:B,2,0)</f>
        <v>130262220</v>
      </c>
      <c r="H25" s="2">
        <f t="shared" si="1"/>
        <v>2.823535481</v>
      </c>
      <c r="I25" s="2">
        <f t="shared" si="4"/>
        <v>49.25296068</v>
      </c>
      <c r="J25" s="2">
        <f>AVERAGEIFS(Dados!F:F,Dados!A:A, "=Mexico", Dados!G:G, "=0", Dados!E:E, D25)</f>
        <v>12364.6</v>
      </c>
      <c r="K25" s="2">
        <f t="shared" si="2"/>
        <v>8472.4</v>
      </c>
      <c r="L25" s="2">
        <f t="shared" si="3"/>
        <v>6.504111476</v>
      </c>
      <c r="M25" s="2">
        <f t="shared" si="5"/>
        <v>157.2979487</v>
      </c>
    </row>
    <row r="26">
      <c r="A26" s="2" t="str">
        <f>IFERROR(__xludf.DUMMYFUNCTION("""COMPUTED_VALUE"""),"Mexico")</f>
        <v>Mexico</v>
      </c>
      <c r="B26" s="3">
        <f>IFERROR(__xludf.DUMMYFUNCTION("""COMPUTED_VALUE"""),44074.0)</f>
        <v>44074</v>
      </c>
      <c r="C26" s="3">
        <f>IFERROR(__xludf.DUMMYFUNCTION("""COMPUTED_VALUE"""),44080.0)</f>
        <v>44080</v>
      </c>
      <c r="D26" s="2">
        <f>IFERROR(__xludf.DUMMYFUNCTION("""COMPUTED_VALUE"""),36.0)</f>
        <v>36</v>
      </c>
      <c r="E26" s="2">
        <f>IFERROR(__xludf.DUMMYFUNCTION("""COMPUTED_VALUE"""),20156.0)</f>
        <v>20156</v>
      </c>
      <c r="F26" s="2">
        <f>IFERROR(__xludf.DUMMYFUNCTION("""COMPUTED_VALUE"""),3400.0)</f>
        <v>3400</v>
      </c>
      <c r="G26" s="4">
        <f>VLOOKUP(A26,Populacao!A:B,2,0)</f>
        <v>130262220</v>
      </c>
      <c r="H26" s="2">
        <f t="shared" si="1"/>
        <v>2.610119803</v>
      </c>
      <c r="I26" s="2">
        <f t="shared" si="4"/>
        <v>51.86308048</v>
      </c>
      <c r="J26" s="2">
        <f>AVERAGEIFS(Dados!F:F,Dados!A:A, "=Mexico", Dados!G:G, "=0", Dados!E:E, D26)</f>
        <v>12485.6</v>
      </c>
      <c r="K26" s="2">
        <f t="shared" si="2"/>
        <v>7670.4</v>
      </c>
      <c r="L26" s="2">
        <f t="shared" si="3"/>
        <v>5.888430275</v>
      </c>
      <c r="M26" s="2">
        <f t="shared" si="5"/>
        <v>163.186379</v>
      </c>
    </row>
    <row r="27">
      <c r="A27" s="2" t="str">
        <f>IFERROR(__xludf.DUMMYFUNCTION("""COMPUTED_VALUE"""),"Mexico")</f>
        <v>Mexico</v>
      </c>
      <c r="B27" s="3">
        <f>IFERROR(__xludf.DUMMYFUNCTION("""COMPUTED_VALUE"""),44081.0)</f>
        <v>44081</v>
      </c>
      <c r="C27" s="3">
        <f>IFERROR(__xludf.DUMMYFUNCTION("""COMPUTED_VALUE"""),44087.0)</f>
        <v>44087</v>
      </c>
      <c r="D27" s="2">
        <f>IFERROR(__xludf.DUMMYFUNCTION("""COMPUTED_VALUE"""),37.0)</f>
        <v>37</v>
      </c>
      <c r="E27" s="2">
        <f>IFERROR(__xludf.DUMMYFUNCTION("""COMPUTED_VALUE"""),19490.0)</f>
        <v>19490</v>
      </c>
      <c r="F27" s="2">
        <f>IFERROR(__xludf.DUMMYFUNCTION("""COMPUTED_VALUE"""),3263.0)</f>
        <v>3263</v>
      </c>
      <c r="G27" s="4">
        <f>VLOOKUP(A27,Populacao!A:B,2,0)</f>
        <v>130262220</v>
      </c>
      <c r="H27" s="2">
        <f t="shared" si="1"/>
        <v>2.504947329</v>
      </c>
      <c r="I27" s="2">
        <f t="shared" si="4"/>
        <v>54.36802781</v>
      </c>
      <c r="J27" s="2">
        <f>AVERAGEIFS(Dados!F:F,Dados!A:A, "=Mexico", Dados!G:G, "=0", Dados!E:E, D27)</f>
        <v>12672.2</v>
      </c>
      <c r="K27" s="2">
        <f t="shared" si="2"/>
        <v>6817.8</v>
      </c>
      <c r="L27" s="2">
        <f t="shared" si="3"/>
        <v>5.233904351</v>
      </c>
      <c r="M27" s="2">
        <f t="shared" si="5"/>
        <v>168.4202833</v>
      </c>
    </row>
    <row r="28">
      <c r="A28" s="2" t="str">
        <f>IFERROR(__xludf.DUMMYFUNCTION("""COMPUTED_VALUE"""),"Mexico")</f>
        <v>Mexico</v>
      </c>
      <c r="B28" s="3">
        <f>IFERROR(__xludf.DUMMYFUNCTION("""COMPUTED_VALUE"""),44088.0)</f>
        <v>44088</v>
      </c>
      <c r="C28" s="3">
        <f>IFERROR(__xludf.DUMMYFUNCTION("""COMPUTED_VALUE"""),44094.0)</f>
        <v>44094</v>
      </c>
      <c r="D28" s="2">
        <f>IFERROR(__xludf.DUMMYFUNCTION("""COMPUTED_VALUE"""),38.0)</f>
        <v>38</v>
      </c>
      <c r="E28" s="2">
        <f>IFERROR(__xludf.DUMMYFUNCTION("""COMPUTED_VALUE"""),18805.0)</f>
        <v>18805</v>
      </c>
      <c r="F28" s="2">
        <f>IFERROR(__xludf.DUMMYFUNCTION("""COMPUTED_VALUE"""),2672.0)</f>
        <v>2672</v>
      </c>
      <c r="G28" s="4">
        <f>VLOOKUP(A28,Populacao!A:B,2,0)</f>
        <v>130262220</v>
      </c>
      <c r="H28" s="2">
        <f t="shared" si="1"/>
        <v>2.051247092</v>
      </c>
      <c r="I28" s="2">
        <f t="shared" si="4"/>
        <v>56.41927491</v>
      </c>
      <c r="J28" s="2">
        <f>AVERAGEIFS(Dados!F:F,Dados!A:A, "=Mexico", Dados!G:G, "=0", Dados!E:E, D28)</f>
        <v>12831.2</v>
      </c>
      <c r="K28" s="2">
        <f t="shared" si="2"/>
        <v>5973.8</v>
      </c>
      <c r="L28" s="2">
        <f t="shared" si="3"/>
        <v>4.585980494</v>
      </c>
      <c r="M28" s="2">
        <f t="shared" si="5"/>
        <v>173.0062638</v>
      </c>
    </row>
    <row r="29">
      <c r="A29" s="2" t="str">
        <f>IFERROR(__xludf.DUMMYFUNCTION("""COMPUTED_VALUE"""),"Mexico")</f>
        <v>Mexico</v>
      </c>
      <c r="B29" s="3">
        <f>IFERROR(__xludf.DUMMYFUNCTION("""COMPUTED_VALUE"""),44095.0)</f>
        <v>44095</v>
      </c>
      <c r="C29" s="3">
        <f>IFERROR(__xludf.DUMMYFUNCTION("""COMPUTED_VALUE"""),44101.0)</f>
        <v>44101</v>
      </c>
      <c r="D29" s="2">
        <f>IFERROR(__xludf.DUMMYFUNCTION("""COMPUTED_VALUE"""),39.0)</f>
        <v>39</v>
      </c>
      <c r="E29" s="2">
        <f>IFERROR(__xludf.DUMMYFUNCTION("""COMPUTED_VALUE"""),18933.0)</f>
        <v>18933</v>
      </c>
      <c r="F29" s="2">
        <f>IFERROR(__xludf.DUMMYFUNCTION("""COMPUTED_VALUE"""),2937.0)</f>
        <v>2937</v>
      </c>
      <c r="G29" s="4">
        <f>VLOOKUP(A29,Populacao!A:B,2,0)</f>
        <v>130262220</v>
      </c>
      <c r="H29" s="2">
        <f t="shared" si="1"/>
        <v>2.2546829</v>
      </c>
      <c r="I29" s="2">
        <f t="shared" si="4"/>
        <v>58.67395781</v>
      </c>
      <c r="J29" s="2">
        <f>AVERAGEIFS(Dados!F:F,Dados!A:A, "=Mexico", Dados!G:G, "=0", Dados!E:E, D29)</f>
        <v>12558.4</v>
      </c>
      <c r="K29" s="2">
        <f t="shared" si="2"/>
        <v>6374.6</v>
      </c>
      <c r="L29" s="2">
        <f t="shared" si="3"/>
        <v>4.893667558</v>
      </c>
      <c r="M29" s="2">
        <f t="shared" si="5"/>
        <v>177.8999314</v>
      </c>
    </row>
    <row r="30">
      <c r="A30" s="2" t="str">
        <f>IFERROR(__xludf.DUMMYFUNCTION("""COMPUTED_VALUE"""),"Mexico")</f>
        <v>Mexico</v>
      </c>
      <c r="B30" s="3">
        <f>IFERROR(__xludf.DUMMYFUNCTION("""COMPUTED_VALUE"""),44102.0)</f>
        <v>44102</v>
      </c>
      <c r="C30" s="3">
        <f>IFERROR(__xludf.DUMMYFUNCTION("""COMPUTED_VALUE"""),44108.0)</f>
        <v>44108</v>
      </c>
      <c r="D30" s="2">
        <f>IFERROR(__xludf.DUMMYFUNCTION("""COMPUTED_VALUE"""),40.0)</f>
        <v>40</v>
      </c>
      <c r="E30" s="2">
        <f>IFERROR(__xludf.DUMMYFUNCTION("""COMPUTED_VALUE"""),18484.0)</f>
        <v>18484</v>
      </c>
      <c r="F30" s="2">
        <f>IFERROR(__xludf.DUMMYFUNCTION("""COMPUTED_VALUE"""),2658.0)</f>
        <v>2658</v>
      </c>
      <c r="G30" s="4">
        <f>VLOOKUP(A30,Populacao!A:B,2,0)</f>
        <v>130262220</v>
      </c>
      <c r="H30" s="2">
        <f t="shared" si="1"/>
        <v>2.04049954</v>
      </c>
      <c r="I30" s="2">
        <f t="shared" si="4"/>
        <v>60.71445735</v>
      </c>
      <c r="J30" s="2">
        <f>AVERAGEIFS(Dados!F:F,Dados!A:A, "=Mexico", Dados!G:G, "=0", Dados!E:E, D30)</f>
        <v>12874.8</v>
      </c>
      <c r="K30" s="2">
        <f t="shared" si="2"/>
        <v>5609.2</v>
      </c>
      <c r="L30" s="2">
        <f t="shared" si="3"/>
        <v>4.306083529</v>
      </c>
      <c r="M30" s="2">
        <f t="shared" si="5"/>
        <v>182.2060149</v>
      </c>
    </row>
    <row r="31">
      <c r="A31" s="2" t="str">
        <f>IFERROR(__xludf.DUMMYFUNCTION("""COMPUTED_VALUE"""),"Mexico")</f>
        <v>Mexico</v>
      </c>
      <c r="B31" s="3">
        <f>IFERROR(__xludf.DUMMYFUNCTION("""COMPUTED_VALUE"""),44109.0)</f>
        <v>44109</v>
      </c>
      <c r="C31" s="3">
        <f>IFERROR(__xludf.DUMMYFUNCTION("""COMPUTED_VALUE"""),44115.0)</f>
        <v>44115</v>
      </c>
      <c r="D31" s="2">
        <f>IFERROR(__xludf.DUMMYFUNCTION("""COMPUTED_VALUE"""),41.0)</f>
        <v>41</v>
      </c>
      <c r="E31" s="2">
        <f>IFERROR(__xludf.DUMMYFUNCTION("""COMPUTED_VALUE"""),18834.0)</f>
        <v>18834</v>
      </c>
      <c r="F31" s="2">
        <f>IFERROR(__xludf.DUMMYFUNCTION("""COMPUTED_VALUE"""),4693.0)</f>
        <v>4693</v>
      </c>
      <c r="G31" s="4">
        <f>VLOOKUP(A31,Populacao!A:B,2,0)</f>
        <v>130262220</v>
      </c>
      <c r="H31" s="2">
        <f t="shared" si="1"/>
        <v>3.60273301</v>
      </c>
      <c r="I31" s="2">
        <f t="shared" si="4"/>
        <v>64.31719036</v>
      </c>
      <c r="J31" s="2">
        <f>AVERAGEIFS(Dados!F:F,Dados!A:A, "=Mexico", Dados!G:G, "=0", Dados!E:E, D31)</f>
        <v>12859.8</v>
      </c>
      <c r="K31" s="2">
        <f t="shared" si="2"/>
        <v>5974.2</v>
      </c>
      <c r="L31" s="2">
        <f t="shared" si="3"/>
        <v>4.586287567</v>
      </c>
      <c r="M31" s="2">
        <f t="shared" si="5"/>
        <v>186.7923025</v>
      </c>
    </row>
    <row r="32">
      <c r="A32" s="2" t="str">
        <f>IFERROR(__xludf.DUMMYFUNCTION("""COMPUTED_VALUE"""),"Mexico")</f>
        <v>Mexico</v>
      </c>
      <c r="B32" s="3">
        <f>IFERROR(__xludf.DUMMYFUNCTION("""COMPUTED_VALUE"""),44116.0)</f>
        <v>44116</v>
      </c>
      <c r="C32" s="3">
        <f>IFERROR(__xludf.DUMMYFUNCTION("""COMPUTED_VALUE"""),44122.0)</f>
        <v>44122</v>
      </c>
      <c r="D32" s="2">
        <f>IFERROR(__xludf.DUMMYFUNCTION("""COMPUTED_VALUE"""),42.0)</f>
        <v>42</v>
      </c>
      <c r="E32" s="2">
        <f>IFERROR(__xludf.DUMMYFUNCTION("""COMPUTED_VALUE"""),18815.0)</f>
        <v>18815</v>
      </c>
      <c r="F32" s="2">
        <f>IFERROR(__xludf.DUMMYFUNCTION("""COMPUTED_VALUE"""),2386.0)</f>
        <v>2386</v>
      </c>
      <c r="G32" s="4">
        <f>VLOOKUP(A32,Populacao!A:B,2,0)</f>
        <v>130262220</v>
      </c>
      <c r="H32" s="2">
        <f t="shared" si="1"/>
        <v>1.831689956</v>
      </c>
      <c r="I32" s="2">
        <f t="shared" si="4"/>
        <v>66.14888031</v>
      </c>
      <c r="J32" s="2">
        <f>AVERAGEIFS(Dados!F:F,Dados!A:A, "=Mexico", Dados!G:G, "=0", Dados!E:E, D32)</f>
        <v>12933.8</v>
      </c>
      <c r="K32" s="2">
        <f t="shared" si="2"/>
        <v>5881.2</v>
      </c>
      <c r="L32" s="2">
        <f t="shared" si="3"/>
        <v>4.514893113</v>
      </c>
      <c r="M32" s="2">
        <f t="shared" si="5"/>
        <v>191.3071956</v>
      </c>
    </row>
    <row r="33">
      <c r="A33" s="2" t="str">
        <f>IFERROR(__xludf.DUMMYFUNCTION("""COMPUTED_VALUE"""),"Mexico")</f>
        <v>Mexico</v>
      </c>
      <c r="B33" s="3">
        <f>IFERROR(__xludf.DUMMYFUNCTION("""COMPUTED_VALUE"""),44123.0)</f>
        <v>44123</v>
      </c>
      <c r="C33" s="3">
        <f>IFERROR(__xludf.DUMMYFUNCTION("""COMPUTED_VALUE"""),44129.0)</f>
        <v>44129</v>
      </c>
      <c r="D33" s="2">
        <f>IFERROR(__xludf.DUMMYFUNCTION("""COMPUTED_VALUE"""),43.0)</f>
        <v>43</v>
      </c>
      <c r="E33" s="2">
        <f>IFERROR(__xludf.DUMMYFUNCTION("""COMPUTED_VALUE"""),19567.0)</f>
        <v>19567</v>
      </c>
      <c r="F33" s="2">
        <f>IFERROR(__xludf.DUMMYFUNCTION("""COMPUTED_VALUE"""),2757.0)</f>
        <v>2757</v>
      </c>
      <c r="G33" s="4">
        <f>VLOOKUP(A33,Populacao!A:B,2,0)</f>
        <v>130262220</v>
      </c>
      <c r="H33" s="2">
        <f t="shared" si="1"/>
        <v>2.116500087</v>
      </c>
      <c r="I33" s="2">
        <f t="shared" si="4"/>
        <v>68.2653804</v>
      </c>
      <c r="J33" s="2">
        <f>AVERAGEIFS(Dados!F:F,Dados!A:A, "=Mexico", Dados!G:G, "=0", Dados!E:E, D33)</f>
        <v>12997.8</v>
      </c>
      <c r="K33" s="2">
        <f t="shared" si="2"/>
        <v>6569.2</v>
      </c>
      <c r="L33" s="2">
        <f t="shared" si="3"/>
        <v>5.043058532</v>
      </c>
      <c r="M33" s="2">
        <f t="shared" si="5"/>
        <v>196.3502541</v>
      </c>
    </row>
    <row r="34">
      <c r="A34" s="2" t="str">
        <f>IFERROR(__xludf.DUMMYFUNCTION("""COMPUTED_VALUE"""),"Mexico")</f>
        <v>Mexico</v>
      </c>
      <c r="B34" s="3">
        <f>IFERROR(__xludf.DUMMYFUNCTION("""COMPUTED_VALUE"""),44130.0)</f>
        <v>44130</v>
      </c>
      <c r="C34" s="3">
        <f>IFERROR(__xludf.DUMMYFUNCTION("""COMPUTED_VALUE"""),44136.0)</f>
        <v>44136</v>
      </c>
      <c r="D34" s="2">
        <f>IFERROR(__xludf.DUMMYFUNCTION("""COMPUTED_VALUE"""),44.0)</f>
        <v>44</v>
      </c>
      <c r="E34" s="2">
        <f>IFERROR(__xludf.DUMMYFUNCTION("""COMPUTED_VALUE"""),20224.0)</f>
        <v>20224</v>
      </c>
      <c r="F34" s="2">
        <f>IFERROR(__xludf.DUMMYFUNCTION("""COMPUTED_VALUE"""),2971.0)</f>
        <v>2971</v>
      </c>
      <c r="G34" s="4">
        <f>VLOOKUP(A34,Populacao!A:B,2,0)</f>
        <v>130262220</v>
      </c>
      <c r="H34" s="2">
        <f t="shared" si="1"/>
        <v>2.280784098</v>
      </c>
      <c r="I34" s="2">
        <f t="shared" si="4"/>
        <v>70.5461645</v>
      </c>
      <c r="J34" s="2">
        <f>AVERAGEIFS(Dados!F:F,Dados!A:A, "=Mexico", Dados!G:G, "=0", Dados!E:E, D34)</f>
        <v>13231.4</v>
      </c>
      <c r="K34" s="2">
        <f t="shared" si="2"/>
        <v>6992.6</v>
      </c>
      <c r="L34" s="2">
        <f t="shared" si="3"/>
        <v>5.368095216</v>
      </c>
      <c r="M34" s="2">
        <f t="shared" si="5"/>
        <v>201.7183493</v>
      </c>
    </row>
    <row r="35">
      <c r="A35" s="2" t="str">
        <f>IFERROR(__xludf.DUMMYFUNCTION("""COMPUTED_VALUE"""),"Mexico")</f>
        <v>Mexico</v>
      </c>
      <c r="B35" s="3">
        <f>IFERROR(__xludf.DUMMYFUNCTION("""COMPUTED_VALUE"""),44137.0)</f>
        <v>44137</v>
      </c>
      <c r="C35" s="3">
        <f>IFERROR(__xludf.DUMMYFUNCTION("""COMPUTED_VALUE"""),44143.0)</f>
        <v>44143</v>
      </c>
      <c r="D35" s="2">
        <f>IFERROR(__xludf.DUMMYFUNCTION("""COMPUTED_VALUE"""),45.0)</f>
        <v>45</v>
      </c>
      <c r="E35" s="2">
        <f>IFERROR(__xludf.DUMMYFUNCTION("""COMPUTED_VALUE"""),21326.0)</f>
        <v>21326</v>
      </c>
      <c r="F35" s="2">
        <f>IFERROR(__xludf.DUMMYFUNCTION("""COMPUTED_VALUE"""),3132.0)</f>
        <v>3132</v>
      </c>
      <c r="G35" s="4">
        <f>VLOOKUP(A35,Populacao!A:B,2,0)</f>
        <v>130262220</v>
      </c>
      <c r="H35" s="2">
        <f t="shared" si="1"/>
        <v>2.404380948</v>
      </c>
      <c r="I35" s="2">
        <f t="shared" si="4"/>
        <v>72.95054545</v>
      </c>
      <c r="J35" s="2">
        <f>AVERAGEIFS(Dados!F:F,Dados!A:A, "=Mexico", Dados!G:G, "=0", Dados!E:E, D35)</f>
        <v>13242.2</v>
      </c>
      <c r="K35" s="2">
        <f t="shared" si="2"/>
        <v>8083.8</v>
      </c>
      <c r="L35" s="2">
        <f t="shared" si="3"/>
        <v>6.205790136</v>
      </c>
      <c r="M35" s="2">
        <f t="shared" si="5"/>
        <v>207.9241395</v>
      </c>
    </row>
    <row r="36">
      <c r="A36" s="2" t="str">
        <f>IFERROR(__xludf.DUMMYFUNCTION("""COMPUTED_VALUE"""),"Mexico")</f>
        <v>Mexico</v>
      </c>
      <c r="B36" s="3">
        <f>IFERROR(__xludf.DUMMYFUNCTION("""COMPUTED_VALUE"""),44144.0)</f>
        <v>44144</v>
      </c>
      <c r="C36" s="3">
        <f>IFERROR(__xludf.DUMMYFUNCTION("""COMPUTED_VALUE"""),44150.0)</f>
        <v>44150</v>
      </c>
      <c r="D36" s="2">
        <f>IFERROR(__xludf.DUMMYFUNCTION("""COMPUTED_VALUE"""),46.0)</f>
        <v>46</v>
      </c>
      <c r="E36" s="2">
        <f>IFERROR(__xludf.DUMMYFUNCTION("""COMPUTED_VALUE"""),21619.0)</f>
        <v>21619</v>
      </c>
      <c r="F36" s="2">
        <f>IFERROR(__xludf.DUMMYFUNCTION("""COMPUTED_VALUE"""),3515.0)</f>
        <v>3515</v>
      </c>
      <c r="G36" s="4">
        <f>VLOOKUP(A36,Populacao!A:B,2,0)</f>
        <v>130262220</v>
      </c>
      <c r="H36" s="2">
        <f t="shared" si="1"/>
        <v>2.698403267</v>
      </c>
      <c r="I36" s="2">
        <f t="shared" si="4"/>
        <v>75.64894871</v>
      </c>
      <c r="J36" s="2">
        <f>AVERAGEIFS(Dados!F:F,Dados!A:A, "=Mexico", Dados!G:G, "=0", Dados!E:E, D36)</f>
        <v>13420.2</v>
      </c>
      <c r="K36" s="2">
        <f t="shared" si="2"/>
        <v>8198.8</v>
      </c>
      <c r="L36" s="2">
        <f t="shared" si="3"/>
        <v>6.2940736</v>
      </c>
      <c r="M36" s="2">
        <f t="shared" si="5"/>
        <v>214.2182131</v>
      </c>
    </row>
    <row r="37">
      <c r="A37" s="2" t="str">
        <f>IFERROR(__xludf.DUMMYFUNCTION("""COMPUTED_VALUE"""),"Mexico")</f>
        <v>Mexico</v>
      </c>
      <c r="B37" s="3">
        <f>IFERROR(__xludf.DUMMYFUNCTION("""COMPUTED_VALUE"""),44151.0)</f>
        <v>44151</v>
      </c>
      <c r="C37" s="3">
        <f>IFERROR(__xludf.DUMMYFUNCTION("""COMPUTED_VALUE"""),44157.0)</f>
        <v>44157</v>
      </c>
      <c r="D37" s="2">
        <f>IFERROR(__xludf.DUMMYFUNCTION("""COMPUTED_VALUE"""),47.0)</f>
        <v>47</v>
      </c>
      <c r="E37" s="2">
        <f>IFERROR(__xludf.DUMMYFUNCTION("""COMPUTED_VALUE"""),22294.0)</f>
        <v>22294</v>
      </c>
      <c r="F37" s="2">
        <f>IFERROR(__xludf.DUMMYFUNCTION("""COMPUTED_VALUE"""),3134.0)</f>
        <v>3134</v>
      </c>
      <c r="G37" s="4">
        <f>VLOOKUP(A37,Populacao!A:B,2,0)</f>
        <v>130262220</v>
      </c>
      <c r="H37" s="2">
        <f t="shared" si="1"/>
        <v>2.405916312</v>
      </c>
      <c r="I37" s="2">
        <f t="shared" si="4"/>
        <v>78.05486503</v>
      </c>
      <c r="J37" s="2">
        <f>AVERAGEIFS(Dados!F:F,Dados!A:A, "=Mexico", Dados!G:G, "=0", Dados!E:E, D37)</f>
        <v>13959.8</v>
      </c>
      <c r="K37" s="2">
        <f t="shared" si="2"/>
        <v>8334.2</v>
      </c>
      <c r="L37" s="2">
        <f t="shared" si="3"/>
        <v>6.398017783</v>
      </c>
      <c r="M37" s="2">
        <f t="shared" si="5"/>
        <v>220.6162309</v>
      </c>
    </row>
    <row r="38">
      <c r="A38" s="2" t="str">
        <f>IFERROR(__xludf.DUMMYFUNCTION("""COMPUTED_VALUE"""),"Mexico")</f>
        <v>Mexico</v>
      </c>
      <c r="B38" s="3">
        <f>IFERROR(__xludf.DUMMYFUNCTION("""COMPUTED_VALUE"""),44158.0)</f>
        <v>44158</v>
      </c>
      <c r="C38" s="3">
        <f>IFERROR(__xludf.DUMMYFUNCTION("""COMPUTED_VALUE"""),44164.0)</f>
        <v>44164</v>
      </c>
      <c r="D38" s="2">
        <f>IFERROR(__xludf.DUMMYFUNCTION("""COMPUTED_VALUE"""),48.0)</f>
        <v>48</v>
      </c>
      <c r="E38" s="2">
        <f>IFERROR(__xludf.DUMMYFUNCTION("""COMPUTED_VALUE"""),22534.0)</f>
        <v>22534</v>
      </c>
      <c r="F38" s="2">
        <f>IFERROR(__xludf.DUMMYFUNCTION("""COMPUTED_VALUE"""),3979.0)</f>
        <v>3979</v>
      </c>
      <c r="G38" s="4">
        <f>VLOOKUP(A38,Populacao!A:B,2,0)</f>
        <v>130262220</v>
      </c>
      <c r="H38" s="2">
        <f t="shared" si="1"/>
        <v>3.054607852</v>
      </c>
      <c r="I38" s="2">
        <f t="shared" si="4"/>
        <v>81.10947288</v>
      </c>
      <c r="J38" s="2">
        <f>AVERAGEIFS(Dados!F:F,Dados!A:A, "=Mexico", Dados!G:G, "=0", Dados!E:E, D38)</f>
        <v>13789.6</v>
      </c>
      <c r="K38" s="2">
        <f t="shared" si="2"/>
        <v>8744.4</v>
      </c>
      <c r="L38" s="2">
        <f t="shared" si="3"/>
        <v>6.71292106</v>
      </c>
      <c r="M38" s="2">
        <f t="shared" si="5"/>
        <v>227.3291519</v>
      </c>
    </row>
    <row r="39">
      <c r="A39" s="2" t="str">
        <f>IFERROR(__xludf.DUMMYFUNCTION("""COMPUTED_VALUE"""),"Mexico")</f>
        <v>Mexico</v>
      </c>
      <c r="B39" s="3">
        <f>IFERROR(__xludf.DUMMYFUNCTION("""COMPUTED_VALUE"""),44165.0)</f>
        <v>44165</v>
      </c>
      <c r="C39" s="3">
        <f>IFERROR(__xludf.DUMMYFUNCTION("""COMPUTED_VALUE"""),44171.0)</f>
        <v>44171</v>
      </c>
      <c r="D39" s="2">
        <f>IFERROR(__xludf.DUMMYFUNCTION("""COMPUTED_VALUE"""),49.0)</f>
        <v>49</v>
      </c>
      <c r="E39" s="2">
        <f>IFERROR(__xludf.DUMMYFUNCTION("""COMPUTED_VALUE"""),23495.0)</f>
        <v>23495</v>
      </c>
      <c r="F39" s="2">
        <f>IFERROR(__xludf.DUMMYFUNCTION("""COMPUTED_VALUE"""),4062.0)</f>
        <v>4062</v>
      </c>
      <c r="G39" s="4">
        <f>VLOOKUP(A39,Populacao!A:B,2,0)</f>
        <v>130262220</v>
      </c>
      <c r="H39" s="2">
        <f t="shared" si="1"/>
        <v>3.118325482</v>
      </c>
      <c r="I39" s="2">
        <f t="shared" si="4"/>
        <v>84.22779836</v>
      </c>
      <c r="J39" s="2">
        <f>AVERAGEIFS(Dados!F:F,Dados!A:A, "=Mexico", Dados!G:G, "=0", Dados!E:E, D39)</f>
        <v>13884.6</v>
      </c>
      <c r="K39" s="2">
        <f t="shared" si="2"/>
        <v>9610.4</v>
      </c>
      <c r="L39" s="2">
        <f t="shared" si="3"/>
        <v>7.377733928</v>
      </c>
      <c r="M39" s="2">
        <f t="shared" si="5"/>
        <v>234.7068858</v>
      </c>
    </row>
    <row r="40">
      <c r="A40" s="2" t="str">
        <f>IFERROR(__xludf.DUMMYFUNCTION("""COMPUTED_VALUE"""),"Mexico")</f>
        <v>Mexico</v>
      </c>
      <c r="B40" s="3">
        <f>IFERROR(__xludf.DUMMYFUNCTION("""COMPUTED_VALUE"""),44172.0)</f>
        <v>44172</v>
      </c>
      <c r="C40" s="3">
        <f>IFERROR(__xludf.DUMMYFUNCTION("""COMPUTED_VALUE"""),44178.0)</f>
        <v>44178</v>
      </c>
      <c r="D40" s="2">
        <f>IFERROR(__xludf.DUMMYFUNCTION("""COMPUTED_VALUE"""),50.0)</f>
        <v>50</v>
      </c>
      <c r="E40" s="2">
        <f>IFERROR(__xludf.DUMMYFUNCTION("""COMPUTED_VALUE"""),25342.0)</f>
        <v>25342</v>
      </c>
      <c r="F40" s="2">
        <f>IFERROR(__xludf.DUMMYFUNCTION("""COMPUTED_VALUE"""),4236.0)</f>
        <v>4236</v>
      </c>
      <c r="G40" s="4">
        <f>VLOOKUP(A40,Populacao!A:B,2,0)</f>
        <v>130262220</v>
      </c>
      <c r="H40" s="2">
        <f t="shared" si="1"/>
        <v>3.251902202</v>
      </c>
      <c r="I40" s="2">
        <f t="shared" si="4"/>
        <v>87.47970056</v>
      </c>
      <c r="J40" s="2">
        <f>AVERAGEIFS(Dados!F:F,Dados!A:A, "=Mexico", Dados!G:G, "=0", Dados!E:E, D40)</f>
        <v>14539.8</v>
      </c>
      <c r="K40" s="2">
        <f t="shared" si="2"/>
        <v>10802.2</v>
      </c>
      <c r="L40" s="2">
        <f t="shared" si="3"/>
        <v>8.292657687</v>
      </c>
      <c r="M40" s="2">
        <f t="shared" si="5"/>
        <v>242.9995435</v>
      </c>
    </row>
    <row r="41">
      <c r="A41" s="2" t="str">
        <f>IFERROR(__xludf.DUMMYFUNCTION("""COMPUTED_VALUE"""),"Mexico")</f>
        <v>Mexico</v>
      </c>
      <c r="B41" s="3">
        <f>IFERROR(__xludf.DUMMYFUNCTION("""COMPUTED_VALUE"""),44179.0)</f>
        <v>44179</v>
      </c>
      <c r="C41" s="3">
        <f>IFERROR(__xludf.DUMMYFUNCTION("""COMPUTED_VALUE"""),44185.0)</f>
        <v>44185</v>
      </c>
      <c r="D41" s="2">
        <f>IFERROR(__xludf.DUMMYFUNCTION("""COMPUTED_VALUE"""),51.0)</f>
        <v>51</v>
      </c>
      <c r="E41" s="2">
        <f>IFERROR(__xludf.DUMMYFUNCTION("""COMPUTED_VALUE"""),26560.0)</f>
        <v>26560</v>
      </c>
      <c r="F41" s="2">
        <f>IFERROR(__xludf.DUMMYFUNCTION("""COMPUTED_VALUE"""),4249.0)</f>
        <v>4249</v>
      </c>
      <c r="G41" s="4">
        <f>VLOOKUP(A41,Populacao!A:B,2,0)</f>
        <v>130262220</v>
      </c>
      <c r="H41" s="2">
        <f t="shared" si="1"/>
        <v>3.261882071</v>
      </c>
      <c r="I41" s="2">
        <f t="shared" si="4"/>
        <v>90.74158263</v>
      </c>
      <c r="J41" s="2">
        <f>AVERAGEIFS(Dados!F:F,Dados!A:A, "=Mexico", Dados!G:G, "=0", Dados!E:E, D41)</f>
        <v>14573.6</v>
      </c>
      <c r="K41" s="2">
        <f t="shared" si="2"/>
        <v>11986.4</v>
      </c>
      <c r="L41" s="2">
        <f t="shared" si="3"/>
        <v>9.201747061</v>
      </c>
      <c r="M41" s="2">
        <f t="shared" si="5"/>
        <v>252.2012906</v>
      </c>
    </row>
    <row r="42">
      <c r="A42" s="2" t="str">
        <f>IFERROR(__xludf.DUMMYFUNCTION("""COMPUTED_VALUE"""),"Mexico")</f>
        <v>Mexico</v>
      </c>
      <c r="B42" s="3">
        <f>IFERROR(__xludf.DUMMYFUNCTION("""COMPUTED_VALUE"""),44186.0)</f>
        <v>44186</v>
      </c>
      <c r="C42" s="3">
        <f>IFERROR(__xludf.DUMMYFUNCTION("""COMPUTED_VALUE"""),44192.0)</f>
        <v>44192</v>
      </c>
      <c r="D42" s="2">
        <f>IFERROR(__xludf.DUMMYFUNCTION("""COMPUTED_VALUE"""),52.0)</f>
        <v>52</v>
      </c>
      <c r="E42" s="2">
        <f>IFERROR(__xludf.DUMMYFUNCTION("""COMPUTED_VALUE"""),29609.0)</f>
        <v>29609</v>
      </c>
      <c r="F42" s="2">
        <f>IFERROR(__xludf.DUMMYFUNCTION("""COMPUTED_VALUE"""),4224.0)</f>
        <v>4224</v>
      </c>
      <c r="G42" s="4">
        <f>VLOOKUP(A42,Populacao!A:B,2,0)</f>
        <v>130262220</v>
      </c>
      <c r="H42" s="2">
        <f t="shared" si="1"/>
        <v>3.242690014</v>
      </c>
      <c r="I42" s="2">
        <f t="shared" si="4"/>
        <v>93.98427265</v>
      </c>
      <c r="J42" s="2">
        <f>AVERAGEIFS(Dados!F:F,Dados!A:A, "=Mexico", Dados!G:G, "=0", Dados!E:E, D42)</f>
        <v>15430</v>
      </c>
      <c r="K42" s="2">
        <f t="shared" si="2"/>
        <v>14179</v>
      </c>
      <c r="L42" s="2">
        <f t="shared" si="3"/>
        <v>10.88496726</v>
      </c>
      <c r="M42" s="2">
        <f t="shared" si="5"/>
        <v>263.0862579</v>
      </c>
    </row>
    <row r="43">
      <c r="A43" s="2" t="str">
        <f>IFERROR(__xludf.DUMMYFUNCTION("""COMPUTED_VALUE"""),"Mexico")</f>
        <v>Mexico</v>
      </c>
      <c r="B43" s="3">
        <f>IFERROR(__xludf.DUMMYFUNCTION("""COMPUTED_VALUE"""),44193.0)</f>
        <v>44193</v>
      </c>
      <c r="C43" s="3">
        <f>IFERROR(__xludf.DUMMYFUNCTION("""COMPUTED_VALUE"""),44199.0)</f>
        <v>44199</v>
      </c>
      <c r="D43" s="2">
        <f>IFERROR(__xludf.DUMMYFUNCTION("""COMPUTED_VALUE"""),53.0)</f>
        <v>53</v>
      </c>
      <c r="E43" s="2">
        <f>IFERROR(__xludf.DUMMYFUNCTION("""COMPUTED_VALUE"""),32637.0)</f>
        <v>32637</v>
      </c>
      <c r="F43" s="2">
        <f>IFERROR(__xludf.DUMMYFUNCTION("""COMPUTED_VALUE"""),4787.0)</f>
        <v>4787</v>
      </c>
      <c r="G43" s="4">
        <f>VLOOKUP(A43,Populacao!A:B,2,0)</f>
        <v>130262220</v>
      </c>
      <c r="H43" s="2">
        <f t="shared" si="1"/>
        <v>3.674895146</v>
      </c>
      <c r="I43" s="2">
        <f t="shared" si="4"/>
        <v>97.65916779</v>
      </c>
      <c r="J43" s="2">
        <f>AVERAGEIFS(Dados!F:F,Dados!A:A, "=Mexico", Dados!G:G, "=0", Dados!E:E, D43)</f>
        <v>14170</v>
      </c>
      <c r="K43" s="2">
        <f t="shared" si="2"/>
        <v>18467</v>
      </c>
      <c r="L43" s="2">
        <f t="shared" si="3"/>
        <v>14.17678894</v>
      </c>
      <c r="M43" s="2">
        <f t="shared" si="5"/>
        <v>277.2630468</v>
      </c>
    </row>
    <row r="44">
      <c r="A44" s="2" t="str">
        <f>IFERROR(__xludf.DUMMYFUNCTION("""COMPUTED_VALUE"""),"Mexico")</f>
        <v>Mexico</v>
      </c>
      <c r="B44" s="3">
        <f>IFERROR(__xludf.DUMMYFUNCTION("""COMPUTED_VALUE"""),44200.0)</f>
        <v>44200</v>
      </c>
      <c r="C44" s="3">
        <f>IFERROR(__xludf.DUMMYFUNCTION("""COMPUTED_VALUE"""),44206.0)</f>
        <v>44206</v>
      </c>
      <c r="D44" s="2">
        <f>IFERROR(__xludf.DUMMYFUNCTION("""COMPUTED_VALUE"""),1.0)</f>
        <v>1</v>
      </c>
      <c r="E44" s="2">
        <f>IFERROR(__xludf.DUMMYFUNCTION("""COMPUTED_VALUE"""),36287.0)</f>
        <v>36287</v>
      </c>
      <c r="F44" s="2">
        <f>IFERROR(__xludf.DUMMYFUNCTION("""COMPUTED_VALUE"""),6493.0)</f>
        <v>6493</v>
      </c>
      <c r="G44" s="4">
        <f>VLOOKUP(A44,Populacao!A:B,2,0)</f>
        <v>130262220</v>
      </c>
      <c r="H44" s="2">
        <f t="shared" si="1"/>
        <v>4.984561141</v>
      </c>
      <c r="I44" s="2">
        <f t="shared" si="4"/>
        <v>102.6437289</v>
      </c>
      <c r="J44" s="2">
        <f>AVERAGEIFS(Dados!F:F,Dados!A:A, "=Mexico", Dados!G:G, "=0", Dados!E:E, D44)</f>
        <v>15779</v>
      </c>
      <c r="K44" s="2">
        <f t="shared" si="2"/>
        <v>20508</v>
      </c>
      <c r="L44" s="2">
        <f t="shared" si="3"/>
        <v>15.74362851</v>
      </c>
      <c r="M44" s="2">
        <f t="shared" si="5"/>
        <v>293.0066753</v>
      </c>
    </row>
    <row r="45">
      <c r="A45" s="2" t="str">
        <f>IFERROR(__xludf.DUMMYFUNCTION("""COMPUTED_VALUE"""),"Mexico")</f>
        <v>Mexico</v>
      </c>
      <c r="B45" s="3">
        <f>IFERROR(__xludf.DUMMYFUNCTION("""COMPUTED_VALUE"""),44207.0)</f>
        <v>44207</v>
      </c>
      <c r="C45" s="3">
        <f>IFERROR(__xludf.DUMMYFUNCTION("""COMPUTED_VALUE"""),44213.0)</f>
        <v>44213</v>
      </c>
      <c r="D45" s="2">
        <f>IFERROR(__xludf.DUMMYFUNCTION("""COMPUTED_VALUE"""),2.0)</f>
        <v>2</v>
      </c>
      <c r="E45" s="2">
        <f>IFERROR(__xludf.DUMMYFUNCTION("""COMPUTED_VALUE"""),43427.0)</f>
        <v>43427</v>
      </c>
      <c r="F45" s="2">
        <f>IFERROR(__xludf.DUMMYFUNCTION("""COMPUTED_VALUE"""),6998.0)</f>
        <v>6998</v>
      </c>
      <c r="G45" s="4">
        <f>VLOOKUP(A45,Populacao!A:B,2,0)</f>
        <v>130262220</v>
      </c>
      <c r="H45" s="2">
        <f t="shared" si="1"/>
        <v>5.3722407</v>
      </c>
      <c r="I45" s="2">
        <f t="shared" si="4"/>
        <v>108.0159696</v>
      </c>
      <c r="J45" s="2">
        <f>AVERAGEIFS(Dados!F:F,Dados!A:A, "=Mexico", Dados!G:G, "=0", Dados!E:E, D45)</f>
        <v>15680</v>
      </c>
      <c r="K45" s="2">
        <f t="shared" si="2"/>
        <v>27747</v>
      </c>
      <c r="L45" s="2">
        <f t="shared" si="3"/>
        <v>21.30088064</v>
      </c>
      <c r="M45" s="2">
        <f t="shared" si="5"/>
        <v>314.3075559</v>
      </c>
    </row>
    <row r="46">
      <c r="A46" s="2" t="str">
        <f>IFERROR(__xludf.DUMMYFUNCTION("""COMPUTED_VALUE"""),"Mexico")</f>
        <v>Mexico</v>
      </c>
      <c r="B46" s="3">
        <f>IFERROR(__xludf.DUMMYFUNCTION("""COMPUTED_VALUE"""),44214.0)</f>
        <v>44214</v>
      </c>
      <c r="C46" s="3">
        <f>IFERROR(__xludf.DUMMYFUNCTION("""COMPUTED_VALUE"""),44220.0)</f>
        <v>44220</v>
      </c>
      <c r="D46" s="2">
        <f>IFERROR(__xludf.DUMMYFUNCTION("""COMPUTED_VALUE"""),3.0)</f>
        <v>3</v>
      </c>
      <c r="E46" s="2">
        <f>IFERROR(__xludf.DUMMYFUNCTION("""COMPUTED_VALUE"""),44667.0)</f>
        <v>44667</v>
      </c>
      <c r="F46" s="2">
        <f>IFERROR(__xludf.DUMMYFUNCTION("""COMPUTED_VALUE"""),8910.0)</f>
        <v>8910</v>
      </c>
      <c r="G46" s="4">
        <f>VLOOKUP(A46,Populacao!A:B,2,0)</f>
        <v>130262220</v>
      </c>
      <c r="H46" s="2">
        <f t="shared" si="1"/>
        <v>6.840049248</v>
      </c>
      <c r="I46" s="2">
        <f t="shared" si="4"/>
        <v>114.8560189</v>
      </c>
      <c r="J46" s="2">
        <f>AVERAGEIFS(Dados!F:F,Dados!A:A, "=Mexico", Dados!G:G, "=0", Dados!E:E, D46)</f>
        <v>15454.16667</v>
      </c>
      <c r="K46" s="2">
        <f t="shared" si="2"/>
        <v>29212.83333</v>
      </c>
      <c r="L46" s="2">
        <f t="shared" si="3"/>
        <v>22.42617494</v>
      </c>
      <c r="M46" s="2">
        <f t="shared" si="5"/>
        <v>336.7337309</v>
      </c>
    </row>
    <row r="47">
      <c r="A47" s="2" t="str">
        <f>IFERROR(__xludf.DUMMYFUNCTION("""COMPUTED_VALUE"""),"Mexico")</f>
        <v>Mexico</v>
      </c>
      <c r="B47" s="3">
        <f>IFERROR(__xludf.DUMMYFUNCTION("""COMPUTED_VALUE"""),44221.0)</f>
        <v>44221</v>
      </c>
      <c r="C47" s="3">
        <f>IFERROR(__xludf.DUMMYFUNCTION("""COMPUTED_VALUE"""),44227.0)</f>
        <v>44227</v>
      </c>
      <c r="D47" s="2">
        <f>IFERROR(__xludf.DUMMYFUNCTION("""COMPUTED_VALUE"""),4.0)</f>
        <v>4</v>
      </c>
      <c r="E47" s="2">
        <f>IFERROR(__xludf.DUMMYFUNCTION("""COMPUTED_VALUE"""),36617.0)</f>
        <v>36617</v>
      </c>
      <c r="F47" s="2">
        <f>IFERROR(__xludf.DUMMYFUNCTION("""COMPUTED_VALUE"""),8922.0)</f>
        <v>8922</v>
      </c>
      <c r="G47" s="4">
        <f>VLOOKUP(A47,Populacao!A:B,2,0)</f>
        <v>130262220</v>
      </c>
      <c r="H47" s="2">
        <f t="shared" si="1"/>
        <v>6.849261436</v>
      </c>
      <c r="I47" s="2">
        <f t="shared" si="4"/>
        <v>121.7052803</v>
      </c>
      <c r="J47" s="2">
        <f>AVERAGEIFS(Dados!F:F,Dados!A:A, "=Mexico", Dados!G:G, "=0", Dados!E:E, D47)</f>
        <v>15116.33333</v>
      </c>
      <c r="K47" s="2">
        <f t="shared" si="2"/>
        <v>21500.66667</v>
      </c>
      <c r="L47" s="2">
        <f t="shared" si="3"/>
        <v>16.50568113</v>
      </c>
      <c r="M47" s="2">
        <f t="shared" si="5"/>
        <v>353.239412</v>
      </c>
    </row>
    <row r="48">
      <c r="A48" s="2" t="str">
        <f>IFERROR(__xludf.DUMMYFUNCTION("""COMPUTED_VALUE"""),"Mexico")</f>
        <v>Mexico</v>
      </c>
      <c r="B48" s="3">
        <f>IFERROR(__xludf.DUMMYFUNCTION("""COMPUTED_VALUE"""),44228.0)</f>
        <v>44228</v>
      </c>
      <c r="C48" s="3">
        <f>IFERROR(__xludf.DUMMYFUNCTION("""COMPUTED_VALUE"""),44234.0)</f>
        <v>44234</v>
      </c>
      <c r="D48" s="2">
        <f>IFERROR(__xludf.DUMMYFUNCTION("""COMPUTED_VALUE"""),5.0)</f>
        <v>5</v>
      </c>
      <c r="E48" s="2">
        <f>IFERROR(__xludf.DUMMYFUNCTION("""COMPUTED_VALUE"""),31825.0)</f>
        <v>31825</v>
      </c>
      <c r="F48" s="2">
        <f>IFERROR(__xludf.DUMMYFUNCTION("""COMPUTED_VALUE"""),7664.0)</f>
        <v>7664</v>
      </c>
      <c r="G48" s="4">
        <f>VLOOKUP(A48,Populacao!A:B,2,0)</f>
        <v>130262220</v>
      </c>
      <c r="H48" s="2">
        <f t="shared" si="1"/>
        <v>5.883517109</v>
      </c>
      <c r="I48" s="2">
        <f t="shared" si="4"/>
        <v>127.5887974</v>
      </c>
      <c r="J48" s="2">
        <f>AVERAGEIFS(Dados!F:F,Dados!A:A, "=Mexico", Dados!G:G, "=0", Dados!E:E, D48)</f>
        <v>15013.5</v>
      </c>
      <c r="K48" s="2">
        <f t="shared" si="2"/>
        <v>16811.5</v>
      </c>
      <c r="L48" s="2">
        <f t="shared" si="3"/>
        <v>12.9058909</v>
      </c>
      <c r="M48" s="2">
        <f t="shared" si="5"/>
        <v>366.1453029</v>
      </c>
    </row>
    <row r="49">
      <c r="A49" s="2" t="str">
        <f>IFERROR(__xludf.DUMMYFUNCTION("""COMPUTED_VALUE"""),"Mexico")</f>
        <v>Mexico</v>
      </c>
      <c r="B49" s="3">
        <f>IFERROR(__xludf.DUMMYFUNCTION("""COMPUTED_VALUE"""),44235.0)</f>
        <v>44235</v>
      </c>
      <c r="C49" s="3">
        <f>IFERROR(__xludf.DUMMYFUNCTION("""COMPUTED_VALUE"""),44241.0)</f>
        <v>44241</v>
      </c>
      <c r="D49" s="2">
        <f>IFERROR(__xludf.DUMMYFUNCTION("""COMPUTED_VALUE"""),6.0)</f>
        <v>6</v>
      </c>
      <c r="E49" s="2">
        <f>IFERROR(__xludf.DUMMYFUNCTION("""COMPUTED_VALUE"""),26858.0)</f>
        <v>26858</v>
      </c>
      <c r="F49" s="2">
        <f>IFERROR(__xludf.DUMMYFUNCTION("""COMPUTED_VALUE"""),8007.0)</f>
        <v>8007</v>
      </c>
      <c r="G49" s="4">
        <f>VLOOKUP(A49,Populacao!A:B,2,0)</f>
        <v>130262220</v>
      </c>
      <c r="H49" s="2">
        <f t="shared" si="1"/>
        <v>6.146832136</v>
      </c>
      <c r="I49" s="2">
        <f t="shared" si="4"/>
        <v>133.7356296</v>
      </c>
      <c r="J49" s="2">
        <f>AVERAGEIFS(Dados!F:F,Dados!A:A, "=Mexico", Dados!G:G, "=0", Dados!E:E, D49)</f>
        <v>15106.83333</v>
      </c>
      <c r="K49" s="2">
        <f t="shared" si="2"/>
        <v>11751.16667</v>
      </c>
      <c r="L49" s="2">
        <f t="shared" si="3"/>
        <v>9.021162595</v>
      </c>
      <c r="M49" s="2">
        <f t="shared" si="5"/>
        <v>375.1664655</v>
      </c>
    </row>
    <row r="50">
      <c r="A50" s="2" t="str">
        <f>IFERROR(__xludf.DUMMYFUNCTION("""COMPUTED_VALUE"""),"Mexico")</f>
        <v>Mexico</v>
      </c>
      <c r="B50" s="3">
        <f>IFERROR(__xludf.DUMMYFUNCTION("""COMPUTED_VALUE"""),44242.0)</f>
        <v>44242</v>
      </c>
      <c r="C50" s="3">
        <f>IFERROR(__xludf.DUMMYFUNCTION("""COMPUTED_VALUE"""),44248.0)</f>
        <v>44248</v>
      </c>
      <c r="D50" s="2">
        <f>IFERROR(__xludf.DUMMYFUNCTION("""COMPUTED_VALUE"""),7.0)</f>
        <v>7</v>
      </c>
      <c r="E50" s="2">
        <f>IFERROR(__xludf.DUMMYFUNCTION("""COMPUTED_VALUE"""),25330.0)</f>
        <v>25330</v>
      </c>
      <c r="F50" s="2">
        <f>IFERROR(__xludf.DUMMYFUNCTION("""COMPUTED_VALUE"""),5900.0)</f>
        <v>5900</v>
      </c>
      <c r="G50" s="4">
        <f>VLOOKUP(A50,Populacao!A:B,2,0)</f>
        <v>130262220</v>
      </c>
      <c r="H50" s="2">
        <f t="shared" si="1"/>
        <v>4.52932554</v>
      </c>
      <c r="I50" s="2">
        <f t="shared" si="4"/>
        <v>138.2649551</v>
      </c>
      <c r="J50" s="2">
        <f>AVERAGEIFS(Dados!F:F,Dados!A:A, "=Mexico", Dados!G:G, "=0", Dados!E:E, D50)</f>
        <v>14724.66667</v>
      </c>
      <c r="K50" s="2">
        <f t="shared" si="2"/>
        <v>10605.33333</v>
      </c>
      <c r="L50" s="2">
        <f t="shared" si="3"/>
        <v>8.141526632</v>
      </c>
      <c r="M50" s="2">
        <f t="shared" si="5"/>
        <v>383.3079921</v>
      </c>
    </row>
    <row r="51">
      <c r="A51" s="2" t="str">
        <f>IFERROR(__xludf.DUMMYFUNCTION("""COMPUTED_VALUE"""),"Mexico")</f>
        <v>Mexico</v>
      </c>
      <c r="B51" s="3">
        <f>IFERROR(__xludf.DUMMYFUNCTION("""COMPUTED_VALUE"""),44249.0)</f>
        <v>44249</v>
      </c>
      <c r="C51" s="3">
        <f>IFERROR(__xludf.DUMMYFUNCTION("""COMPUTED_VALUE"""),44255.0)</f>
        <v>44255</v>
      </c>
      <c r="D51" s="2">
        <f>IFERROR(__xludf.DUMMYFUNCTION("""COMPUTED_VALUE"""),8.0)</f>
        <v>8</v>
      </c>
      <c r="E51" s="2">
        <f>IFERROR(__xludf.DUMMYFUNCTION("""COMPUTED_VALUE"""),24010.0)</f>
        <v>24010</v>
      </c>
      <c r="F51" s="2">
        <f>IFERROR(__xludf.DUMMYFUNCTION("""COMPUTED_VALUE"""),5608.0)</f>
        <v>5608</v>
      </c>
      <c r="G51" s="4">
        <f>VLOOKUP(A51,Populacao!A:B,2,0)</f>
        <v>130262220</v>
      </c>
      <c r="H51" s="2">
        <f t="shared" si="1"/>
        <v>4.30516231</v>
      </c>
      <c r="I51" s="2">
        <f t="shared" si="4"/>
        <v>142.5701174</v>
      </c>
      <c r="J51" s="2">
        <f>AVERAGEIFS(Dados!F:F,Dados!A:A, "=Mexico", Dados!G:G, "=0", Dados!E:E, D51)</f>
        <v>14427.66667</v>
      </c>
      <c r="K51" s="2">
        <f t="shared" si="2"/>
        <v>9582.333333</v>
      </c>
      <c r="L51" s="2">
        <f t="shared" si="3"/>
        <v>7.356187645</v>
      </c>
      <c r="M51" s="2">
        <f t="shared" si="5"/>
        <v>390.6641798</v>
      </c>
    </row>
    <row r="52">
      <c r="A52" s="2" t="str">
        <f>IFERROR(__xludf.DUMMYFUNCTION("""COMPUTED_VALUE"""),"Mexico")</f>
        <v>Mexico</v>
      </c>
      <c r="B52" s="3">
        <f>IFERROR(__xludf.DUMMYFUNCTION("""COMPUTED_VALUE"""),44256.0)</f>
        <v>44256</v>
      </c>
      <c r="C52" s="3">
        <f>IFERROR(__xludf.DUMMYFUNCTION("""COMPUTED_VALUE"""),44262.0)</f>
        <v>44262</v>
      </c>
      <c r="D52" s="2">
        <f>IFERROR(__xludf.DUMMYFUNCTION("""COMPUTED_VALUE"""),9.0)</f>
        <v>9</v>
      </c>
      <c r="E52" s="2">
        <f>IFERROR(__xludf.DUMMYFUNCTION("""COMPUTED_VALUE"""),20488.0)</f>
        <v>20488</v>
      </c>
      <c r="F52" s="2">
        <f>IFERROR(__xludf.DUMMYFUNCTION("""COMPUTED_VALUE"""),4889.0)</f>
        <v>4889</v>
      </c>
      <c r="G52" s="4">
        <f>VLOOKUP(A52,Populacao!A:B,2,0)</f>
        <v>130262220</v>
      </c>
      <c r="H52" s="2">
        <f t="shared" si="1"/>
        <v>3.75319874</v>
      </c>
      <c r="I52" s="2">
        <f t="shared" si="4"/>
        <v>146.3233162</v>
      </c>
      <c r="J52" s="2">
        <f>AVERAGEIFS(Dados!F:F,Dados!A:A, "=Mexico", Dados!G:G, "=0", Dados!E:E, D52)</f>
        <v>14143.83333</v>
      </c>
      <c r="K52" s="2">
        <f t="shared" si="2"/>
        <v>6344.166667</v>
      </c>
      <c r="L52" s="2">
        <f t="shared" si="3"/>
        <v>4.870304426</v>
      </c>
      <c r="M52" s="2">
        <f t="shared" si="5"/>
        <v>395.5344842</v>
      </c>
    </row>
    <row r="53">
      <c r="A53" s="2" t="str">
        <f>IFERROR(__xludf.DUMMYFUNCTION("""COMPUTED_VALUE"""),"Mexico")</f>
        <v>Mexico</v>
      </c>
      <c r="B53" s="3">
        <f>IFERROR(__xludf.DUMMYFUNCTION("""COMPUTED_VALUE"""),44263.0)</f>
        <v>44263</v>
      </c>
      <c r="C53" s="3">
        <f>IFERROR(__xludf.DUMMYFUNCTION("""COMPUTED_VALUE"""),44269.0)</f>
        <v>44269</v>
      </c>
      <c r="D53" s="2">
        <f>IFERROR(__xludf.DUMMYFUNCTION("""COMPUTED_VALUE"""),10.0)</f>
        <v>10</v>
      </c>
      <c r="E53" s="2">
        <f>IFERROR(__xludf.DUMMYFUNCTION("""COMPUTED_VALUE"""),19752.0)</f>
        <v>19752</v>
      </c>
      <c r="F53" s="2">
        <f>IFERROR(__xludf.DUMMYFUNCTION("""COMPUTED_VALUE"""),4106.0)</f>
        <v>4106</v>
      </c>
      <c r="G53" s="4">
        <f>VLOOKUP(A53,Populacao!A:B,2,0)</f>
        <v>130262220</v>
      </c>
      <c r="H53" s="2">
        <f t="shared" si="1"/>
        <v>3.152103503</v>
      </c>
      <c r="I53" s="2">
        <f t="shared" si="4"/>
        <v>149.4754197</v>
      </c>
      <c r="J53" s="2">
        <f>AVERAGEIFS(Dados!F:F,Dados!A:A, "=Mexico", Dados!G:G, "=0", Dados!E:E, D53)</f>
        <v>13855.66667</v>
      </c>
      <c r="K53" s="2">
        <f t="shared" si="2"/>
        <v>5896.333333</v>
      </c>
      <c r="L53" s="2">
        <f t="shared" si="3"/>
        <v>4.526510705</v>
      </c>
      <c r="M53" s="2">
        <f t="shared" si="5"/>
        <v>400.0609949</v>
      </c>
    </row>
    <row r="54">
      <c r="A54" s="2" t="str">
        <f>IFERROR(__xludf.DUMMYFUNCTION("""COMPUTED_VALUE"""),"Mexico")</f>
        <v>Mexico</v>
      </c>
      <c r="B54" s="3">
        <f>IFERROR(__xludf.DUMMYFUNCTION("""COMPUTED_VALUE"""),44270.0)</f>
        <v>44270</v>
      </c>
      <c r="C54" s="3">
        <f>IFERROR(__xludf.DUMMYFUNCTION("""COMPUTED_VALUE"""),44276.0)</f>
        <v>44276</v>
      </c>
      <c r="D54" s="2">
        <f>IFERROR(__xludf.DUMMYFUNCTION("""COMPUTED_VALUE"""),11.0)</f>
        <v>11</v>
      </c>
      <c r="E54" s="2">
        <f>IFERROR(__xludf.DUMMYFUNCTION("""COMPUTED_VALUE"""),18508.0)</f>
        <v>18508</v>
      </c>
      <c r="F54" s="2">
        <f>IFERROR(__xludf.DUMMYFUNCTION("""COMPUTED_VALUE"""),3326.0)</f>
        <v>3326</v>
      </c>
      <c r="G54" s="4">
        <f>VLOOKUP(A54,Populacao!A:B,2,0)</f>
        <v>130262220</v>
      </c>
      <c r="H54" s="2">
        <f t="shared" si="1"/>
        <v>2.553311313</v>
      </c>
      <c r="I54" s="2">
        <f t="shared" si="4"/>
        <v>152.028731</v>
      </c>
      <c r="J54" s="2">
        <f>AVERAGEIFS(Dados!F:F,Dados!A:A, "=Mexico", Dados!G:G, "=0", Dados!E:E, D54)</f>
        <v>13595.66667</v>
      </c>
      <c r="K54" s="2">
        <f t="shared" si="2"/>
        <v>4912.333333</v>
      </c>
      <c r="L54" s="2">
        <f t="shared" si="3"/>
        <v>3.771111327</v>
      </c>
      <c r="M54" s="2">
        <f t="shared" si="5"/>
        <v>403.8321062</v>
      </c>
    </row>
    <row r="55">
      <c r="A55" s="2" t="str">
        <f>IFERROR(__xludf.DUMMYFUNCTION("""COMPUTED_VALUE"""),"Mexico")</f>
        <v>Mexico</v>
      </c>
      <c r="B55" s="3">
        <f>IFERROR(__xludf.DUMMYFUNCTION("""COMPUTED_VALUE"""),44277.0)</f>
        <v>44277</v>
      </c>
      <c r="C55" s="3">
        <f>IFERROR(__xludf.DUMMYFUNCTION("""COMPUTED_VALUE"""),44283.0)</f>
        <v>44283</v>
      </c>
      <c r="D55" s="2">
        <f>IFERROR(__xludf.DUMMYFUNCTION("""COMPUTED_VALUE"""),12.0)</f>
        <v>12</v>
      </c>
      <c r="E55" s="2">
        <f>IFERROR(__xludf.DUMMYFUNCTION("""COMPUTED_VALUE"""),17801.0)</f>
        <v>17801</v>
      </c>
      <c r="F55" s="2">
        <f>IFERROR(__xludf.DUMMYFUNCTION("""COMPUTED_VALUE"""),3587.0)</f>
        <v>3587</v>
      </c>
      <c r="G55" s="4">
        <f>VLOOKUP(A55,Populacao!A:B,2,0)</f>
        <v>130262220</v>
      </c>
      <c r="H55" s="2">
        <f t="shared" si="1"/>
        <v>2.753676392</v>
      </c>
      <c r="I55" s="2">
        <f t="shared" si="4"/>
        <v>154.7824074</v>
      </c>
      <c r="J55" s="2">
        <f>AVERAGEIFS(Dados!F:F,Dados!A:A, "=Mexico", Dados!G:G, "=0", Dados!E:E, D55)</f>
        <v>13468.6</v>
      </c>
      <c r="K55" s="2">
        <f t="shared" si="2"/>
        <v>4332.4</v>
      </c>
      <c r="L55" s="2">
        <f t="shared" si="3"/>
        <v>3.325906775</v>
      </c>
      <c r="M55" s="2">
        <f t="shared" si="5"/>
        <v>407.158013</v>
      </c>
    </row>
    <row r="56">
      <c r="A56" s="2" t="str">
        <f>IFERROR(__xludf.DUMMYFUNCTION("""COMPUTED_VALUE"""),"Mexico")</f>
        <v>Mexico</v>
      </c>
      <c r="B56" s="3">
        <f>IFERROR(__xludf.DUMMYFUNCTION("""COMPUTED_VALUE"""),44284.0)</f>
        <v>44284</v>
      </c>
      <c r="C56" s="3">
        <f>IFERROR(__xludf.DUMMYFUNCTION("""COMPUTED_VALUE"""),44290.0)</f>
        <v>44290</v>
      </c>
      <c r="D56" s="2">
        <f>IFERROR(__xludf.DUMMYFUNCTION("""COMPUTED_VALUE"""),13.0)</f>
        <v>13</v>
      </c>
      <c r="E56" s="2">
        <f>IFERROR(__xludf.DUMMYFUNCTION("""COMPUTED_VALUE"""),16992.0)</f>
        <v>16992</v>
      </c>
      <c r="F56" s="2">
        <f>IFERROR(__xludf.DUMMYFUNCTION("""COMPUTED_VALUE"""),2524.0)</f>
        <v>2524</v>
      </c>
      <c r="G56" s="4">
        <f>VLOOKUP(A56,Populacao!A:B,2,0)</f>
        <v>130262220</v>
      </c>
      <c r="H56" s="2">
        <f t="shared" si="1"/>
        <v>1.937630113</v>
      </c>
      <c r="I56" s="2">
        <f t="shared" si="4"/>
        <v>156.7200375</v>
      </c>
      <c r="J56" s="2">
        <f>AVERAGEIFS(Dados!F:F,Dados!A:A, "=Mexico", Dados!G:G, "=0", Dados!E:E, D56)</f>
        <v>13175.6</v>
      </c>
      <c r="K56" s="2">
        <f t="shared" si="2"/>
        <v>3816.4</v>
      </c>
      <c r="L56" s="2">
        <f t="shared" si="3"/>
        <v>2.929782711</v>
      </c>
      <c r="M56" s="2">
        <f t="shared" si="5"/>
        <v>410.0877957</v>
      </c>
    </row>
    <row r="57">
      <c r="A57" s="2" t="str">
        <f>IFERROR(__xludf.DUMMYFUNCTION("""COMPUTED_VALUE"""),"Mexico")</f>
        <v>Mexico</v>
      </c>
      <c r="B57" s="3">
        <f>IFERROR(__xludf.DUMMYFUNCTION("""COMPUTED_VALUE"""),44291.0)</f>
        <v>44291</v>
      </c>
      <c r="C57" s="3">
        <f>IFERROR(__xludf.DUMMYFUNCTION("""COMPUTED_VALUE"""),44297.0)</f>
        <v>44297</v>
      </c>
      <c r="D57" s="2">
        <f>IFERROR(__xludf.DUMMYFUNCTION("""COMPUTED_VALUE"""),14.0)</f>
        <v>14</v>
      </c>
      <c r="E57" s="2">
        <f>IFERROR(__xludf.DUMMYFUNCTION("""COMPUTED_VALUE"""),17364.0)</f>
        <v>17364</v>
      </c>
      <c r="F57" s="2">
        <f>IFERROR(__xludf.DUMMYFUNCTION("""COMPUTED_VALUE"""),5191.0)</f>
        <v>5191</v>
      </c>
      <c r="G57" s="4">
        <f>VLOOKUP(A57,Populacao!A:B,2,0)</f>
        <v>130262220</v>
      </c>
      <c r="H57" s="2">
        <f t="shared" si="1"/>
        <v>3.985038793</v>
      </c>
      <c r="I57" s="2">
        <f t="shared" si="4"/>
        <v>160.7050763</v>
      </c>
      <c r="J57" s="2">
        <f>AVERAGEIFS(Dados!F:F,Dados!A:A, "=Mexico", Dados!G:G, "=0", Dados!E:E, D57)</f>
        <v>13256.6</v>
      </c>
      <c r="K57" s="2">
        <f t="shared" si="2"/>
        <v>4107.4</v>
      </c>
      <c r="L57" s="2">
        <f t="shared" si="3"/>
        <v>3.153178258</v>
      </c>
      <c r="M57" s="2">
        <f t="shared" si="5"/>
        <v>413.240974</v>
      </c>
    </row>
    <row r="58">
      <c r="A58" s="2" t="str">
        <f>IFERROR(__xludf.DUMMYFUNCTION("""COMPUTED_VALUE"""),"Mexico")</f>
        <v>Mexico</v>
      </c>
      <c r="B58" s="3">
        <f>IFERROR(__xludf.DUMMYFUNCTION("""COMPUTED_VALUE"""),44298.0)</f>
        <v>44298</v>
      </c>
      <c r="C58" s="3">
        <f>IFERROR(__xludf.DUMMYFUNCTION("""COMPUTED_VALUE"""),44304.0)</f>
        <v>44304</v>
      </c>
      <c r="D58" s="2">
        <f>IFERROR(__xludf.DUMMYFUNCTION("""COMPUTED_VALUE"""),15.0)</f>
        <v>15</v>
      </c>
      <c r="E58" s="2">
        <f>IFERROR(__xludf.DUMMYFUNCTION("""COMPUTED_VALUE"""),16927.0)</f>
        <v>16927</v>
      </c>
      <c r="F58" s="2">
        <f>IFERROR(__xludf.DUMMYFUNCTION("""COMPUTED_VALUE"""),3001.0)</f>
        <v>3001</v>
      </c>
      <c r="G58" s="4">
        <f>VLOOKUP(A58,Populacao!A:B,2,0)</f>
        <v>130262220</v>
      </c>
      <c r="H58" s="2">
        <f t="shared" si="1"/>
        <v>2.303814567</v>
      </c>
      <c r="I58" s="2">
        <f t="shared" si="4"/>
        <v>163.0088908</v>
      </c>
      <c r="J58" s="2">
        <f>AVERAGEIFS(Dados!F:F,Dados!A:A, "=Mexico", Dados!G:G, "=0", Dados!E:E, D58)</f>
        <v>12888</v>
      </c>
      <c r="K58" s="2">
        <f t="shared" si="2"/>
        <v>4039</v>
      </c>
      <c r="L58" s="2">
        <f t="shared" si="3"/>
        <v>3.100668789</v>
      </c>
      <c r="M58" s="2">
        <f t="shared" si="5"/>
        <v>416.3416428</v>
      </c>
    </row>
    <row r="59">
      <c r="A59" s="2" t="str">
        <f>IFERROR(__xludf.DUMMYFUNCTION("""COMPUTED_VALUE"""),"Mexico")</f>
        <v>Mexico</v>
      </c>
      <c r="B59" s="3">
        <f>IFERROR(__xludf.DUMMYFUNCTION("""COMPUTED_VALUE"""),44305.0)</f>
        <v>44305</v>
      </c>
      <c r="C59" s="3">
        <f>IFERROR(__xludf.DUMMYFUNCTION("""COMPUTED_VALUE"""),44311.0)</f>
        <v>44311</v>
      </c>
      <c r="D59" s="2">
        <f>IFERROR(__xludf.DUMMYFUNCTION("""COMPUTED_VALUE"""),16.0)</f>
        <v>16</v>
      </c>
      <c r="E59" s="2">
        <f>IFERROR(__xludf.DUMMYFUNCTION("""COMPUTED_VALUE"""),16037.0)</f>
        <v>16037</v>
      </c>
      <c r="F59" s="2">
        <f>IFERROR(__xludf.DUMMYFUNCTION("""COMPUTED_VALUE"""),2608.0)</f>
        <v>2608</v>
      </c>
      <c r="G59" s="4">
        <f>VLOOKUP(A59,Populacao!A:B,2,0)</f>
        <v>130262220</v>
      </c>
      <c r="H59" s="2">
        <f t="shared" si="1"/>
        <v>2.002115425</v>
      </c>
      <c r="I59" s="2">
        <f t="shared" si="4"/>
        <v>165.0110063</v>
      </c>
      <c r="J59" s="2">
        <f>AVERAGEIFS(Dados!F:F,Dados!A:A, "=Mexico", Dados!G:G, "=0", Dados!E:E, D59)</f>
        <v>12754</v>
      </c>
      <c r="K59" s="2">
        <f t="shared" si="2"/>
        <v>3283</v>
      </c>
      <c r="L59" s="2">
        <f t="shared" si="3"/>
        <v>2.520300974</v>
      </c>
      <c r="M59" s="2">
        <f t="shared" si="5"/>
        <v>418.8619438</v>
      </c>
    </row>
    <row r="60">
      <c r="A60" s="2" t="str">
        <f>IFERROR(__xludf.DUMMYFUNCTION("""COMPUTED_VALUE"""),"Mexico")</f>
        <v>Mexico</v>
      </c>
      <c r="B60" s="3">
        <f>IFERROR(__xludf.DUMMYFUNCTION("""COMPUTED_VALUE"""),44312.0)</f>
        <v>44312</v>
      </c>
      <c r="C60" s="3">
        <f>IFERROR(__xludf.DUMMYFUNCTION("""COMPUTED_VALUE"""),44318.0)</f>
        <v>44318</v>
      </c>
      <c r="D60" s="2">
        <f>IFERROR(__xludf.DUMMYFUNCTION("""COMPUTED_VALUE"""),17.0)</f>
        <v>17</v>
      </c>
      <c r="E60" s="2">
        <f>IFERROR(__xludf.DUMMYFUNCTION("""COMPUTED_VALUE"""),15511.0)</f>
        <v>15511</v>
      </c>
      <c r="F60" s="2">
        <f>IFERROR(__xludf.DUMMYFUNCTION("""COMPUTED_VALUE"""),2286.0)</f>
        <v>2286</v>
      </c>
      <c r="G60" s="4">
        <f>VLOOKUP(A60,Populacao!A:B,2,0)</f>
        <v>130262220</v>
      </c>
      <c r="H60" s="2">
        <f t="shared" si="1"/>
        <v>1.754921726</v>
      </c>
      <c r="I60" s="2">
        <f t="shared" si="4"/>
        <v>166.765928</v>
      </c>
      <c r="J60" s="2">
        <f>AVERAGEIFS(Dados!F:F,Dados!A:A, "=Mexico", Dados!G:G, "=0", Dados!E:E, D60)</f>
        <v>12924.4</v>
      </c>
      <c r="K60" s="2">
        <f t="shared" si="2"/>
        <v>2586.6</v>
      </c>
      <c r="L60" s="2">
        <f t="shared" si="3"/>
        <v>1.985687024</v>
      </c>
      <c r="M60" s="2">
        <f t="shared" si="5"/>
        <v>420.8476308</v>
      </c>
    </row>
    <row r="61">
      <c r="A61" s="2" t="str">
        <f>IFERROR(__xludf.DUMMYFUNCTION("""COMPUTED_VALUE"""),"Mexico")</f>
        <v>Mexico</v>
      </c>
      <c r="B61" s="3">
        <f>IFERROR(__xludf.DUMMYFUNCTION("""COMPUTED_VALUE"""),44319.0)</f>
        <v>44319</v>
      </c>
      <c r="C61" s="3">
        <f>IFERROR(__xludf.DUMMYFUNCTION("""COMPUTED_VALUE"""),44325.0)</f>
        <v>44325</v>
      </c>
      <c r="D61" s="2">
        <f>IFERROR(__xludf.DUMMYFUNCTION("""COMPUTED_VALUE"""),18.0)</f>
        <v>18</v>
      </c>
      <c r="E61" s="2">
        <f>IFERROR(__xludf.DUMMYFUNCTION("""COMPUTED_VALUE"""),15125.0)</f>
        <v>15125</v>
      </c>
      <c r="F61" s="2">
        <f>IFERROR(__xludf.DUMMYFUNCTION("""COMPUTED_VALUE"""),1752.0)</f>
        <v>1752</v>
      </c>
      <c r="G61" s="4">
        <f>VLOOKUP(A61,Populacao!A:B,2,0)</f>
        <v>130262220</v>
      </c>
      <c r="H61" s="2">
        <f t="shared" si="1"/>
        <v>1.344979381</v>
      </c>
      <c r="I61" s="2">
        <f t="shared" si="4"/>
        <v>168.1109074</v>
      </c>
      <c r="J61" s="2">
        <f>AVERAGEIFS(Dados!F:F,Dados!A:A, "=Mexico", Dados!G:G, "=0", Dados!E:E, D61)</f>
        <v>12848</v>
      </c>
      <c r="K61" s="2">
        <f t="shared" si="2"/>
        <v>2277</v>
      </c>
      <c r="L61" s="2">
        <f t="shared" si="3"/>
        <v>1.748012586</v>
      </c>
      <c r="M61" s="2">
        <f t="shared" si="5"/>
        <v>422.5956434</v>
      </c>
    </row>
    <row r="62">
      <c r="A62" s="2" t="str">
        <f>IFERROR(__xludf.DUMMYFUNCTION("""COMPUTED_VALUE"""),"Mexico")</f>
        <v>Mexico</v>
      </c>
      <c r="B62" s="3">
        <f>IFERROR(__xludf.DUMMYFUNCTION("""COMPUTED_VALUE"""),44326.0)</f>
        <v>44326</v>
      </c>
      <c r="C62" s="3">
        <f>IFERROR(__xludf.DUMMYFUNCTION("""COMPUTED_VALUE"""),44332.0)</f>
        <v>44332</v>
      </c>
      <c r="D62" s="2">
        <f>IFERROR(__xludf.DUMMYFUNCTION("""COMPUTED_VALUE"""),19.0)</f>
        <v>19</v>
      </c>
      <c r="E62" s="2">
        <f>IFERROR(__xludf.DUMMYFUNCTION("""COMPUTED_VALUE"""),14734.0)</f>
        <v>14734</v>
      </c>
      <c r="F62" s="2">
        <f>IFERROR(__xludf.DUMMYFUNCTION("""COMPUTED_VALUE"""),1452.0)</f>
        <v>1452</v>
      </c>
      <c r="G62" s="4">
        <f>VLOOKUP(A62,Populacao!A:B,2,0)</f>
        <v>130262220</v>
      </c>
      <c r="H62" s="2">
        <f t="shared" si="1"/>
        <v>1.114674692</v>
      </c>
      <c r="I62" s="2">
        <f t="shared" si="4"/>
        <v>169.2255821</v>
      </c>
      <c r="J62" s="2">
        <f>AVERAGEIFS(Dados!F:F,Dados!A:A, "=Mexico", Dados!G:G, "=0", Dados!E:E, D62)</f>
        <v>12796.2</v>
      </c>
      <c r="K62" s="2">
        <f t="shared" si="2"/>
        <v>1937.8</v>
      </c>
      <c r="L62" s="2">
        <f t="shared" si="3"/>
        <v>1.487614751</v>
      </c>
      <c r="M62" s="2">
        <f t="shared" si="5"/>
        <v>424.0832581</v>
      </c>
    </row>
    <row r="63">
      <c r="A63" s="2" t="str">
        <f>IFERROR(__xludf.DUMMYFUNCTION("""COMPUTED_VALUE"""),"Mexico")</f>
        <v>Mexico</v>
      </c>
      <c r="B63" s="3">
        <f>IFERROR(__xludf.DUMMYFUNCTION("""COMPUTED_VALUE"""),44333.0)</f>
        <v>44333</v>
      </c>
      <c r="C63" s="3">
        <f>IFERROR(__xludf.DUMMYFUNCTION("""COMPUTED_VALUE"""),44339.0)</f>
        <v>44339</v>
      </c>
      <c r="D63" s="2">
        <f>IFERROR(__xludf.DUMMYFUNCTION("""COMPUTED_VALUE"""),20.0)</f>
        <v>20</v>
      </c>
      <c r="E63" s="2">
        <f>IFERROR(__xludf.DUMMYFUNCTION("""COMPUTED_VALUE"""),14264.0)</f>
        <v>14264</v>
      </c>
      <c r="F63" s="2">
        <f>IFERROR(__xludf.DUMMYFUNCTION("""COMPUTED_VALUE"""),1210.0)</f>
        <v>1210</v>
      </c>
      <c r="G63" s="4">
        <f>VLOOKUP(A63,Populacao!A:B,2,0)</f>
        <v>130262220</v>
      </c>
      <c r="H63" s="2">
        <f t="shared" si="1"/>
        <v>0.9288955769</v>
      </c>
      <c r="I63" s="2">
        <f t="shared" si="4"/>
        <v>170.1544776</v>
      </c>
      <c r="J63" s="2">
        <f>AVERAGEIFS(Dados!F:F,Dados!A:A, "=Mexico", Dados!G:G, "=0", Dados!E:E, D63)</f>
        <v>12867.6</v>
      </c>
      <c r="K63" s="2">
        <f t="shared" si="2"/>
        <v>1396.4</v>
      </c>
      <c r="L63" s="2">
        <f t="shared" si="3"/>
        <v>1.071991557</v>
      </c>
      <c r="M63" s="2">
        <f t="shared" si="5"/>
        <v>425.1552497</v>
      </c>
    </row>
    <row r="64">
      <c r="A64" s="2" t="str">
        <f>IFERROR(__xludf.DUMMYFUNCTION("""COMPUTED_VALUE"""),"Mexico")</f>
        <v>Mexico</v>
      </c>
      <c r="B64" s="3">
        <f>IFERROR(__xludf.DUMMYFUNCTION("""COMPUTED_VALUE"""),44340.0)</f>
        <v>44340</v>
      </c>
      <c r="C64" s="3">
        <f>IFERROR(__xludf.DUMMYFUNCTION("""COMPUTED_VALUE"""),44346.0)</f>
        <v>44346</v>
      </c>
      <c r="D64" s="2">
        <f>IFERROR(__xludf.DUMMYFUNCTION("""COMPUTED_VALUE"""),21.0)</f>
        <v>21</v>
      </c>
      <c r="E64" s="2">
        <f>IFERROR(__xludf.DUMMYFUNCTION("""COMPUTED_VALUE"""),14358.0)</f>
        <v>14358</v>
      </c>
      <c r="F64" s="2">
        <f>IFERROR(__xludf.DUMMYFUNCTION("""COMPUTED_VALUE"""),1860.0)</f>
        <v>1860</v>
      </c>
      <c r="G64" s="4">
        <f>VLOOKUP(A64,Populacao!A:B,2,0)</f>
        <v>130262220</v>
      </c>
      <c r="H64" s="2">
        <f t="shared" si="1"/>
        <v>1.427889069</v>
      </c>
      <c r="I64" s="2">
        <f t="shared" si="4"/>
        <v>171.5823667</v>
      </c>
      <c r="J64" s="2">
        <f>AVERAGEIFS(Dados!F:F,Dados!A:A, "=Mexico", Dados!G:G, "=0", Dados!E:E, D64)</f>
        <v>13065</v>
      </c>
      <c r="K64" s="2">
        <f t="shared" si="2"/>
        <v>1293</v>
      </c>
      <c r="L64" s="2">
        <f t="shared" si="3"/>
        <v>0.9926132074</v>
      </c>
      <c r="M64" s="2">
        <f t="shared" si="5"/>
        <v>426.1478629</v>
      </c>
    </row>
    <row r="65">
      <c r="A65" s="2" t="str">
        <f>IFERROR(__xludf.DUMMYFUNCTION("""COMPUTED_VALUE"""),"Mexico")</f>
        <v>Mexico</v>
      </c>
      <c r="B65" s="3">
        <f>IFERROR(__xludf.DUMMYFUNCTION("""COMPUTED_VALUE"""),44347.0)</f>
        <v>44347</v>
      </c>
      <c r="C65" s="3">
        <f>IFERROR(__xludf.DUMMYFUNCTION("""COMPUTED_VALUE"""),44353.0)</f>
        <v>44353</v>
      </c>
      <c r="D65" s="2">
        <f>IFERROR(__xludf.DUMMYFUNCTION("""COMPUTED_VALUE"""),22.0)</f>
        <v>22</v>
      </c>
      <c r="E65" s="2">
        <f>IFERROR(__xludf.DUMMYFUNCTION("""COMPUTED_VALUE"""),13943.0)</f>
        <v>13943</v>
      </c>
      <c r="F65" s="2">
        <f>IFERROR(__xludf.DUMMYFUNCTION("""COMPUTED_VALUE"""),1025.0)</f>
        <v>1025</v>
      </c>
      <c r="G65" s="4">
        <f>VLOOKUP(A65,Populacao!A:B,2,0)</f>
        <v>130262220</v>
      </c>
      <c r="H65" s="2">
        <f t="shared" si="1"/>
        <v>0.7868743524</v>
      </c>
      <c r="I65" s="2">
        <f t="shared" si="4"/>
        <v>172.3692411</v>
      </c>
      <c r="J65" s="2">
        <f>AVERAGEIFS(Dados!F:F,Dados!A:A, "=Mexico", Dados!G:G, "=0", Dados!E:E, D65)</f>
        <v>12669</v>
      </c>
      <c r="K65" s="2">
        <f t="shared" si="2"/>
        <v>1274</v>
      </c>
      <c r="L65" s="2">
        <f t="shared" si="3"/>
        <v>0.9780272438</v>
      </c>
      <c r="M65" s="2">
        <f t="shared" si="5"/>
        <v>427.1258901</v>
      </c>
    </row>
    <row r="66">
      <c r="A66" s="2" t="str">
        <f>IFERROR(__xludf.DUMMYFUNCTION("""COMPUTED_VALUE"""),"Mexico")</f>
        <v>Mexico</v>
      </c>
      <c r="B66" s="3">
        <f>IFERROR(__xludf.DUMMYFUNCTION("""COMPUTED_VALUE"""),44354.0)</f>
        <v>44354</v>
      </c>
      <c r="C66" s="3">
        <f>IFERROR(__xludf.DUMMYFUNCTION("""COMPUTED_VALUE"""),44360.0)</f>
        <v>44360</v>
      </c>
      <c r="D66" s="2">
        <f>IFERROR(__xludf.DUMMYFUNCTION("""COMPUTED_VALUE"""),23.0)</f>
        <v>23</v>
      </c>
      <c r="E66" s="2">
        <f>IFERROR(__xludf.DUMMYFUNCTION("""COMPUTED_VALUE"""),14140.0)</f>
        <v>14140</v>
      </c>
      <c r="F66" s="2">
        <f>IFERROR(__xludf.DUMMYFUNCTION("""COMPUTED_VALUE"""),1346.0)</f>
        <v>1346</v>
      </c>
      <c r="G66" s="4">
        <f>VLOOKUP(A66,Populacao!A:B,2,0)</f>
        <v>130262220</v>
      </c>
      <c r="H66" s="2">
        <f t="shared" si="1"/>
        <v>1.033300369</v>
      </c>
      <c r="I66" s="2">
        <f t="shared" si="4"/>
        <v>173.4025414</v>
      </c>
      <c r="J66" s="2">
        <f>AVERAGEIFS(Dados!F:F,Dados!A:A, "=Mexico", Dados!G:G, "=0", Dados!E:E, D66)</f>
        <v>12609.4</v>
      </c>
      <c r="K66" s="2">
        <f t="shared" si="2"/>
        <v>1530.6</v>
      </c>
      <c r="L66" s="2">
        <f t="shared" si="3"/>
        <v>1.175014521</v>
      </c>
      <c r="M66" s="2">
        <f t="shared" si="5"/>
        <v>428.3009046</v>
      </c>
    </row>
    <row r="67">
      <c r="A67" s="2" t="str">
        <f>IFERROR(__xludf.DUMMYFUNCTION("""COMPUTED_VALUE"""),"Mexico")</f>
        <v>Mexico</v>
      </c>
      <c r="B67" s="3">
        <f>IFERROR(__xludf.DUMMYFUNCTION("""COMPUTED_VALUE"""),44361.0)</f>
        <v>44361</v>
      </c>
      <c r="C67" s="3">
        <f>IFERROR(__xludf.DUMMYFUNCTION("""COMPUTED_VALUE"""),44367.0)</f>
        <v>44367</v>
      </c>
      <c r="D67" s="2">
        <f>IFERROR(__xludf.DUMMYFUNCTION("""COMPUTED_VALUE"""),24.0)</f>
        <v>24</v>
      </c>
      <c r="E67" s="2">
        <f>IFERROR(__xludf.DUMMYFUNCTION("""COMPUTED_VALUE"""),14261.0)</f>
        <v>14261</v>
      </c>
      <c r="F67" s="2">
        <f>IFERROR(__xludf.DUMMYFUNCTION("""COMPUTED_VALUE"""),1037.0)</f>
        <v>1037</v>
      </c>
      <c r="G67" s="4">
        <f>VLOOKUP(A67,Populacao!A:B,2,0)</f>
        <v>130262220</v>
      </c>
      <c r="H67" s="2">
        <f t="shared" si="1"/>
        <v>0.7960865399</v>
      </c>
      <c r="I67" s="2">
        <f t="shared" si="4"/>
        <v>174.198628</v>
      </c>
      <c r="J67" s="2">
        <f>AVERAGEIFS(Dados!F:F,Dados!A:A, "=Mexico", Dados!G:G, "=0", Dados!E:E, D67)</f>
        <v>12455.2</v>
      </c>
      <c r="K67" s="2">
        <f t="shared" si="2"/>
        <v>1805.8</v>
      </c>
      <c r="L67" s="2">
        <f t="shared" si="3"/>
        <v>1.386280688</v>
      </c>
      <c r="M67" s="2">
        <f t="shared" si="5"/>
        <v>429.6871853</v>
      </c>
    </row>
    <row r="68">
      <c r="A68" s="2" t="str">
        <f>IFERROR(__xludf.DUMMYFUNCTION("""COMPUTED_VALUE"""),"Mexico")</f>
        <v>Mexico</v>
      </c>
      <c r="B68" s="3">
        <f>IFERROR(__xludf.DUMMYFUNCTION("""COMPUTED_VALUE"""),44368.0)</f>
        <v>44368</v>
      </c>
      <c r="C68" s="3">
        <f>IFERROR(__xludf.DUMMYFUNCTION("""COMPUTED_VALUE"""),44374.0)</f>
        <v>44374</v>
      </c>
      <c r="D68" s="2">
        <f>IFERROR(__xludf.DUMMYFUNCTION("""COMPUTED_VALUE"""),25.0)</f>
        <v>25</v>
      </c>
      <c r="E68" s="2">
        <f>IFERROR(__xludf.DUMMYFUNCTION("""COMPUTED_VALUE"""),14323.0)</f>
        <v>14323</v>
      </c>
      <c r="F68" s="2">
        <f>IFERROR(__xludf.DUMMYFUNCTION("""COMPUTED_VALUE"""),1377.0)</f>
        <v>1377</v>
      </c>
      <c r="G68" s="4">
        <f>VLOOKUP(A68,Populacao!A:B,2,0)</f>
        <v>130262220</v>
      </c>
      <c r="H68" s="2">
        <f t="shared" si="1"/>
        <v>1.05709852</v>
      </c>
      <c r="I68" s="2">
        <f t="shared" si="4"/>
        <v>175.2557265</v>
      </c>
      <c r="J68" s="2">
        <f>AVERAGEIFS(Dados!F:F,Dados!A:A, "=Mexico", Dados!G:G, "=0", Dados!E:E, D68)</f>
        <v>12655</v>
      </c>
      <c r="K68" s="2">
        <f t="shared" si="2"/>
        <v>1668</v>
      </c>
      <c r="L68" s="2">
        <f t="shared" si="3"/>
        <v>1.280494068</v>
      </c>
      <c r="M68" s="2">
        <f t="shared" si="5"/>
        <v>430.9676794</v>
      </c>
    </row>
    <row r="69">
      <c r="A69" s="2" t="str">
        <f>IFERROR(__xludf.DUMMYFUNCTION("""COMPUTED_VALUE"""),"Mexico")</f>
        <v>Mexico</v>
      </c>
      <c r="B69" s="3">
        <f>IFERROR(__xludf.DUMMYFUNCTION("""COMPUTED_VALUE"""),44375.0)</f>
        <v>44375</v>
      </c>
      <c r="C69" s="3">
        <f>IFERROR(__xludf.DUMMYFUNCTION("""COMPUTED_VALUE"""),44381.0)</f>
        <v>44381</v>
      </c>
      <c r="D69" s="2">
        <f>IFERROR(__xludf.DUMMYFUNCTION("""COMPUTED_VALUE"""),26.0)</f>
        <v>26</v>
      </c>
      <c r="E69" s="2">
        <f>IFERROR(__xludf.DUMMYFUNCTION("""COMPUTED_VALUE"""),14582.0)</f>
        <v>14582</v>
      </c>
      <c r="F69" s="2">
        <f>IFERROR(__xludf.DUMMYFUNCTION("""COMPUTED_VALUE"""),1058.0)</f>
        <v>1058</v>
      </c>
      <c r="G69" s="4">
        <f>VLOOKUP(A69,Populacao!A:B,2,0)</f>
        <v>130262220</v>
      </c>
      <c r="H69" s="2">
        <f t="shared" si="1"/>
        <v>0.8122078681</v>
      </c>
      <c r="I69" s="2">
        <f t="shared" si="4"/>
        <v>176.0679344</v>
      </c>
      <c r="J69" s="2">
        <f>AVERAGEIFS(Dados!F:F,Dados!A:A, "=Mexico", Dados!G:G, "=0", Dados!E:E, D69)</f>
        <v>12446.2</v>
      </c>
      <c r="K69" s="2">
        <f t="shared" si="2"/>
        <v>2135.8</v>
      </c>
      <c r="L69" s="2">
        <f t="shared" si="3"/>
        <v>1.639615846</v>
      </c>
      <c r="M69" s="2">
        <f t="shared" si="5"/>
        <v>432.6072952</v>
      </c>
    </row>
    <row r="70">
      <c r="A70" s="2" t="str">
        <f>IFERROR(__xludf.DUMMYFUNCTION("""COMPUTED_VALUE"""),"Mexico")</f>
        <v>Mexico</v>
      </c>
      <c r="B70" s="3">
        <f>IFERROR(__xludf.DUMMYFUNCTION("""COMPUTED_VALUE"""),44382.0)</f>
        <v>44382</v>
      </c>
      <c r="C70" s="3">
        <f>IFERROR(__xludf.DUMMYFUNCTION("""COMPUTED_VALUE"""),44388.0)</f>
        <v>44388</v>
      </c>
      <c r="D70" s="2">
        <f>IFERROR(__xludf.DUMMYFUNCTION("""COMPUTED_VALUE"""),27.0)</f>
        <v>27</v>
      </c>
      <c r="E70" s="2">
        <f>IFERROR(__xludf.DUMMYFUNCTION("""COMPUTED_VALUE"""),15444.0)</f>
        <v>15444</v>
      </c>
      <c r="F70" s="2">
        <f>IFERROR(__xludf.DUMMYFUNCTION("""COMPUTED_VALUE"""),1347.0)</f>
        <v>1347</v>
      </c>
      <c r="G70" s="4">
        <f>VLOOKUP(A70,Populacao!A:B,2,0)</f>
        <v>130262220</v>
      </c>
      <c r="H70" s="2">
        <f t="shared" si="1"/>
        <v>1.034068051</v>
      </c>
      <c r="I70" s="2">
        <f t="shared" si="4"/>
        <v>177.1020024</v>
      </c>
      <c r="J70" s="2">
        <f>AVERAGEIFS(Dados!F:F,Dados!A:A, "=Mexico", Dados!G:G, "=0", Dados!E:E, D70)</f>
        <v>12573</v>
      </c>
      <c r="K70" s="2">
        <f t="shared" si="2"/>
        <v>2871</v>
      </c>
      <c r="L70" s="2">
        <f t="shared" si="3"/>
        <v>2.204015869</v>
      </c>
      <c r="M70" s="2">
        <f t="shared" si="5"/>
        <v>434.8113111</v>
      </c>
    </row>
    <row r="71">
      <c r="A71" s="2" t="str">
        <f>IFERROR(__xludf.DUMMYFUNCTION("""COMPUTED_VALUE"""),"Mexico")</f>
        <v>Mexico</v>
      </c>
      <c r="B71" s="3">
        <f>IFERROR(__xludf.DUMMYFUNCTION("""COMPUTED_VALUE"""),44389.0)</f>
        <v>44389</v>
      </c>
      <c r="C71" s="3">
        <f>IFERROR(__xludf.DUMMYFUNCTION("""COMPUTED_VALUE"""),44395.0)</f>
        <v>44395</v>
      </c>
      <c r="D71" s="2">
        <f>IFERROR(__xludf.DUMMYFUNCTION("""COMPUTED_VALUE"""),28.0)</f>
        <v>28</v>
      </c>
      <c r="E71" s="2">
        <f>IFERROR(__xludf.DUMMYFUNCTION("""COMPUTED_VALUE"""),16410.0)</f>
        <v>16410</v>
      </c>
      <c r="F71" s="2">
        <f>IFERROR(__xludf.DUMMYFUNCTION("""COMPUTED_VALUE"""),1362.0)</f>
        <v>1362</v>
      </c>
      <c r="G71" s="4">
        <f>VLOOKUP(A71,Populacao!A:B,2,0)</f>
        <v>130262220</v>
      </c>
      <c r="H71" s="2">
        <f t="shared" si="1"/>
        <v>1.045583286</v>
      </c>
      <c r="I71" s="2">
        <f t="shared" si="4"/>
        <v>178.1475857</v>
      </c>
      <c r="J71" s="2">
        <f>AVERAGEIFS(Dados!F:F,Dados!A:A, "=Mexico", Dados!G:G, "=0", Dados!E:E, D71)</f>
        <v>12572.2</v>
      </c>
      <c r="K71" s="2">
        <f t="shared" si="2"/>
        <v>3837.8</v>
      </c>
      <c r="L71" s="2">
        <f t="shared" si="3"/>
        <v>2.946211112</v>
      </c>
      <c r="M71" s="2">
        <f t="shared" si="5"/>
        <v>437.7575222</v>
      </c>
    </row>
    <row r="72">
      <c r="A72" s="2" t="str">
        <f>IFERROR(__xludf.DUMMYFUNCTION("""COMPUTED_VALUE"""),"Mexico")</f>
        <v>Mexico</v>
      </c>
      <c r="B72" s="3">
        <f>IFERROR(__xludf.DUMMYFUNCTION("""COMPUTED_VALUE"""),44396.0)</f>
        <v>44396</v>
      </c>
      <c r="C72" s="3">
        <f>IFERROR(__xludf.DUMMYFUNCTION("""COMPUTED_VALUE"""),44402.0)</f>
        <v>44402</v>
      </c>
      <c r="D72" s="2">
        <f>IFERROR(__xludf.DUMMYFUNCTION("""COMPUTED_VALUE"""),29.0)</f>
        <v>29</v>
      </c>
      <c r="E72" s="2">
        <f>IFERROR(__xludf.DUMMYFUNCTION("""COMPUTED_VALUE"""),18342.0)</f>
        <v>18342</v>
      </c>
      <c r="F72" s="2">
        <f>IFERROR(__xludf.DUMMYFUNCTION("""COMPUTED_VALUE"""),2093.0)</f>
        <v>2093</v>
      </c>
      <c r="G72" s="4">
        <f>VLOOKUP(A72,Populacao!A:B,2,0)</f>
        <v>130262220</v>
      </c>
      <c r="H72" s="2">
        <f t="shared" si="1"/>
        <v>1.606759043</v>
      </c>
      <c r="I72" s="2">
        <f t="shared" si="4"/>
        <v>179.7543447</v>
      </c>
      <c r="J72" s="2">
        <f>AVERAGEIFS(Dados!F:F,Dados!A:A, "=Mexico", Dados!G:G, "=0", Dados!E:E, D72)</f>
        <v>12688.2</v>
      </c>
      <c r="K72" s="2">
        <f t="shared" si="2"/>
        <v>5653.8</v>
      </c>
      <c r="L72" s="2">
        <f t="shared" si="3"/>
        <v>4.340322159</v>
      </c>
      <c r="M72" s="2">
        <f t="shared" si="5"/>
        <v>442.0978444</v>
      </c>
    </row>
    <row r="73">
      <c r="A73" s="2" t="str">
        <f>IFERROR(__xludf.DUMMYFUNCTION("""COMPUTED_VALUE"""),"Mexico")</f>
        <v>Mexico</v>
      </c>
      <c r="B73" s="3">
        <f>IFERROR(__xludf.DUMMYFUNCTION("""COMPUTED_VALUE"""),44403.0)</f>
        <v>44403</v>
      </c>
      <c r="C73" s="3">
        <f>IFERROR(__xludf.DUMMYFUNCTION("""COMPUTED_VALUE"""),44409.0)</f>
        <v>44409</v>
      </c>
      <c r="D73" s="2">
        <f>IFERROR(__xludf.DUMMYFUNCTION("""COMPUTED_VALUE"""),30.0)</f>
        <v>30</v>
      </c>
      <c r="E73" s="2">
        <f>IFERROR(__xludf.DUMMYFUNCTION("""COMPUTED_VALUE"""),20721.0)</f>
        <v>20721</v>
      </c>
      <c r="F73" s="2">
        <f>IFERROR(__xludf.DUMMYFUNCTION("""COMPUTED_VALUE"""),2610.0)</f>
        <v>2610</v>
      </c>
      <c r="G73" s="4">
        <f>VLOOKUP(A73,Populacao!A:B,2,0)</f>
        <v>130262220</v>
      </c>
      <c r="H73" s="2">
        <f t="shared" si="1"/>
        <v>2.00365079</v>
      </c>
      <c r="I73" s="2">
        <f t="shared" si="4"/>
        <v>181.7579955</v>
      </c>
      <c r="J73" s="2">
        <f>AVERAGEIFS(Dados!F:F,Dados!A:A, "=Mexico", Dados!G:G, "=0", Dados!E:E, D73)</f>
        <v>12744.4</v>
      </c>
      <c r="K73" s="2">
        <f t="shared" si="2"/>
        <v>7976.6</v>
      </c>
      <c r="L73" s="2">
        <f t="shared" si="3"/>
        <v>6.123494594</v>
      </c>
      <c r="M73" s="2">
        <f t="shared" si="5"/>
        <v>448.221339</v>
      </c>
    </row>
    <row r="74">
      <c r="A74" s="2" t="str">
        <f>IFERROR(__xludf.DUMMYFUNCTION("""COMPUTED_VALUE"""),"Mexico")</f>
        <v>Mexico</v>
      </c>
      <c r="B74" s="3">
        <f>IFERROR(__xludf.DUMMYFUNCTION("""COMPUTED_VALUE"""),44410.0)</f>
        <v>44410</v>
      </c>
      <c r="C74" s="3">
        <f>IFERROR(__xludf.DUMMYFUNCTION("""COMPUTED_VALUE"""),44416.0)</f>
        <v>44416</v>
      </c>
      <c r="D74" s="2">
        <f>IFERROR(__xludf.DUMMYFUNCTION("""COMPUTED_VALUE"""),31.0)</f>
        <v>31</v>
      </c>
      <c r="E74" s="2">
        <f>IFERROR(__xludf.DUMMYFUNCTION("""COMPUTED_VALUE"""),23457.0)</f>
        <v>23457</v>
      </c>
      <c r="F74" s="2">
        <f>IFERROR(__xludf.DUMMYFUNCTION("""COMPUTED_VALUE"""),3386.0)</f>
        <v>3386</v>
      </c>
      <c r="G74" s="4">
        <f>VLOOKUP(A74,Populacao!A:B,2,0)</f>
        <v>130262220</v>
      </c>
      <c r="H74" s="2">
        <f t="shared" si="1"/>
        <v>2.599372251</v>
      </c>
      <c r="I74" s="2">
        <f t="shared" si="4"/>
        <v>184.3573678</v>
      </c>
      <c r="J74" s="2">
        <f>AVERAGEIFS(Dados!F:F,Dados!A:A, "=Mexico", Dados!G:G, "=0", Dados!E:E, D74)</f>
        <v>12819.8</v>
      </c>
      <c r="K74" s="2">
        <f t="shared" si="2"/>
        <v>10637.2</v>
      </c>
      <c r="L74" s="2">
        <f t="shared" si="3"/>
        <v>8.165990108</v>
      </c>
      <c r="M74" s="2">
        <f t="shared" si="5"/>
        <v>456.3873291</v>
      </c>
    </row>
    <row r="75">
      <c r="A75" s="2" t="str">
        <f>IFERROR(__xludf.DUMMYFUNCTION("""COMPUTED_VALUE"""),"Mexico")</f>
        <v>Mexico</v>
      </c>
      <c r="B75" s="3">
        <f>IFERROR(__xludf.DUMMYFUNCTION("""COMPUTED_VALUE"""),44417.0)</f>
        <v>44417</v>
      </c>
      <c r="C75" s="3">
        <f>IFERROR(__xludf.DUMMYFUNCTION("""COMPUTED_VALUE"""),44423.0)</f>
        <v>44423</v>
      </c>
      <c r="D75" s="2">
        <f>IFERROR(__xludf.DUMMYFUNCTION("""COMPUTED_VALUE"""),32.0)</f>
        <v>32</v>
      </c>
      <c r="E75" s="2">
        <f>IFERROR(__xludf.DUMMYFUNCTION("""COMPUTED_VALUE"""),25423.0)</f>
        <v>25423</v>
      </c>
      <c r="F75" s="2">
        <f>IFERROR(__xludf.DUMMYFUNCTION("""COMPUTED_VALUE"""),3747.0)</f>
        <v>3747</v>
      </c>
      <c r="G75" s="4">
        <f>VLOOKUP(A75,Populacao!A:B,2,0)</f>
        <v>130262220</v>
      </c>
      <c r="H75" s="2">
        <f t="shared" si="1"/>
        <v>2.876505559</v>
      </c>
      <c r="I75" s="2">
        <f t="shared" si="4"/>
        <v>187.2338733</v>
      </c>
      <c r="J75" s="2">
        <f>AVERAGEIFS(Dados!F:F,Dados!A:A, "=Mexico", Dados!G:G, "=0", Dados!E:E, D75)</f>
        <v>12543.6</v>
      </c>
      <c r="K75" s="2">
        <f t="shared" si="2"/>
        <v>12879.4</v>
      </c>
      <c r="L75" s="2">
        <f t="shared" si="3"/>
        <v>9.88728735</v>
      </c>
      <c r="M75" s="2">
        <f t="shared" si="5"/>
        <v>466.2746164</v>
      </c>
    </row>
    <row r="76">
      <c r="A76" s="2" t="str">
        <f>IFERROR(__xludf.DUMMYFUNCTION("""COMPUTED_VALUE"""),"Mexico")</f>
        <v>Mexico</v>
      </c>
      <c r="B76" s="3">
        <f>IFERROR(__xludf.DUMMYFUNCTION("""COMPUTED_VALUE"""),44424.0)</f>
        <v>44424</v>
      </c>
      <c r="C76" s="3">
        <f>IFERROR(__xludf.DUMMYFUNCTION("""COMPUTED_VALUE"""),44430.0)</f>
        <v>44430</v>
      </c>
      <c r="D76" s="2">
        <f>IFERROR(__xludf.DUMMYFUNCTION("""COMPUTED_VALUE"""),33.0)</f>
        <v>33</v>
      </c>
      <c r="E76" s="2">
        <f>IFERROR(__xludf.DUMMYFUNCTION("""COMPUTED_VALUE"""),26786.0)</f>
        <v>26786</v>
      </c>
      <c r="F76" s="2">
        <f>IFERROR(__xludf.DUMMYFUNCTION("""COMPUTED_VALUE"""),4988.0)</f>
        <v>4988</v>
      </c>
      <c r="G76" s="4">
        <f>VLOOKUP(A76,Populacao!A:B,2,0)</f>
        <v>130262220</v>
      </c>
      <c r="H76" s="2">
        <f t="shared" si="1"/>
        <v>3.829199287</v>
      </c>
      <c r="I76" s="2">
        <f t="shared" si="4"/>
        <v>191.0630726</v>
      </c>
      <c r="J76" s="2">
        <f>AVERAGEIFS(Dados!F:F,Dados!A:A, "=Mexico", Dados!G:G, "=0", Dados!E:E, D76)</f>
        <v>12603</v>
      </c>
      <c r="K76" s="2">
        <f t="shared" si="2"/>
        <v>14183</v>
      </c>
      <c r="L76" s="2">
        <f t="shared" si="3"/>
        <v>10.88803799</v>
      </c>
      <c r="M76" s="2">
        <f t="shared" si="5"/>
        <v>477.1626544</v>
      </c>
    </row>
    <row r="77">
      <c r="A77" s="2" t="str">
        <f>IFERROR(__xludf.DUMMYFUNCTION("""COMPUTED_VALUE"""),"Mexico")</f>
        <v>Mexico</v>
      </c>
      <c r="B77" s="3">
        <f>IFERROR(__xludf.DUMMYFUNCTION("""COMPUTED_VALUE"""),44431.0)</f>
        <v>44431</v>
      </c>
      <c r="C77" s="3">
        <f>IFERROR(__xludf.DUMMYFUNCTION("""COMPUTED_VALUE"""),44437.0)</f>
        <v>44437</v>
      </c>
      <c r="D77" s="2">
        <f>IFERROR(__xludf.DUMMYFUNCTION("""COMPUTED_VALUE"""),34.0)</f>
        <v>34</v>
      </c>
      <c r="E77" s="2">
        <f>IFERROR(__xludf.DUMMYFUNCTION("""COMPUTED_VALUE"""),25778.0)</f>
        <v>25778</v>
      </c>
      <c r="F77" s="2">
        <f>IFERROR(__xludf.DUMMYFUNCTION("""COMPUTED_VALUE"""),5010.0)</f>
        <v>5010</v>
      </c>
      <c r="G77" s="4">
        <f>VLOOKUP(A77,Populacao!A:B,2,0)</f>
        <v>130262220</v>
      </c>
      <c r="H77" s="2">
        <f t="shared" si="1"/>
        <v>3.846088298</v>
      </c>
      <c r="I77" s="2">
        <f t="shared" si="4"/>
        <v>194.9091609</v>
      </c>
      <c r="J77" s="2">
        <f>AVERAGEIFS(Dados!F:F,Dados!A:A, "=Mexico", Dados!G:G, "=0", Dados!E:E, D77)</f>
        <v>12428.6</v>
      </c>
      <c r="K77" s="2">
        <f t="shared" si="2"/>
        <v>13349.4</v>
      </c>
      <c r="L77" s="2">
        <f t="shared" si="3"/>
        <v>10.24809803</v>
      </c>
      <c r="M77" s="2">
        <f t="shared" si="5"/>
        <v>487.4107525</v>
      </c>
    </row>
    <row r="78">
      <c r="A78" s="2" t="str">
        <f>IFERROR(__xludf.DUMMYFUNCTION("""COMPUTED_VALUE"""),"Mexico")</f>
        <v>Mexico</v>
      </c>
      <c r="B78" s="3">
        <f>IFERROR(__xludf.DUMMYFUNCTION("""COMPUTED_VALUE"""),44438.0)</f>
        <v>44438</v>
      </c>
      <c r="C78" s="3">
        <f>IFERROR(__xludf.DUMMYFUNCTION("""COMPUTED_VALUE"""),44444.0)</f>
        <v>44444</v>
      </c>
      <c r="D78" s="2">
        <f>IFERROR(__xludf.DUMMYFUNCTION("""COMPUTED_VALUE"""),35.0)</f>
        <v>35</v>
      </c>
      <c r="E78" s="2">
        <f>IFERROR(__xludf.DUMMYFUNCTION("""COMPUTED_VALUE"""),25052.0)</f>
        <v>25052</v>
      </c>
      <c r="F78" s="2">
        <f>IFERROR(__xludf.DUMMYFUNCTION("""COMPUTED_VALUE"""),4975.0)</f>
        <v>4975</v>
      </c>
      <c r="G78" s="4">
        <f>VLOOKUP(A78,Populacao!A:B,2,0)</f>
        <v>130262220</v>
      </c>
      <c r="H78" s="2">
        <f t="shared" si="1"/>
        <v>3.819219418</v>
      </c>
      <c r="I78" s="2">
        <f t="shared" si="4"/>
        <v>198.7283803</v>
      </c>
      <c r="J78" s="2">
        <f>AVERAGEIFS(Dados!F:F,Dados!A:A, "=Mexico", Dados!G:G, "=0", Dados!E:E, D78)</f>
        <v>12364.6</v>
      </c>
      <c r="K78" s="2">
        <f t="shared" si="2"/>
        <v>12687.4</v>
      </c>
      <c r="L78" s="2">
        <f t="shared" si="3"/>
        <v>9.739892349</v>
      </c>
      <c r="M78" s="2">
        <f t="shared" si="5"/>
        <v>497.1506448</v>
      </c>
    </row>
    <row r="79">
      <c r="A79" s="2" t="str">
        <f>IFERROR(__xludf.DUMMYFUNCTION("""COMPUTED_VALUE"""),"Mexico")</f>
        <v>Mexico</v>
      </c>
      <c r="B79" s="3">
        <f>IFERROR(__xludf.DUMMYFUNCTION("""COMPUTED_VALUE"""),44445.0)</f>
        <v>44445</v>
      </c>
      <c r="C79" s="3">
        <f>IFERROR(__xludf.DUMMYFUNCTION("""COMPUTED_VALUE"""),44451.0)</f>
        <v>44451</v>
      </c>
      <c r="D79" s="2">
        <f>IFERROR(__xludf.DUMMYFUNCTION("""COMPUTED_VALUE"""),36.0)</f>
        <v>36</v>
      </c>
      <c r="E79" s="2">
        <f>IFERROR(__xludf.DUMMYFUNCTION("""COMPUTED_VALUE"""),23022.0)</f>
        <v>23022</v>
      </c>
      <c r="F79" s="2">
        <f>IFERROR(__xludf.DUMMYFUNCTION("""COMPUTED_VALUE"""),4608.0)</f>
        <v>4608</v>
      </c>
      <c r="G79" s="4">
        <f>VLOOKUP(A79,Populacao!A:B,2,0)</f>
        <v>130262220</v>
      </c>
      <c r="H79" s="2">
        <f t="shared" si="1"/>
        <v>3.537480015</v>
      </c>
      <c r="I79" s="2">
        <f t="shared" si="4"/>
        <v>202.2658604</v>
      </c>
      <c r="J79" s="2">
        <f>AVERAGEIFS(Dados!F:F,Dados!A:A, "=Mexico", Dados!G:G, "=0", Dados!E:E, D79)</f>
        <v>12485.6</v>
      </c>
      <c r="K79" s="2">
        <f t="shared" si="2"/>
        <v>10536.4</v>
      </c>
      <c r="L79" s="2">
        <f t="shared" si="3"/>
        <v>8.088607733</v>
      </c>
      <c r="M79" s="2">
        <f t="shared" si="5"/>
        <v>505.2392525</v>
      </c>
    </row>
    <row r="80">
      <c r="A80" s="2" t="str">
        <f>IFERROR(__xludf.DUMMYFUNCTION("""COMPUTED_VALUE"""),"Mexico")</f>
        <v>Mexico</v>
      </c>
      <c r="B80" s="3">
        <f>IFERROR(__xludf.DUMMYFUNCTION("""COMPUTED_VALUE"""),44452.0)</f>
        <v>44452</v>
      </c>
      <c r="C80" s="3">
        <f>IFERROR(__xludf.DUMMYFUNCTION("""COMPUTED_VALUE"""),44458.0)</f>
        <v>44458</v>
      </c>
      <c r="D80" s="2">
        <f>IFERROR(__xludf.DUMMYFUNCTION("""COMPUTED_VALUE"""),37.0)</f>
        <v>37</v>
      </c>
      <c r="E80" s="2">
        <f>IFERROR(__xludf.DUMMYFUNCTION("""COMPUTED_VALUE"""),21506.0)</f>
        <v>21506</v>
      </c>
      <c r="F80" s="2">
        <f>IFERROR(__xludf.DUMMYFUNCTION("""COMPUTED_VALUE"""),3755.0)</f>
        <v>3755</v>
      </c>
      <c r="G80" s="4">
        <f>VLOOKUP(A80,Populacao!A:B,2,0)</f>
        <v>130262220</v>
      </c>
      <c r="H80" s="2">
        <f t="shared" si="1"/>
        <v>2.882647018</v>
      </c>
      <c r="I80" s="2">
        <f t="shared" si="4"/>
        <v>205.1485074</v>
      </c>
      <c r="J80" s="2">
        <f>AVERAGEIFS(Dados!F:F,Dados!A:A, "=Mexico", Dados!G:G, "=0", Dados!E:E, D80)</f>
        <v>12672.2</v>
      </c>
      <c r="K80" s="2">
        <f t="shared" si="2"/>
        <v>8833.8</v>
      </c>
      <c r="L80" s="2">
        <f t="shared" si="3"/>
        <v>6.781551857</v>
      </c>
      <c r="M80" s="2">
        <f t="shared" si="5"/>
        <v>512.0208044</v>
      </c>
    </row>
    <row r="81">
      <c r="A81" s="2" t="str">
        <f>IFERROR(__xludf.DUMMYFUNCTION("""COMPUTED_VALUE"""),"Mexico")</f>
        <v>Mexico</v>
      </c>
      <c r="B81" s="3">
        <f>IFERROR(__xludf.DUMMYFUNCTION("""COMPUTED_VALUE"""),44459.0)</f>
        <v>44459</v>
      </c>
      <c r="C81" s="3">
        <f>IFERROR(__xludf.DUMMYFUNCTION("""COMPUTED_VALUE"""),44465.0)</f>
        <v>44465</v>
      </c>
      <c r="D81" s="2">
        <f>IFERROR(__xludf.DUMMYFUNCTION("""COMPUTED_VALUE"""),38.0)</f>
        <v>38</v>
      </c>
      <c r="E81" s="2">
        <f>IFERROR(__xludf.DUMMYFUNCTION("""COMPUTED_VALUE"""),19587.0)</f>
        <v>19587</v>
      </c>
      <c r="F81" s="2">
        <f>IFERROR(__xludf.DUMMYFUNCTION("""COMPUTED_VALUE"""),3947.0)</f>
        <v>3947</v>
      </c>
      <c r="G81" s="4">
        <f>VLOOKUP(A81,Populacao!A:B,2,0)</f>
        <v>130262220</v>
      </c>
      <c r="H81" s="2">
        <f t="shared" si="1"/>
        <v>3.030042018</v>
      </c>
      <c r="I81" s="2">
        <f t="shared" si="4"/>
        <v>208.1785494</v>
      </c>
      <c r="J81" s="2">
        <f>AVERAGEIFS(Dados!F:F,Dados!A:A, "=Mexico", Dados!G:G, "=0", Dados!E:E, D81)</f>
        <v>12831.2</v>
      </c>
      <c r="K81" s="2">
        <f t="shared" si="2"/>
        <v>6755.8</v>
      </c>
      <c r="L81" s="2">
        <f t="shared" si="3"/>
        <v>5.186308048</v>
      </c>
      <c r="M81" s="2">
        <f t="shared" si="5"/>
        <v>517.2071124</v>
      </c>
    </row>
    <row r="82">
      <c r="A82" s="2" t="str">
        <f>IFERROR(__xludf.DUMMYFUNCTION("""COMPUTED_VALUE"""),"Mexico")</f>
        <v>Mexico</v>
      </c>
      <c r="B82" s="3">
        <f>IFERROR(__xludf.DUMMYFUNCTION("""COMPUTED_VALUE"""),44466.0)</f>
        <v>44466</v>
      </c>
      <c r="C82" s="3">
        <f>IFERROR(__xludf.DUMMYFUNCTION("""COMPUTED_VALUE"""),44472.0)</f>
        <v>44472</v>
      </c>
      <c r="D82" s="2">
        <f>IFERROR(__xludf.DUMMYFUNCTION("""COMPUTED_VALUE"""),39.0)</f>
        <v>39</v>
      </c>
      <c r="E82" s="2">
        <f>IFERROR(__xludf.DUMMYFUNCTION("""COMPUTED_VALUE"""),17718.0)</f>
        <v>17718</v>
      </c>
      <c r="F82" s="2">
        <f>IFERROR(__xludf.DUMMYFUNCTION("""COMPUTED_VALUE"""),3142.0)</f>
        <v>3142</v>
      </c>
      <c r="G82" s="4">
        <f>VLOOKUP(A82,Populacao!A:B,2,0)</f>
        <v>130262220</v>
      </c>
      <c r="H82" s="2">
        <f t="shared" si="1"/>
        <v>2.412057771</v>
      </c>
      <c r="I82" s="2">
        <f t="shared" si="4"/>
        <v>210.5906072</v>
      </c>
      <c r="J82" s="2">
        <f>AVERAGEIFS(Dados!F:F,Dados!A:A, "=Mexico", Dados!G:G, "=0", Dados!E:E, D82)</f>
        <v>12558.4</v>
      </c>
      <c r="K82" s="2">
        <f t="shared" si="2"/>
        <v>5159.6</v>
      </c>
      <c r="L82" s="2">
        <f t="shared" si="3"/>
        <v>3.960933569</v>
      </c>
      <c r="M82" s="2">
        <f t="shared" si="5"/>
        <v>521.168046</v>
      </c>
    </row>
    <row r="83">
      <c r="A83" s="2" t="str">
        <f>IFERROR(__xludf.DUMMYFUNCTION("""COMPUTED_VALUE"""),"Mexico")</f>
        <v>Mexico</v>
      </c>
      <c r="B83" s="3">
        <f>IFERROR(__xludf.DUMMYFUNCTION("""COMPUTED_VALUE"""),44473.0)</f>
        <v>44473</v>
      </c>
      <c r="C83" s="3">
        <f>IFERROR(__xludf.DUMMYFUNCTION("""COMPUTED_VALUE"""),44479.0)</f>
        <v>44479</v>
      </c>
      <c r="D83" s="2">
        <f>IFERROR(__xludf.DUMMYFUNCTION("""COMPUTED_VALUE"""),40.0)</f>
        <v>40</v>
      </c>
      <c r="E83" s="2">
        <f>IFERROR(__xludf.DUMMYFUNCTION("""COMPUTED_VALUE"""),15572.0)</f>
        <v>15572</v>
      </c>
      <c r="F83" s="2">
        <f>IFERROR(__xludf.DUMMYFUNCTION("""COMPUTED_VALUE"""),3494.0)</f>
        <v>3494</v>
      </c>
      <c r="G83" s="4">
        <f>VLOOKUP(A83,Populacao!A:B,2,0)</f>
        <v>130262220</v>
      </c>
      <c r="H83" s="2">
        <f t="shared" si="1"/>
        <v>2.682281939</v>
      </c>
      <c r="I83" s="2">
        <f t="shared" si="4"/>
        <v>213.2728891</v>
      </c>
      <c r="J83" s="2">
        <f>AVERAGEIFS(Dados!F:F,Dados!A:A, "=Mexico", Dados!G:G, "=0", Dados!E:E, D83)</f>
        <v>12874.8</v>
      </c>
      <c r="K83" s="2">
        <f t="shared" si="2"/>
        <v>2697.2</v>
      </c>
      <c r="L83" s="2">
        <f t="shared" si="3"/>
        <v>2.070592686</v>
      </c>
      <c r="M83" s="2">
        <f t="shared" si="5"/>
        <v>523.2386387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13"/>
    <col customWidth="1" min="4" max="4" width="9.5"/>
    <col customWidth="1" min="8" max="8" width="12.0"/>
    <col customWidth="1" min="9" max="9" width="15.63"/>
    <col customWidth="1" min="12" max="12" width="14.75"/>
    <col customWidth="1" min="13" max="13" width="14.13"/>
  </cols>
  <sheetData>
    <row r="1">
      <c r="A1" s="6" t="str">
        <f>IFERROR(__xludf.DUMMYFUNCTION("QUERY(Dados!A:G, ""SELECT A,B,C,E,F, G where A= 'Chile' and G &gt; 0"")"),"país")</f>
        <v>país</v>
      </c>
      <c r="B1" s="6" t="str">
        <f>IFERROR(__xludf.DUMMYFUNCTION("""COMPUTED_VALUE"""),"data início")</f>
        <v>data início</v>
      </c>
      <c r="C1" s="6" t="str">
        <f>IFERROR(__xludf.DUMMYFUNCTION("""COMPUTED_VALUE"""),"data fim")</f>
        <v>data fim</v>
      </c>
      <c r="D1" s="6" t="str">
        <f>IFERROR(__xludf.DUMMYFUNCTION("""COMPUTED_VALUE"""),"semana")</f>
        <v>semana</v>
      </c>
      <c r="E1" s="6" t="str">
        <f>IFERROR(__xludf.DUMMYFUNCTION("""COMPUTED_VALUE"""),"total mortes reportadas")</f>
        <v>total mortes reportadas</v>
      </c>
      <c r="F1" s="6" t="str">
        <f>IFERROR(__xludf.DUMMYFUNCTION("""COMPUTED_VALUE"""),"total mortes reportadas por covid")</f>
        <v>total mortes reportadas por covid</v>
      </c>
      <c r="G1" s="7" t="s">
        <v>7</v>
      </c>
      <c r="H1" s="8" t="s">
        <v>1</v>
      </c>
      <c r="I1" s="9" t="s">
        <v>2</v>
      </c>
      <c r="J1" s="10" t="s">
        <v>3</v>
      </c>
      <c r="K1" s="11" t="s">
        <v>4</v>
      </c>
      <c r="L1" s="12" t="s">
        <v>5</v>
      </c>
      <c r="M1" s="13" t="s">
        <v>6</v>
      </c>
    </row>
    <row r="2">
      <c r="A2" s="2" t="str">
        <f>IFERROR(__xludf.DUMMYFUNCTION("""COMPUTED_VALUE"""),"Chile")</f>
        <v>Chile</v>
      </c>
      <c r="B2" s="3">
        <f>IFERROR(__xludf.DUMMYFUNCTION("""COMPUTED_VALUE"""),43906.0)</f>
        <v>43906</v>
      </c>
      <c r="C2" s="3">
        <f>IFERROR(__xludf.DUMMYFUNCTION("""COMPUTED_VALUE"""),43912.0)</f>
        <v>43912</v>
      </c>
      <c r="D2" s="2">
        <f>IFERROR(__xludf.DUMMYFUNCTION("""COMPUTED_VALUE"""),12.0)</f>
        <v>12</v>
      </c>
      <c r="E2" s="2">
        <f>IFERROR(__xludf.DUMMYFUNCTION("""COMPUTED_VALUE"""),2008.0)</f>
        <v>2008</v>
      </c>
      <c r="F2" s="2">
        <f>IFERROR(__xludf.DUMMYFUNCTION("""COMPUTED_VALUE"""),1.0)</f>
        <v>1</v>
      </c>
      <c r="G2" s="4">
        <f>VLOOKUP(A2,Populacao!A:B,2,0)</f>
        <v>19212362</v>
      </c>
      <c r="H2" s="2">
        <f t="shared" ref="H2:H85" si="1">(F2*100000)/G2</f>
        <v>0.005204982084</v>
      </c>
      <c r="I2" s="2">
        <f>H2</f>
        <v>0.005204982084</v>
      </c>
      <c r="J2" s="2">
        <f>AVERAGEIFS(Dados!F:F, Dados!A:A, "=Chile", Dados!G:G, "=0", Dados!E:E,D2 )</f>
        <v>1806</v>
      </c>
      <c r="K2" s="2">
        <f t="shared" ref="K2:K85" si="2">E2-J2</f>
        <v>202</v>
      </c>
      <c r="L2" s="2">
        <f t="shared" ref="L2:L85" si="3">(K2*100000)/G2</f>
        <v>1.051406381</v>
      </c>
      <c r="M2" s="2">
        <f>L2</f>
        <v>1.051406381</v>
      </c>
    </row>
    <row r="3">
      <c r="A3" s="2" t="str">
        <f>IFERROR(__xludf.DUMMYFUNCTION("""COMPUTED_VALUE"""),"Chile")</f>
        <v>Chile</v>
      </c>
      <c r="B3" s="3">
        <f>IFERROR(__xludf.DUMMYFUNCTION("""COMPUTED_VALUE"""),43913.0)</f>
        <v>43913</v>
      </c>
      <c r="C3" s="3">
        <f>IFERROR(__xludf.DUMMYFUNCTION("""COMPUTED_VALUE"""),43919.0)</f>
        <v>43919</v>
      </c>
      <c r="D3" s="2">
        <f>IFERROR(__xludf.DUMMYFUNCTION("""COMPUTED_VALUE"""),13.0)</f>
        <v>13</v>
      </c>
      <c r="E3" s="2">
        <f>IFERROR(__xludf.DUMMYFUNCTION("""COMPUTED_VALUE"""),2006.0)</f>
        <v>2006</v>
      </c>
      <c r="F3" s="2">
        <f>IFERROR(__xludf.DUMMYFUNCTION("""COMPUTED_VALUE"""),6.0)</f>
        <v>6</v>
      </c>
      <c r="G3" s="4">
        <f>VLOOKUP(A3,Populacao!A:B,2,0)</f>
        <v>19212362</v>
      </c>
      <c r="H3" s="2">
        <f t="shared" si="1"/>
        <v>0.0312298925</v>
      </c>
      <c r="I3" s="2">
        <f t="shared" ref="I3:I85" si="4">H3+I2</f>
        <v>0.03643487459</v>
      </c>
      <c r="J3" s="2">
        <f>AVERAGEIFS(Dados!F:F, Dados!A:A, "=Chile", Dados!G:G, "=0", Dados!E:E,D3 )</f>
        <v>1841.5</v>
      </c>
      <c r="K3" s="2">
        <f t="shared" si="2"/>
        <v>164.5</v>
      </c>
      <c r="L3" s="2">
        <f t="shared" si="3"/>
        <v>0.8562195528</v>
      </c>
      <c r="M3" s="2">
        <f t="shared" ref="M3:M85" si="5">L3+M2</f>
        <v>1.907625934</v>
      </c>
    </row>
    <row r="4">
      <c r="A4" s="2" t="str">
        <f>IFERROR(__xludf.DUMMYFUNCTION("""COMPUTED_VALUE"""),"Chile")</f>
        <v>Chile</v>
      </c>
      <c r="B4" s="3">
        <f>IFERROR(__xludf.DUMMYFUNCTION("""COMPUTED_VALUE"""),43920.0)</f>
        <v>43920</v>
      </c>
      <c r="C4" s="3">
        <f>IFERROR(__xludf.DUMMYFUNCTION("""COMPUTED_VALUE"""),43926.0)</f>
        <v>43926</v>
      </c>
      <c r="D4" s="2">
        <f>IFERROR(__xludf.DUMMYFUNCTION("""COMPUTED_VALUE"""),14.0)</f>
        <v>14</v>
      </c>
      <c r="E4" s="2">
        <f>IFERROR(__xludf.DUMMYFUNCTION("""COMPUTED_VALUE"""),2081.0)</f>
        <v>2081</v>
      </c>
      <c r="F4" s="2">
        <f>IFERROR(__xludf.DUMMYFUNCTION("""COMPUTED_VALUE"""),27.0)</f>
        <v>27</v>
      </c>
      <c r="G4" s="4">
        <f>VLOOKUP(A4,Populacao!A:B,2,0)</f>
        <v>19212362</v>
      </c>
      <c r="H4" s="2">
        <f t="shared" si="1"/>
        <v>0.1405345163</v>
      </c>
      <c r="I4" s="2">
        <f t="shared" si="4"/>
        <v>0.1769693909</v>
      </c>
      <c r="J4" s="2">
        <f>AVERAGEIFS(Dados!F:F, Dados!A:A, "=Chile", Dados!G:G, "=0", Dados!E:E,D4 )</f>
        <v>1886.5</v>
      </c>
      <c r="K4" s="2">
        <f t="shared" si="2"/>
        <v>194.5</v>
      </c>
      <c r="L4" s="2">
        <f t="shared" si="3"/>
        <v>1.012369015</v>
      </c>
      <c r="M4" s="2">
        <f t="shared" si="5"/>
        <v>2.919994949</v>
      </c>
    </row>
    <row r="5">
      <c r="A5" s="2" t="str">
        <f>IFERROR(__xludf.DUMMYFUNCTION("""COMPUTED_VALUE"""),"Chile")</f>
        <v>Chile</v>
      </c>
      <c r="B5" s="3">
        <f>IFERROR(__xludf.DUMMYFUNCTION("""COMPUTED_VALUE"""),43927.0)</f>
        <v>43927</v>
      </c>
      <c r="C5" s="3">
        <f>IFERROR(__xludf.DUMMYFUNCTION("""COMPUTED_VALUE"""),43933.0)</f>
        <v>43933</v>
      </c>
      <c r="D5" s="2">
        <f>IFERROR(__xludf.DUMMYFUNCTION("""COMPUTED_VALUE"""),15.0)</f>
        <v>15</v>
      </c>
      <c r="E5" s="2">
        <f>IFERROR(__xludf.DUMMYFUNCTION("""COMPUTED_VALUE"""),2010.0)</f>
        <v>2010</v>
      </c>
      <c r="F5" s="2">
        <f>IFERROR(__xludf.DUMMYFUNCTION("""COMPUTED_VALUE"""),46.0)</f>
        <v>46</v>
      </c>
      <c r="G5" s="4">
        <f>VLOOKUP(A5,Populacao!A:B,2,0)</f>
        <v>19212362</v>
      </c>
      <c r="H5" s="2">
        <f t="shared" si="1"/>
        <v>0.2394291759</v>
      </c>
      <c r="I5" s="2">
        <f t="shared" si="4"/>
        <v>0.4163985667</v>
      </c>
      <c r="J5" s="2">
        <f>AVERAGEIFS(Dados!F:F, Dados!A:A, "=Chile", Dados!G:G, "=0", Dados!E:E,D5 )</f>
        <v>1951.5</v>
      </c>
      <c r="K5" s="2">
        <f t="shared" si="2"/>
        <v>58.5</v>
      </c>
      <c r="L5" s="2">
        <f t="shared" si="3"/>
        <v>0.3044914519</v>
      </c>
      <c r="M5" s="2">
        <f t="shared" si="5"/>
        <v>3.224486401</v>
      </c>
    </row>
    <row r="6">
      <c r="A6" s="2" t="str">
        <f>IFERROR(__xludf.DUMMYFUNCTION("""COMPUTED_VALUE"""),"Chile")</f>
        <v>Chile</v>
      </c>
      <c r="B6" s="3">
        <f>IFERROR(__xludf.DUMMYFUNCTION("""COMPUTED_VALUE"""),43934.0)</f>
        <v>43934</v>
      </c>
      <c r="C6" s="3">
        <f>IFERROR(__xludf.DUMMYFUNCTION("""COMPUTED_VALUE"""),43940.0)</f>
        <v>43940</v>
      </c>
      <c r="D6" s="2">
        <f>IFERROR(__xludf.DUMMYFUNCTION("""COMPUTED_VALUE"""),16.0)</f>
        <v>16</v>
      </c>
      <c r="E6" s="2">
        <f>IFERROR(__xludf.DUMMYFUNCTION("""COMPUTED_VALUE"""),2087.0)</f>
        <v>2087</v>
      </c>
      <c r="F6" s="2">
        <f>IFERROR(__xludf.DUMMYFUNCTION("""COMPUTED_VALUE"""),53.0)</f>
        <v>53</v>
      </c>
      <c r="G6" s="4">
        <f>VLOOKUP(A6,Populacao!A:B,2,0)</f>
        <v>19212362</v>
      </c>
      <c r="H6" s="2">
        <f t="shared" si="1"/>
        <v>0.2758640504</v>
      </c>
      <c r="I6" s="2">
        <f t="shared" si="4"/>
        <v>0.6922626172</v>
      </c>
      <c r="J6" s="2">
        <f>AVERAGEIFS(Dados!F:F, Dados!A:A, "=Chile", Dados!G:G, "=0", Dados!E:E,D6 )</f>
        <v>1909</v>
      </c>
      <c r="K6" s="2">
        <f t="shared" si="2"/>
        <v>178</v>
      </c>
      <c r="L6" s="2">
        <f t="shared" si="3"/>
        <v>0.9264868109</v>
      </c>
      <c r="M6" s="2">
        <f t="shared" si="5"/>
        <v>4.150973212</v>
      </c>
    </row>
    <row r="7">
      <c r="A7" s="2" t="str">
        <f>IFERROR(__xludf.DUMMYFUNCTION("""COMPUTED_VALUE"""),"Chile")</f>
        <v>Chile</v>
      </c>
      <c r="B7" s="3">
        <f>IFERROR(__xludf.DUMMYFUNCTION("""COMPUTED_VALUE"""),43941.0)</f>
        <v>43941</v>
      </c>
      <c r="C7" s="3">
        <f>IFERROR(__xludf.DUMMYFUNCTION("""COMPUTED_VALUE"""),43947.0)</f>
        <v>43947</v>
      </c>
      <c r="D7" s="2">
        <f>IFERROR(__xludf.DUMMYFUNCTION("""COMPUTED_VALUE"""),17.0)</f>
        <v>17</v>
      </c>
      <c r="E7" s="2">
        <f>IFERROR(__xludf.DUMMYFUNCTION("""COMPUTED_VALUE"""),2095.0)</f>
        <v>2095</v>
      </c>
      <c r="F7" s="2">
        <f>IFERROR(__xludf.DUMMYFUNCTION("""COMPUTED_VALUE"""),56.0)</f>
        <v>56</v>
      </c>
      <c r="G7" s="4">
        <f>VLOOKUP(A7,Populacao!A:B,2,0)</f>
        <v>19212362</v>
      </c>
      <c r="H7" s="2">
        <f t="shared" si="1"/>
        <v>0.2914789967</v>
      </c>
      <c r="I7" s="2">
        <f t="shared" si="4"/>
        <v>0.9837416139</v>
      </c>
      <c r="J7" s="2">
        <f>AVERAGEIFS(Dados!F:F, Dados!A:A, "=Chile", Dados!G:G, "=0", Dados!E:E,D7 )</f>
        <v>1984.5</v>
      </c>
      <c r="K7" s="2">
        <f t="shared" si="2"/>
        <v>110.5</v>
      </c>
      <c r="L7" s="2">
        <f t="shared" si="3"/>
        <v>0.5751505203</v>
      </c>
      <c r="M7" s="2">
        <f t="shared" si="5"/>
        <v>4.726123732</v>
      </c>
    </row>
    <row r="8">
      <c r="A8" s="2" t="str">
        <f>IFERROR(__xludf.DUMMYFUNCTION("""COMPUTED_VALUE"""),"Chile")</f>
        <v>Chile</v>
      </c>
      <c r="B8" s="3">
        <f>IFERROR(__xludf.DUMMYFUNCTION("""COMPUTED_VALUE"""),43948.0)</f>
        <v>43948</v>
      </c>
      <c r="C8" s="3">
        <f>IFERROR(__xludf.DUMMYFUNCTION("""COMPUTED_VALUE"""),43954.0)</f>
        <v>43954</v>
      </c>
      <c r="D8" s="2">
        <f>IFERROR(__xludf.DUMMYFUNCTION("""COMPUTED_VALUE"""),18.0)</f>
        <v>18</v>
      </c>
      <c r="E8" s="2">
        <f>IFERROR(__xludf.DUMMYFUNCTION("""COMPUTED_VALUE"""),2083.0)</f>
        <v>2083</v>
      </c>
      <c r="F8" s="2">
        <f>IFERROR(__xludf.DUMMYFUNCTION("""COMPUTED_VALUE"""),71.0)</f>
        <v>71</v>
      </c>
      <c r="G8" s="4">
        <f>VLOOKUP(A8,Populacao!A:B,2,0)</f>
        <v>19212362</v>
      </c>
      <c r="H8" s="2">
        <f t="shared" si="1"/>
        <v>0.369553728</v>
      </c>
      <c r="I8" s="2">
        <f t="shared" si="4"/>
        <v>1.353295342</v>
      </c>
      <c r="J8" s="2">
        <f>AVERAGEIFS(Dados!F:F, Dados!A:A, "=Chile", Dados!G:G, "=0", Dados!E:E,D8 )</f>
        <v>1979.25</v>
      </c>
      <c r="K8" s="2">
        <f t="shared" si="2"/>
        <v>103.75</v>
      </c>
      <c r="L8" s="2">
        <f t="shared" si="3"/>
        <v>0.5400168912</v>
      </c>
      <c r="M8" s="2">
        <f t="shared" si="5"/>
        <v>5.266140623</v>
      </c>
    </row>
    <row r="9">
      <c r="A9" s="2" t="str">
        <f>IFERROR(__xludf.DUMMYFUNCTION("""COMPUTED_VALUE"""),"Chile")</f>
        <v>Chile</v>
      </c>
      <c r="B9" s="3">
        <f>IFERROR(__xludf.DUMMYFUNCTION("""COMPUTED_VALUE"""),43955.0)</f>
        <v>43955</v>
      </c>
      <c r="C9" s="3">
        <f>IFERROR(__xludf.DUMMYFUNCTION("""COMPUTED_VALUE"""),43961.0)</f>
        <v>43961</v>
      </c>
      <c r="D9" s="2">
        <f>IFERROR(__xludf.DUMMYFUNCTION("""COMPUTED_VALUE"""),19.0)</f>
        <v>19</v>
      </c>
      <c r="E9" s="2">
        <f>IFERROR(__xludf.DUMMYFUNCTION("""COMPUTED_VALUE"""),2342.0)</f>
        <v>2342</v>
      </c>
      <c r="F9" s="2">
        <f>IFERROR(__xludf.DUMMYFUNCTION("""COMPUTED_VALUE"""),52.0)</f>
        <v>52</v>
      </c>
      <c r="G9" s="4">
        <f>VLOOKUP(A9,Populacao!A:B,2,0)</f>
        <v>19212362</v>
      </c>
      <c r="H9" s="2">
        <f t="shared" si="1"/>
        <v>0.2706590684</v>
      </c>
      <c r="I9" s="2">
        <f t="shared" si="4"/>
        <v>1.62395441</v>
      </c>
      <c r="J9" s="2">
        <f>AVERAGEIFS(Dados!F:F, Dados!A:A, "=Chile", Dados!G:G, "=0", Dados!E:E,D9 )</f>
        <v>1955.5</v>
      </c>
      <c r="K9" s="2">
        <f t="shared" si="2"/>
        <v>386.5</v>
      </c>
      <c r="L9" s="2">
        <f t="shared" si="3"/>
        <v>2.011725575</v>
      </c>
      <c r="M9" s="2">
        <f t="shared" si="5"/>
        <v>7.277866199</v>
      </c>
    </row>
    <row r="10">
      <c r="A10" s="2" t="str">
        <f>IFERROR(__xludf.DUMMYFUNCTION("""COMPUTED_VALUE"""),"Chile")</f>
        <v>Chile</v>
      </c>
      <c r="B10" s="3">
        <f>IFERROR(__xludf.DUMMYFUNCTION("""COMPUTED_VALUE"""),43962.0)</f>
        <v>43962</v>
      </c>
      <c r="C10" s="3">
        <f>IFERROR(__xludf.DUMMYFUNCTION("""COMPUTED_VALUE"""),43968.0)</f>
        <v>43968</v>
      </c>
      <c r="D10" s="2">
        <f>IFERROR(__xludf.DUMMYFUNCTION("""COMPUTED_VALUE"""),20.0)</f>
        <v>20</v>
      </c>
      <c r="E10" s="2">
        <f>IFERROR(__xludf.DUMMYFUNCTION("""COMPUTED_VALUE"""),2438.0)</f>
        <v>2438</v>
      </c>
      <c r="F10" s="2">
        <f>IFERROR(__xludf.DUMMYFUNCTION("""COMPUTED_VALUE"""),138.0)</f>
        <v>138</v>
      </c>
      <c r="G10" s="4">
        <f>VLOOKUP(A10,Populacao!A:B,2,0)</f>
        <v>19212362</v>
      </c>
      <c r="H10" s="2">
        <f t="shared" si="1"/>
        <v>0.7182875276</v>
      </c>
      <c r="I10" s="2">
        <f t="shared" si="4"/>
        <v>2.342241938</v>
      </c>
      <c r="J10" s="2">
        <f>AVERAGEIFS(Dados!F:F, Dados!A:A, "=Chile", Dados!G:G, "=0", Dados!E:E,D10 )</f>
        <v>2037.25</v>
      </c>
      <c r="K10" s="2">
        <f t="shared" si="2"/>
        <v>400.75</v>
      </c>
      <c r="L10" s="2">
        <f t="shared" si="3"/>
        <v>2.08589657</v>
      </c>
      <c r="M10" s="2">
        <f t="shared" si="5"/>
        <v>9.363762769</v>
      </c>
    </row>
    <row r="11">
      <c r="A11" s="2" t="str">
        <f>IFERROR(__xludf.DUMMYFUNCTION("""COMPUTED_VALUE"""),"Chile")</f>
        <v>Chile</v>
      </c>
      <c r="B11" s="3">
        <f>IFERROR(__xludf.DUMMYFUNCTION("""COMPUTED_VALUE"""),43969.0)</f>
        <v>43969</v>
      </c>
      <c r="C11" s="3">
        <f>IFERROR(__xludf.DUMMYFUNCTION("""COMPUTED_VALUE"""),43975.0)</f>
        <v>43975</v>
      </c>
      <c r="D11" s="2">
        <f>IFERROR(__xludf.DUMMYFUNCTION("""COMPUTED_VALUE"""),21.0)</f>
        <v>21</v>
      </c>
      <c r="E11" s="2">
        <f>IFERROR(__xludf.DUMMYFUNCTION("""COMPUTED_VALUE"""),2933.0)</f>
        <v>2933</v>
      </c>
      <c r="F11" s="2">
        <f>IFERROR(__xludf.DUMMYFUNCTION("""COMPUTED_VALUE"""),268.0)</f>
        <v>268</v>
      </c>
      <c r="G11" s="4">
        <f>VLOOKUP(A11,Populacao!A:B,2,0)</f>
        <v>19212362</v>
      </c>
      <c r="H11" s="2">
        <f t="shared" si="1"/>
        <v>1.394935198</v>
      </c>
      <c r="I11" s="2">
        <f t="shared" si="4"/>
        <v>3.737177136</v>
      </c>
      <c r="J11" s="2">
        <f>AVERAGEIFS(Dados!F:F, Dados!A:A, "=Chile", Dados!G:G, "=0", Dados!E:E,D11 )</f>
        <v>2176.5</v>
      </c>
      <c r="K11" s="2">
        <f t="shared" si="2"/>
        <v>756.5</v>
      </c>
      <c r="L11" s="2">
        <f t="shared" si="3"/>
        <v>3.937568946</v>
      </c>
      <c r="M11" s="2">
        <f t="shared" si="5"/>
        <v>13.30133172</v>
      </c>
    </row>
    <row r="12">
      <c r="A12" s="2" t="str">
        <f>IFERROR(__xludf.DUMMYFUNCTION("""COMPUTED_VALUE"""),"Chile")</f>
        <v>Chile</v>
      </c>
      <c r="B12" s="3">
        <f>IFERROR(__xludf.DUMMYFUNCTION("""COMPUTED_VALUE"""),43976.0)</f>
        <v>43976</v>
      </c>
      <c r="C12" s="3">
        <f>IFERROR(__xludf.DUMMYFUNCTION("""COMPUTED_VALUE"""),43982.0)</f>
        <v>43982</v>
      </c>
      <c r="D12" s="2">
        <f>IFERROR(__xludf.DUMMYFUNCTION("""COMPUTED_VALUE"""),22.0)</f>
        <v>22</v>
      </c>
      <c r="E12" s="2">
        <f>IFERROR(__xludf.DUMMYFUNCTION("""COMPUTED_VALUE"""),3394.0)</f>
        <v>3394</v>
      </c>
      <c r="F12" s="2">
        <f>IFERROR(__xludf.DUMMYFUNCTION("""COMPUTED_VALUE"""),336.0)</f>
        <v>336</v>
      </c>
      <c r="G12" s="4">
        <f>VLOOKUP(A12,Populacao!A:B,2,0)</f>
        <v>19212362</v>
      </c>
      <c r="H12" s="2">
        <f t="shared" si="1"/>
        <v>1.74887398</v>
      </c>
      <c r="I12" s="2">
        <f t="shared" si="4"/>
        <v>5.486051116</v>
      </c>
      <c r="J12" s="2">
        <f>AVERAGEIFS(Dados!F:F, Dados!A:A, "=Chile", Dados!G:G, "=0", Dados!E:E,D12 )</f>
        <v>2208</v>
      </c>
      <c r="K12" s="2">
        <f t="shared" si="2"/>
        <v>1186</v>
      </c>
      <c r="L12" s="2">
        <f t="shared" si="3"/>
        <v>6.173108752</v>
      </c>
      <c r="M12" s="2">
        <f t="shared" si="5"/>
        <v>19.47444047</v>
      </c>
    </row>
    <row r="13">
      <c r="A13" s="2" t="str">
        <f>IFERROR(__xludf.DUMMYFUNCTION("""COMPUTED_VALUE"""),"Chile")</f>
        <v>Chile</v>
      </c>
      <c r="B13" s="3">
        <f>IFERROR(__xludf.DUMMYFUNCTION("""COMPUTED_VALUE"""),43983.0)</f>
        <v>43983</v>
      </c>
      <c r="C13" s="3">
        <f>IFERROR(__xludf.DUMMYFUNCTION("""COMPUTED_VALUE"""),43989.0)</f>
        <v>43989</v>
      </c>
      <c r="D13" s="2">
        <f>IFERROR(__xludf.DUMMYFUNCTION("""COMPUTED_VALUE"""),23.0)</f>
        <v>23</v>
      </c>
      <c r="E13" s="2">
        <f>IFERROR(__xludf.DUMMYFUNCTION("""COMPUTED_VALUE"""),3899.0)</f>
        <v>3899</v>
      </c>
      <c r="F13" s="2">
        <f>IFERROR(__xludf.DUMMYFUNCTION("""COMPUTED_VALUE"""),583.0)</f>
        <v>583</v>
      </c>
      <c r="G13" s="4">
        <f>VLOOKUP(A13,Populacao!A:B,2,0)</f>
        <v>19212362</v>
      </c>
      <c r="H13" s="2">
        <f t="shared" si="1"/>
        <v>3.034504555</v>
      </c>
      <c r="I13" s="2">
        <f t="shared" si="4"/>
        <v>8.520555671</v>
      </c>
      <c r="J13" s="2">
        <f>AVERAGEIFS(Dados!F:F, Dados!A:A, "=Chile", Dados!G:G, "=0", Dados!E:E,D13 )</f>
        <v>2310.75</v>
      </c>
      <c r="K13" s="2">
        <f t="shared" si="2"/>
        <v>1588.25</v>
      </c>
      <c r="L13" s="2">
        <f t="shared" si="3"/>
        <v>8.266812795</v>
      </c>
      <c r="M13" s="2">
        <f t="shared" si="5"/>
        <v>27.74125326</v>
      </c>
    </row>
    <row r="14">
      <c r="A14" s="2" t="str">
        <f>IFERROR(__xludf.DUMMYFUNCTION("""COMPUTED_VALUE"""),"Chile")</f>
        <v>Chile</v>
      </c>
      <c r="B14" s="3">
        <f>IFERROR(__xludf.DUMMYFUNCTION("""COMPUTED_VALUE"""),43990.0)</f>
        <v>43990</v>
      </c>
      <c r="C14" s="3">
        <f>IFERROR(__xludf.DUMMYFUNCTION("""COMPUTED_VALUE"""),43996.0)</f>
        <v>43996</v>
      </c>
      <c r="D14" s="2">
        <f>IFERROR(__xludf.DUMMYFUNCTION("""COMPUTED_VALUE"""),24.0)</f>
        <v>24</v>
      </c>
      <c r="E14" s="2">
        <f>IFERROR(__xludf.DUMMYFUNCTION("""COMPUTED_VALUE"""),3983.0)</f>
        <v>3983</v>
      </c>
      <c r="F14" s="2">
        <f>IFERROR(__xludf.DUMMYFUNCTION("""COMPUTED_VALUE"""),1686.0)</f>
        <v>1686</v>
      </c>
      <c r="G14" s="4">
        <f>VLOOKUP(A14,Populacao!A:B,2,0)</f>
        <v>19212362</v>
      </c>
      <c r="H14" s="2">
        <f t="shared" si="1"/>
        <v>8.775599794</v>
      </c>
      <c r="I14" s="2">
        <f t="shared" si="4"/>
        <v>17.29615546</v>
      </c>
      <c r="J14" s="2">
        <f>AVERAGEIFS(Dados!F:F, Dados!A:A, "=Chile", Dados!G:G, "=0", Dados!E:E,D14 )</f>
        <v>2415.25</v>
      </c>
      <c r="K14" s="2">
        <f t="shared" si="2"/>
        <v>1567.75</v>
      </c>
      <c r="L14" s="2">
        <f t="shared" si="3"/>
        <v>8.160110662</v>
      </c>
      <c r="M14" s="2">
        <f t="shared" si="5"/>
        <v>35.90136392</v>
      </c>
    </row>
    <row r="15">
      <c r="A15" s="2" t="str">
        <f>IFERROR(__xludf.DUMMYFUNCTION("""COMPUTED_VALUE"""),"Chile")</f>
        <v>Chile</v>
      </c>
      <c r="B15" s="3">
        <f>IFERROR(__xludf.DUMMYFUNCTION("""COMPUTED_VALUE"""),43997.0)</f>
        <v>43997</v>
      </c>
      <c r="C15" s="3">
        <f>IFERROR(__xludf.DUMMYFUNCTION("""COMPUTED_VALUE"""),44003.0)</f>
        <v>44003</v>
      </c>
      <c r="D15" s="2">
        <f>IFERROR(__xludf.DUMMYFUNCTION("""COMPUTED_VALUE"""),25.0)</f>
        <v>25</v>
      </c>
      <c r="E15" s="2">
        <f>IFERROR(__xludf.DUMMYFUNCTION("""COMPUTED_VALUE"""),3732.0)</f>
        <v>3732</v>
      </c>
      <c r="F15" s="2">
        <f>IFERROR(__xludf.DUMMYFUNCTION("""COMPUTED_VALUE"""),1156.0)</f>
        <v>1156</v>
      </c>
      <c r="G15" s="4">
        <f>VLOOKUP(A15,Populacao!A:B,2,0)</f>
        <v>19212362</v>
      </c>
      <c r="H15" s="2">
        <f t="shared" si="1"/>
        <v>6.016959289</v>
      </c>
      <c r="I15" s="2">
        <f t="shared" si="4"/>
        <v>23.31311475</v>
      </c>
      <c r="J15" s="2">
        <f>AVERAGEIFS(Dados!F:F, Dados!A:A, "=Chile", Dados!G:G, "=0", Dados!E:E,D15 )</f>
        <v>2425.5</v>
      </c>
      <c r="K15" s="2">
        <f t="shared" si="2"/>
        <v>1306.5</v>
      </c>
      <c r="L15" s="2">
        <f t="shared" si="3"/>
        <v>6.800309093</v>
      </c>
      <c r="M15" s="2">
        <f t="shared" si="5"/>
        <v>42.70167302</v>
      </c>
    </row>
    <row r="16">
      <c r="A16" s="2" t="str">
        <f>IFERROR(__xludf.DUMMYFUNCTION("""COMPUTED_VALUE"""),"Chile")</f>
        <v>Chile</v>
      </c>
      <c r="B16" s="3">
        <f>IFERROR(__xludf.DUMMYFUNCTION("""COMPUTED_VALUE"""),44004.0)</f>
        <v>44004</v>
      </c>
      <c r="C16" s="3">
        <f>IFERROR(__xludf.DUMMYFUNCTION("""COMPUTED_VALUE"""),44010.0)</f>
        <v>44010</v>
      </c>
      <c r="D16" s="2">
        <f>IFERROR(__xludf.DUMMYFUNCTION("""COMPUTED_VALUE"""),26.0)</f>
        <v>26</v>
      </c>
      <c r="E16" s="2">
        <f>IFERROR(__xludf.DUMMYFUNCTION("""COMPUTED_VALUE"""),3519.0)</f>
        <v>3519</v>
      </c>
      <c r="F16" s="2">
        <f>IFERROR(__xludf.DUMMYFUNCTION("""COMPUTED_VALUE"""),1030.0)</f>
        <v>1030</v>
      </c>
      <c r="G16" s="4">
        <f>VLOOKUP(A16,Populacao!A:B,2,0)</f>
        <v>19212362</v>
      </c>
      <c r="H16" s="2">
        <f t="shared" si="1"/>
        <v>5.361131546</v>
      </c>
      <c r="I16" s="2">
        <f t="shared" si="4"/>
        <v>28.6742463</v>
      </c>
      <c r="J16" s="2">
        <f>AVERAGEIFS(Dados!F:F, Dados!A:A, "=Chile", Dados!G:G, "=0", Dados!E:E,D16 )</f>
        <v>2440.75</v>
      </c>
      <c r="K16" s="2">
        <f t="shared" si="2"/>
        <v>1078.25</v>
      </c>
      <c r="L16" s="2">
        <f t="shared" si="3"/>
        <v>5.612271932</v>
      </c>
      <c r="M16" s="2">
        <f t="shared" si="5"/>
        <v>48.31394495</v>
      </c>
    </row>
    <row r="17">
      <c r="A17" s="2" t="str">
        <f>IFERROR(__xludf.DUMMYFUNCTION("""COMPUTED_VALUE"""),"Chile")</f>
        <v>Chile</v>
      </c>
      <c r="B17" s="3">
        <f>IFERROR(__xludf.DUMMYFUNCTION("""COMPUTED_VALUE"""),44011.0)</f>
        <v>44011</v>
      </c>
      <c r="C17" s="3">
        <f>IFERROR(__xludf.DUMMYFUNCTION("""COMPUTED_VALUE"""),44017.0)</f>
        <v>44017</v>
      </c>
      <c r="D17" s="2">
        <f>IFERROR(__xludf.DUMMYFUNCTION("""COMPUTED_VALUE"""),27.0)</f>
        <v>27</v>
      </c>
      <c r="E17" s="2">
        <f>IFERROR(__xludf.DUMMYFUNCTION("""COMPUTED_VALUE"""),3070.0)</f>
        <v>3070</v>
      </c>
      <c r="F17" s="2">
        <f>IFERROR(__xludf.DUMMYFUNCTION("""COMPUTED_VALUE"""),799.0)</f>
        <v>799</v>
      </c>
      <c r="G17" s="4">
        <f>VLOOKUP(A17,Populacao!A:B,2,0)</f>
        <v>19212362</v>
      </c>
      <c r="H17" s="2">
        <f t="shared" si="1"/>
        <v>4.158780685</v>
      </c>
      <c r="I17" s="2">
        <f t="shared" si="4"/>
        <v>32.83302699</v>
      </c>
      <c r="J17" s="2">
        <f>AVERAGEIFS(Dados!F:F, Dados!A:A, "=Chile", Dados!G:G, "=0", Dados!E:E,D17 )</f>
        <v>2390</v>
      </c>
      <c r="K17" s="2">
        <f t="shared" si="2"/>
        <v>680</v>
      </c>
      <c r="L17" s="2">
        <f t="shared" si="3"/>
        <v>3.539387817</v>
      </c>
      <c r="M17" s="2">
        <f t="shared" si="5"/>
        <v>51.85333277</v>
      </c>
    </row>
    <row r="18">
      <c r="A18" s="2" t="str">
        <f>IFERROR(__xludf.DUMMYFUNCTION("""COMPUTED_VALUE"""),"Chile")</f>
        <v>Chile</v>
      </c>
      <c r="B18" s="3">
        <f>IFERROR(__xludf.DUMMYFUNCTION("""COMPUTED_VALUE"""),44018.0)</f>
        <v>44018</v>
      </c>
      <c r="C18" s="3">
        <f>IFERROR(__xludf.DUMMYFUNCTION("""COMPUTED_VALUE"""),44024.0)</f>
        <v>44024</v>
      </c>
      <c r="D18" s="2">
        <f>IFERROR(__xludf.DUMMYFUNCTION("""COMPUTED_VALUE"""),28.0)</f>
        <v>28</v>
      </c>
      <c r="E18" s="2">
        <f>IFERROR(__xludf.DUMMYFUNCTION("""COMPUTED_VALUE"""),2967.0)</f>
        <v>2967</v>
      </c>
      <c r="F18" s="2">
        <f>IFERROR(__xludf.DUMMYFUNCTION("""COMPUTED_VALUE"""),671.0)</f>
        <v>671</v>
      </c>
      <c r="G18" s="4">
        <f>VLOOKUP(A18,Populacao!A:B,2,0)</f>
        <v>19212362</v>
      </c>
      <c r="H18" s="2">
        <f t="shared" si="1"/>
        <v>3.492542978</v>
      </c>
      <c r="I18" s="2">
        <f t="shared" si="4"/>
        <v>36.32556996</v>
      </c>
      <c r="J18" s="2">
        <f>AVERAGEIFS(Dados!F:F, Dados!A:A, "=Chile", Dados!G:G, "=0", Dados!E:E,D18 )</f>
        <v>2360.75</v>
      </c>
      <c r="K18" s="2">
        <f t="shared" si="2"/>
        <v>606.25</v>
      </c>
      <c r="L18" s="2">
        <f t="shared" si="3"/>
        <v>3.155520388</v>
      </c>
      <c r="M18" s="2">
        <f t="shared" si="5"/>
        <v>55.00885315</v>
      </c>
    </row>
    <row r="19">
      <c r="A19" s="2" t="str">
        <f>IFERROR(__xludf.DUMMYFUNCTION("""COMPUTED_VALUE"""),"Chile")</f>
        <v>Chile</v>
      </c>
      <c r="B19" s="3">
        <f>IFERROR(__xludf.DUMMYFUNCTION("""COMPUTED_VALUE"""),44025.0)</f>
        <v>44025</v>
      </c>
      <c r="C19" s="3">
        <f>IFERROR(__xludf.DUMMYFUNCTION("""COMPUTED_VALUE"""),44031.0)</f>
        <v>44031</v>
      </c>
      <c r="D19" s="2">
        <f>IFERROR(__xludf.DUMMYFUNCTION("""COMPUTED_VALUE"""),29.0)</f>
        <v>29</v>
      </c>
      <c r="E19" s="2">
        <f>IFERROR(__xludf.DUMMYFUNCTION("""COMPUTED_VALUE"""),2814.0)</f>
        <v>2814</v>
      </c>
      <c r="F19" s="2">
        <f>IFERROR(__xludf.DUMMYFUNCTION("""COMPUTED_VALUE"""),1524.0)</f>
        <v>1524</v>
      </c>
      <c r="G19" s="4">
        <f>VLOOKUP(A19,Populacao!A:B,2,0)</f>
        <v>19212362</v>
      </c>
      <c r="H19" s="2">
        <f t="shared" si="1"/>
        <v>7.932392696</v>
      </c>
      <c r="I19" s="2">
        <f t="shared" si="4"/>
        <v>44.25796266</v>
      </c>
      <c r="J19" s="2">
        <f>AVERAGEIFS(Dados!F:F, Dados!A:A, "=Chile", Dados!G:G, "=0", Dados!E:E,D19 )</f>
        <v>2424.75</v>
      </c>
      <c r="K19" s="2">
        <f t="shared" si="2"/>
        <v>389.25</v>
      </c>
      <c r="L19" s="2">
        <f t="shared" si="3"/>
        <v>2.026039276</v>
      </c>
      <c r="M19" s="2">
        <f t="shared" si="5"/>
        <v>57.03489243</v>
      </c>
    </row>
    <row r="20">
      <c r="A20" s="2" t="str">
        <f>IFERROR(__xludf.DUMMYFUNCTION("""COMPUTED_VALUE"""),"Chile")</f>
        <v>Chile</v>
      </c>
      <c r="B20" s="3">
        <f>IFERROR(__xludf.DUMMYFUNCTION("""COMPUTED_VALUE"""),44032.0)</f>
        <v>44032</v>
      </c>
      <c r="C20" s="3">
        <f>IFERROR(__xludf.DUMMYFUNCTION("""COMPUTED_VALUE"""),44038.0)</f>
        <v>44038</v>
      </c>
      <c r="D20" s="2">
        <f>IFERROR(__xludf.DUMMYFUNCTION("""COMPUTED_VALUE"""),30.0)</f>
        <v>30</v>
      </c>
      <c r="E20" s="2">
        <f>IFERROR(__xludf.DUMMYFUNCTION("""COMPUTED_VALUE"""),2698.0)</f>
        <v>2698</v>
      </c>
      <c r="F20" s="2">
        <f>IFERROR(__xludf.DUMMYFUNCTION("""COMPUTED_VALUE"""),609.0)</f>
        <v>609</v>
      </c>
      <c r="G20" s="4">
        <f>VLOOKUP(A20,Populacao!A:B,2,0)</f>
        <v>19212362</v>
      </c>
      <c r="H20" s="2">
        <f t="shared" si="1"/>
        <v>3.169834089</v>
      </c>
      <c r="I20" s="2">
        <f t="shared" si="4"/>
        <v>47.42779675</v>
      </c>
      <c r="J20" s="2">
        <f>AVERAGEIFS(Dados!F:F, Dados!A:A, "=Chile", Dados!G:G, "=0", Dados!E:E,D20 )</f>
        <v>2369.75</v>
      </c>
      <c r="K20" s="2">
        <f t="shared" si="2"/>
        <v>328.25</v>
      </c>
      <c r="L20" s="2">
        <f t="shared" si="3"/>
        <v>1.708535369</v>
      </c>
      <c r="M20" s="2">
        <f t="shared" si="5"/>
        <v>58.7434278</v>
      </c>
    </row>
    <row r="21">
      <c r="A21" s="2" t="str">
        <f>IFERROR(__xludf.DUMMYFUNCTION("""COMPUTED_VALUE"""),"Chile")</f>
        <v>Chile</v>
      </c>
      <c r="B21" s="3">
        <f>IFERROR(__xludf.DUMMYFUNCTION("""COMPUTED_VALUE"""),44039.0)</f>
        <v>44039</v>
      </c>
      <c r="C21" s="3">
        <f>IFERROR(__xludf.DUMMYFUNCTION("""COMPUTED_VALUE"""),44045.0)</f>
        <v>44045</v>
      </c>
      <c r="D21" s="2">
        <f>IFERROR(__xludf.DUMMYFUNCTION("""COMPUTED_VALUE"""),31.0)</f>
        <v>31</v>
      </c>
      <c r="E21" s="2">
        <f>IFERROR(__xludf.DUMMYFUNCTION("""COMPUTED_VALUE"""),2653.0)</f>
        <v>2653</v>
      </c>
      <c r="F21" s="2">
        <f>IFERROR(__xludf.DUMMYFUNCTION("""COMPUTED_VALUE"""),496.0)</f>
        <v>496</v>
      </c>
      <c r="G21" s="4">
        <f>VLOOKUP(A21,Populacao!A:B,2,0)</f>
        <v>19212362</v>
      </c>
      <c r="H21" s="2">
        <f t="shared" si="1"/>
        <v>2.581671114</v>
      </c>
      <c r="I21" s="2">
        <f t="shared" si="4"/>
        <v>50.00946786</v>
      </c>
      <c r="J21" s="2">
        <f>AVERAGEIFS(Dados!F:F, Dados!A:A, "=Chile", Dados!G:G, "=0", Dados!E:E,D21 )</f>
        <v>2344</v>
      </c>
      <c r="K21" s="2">
        <f t="shared" si="2"/>
        <v>309</v>
      </c>
      <c r="L21" s="2">
        <f t="shared" si="3"/>
        <v>1.608339464</v>
      </c>
      <c r="M21" s="2">
        <f t="shared" si="5"/>
        <v>60.35176726</v>
      </c>
    </row>
    <row r="22">
      <c r="A22" s="2" t="str">
        <f>IFERROR(__xludf.DUMMYFUNCTION("""COMPUTED_VALUE"""),"Chile")</f>
        <v>Chile</v>
      </c>
      <c r="B22" s="3">
        <f>IFERROR(__xludf.DUMMYFUNCTION("""COMPUTED_VALUE"""),44046.0)</f>
        <v>44046</v>
      </c>
      <c r="C22" s="3">
        <f>IFERROR(__xludf.DUMMYFUNCTION("""COMPUTED_VALUE"""),44052.0)</f>
        <v>44052</v>
      </c>
      <c r="D22" s="2">
        <f>IFERROR(__xludf.DUMMYFUNCTION("""COMPUTED_VALUE"""),32.0)</f>
        <v>32</v>
      </c>
      <c r="E22" s="2">
        <f>IFERROR(__xludf.DUMMYFUNCTION("""COMPUTED_VALUE"""),2516.0)</f>
        <v>2516</v>
      </c>
      <c r="F22" s="2">
        <f>IFERROR(__xludf.DUMMYFUNCTION("""COMPUTED_VALUE"""),469.0)</f>
        <v>469</v>
      </c>
      <c r="G22" s="4">
        <f>VLOOKUP(A22,Populacao!A:B,2,0)</f>
        <v>19212362</v>
      </c>
      <c r="H22" s="2">
        <f t="shared" si="1"/>
        <v>2.441136597</v>
      </c>
      <c r="I22" s="2">
        <f t="shared" si="4"/>
        <v>52.45060446</v>
      </c>
      <c r="J22" s="2">
        <f>AVERAGEIFS(Dados!F:F, Dados!A:A, "=Chile", Dados!G:G, "=0", Dados!E:E,D22 )</f>
        <v>2277.75</v>
      </c>
      <c r="K22" s="2">
        <f t="shared" si="2"/>
        <v>238.25</v>
      </c>
      <c r="L22" s="2">
        <f t="shared" si="3"/>
        <v>1.240086981</v>
      </c>
      <c r="M22" s="2">
        <f t="shared" si="5"/>
        <v>61.59185424</v>
      </c>
    </row>
    <row r="23">
      <c r="A23" s="2" t="str">
        <f>IFERROR(__xludf.DUMMYFUNCTION("""COMPUTED_VALUE"""),"Chile")</f>
        <v>Chile</v>
      </c>
      <c r="B23" s="3">
        <f>IFERROR(__xludf.DUMMYFUNCTION("""COMPUTED_VALUE"""),44053.0)</f>
        <v>44053</v>
      </c>
      <c r="C23" s="3">
        <f>IFERROR(__xludf.DUMMYFUNCTION("""COMPUTED_VALUE"""),44059.0)</f>
        <v>44059</v>
      </c>
      <c r="D23" s="2">
        <f>IFERROR(__xludf.DUMMYFUNCTION("""COMPUTED_VALUE"""),33.0)</f>
        <v>33</v>
      </c>
      <c r="E23" s="2">
        <f>IFERROR(__xludf.DUMMYFUNCTION("""COMPUTED_VALUE"""),2431.0)</f>
        <v>2431</v>
      </c>
      <c r="F23" s="2">
        <f>IFERROR(__xludf.DUMMYFUNCTION("""COMPUTED_VALUE"""),375.0)</f>
        <v>375</v>
      </c>
      <c r="G23" s="4">
        <f>VLOOKUP(A23,Populacao!A:B,2,0)</f>
        <v>19212362</v>
      </c>
      <c r="H23" s="2">
        <f t="shared" si="1"/>
        <v>1.951868281</v>
      </c>
      <c r="I23" s="2">
        <f t="shared" si="4"/>
        <v>54.40247274</v>
      </c>
      <c r="J23" s="2">
        <f>AVERAGEIFS(Dados!F:F, Dados!A:A, "=Chile", Dados!G:G, "=0", Dados!E:E,D23 )</f>
        <v>2245</v>
      </c>
      <c r="K23" s="2">
        <f t="shared" si="2"/>
        <v>186</v>
      </c>
      <c r="L23" s="2">
        <f t="shared" si="3"/>
        <v>0.9681266676</v>
      </c>
      <c r="M23" s="2">
        <f t="shared" si="5"/>
        <v>62.55998091</v>
      </c>
    </row>
    <row r="24">
      <c r="A24" s="2" t="str">
        <f>IFERROR(__xludf.DUMMYFUNCTION("""COMPUTED_VALUE"""),"Chile")</f>
        <v>Chile</v>
      </c>
      <c r="B24" s="3">
        <f>IFERROR(__xludf.DUMMYFUNCTION("""COMPUTED_VALUE"""),44060.0)</f>
        <v>44060</v>
      </c>
      <c r="C24" s="3">
        <f>IFERROR(__xludf.DUMMYFUNCTION("""COMPUTED_VALUE"""),44066.0)</f>
        <v>44066</v>
      </c>
      <c r="D24" s="2">
        <f>IFERROR(__xludf.DUMMYFUNCTION("""COMPUTED_VALUE"""),34.0)</f>
        <v>34</v>
      </c>
      <c r="E24" s="2">
        <f>IFERROR(__xludf.DUMMYFUNCTION("""COMPUTED_VALUE"""),2596.0)</f>
        <v>2596</v>
      </c>
      <c r="F24" s="2">
        <f>IFERROR(__xludf.DUMMYFUNCTION("""COMPUTED_VALUE"""),400.0)</f>
        <v>400</v>
      </c>
      <c r="G24" s="4">
        <f>VLOOKUP(A24,Populacao!A:B,2,0)</f>
        <v>19212362</v>
      </c>
      <c r="H24" s="2">
        <f t="shared" si="1"/>
        <v>2.081992834</v>
      </c>
      <c r="I24" s="2">
        <f t="shared" si="4"/>
        <v>56.48446557</v>
      </c>
      <c r="J24" s="2">
        <f>AVERAGEIFS(Dados!F:F, Dados!A:A, "=Chile", Dados!G:G, "=0", Dados!E:E,D24 )</f>
        <v>2223</v>
      </c>
      <c r="K24" s="2">
        <f t="shared" si="2"/>
        <v>373</v>
      </c>
      <c r="L24" s="2">
        <f t="shared" si="3"/>
        <v>1.941458317</v>
      </c>
      <c r="M24" s="2">
        <f t="shared" si="5"/>
        <v>64.50143923</v>
      </c>
    </row>
    <row r="25">
      <c r="A25" s="2" t="str">
        <f>IFERROR(__xludf.DUMMYFUNCTION("""COMPUTED_VALUE"""),"Chile")</f>
        <v>Chile</v>
      </c>
      <c r="B25" s="3">
        <f>IFERROR(__xludf.DUMMYFUNCTION("""COMPUTED_VALUE"""),44067.0)</f>
        <v>44067</v>
      </c>
      <c r="C25" s="3">
        <f>IFERROR(__xludf.DUMMYFUNCTION("""COMPUTED_VALUE"""),44073.0)</f>
        <v>44073</v>
      </c>
      <c r="D25" s="2">
        <f>IFERROR(__xludf.DUMMYFUNCTION("""COMPUTED_VALUE"""),35.0)</f>
        <v>35</v>
      </c>
      <c r="E25" s="2">
        <f>IFERROR(__xludf.DUMMYFUNCTION("""COMPUTED_VALUE"""),2479.0)</f>
        <v>2479</v>
      </c>
      <c r="F25" s="2">
        <f>IFERROR(__xludf.DUMMYFUNCTION("""COMPUTED_VALUE"""),392.0)</f>
        <v>392</v>
      </c>
      <c r="G25" s="4">
        <f>VLOOKUP(A25,Populacao!A:B,2,0)</f>
        <v>19212362</v>
      </c>
      <c r="H25" s="2">
        <f t="shared" si="1"/>
        <v>2.040352977</v>
      </c>
      <c r="I25" s="2">
        <f t="shared" si="4"/>
        <v>58.52481855</v>
      </c>
      <c r="J25" s="2">
        <f>AVERAGEIFS(Dados!F:F, Dados!A:A, "=Chile", Dados!G:G, "=0", Dados!E:E,D25 )</f>
        <v>2155</v>
      </c>
      <c r="K25" s="2">
        <f t="shared" si="2"/>
        <v>324</v>
      </c>
      <c r="L25" s="2">
        <f t="shared" si="3"/>
        <v>1.686414195</v>
      </c>
      <c r="M25" s="2">
        <f t="shared" si="5"/>
        <v>66.18785342</v>
      </c>
    </row>
    <row r="26">
      <c r="A26" s="2" t="str">
        <f>IFERROR(__xludf.DUMMYFUNCTION("""COMPUTED_VALUE"""),"Chile")</f>
        <v>Chile</v>
      </c>
      <c r="B26" s="3">
        <f>IFERROR(__xludf.DUMMYFUNCTION("""COMPUTED_VALUE"""),44074.0)</f>
        <v>44074</v>
      </c>
      <c r="C26" s="3">
        <f>IFERROR(__xludf.DUMMYFUNCTION("""COMPUTED_VALUE"""),44080.0)</f>
        <v>44080</v>
      </c>
      <c r="D26" s="2">
        <f>IFERROR(__xludf.DUMMYFUNCTION("""COMPUTED_VALUE"""),36.0)</f>
        <v>36</v>
      </c>
      <c r="E26" s="2">
        <f>IFERROR(__xludf.DUMMYFUNCTION("""COMPUTED_VALUE"""),2395.0)</f>
        <v>2395</v>
      </c>
      <c r="F26" s="2">
        <f>IFERROR(__xludf.DUMMYFUNCTION("""COMPUTED_VALUE"""),348.0)</f>
        <v>348</v>
      </c>
      <c r="G26" s="4">
        <f>VLOOKUP(A26,Populacao!A:B,2,0)</f>
        <v>19212362</v>
      </c>
      <c r="H26" s="2">
        <f t="shared" si="1"/>
        <v>1.811333765</v>
      </c>
      <c r="I26" s="2">
        <f t="shared" si="4"/>
        <v>60.33615232</v>
      </c>
      <c r="J26" s="2">
        <f>AVERAGEIFS(Dados!F:F, Dados!A:A, "=Chile", Dados!G:G, "=0", Dados!E:E,D26 )</f>
        <v>2213.25</v>
      </c>
      <c r="K26" s="2">
        <f t="shared" si="2"/>
        <v>181.75</v>
      </c>
      <c r="L26" s="2">
        <f t="shared" si="3"/>
        <v>0.9460054938</v>
      </c>
      <c r="M26" s="2">
        <f t="shared" si="5"/>
        <v>67.13385892</v>
      </c>
    </row>
    <row r="27">
      <c r="A27" s="2" t="str">
        <f>IFERROR(__xludf.DUMMYFUNCTION("""COMPUTED_VALUE"""),"Chile")</f>
        <v>Chile</v>
      </c>
      <c r="B27" s="3">
        <f>IFERROR(__xludf.DUMMYFUNCTION("""COMPUTED_VALUE"""),44081.0)</f>
        <v>44081</v>
      </c>
      <c r="C27" s="3">
        <f>IFERROR(__xludf.DUMMYFUNCTION("""COMPUTED_VALUE"""),44087.0)</f>
        <v>44087</v>
      </c>
      <c r="D27" s="2">
        <f>IFERROR(__xludf.DUMMYFUNCTION("""COMPUTED_VALUE"""),37.0)</f>
        <v>37</v>
      </c>
      <c r="E27" s="2">
        <f>IFERROR(__xludf.DUMMYFUNCTION("""COMPUTED_VALUE"""),2405.0)</f>
        <v>2405</v>
      </c>
      <c r="F27" s="2">
        <f>IFERROR(__xludf.DUMMYFUNCTION("""COMPUTED_VALUE"""),357.0)</f>
        <v>357</v>
      </c>
      <c r="G27" s="4">
        <f>VLOOKUP(A27,Populacao!A:B,2,0)</f>
        <v>19212362</v>
      </c>
      <c r="H27" s="2">
        <f t="shared" si="1"/>
        <v>1.858178604</v>
      </c>
      <c r="I27" s="2">
        <f t="shared" si="4"/>
        <v>62.19433092</v>
      </c>
      <c r="J27" s="2">
        <f>AVERAGEIFS(Dados!F:F, Dados!A:A, "=Chile", Dados!G:G, "=0", Dados!E:E,D27 )</f>
        <v>2154.25</v>
      </c>
      <c r="K27" s="2">
        <f t="shared" si="2"/>
        <v>250.75</v>
      </c>
      <c r="L27" s="2">
        <f t="shared" si="3"/>
        <v>1.305149258</v>
      </c>
      <c r="M27" s="2">
        <f t="shared" si="5"/>
        <v>68.43900818</v>
      </c>
    </row>
    <row r="28">
      <c r="A28" s="2" t="str">
        <f>IFERROR(__xludf.DUMMYFUNCTION("""COMPUTED_VALUE"""),"Chile")</f>
        <v>Chile</v>
      </c>
      <c r="B28" s="3">
        <f>IFERROR(__xludf.DUMMYFUNCTION("""COMPUTED_VALUE"""),44088.0)</f>
        <v>44088</v>
      </c>
      <c r="C28" s="3">
        <f>IFERROR(__xludf.DUMMYFUNCTION("""COMPUTED_VALUE"""),44094.0)</f>
        <v>44094</v>
      </c>
      <c r="D28" s="2">
        <f>IFERROR(__xludf.DUMMYFUNCTION("""COMPUTED_VALUE"""),38.0)</f>
        <v>38</v>
      </c>
      <c r="E28" s="2">
        <f>IFERROR(__xludf.DUMMYFUNCTION("""COMPUTED_VALUE"""),2401.0)</f>
        <v>2401</v>
      </c>
      <c r="F28" s="2">
        <f>IFERROR(__xludf.DUMMYFUNCTION("""COMPUTED_VALUE"""),337.0)</f>
        <v>337</v>
      </c>
      <c r="G28" s="4">
        <f>VLOOKUP(A28,Populacao!A:B,2,0)</f>
        <v>19212362</v>
      </c>
      <c r="H28" s="2">
        <f t="shared" si="1"/>
        <v>1.754078962</v>
      </c>
      <c r="I28" s="2">
        <f t="shared" si="4"/>
        <v>63.94840988</v>
      </c>
      <c r="J28" s="2">
        <f>AVERAGEIFS(Dados!F:F, Dados!A:A, "=Chile", Dados!G:G, "=0", Dados!E:E,D28 )</f>
        <v>2213.75</v>
      </c>
      <c r="K28" s="2">
        <f t="shared" si="2"/>
        <v>187.25</v>
      </c>
      <c r="L28" s="2">
        <f t="shared" si="3"/>
        <v>0.9746328952</v>
      </c>
      <c r="M28" s="2">
        <f t="shared" si="5"/>
        <v>69.41364107</v>
      </c>
    </row>
    <row r="29">
      <c r="A29" s="2" t="str">
        <f>IFERROR(__xludf.DUMMYFUNCTION("""COMPUTED_VALUE"""),"Chile")</f>
        <v>Chile</v>
      </c>
      <c r="B29" s="3">
        <f>IFERROR(__xludf.DUMMYFUNCTION("""COMPUTED_VALUE"""),44095.0)</f>
        <v>44095</v>
      </c>
      <c r="C29" s="3">
        <f>IFERROR(__xludf.DUMMYFUNCTION("""COMPUTED_VALUE"""),44101.0)</f>
        <v>44101</v>
      </c>
      <c r="D29" s="2">
        <f>IFERROR(__xludf.DUMMYFUNCTION("""COMPUTED_VALUE"""),39.0)</f>
        <v>39</v>
      </c>
      <c r="E29" s="2">
        <f>IFERROR(__xludf.DUMMYFUNCTION("""COMPUTED_VALUE"""),2364.0)</f>
        <v>2364</v>
      </c>
      <c r="F29" s="2">
        <f>IFERROR(__xludf.DUMMYFUNCTION("""COMPUTED_VALUE"""),355.0)</f>
        <v>355</v>
      </c>
      <c r="G29" s="4">
        <f>VLOOKUP(A29,Populacao!A:B,2,0)</f>
        <v>19212362</v>
      </c>
      <c r="H29" s="2">
        <f t="shared" si="1"/>
        <v>1.84776864</v>
      </c>
      <c r="I29" s="2">
        <f t="shared" si="4"/>
        <v>65.79617852</v>
      </c>
      <c r="J29" s="2">
        <f>AVERAGEIFS(Dados!F:F, Dados!A:A, "=Chile", Dados!G:G, "=0", Dados!E:E,D29 )</f>
        <v>2122.5</v>
      </c>
      <c r="K29" s="2">
        <f t="shared" si="2"/>
        <v>241.5</v>
      </c>
      <c r="L29" s="2">
        <f t="shared" si="3"/>
        <v>1.257003173</v>
      </c>
      <c r="M29" s="2">
        <f t="shared" si="5"/>
        <v>70.67064424</v>
      </c>
    </row>
    <row r="30">
      <c r="A30" s="2" t="str">
        <f>IFERROR(__xludf.DUMMYFUNCTION("""COMPUTED_VALUE"""),"Chile")</f>
        <v>Chile</v>
      </c>
      <c r="B30" s="3">
        <f>IFERROR(__xludf.DUMMYFUNCTION("""COMPUTED_VALUE"""),44102.0)</f>
        <v>44102</v>
      </c>
      <c r="C30" s="3">
        <f>IFERROR(__xludf.DUMMYFUNCTION("""COMPUTED_VALUE"""),44108.0)</f>
        <v>44108</v>
      </c>
      <c r="D30" s="2">
        <f>IFERROR(__xludf.DUMMYFUNCTION("""COMPUTED_VALUE"""),40.0)</f>
        <v>40</v>
      </c>
      <c r="E30" s="2">
        <f>IFERROR(__xludf.DUMMYFUNCTION("""COMPUTED_VALUE"""),2340.0)</f>
        <v>2340</v>
      </c>
      <c r="F30" s="2">
        <f>IFERROR(__xludf.DUMMYFUNCTION("""COMPUTED_VALUE"""),338.0)</f>
        <v>338</v>
      </c>
      <c r="G30" s="4">
        <f>VLOOKUP(A30,Populacao!A:B,2,0)</f>
        <v>19212362</v>
      </c>
      <c r="H30" s="2">
        <f t="shared" si="1"/>
        <v>1.759283944</v>
      </c>
      <c r="I30" s="2">
        <f t="shared" si="4"/>
        <v>67.55546247</v>
      </c>
      <c r="J30" s="2">
        <f>AVERAGEIFS(Dados!F:F, Dados!A:A, "=Chile", Dados!G:G, "=0", Dados!E:E,D30 )</f>
        <v>2069.25</v>
      </c>
      <c r="K30" s="2">
        <f t="shared" si="2"/>
        <v>270.75</v>
      </c>
      <c r="L30" s="2">
        <f t="shared" si="3"/>
        <v>1.409248899</v>
      </c>
      <c r="M30" s="2">
        <f t="shared" si="5"/>
        <v>72.07989314</v>
      </c>
    </row>
    <row r="31">
      <c r="A31" s="2" t="str">
        <f>IFERROR(__xludf.DUMMYFUNCTION("""COMPUTED_VALUE"""),"Chile")</f>
        <v>Chile</v>
      </c>
      <c r="B31" s="3">
        <f>IFERROR(__xludf.DUMMYFUNCTION("""COMPUTED_VALUE"""),44109.0)</f>
        <v>44109</v>
      </c>
      <c r="C31" s="3">
        <f>IFERROR(__xludf.DUMMYFUNCTION("""COMPUTED_VALUE"""),44115.0)</f>
        <v>44115</v>
      </c>
      <c r="D31" s="2">
        <f>IFERROR(__xludf.DUMMYFUNCTION("""COMPUTED_VALUE"""),41.0)</f>
        <v>41</v>
      </c>
      <c r="E31" s="2">
        <f>IFERROR(__xludf.DUMMYFUNCTION("""COMPUTED_VALUE"""),2396.0)</f>
        <v>2396</v>
      </c>
      <c r="F31" s="2">
        <f>IFERROR(__xludf.DUMMYFUNCTION("""COMPUTED_VALUE"""),339.0)</f>
        <v>339</v>
      </c>
      <c r="G31" s="4">
        <f>VLOOKUP(A31,Populacao!A:B,2,0)</f>
        <v>19212362</v>
      </c>
      <c r="H31" s="2">
        <f t="shared" si="1"/>
        <v>1.764488926</v>
      </c>
      <c r="I31" s="2">
        <f t="shared" si="4"/>
        <v>69.31995139</v>
      </c>
      <c r="J31" s="2">
        <f>AVERAGEIFS(Dados!F:F, Dados!A:A, "=Chile", Dados!G:G, "=0", Dados!E:E,D31 )</f>
        <v>2005.5</v>
      </c>
      <c r="K31" s="2">
        <f t="shared" si="2"/>
        <v>390.5</v>
      </c>
      <c r="L31" s="2">
        <f t="shared" si="3"/>
        <v>2.032545504</v>
      </c>
      <c r="M31" s="2">
        <f t="shared" si="5"/>
        <v>74.11243865</v>
      </c>
    </row>
    <row r="32">
      <c r="A32" s="2" t="str">
        <f>IFERROR(__xludf.DUMMYFUNCTION("""COMPUTED_VALUE"""),"Chile")</f>
        <v>Chile</v>
      </c>
      <c r="B32" s="3">
        <f>IFERROR(__xludf.DUMMYFUNCTION("""COMPUTED_VALUE"""),44116.0)</f>
        <v>44116</v>
      </c>
      <c r="C32" s="3">
        <f>IFERROR(__xludf.DUMMYFUNCTION("""COMPUTED_VALUE"""),44122.0)</f>
        <v>44122</v>
      </c>
      <c r="D32" s="2">
        <f>IFERROR(__xludf.DUMMYFUNCTION("""COMPUTED_VALUE"""),42.0)</f>
        <v>42</v>
      </c>
      <c r="E32" s="2">
        <f>IFERROR(__xludf.DUMMYFUNCTION("""COMPUTED_VALUE"""),2307.0)</f>
        <v>2307</v>
      </c>
      <c r="F32" s="2">
        <f>IFERROR(__xludf.DUMMYFUNCTION("""COMPUTED_VALUE"""),317.0)</f>
        <v>317</v>
      </c>
      <c r="G32" s="4">
        <f>VLOOKUP(A32,Populacao!A:B,2,0)</f>
        <v>19212362</v>
      </c>
      <c r="H32" s="2">
        <f t="shared" si="1"/>
        <v>1.649979321</v>
      </c>
      <c r="I32" s="2">
        <f t="shared" si="4"/>
        <v>70.96993071</v>
      </c>
      <c r="J32" s="2">
        <f>AVERAGEIFS(Dados!F:F, Dados!A:A, "=Chile", Dados!G:G, "=0", Dados!E:E,D32 )</f>
        <v>1981.25</v>
      </c>
      <c r="K32" s="2">
        <f t="shared" si="2"/>
        <v>325.75</v>
      </c>
      <c r="L32" s="2">
        <f t="shared" si="3"/>
        <v>1.695522914</v>
      </c>
      <c r="M32" s="2">
        <f t="shared" si="5"/>
        <v>75.80796156</v>
      </c>
    </row>
    <row r="33">
      <c r="A33" s="2" t="str">
        <f>IFERROR(__xludf.DUMMYFUNCTION("""COMPUTED_VALUE"""),"Chile")</f>
        <v>Chile</v>
      </c>
      <c r="B33" s="3">
        <f>IFERROR(__xludf.DUMMYFUNCTION("""COMPUTED_VALUE"""),44123.0)</f>
        <v>44123</v>
      </c>
      <c r="C33" s="3">
        <f>IFERROR(__xludf.DUMMYFUNCTION("""COMPUTED_VALUE"""),44129.0)</f>
        <v>44129</v>
      </c>
      <c r="D33" s="2">
        <f>IFERROR(__xludf.DUMMYFUNCTION("""COMPUTED_VALUE"""),43.0)</f>
        <v>43</v>
      </c>
      <c r="E33" s="2">
        <f>IFERROR(__xludf.DUMMYFUNCTION("""COMPUTED_VALUE"""),2304.0)</f>
        <v>2304</v>
      </c>
      <c r="F33" s="2">
        <f>IFERROR(__xludf.DUMMYFUNCTION("""COMPUTED_VALUE"""),309.0)</f>
        <v>309</v>
      </c>
      <c r="G33" s="4">
        <f>VLOOKUP(A33,Populacao!A:B,2,0)</f>
        <v>19212362</v>
      </c>
      <c r="H33" s="2">
        <f t="shared" si="1"/>
        <v>1.608339464</v>
      </c>
      <c r="I33" s="2">
        <f t="shared" si="4"/>
        <v>72.57827018</v>
      </c>
      <c r="J33" s="2">
        <f>AVERAGEIFS(Dados!F:F, Dados!A:A, "=Chile", Dados!G:G, "=0", Dados!E:E,D33 )</f>
        <v>1958</v>
      </c>
      <c r="K33" s="2">
        <f t="shared" si="2"/>
        <v>346</v>
      </c>
      <c r="L33" s="2">
        <f t="shared" si="3"/>
        <v>1.800923801</v>
      </c>
      <c r="M33" s="2">
        <f t="shared" si="5"/>
        <v>77.60888536</v>
      </c>
    </row>
    <row r="34">
      <c r="A34" s="2" t="str">
        <f>IFERROR(__xludf.DUMMYFUNCTION("""COMPUTED_VALUE"""),"Chile")</f>
        <v>Chile</v>
      </c>
      <c r="B34" s="3">
        <f>IFERROR(__xludf.DUMMYFUNCTION("""COMPUTED_VALUE"""),44130.0)</f>
        <v>44130</v>
      </c>
      <c r="C34" s="3">
        <f>IFERROR(__xludf.DUMMYFUNCTION("""COMPUTED_VALUE"""),44136.0)</f>
        <v>44136</v>
      </c>
      <c r="D34" s="2">
        <f>IFERROR(__xludf.DUMMYFUNCTION("""COMPUTED_VALUE"""),44.0)</f>
        <v>44</v>
      </c>
      <c r="E34" s="2">
        <f>IFERROR(__xludf.DUMMYFUNCTION("""COMPUTED_VALUE"""),2268.0)</f>
        <v>2268</v>
      </c>
      <c r="F34" s="2">
        <f>IFERROR(__xludf.DUMMYFUNCTION("""COMPUTED_VALUE"""),303.0)</f>
        <v>303</v>
      </c>
      <c r="G34" s="4">
        <f>VLOOKUP(A34,Populacao!A:B,2,0)</f>
        <v>19212362</v>
      </c>
      <c r="H34" s="2">
        <f t="shared" si="1"/>
        <v>1.577109571</v>
      </c>
      <c r="I34" s="2">
        <f t="shared" si="4"/>
        <v>74.15537975</v>
      </c>
      <c r="J34" s="2">
        <f>AVERAGEIFS(Dados!F:F, Dados!A:A, "=Chile", Dados!G:G, "=0", Dados!E:E,D34 )</f>
        <v>1942</v>
      </c>
      <c r="K34" s="2">
        <f t="shared" si="2"/>
        <v>326</v>
      </c>
      <c r="L34" s="2">
        <f t="shared" si="3"/>
        <v>1.696824159</v>
      </c>
      <c r="M34" s="2">
        <f t="shared" si="5"/>
        <v>79.30570952</v>
      </c>
    </row>
    <row r="35">
      <c r="A35" s="2" t="str">
        <f>IFERROR(__xludf.DUMMYFUNCTION("""COMPUTED_VALUE"""),"Chile")</f>
        <v>Chile</v>
      </c>
      <c r="B35" s="3">
        <f>IFERROR(__xludf.DUMMYFUNCTION("""COMPUTED_VALUE"""),44137.0)</f>
        <v>44137</v>
      </c>
      <c r="C35" s="3">
        <f>IFERROR(__xludf.DUMMYFUNCTION("""COMPUTED_VALUE"""),44143.0)</f>
        <v>44143</v>
      </c>
      <c r="D35" s="2">
        <f>IFERROR(__xludf.DUMMYFUNCTION("""COMPUTED_VALUE"""),45.0)</f>
        <v>45</v>
      </c>
      <c r="E35" s="2">
        <f>IFERROR(__xludf.DUMMYFUNCTION("""COMPUTED_VALUE"""),2239.0)</f>
        <v>2239</v>
      </c>
      <c r="F35" s="2">
        <f>IFERROR(__xludf.DUMMYFUNCTION("""COMPUTED_VALUE"""),296.0)</f>
        <v>296</v>
      </c>
      <c r="G35" s="4">
        <f>VLOOKUP(A35,Populacao!A:B,2,0)</f>
        <v>19212362</v>
      </c>
      <c r="H35" s="2">
        <f t="shared" si="1"/>
        <v>1.540674697</v>
      </c>
      <c r="I35" s="2">
        <f t="shared" si="4"/>
        <v>75.69605445</v>
      </c>
      <c r="J35" s="2">
        <f>AVERAGEIFS(Dados!F:F, Dados!A:A, "=Chile", Dados!G:G, "=0", Dados!E:E,D35 )</f>
        <v>1946.5</v>
      </c>
      <c r="K35" s="2">
        <f t="shared" si="2"/>
        <v>292.5</v>
      </c>
      <c r="L35" s="2">
        <f t="shared" si="3"/>
        <v>1.52245726</v>
      </c>
      <c r="M35" s="2">
        <f t="shared" si="5"/>
        <v>80.82816678</v>
      </c>
    </row>
    <row r="36">
      <c r="A36" s="2" t="str">
        <f>IFERROR(__xludf.DUMMYFUNCTION("""COMPUTED_VALUE"""),"Chile")</f>
        <v>Chile</v>
      </c>
      <c r="B36" s="3">
        <f>IFERROR(__xludf.DUMMYFUNCTION("""COMPUTED_VALUE"""),44144.0)</f>
        <v>44144</v>
      </c>
      <c r="C36" s="3">
        <f>IFERROR(__xludf.DUMMYFUNCTION("""COMPUTED_VALUE"""),44150.0)</f>
        <v>44150</v>
      </c>
      <c r="D36" s="2">
        <f>IFERROR(__xludf.DUMMYFUNCTION("""COMPUTED_VALUE"""),46.0)</f>
        <v>46</v>
      </c>
      <c r="E36" s="2">
        <f>IFERROR(__xludf.DUMMYFUNCTION("""COMPUTED_VALUE"""),2121.0)</f>
        <v>2121</v>
      </c>
      <c r="F36" s="2">
        <f>IFERROR(__xludf.DUMMYFUNCTION("""COMPUTED_VALUE"""),276.0)</f>
        <v>276</v>
      </c>
      <c r="G36" s="4">
        <f>VLOOKUP(A36,Populacao!A:B,2,0)</f>
        <v>19212362</v>
      </c>
      <c r="H36" s="2">
        <f t="shared" si="1"/>
        <v>1.436575055</v>
      </c>
      <c r="I36" s="2">
        <f t="shared" si="4"/>
        <v>77.1326295</v>
      </c>
      <c r="J36" s="2">
        <f>AVERAGEIFS(Dados!F:F, Dados!A:A, "=Chile", Dados!G:G, "=0", Dados!E:E,D36 )</f>
        <v>1898</v>
      </c>
      <c r="K36" s="2">
        <f t="shared" si="2"/>
        <v>223</v>
      </c>
      <c r="L36" s="2">
        <f t="shared" si="3"/>
        <v>1.160711005</v>
      </c>
      <c r="M36" s="2">
        <f t="shared" si="5"/>
        <v>81.98887779</v>
      </c>
    </row>
    <row r="37">
      <c r="A37" s="2" t="str">
        <f>IFERROR(__xludf.DUMMYFUNCTION("""COMPUTED_VALUE"""),"Chile")</f>
        <v>Chile</v>
      </c>
      <c r="B37" s="3">
        <f>IFERROR(__xludf.DUMMYFUNCTION("""COMPUTED_VALUE"""),44151.0)</f>
        <v>44151</v>
      </c>
      <c r="C37" s="3">
        <f>IFERROR(__xludf.DUMMYFUNCTION("""COMPUTED_VALUE"""),44157.0)</f>
        <v>44157</v>
      </c>
      <c r="D37" s="2">
        <f>IFERROR(__xludf.DUMMYFUNCTION("""COMPUTED_VALUE"""),47.0)</f>
        <v>47</v>
      </c>
      <c r="E37" s="2">
        <f>IFERROR(__xludf.DUMMYFUNCTION("""COMPUTED_VALUE"""),2184.0)</f>
        <v>2184</v>
      </c>
      <c r="F37" s="2">
        <f>IFERROR(__xludf.DUMMYFUNCTION("""COMPUTED_VALUE"""),250.0)</f>
        <v>250</v>
      </c>
      <c r="G37" s="4">
        <f>VLOOKUP(A37,Populacao!A:B,2,0)</f>
        <v>19212362</v>
      </c>
      <c r="H37" s="2">
        <f t="shared" si="1"/>
        <v>1.301245521</v>
      </c>
      <c r="I37" s="2">
        <f t="shared" si="4"/>
        <v>78.43387502</v>
      </c>
      <c r="J37" s="2">
        <f>AVERAGEIFS(Dados!F:F, Dados!A:A, "=Chile", Dados!G:G, "=0", Dados!E:E,D37 )</f>
        <v>1942.25</v>
      </c>
      <c r="K37" s="2">
        <f t="shared" si="2"/>
        <v>241.75</v>
      </c>
      <c r="L37" s="2">
        <f t="shared" si="3"/>
        <v>1.258304419</v>
      </c>
      <c r="M37" s="2">
        <f t="shared" si="5"/>
        <v>83.2471822</v>
      </c>
    </row>
    <row r="38">
      <c r="A38" s="2" t="str">
        <f>IFERROR(__xludf.DUMMYFUNCTION("""COMPUTED_VALUE"""),"Chile")</f>
        <v>Chile</v>
      </c>
      <c r="B38" s="3">
        <f>IFERROR(__xludf.DUMMYFUNCTION("""COMPUTED_VALUE"""),44158.0)</f>
        <v>44158</v>
      </c>
      <c r="C38" s="3">
        <f>IFERROR(__xludf.DUMMYFUNCTION("""COMPUTED_VALUE"""),44164.0)</f>
        <v>44164</v>
      </c>
      <c r="D38" s="2">
        <f>IFERROR(__xludf.DUMMYFUNCTION("""COMPUTED_VALUE"""),48.0)</f>
        <v>48</v>
      </c>
      <c r="E38" s="2">
        <f>IFERROR(__xludf.DUMMYFUNCTION("""COMPUTED_VALUE"""),2203.0)</f>
        <v>2203</v>
      </c>
      <c r="F38" s="2">
        <f>IFERROR(__xludf.DUMMYFUNCTION("""COMPUTED_VALUE"""),287.0)</f>
        <v>287</v>
      </c>
      <c r="G38" s="4">
        <f>VLOOKUP(A38,Populacao!A:B,2,0)</f>
        <v>19212362</v>
      </c>
      <c r="H38" s="2">
        <f t="shared" si="1"/>
        <v>1.493829858</v>
      </c>
      <c r="I38" s="2">
        <f t="shared" si="4"/>
        <v>79.92770488</v>
      </c>
      <c r="J38" s="2">
        <f>AVERAGEIFS(Dados!F:F, Dados!A:A, "=Chile", Dados!G:G, "=0", Dados!E:E,D38 )</f>
        <v>1895.75</v>
      </c>
      <c r="K38" s="2">
        <f t="shared" si="2"/>
        <v>307.25</v>
      </c>
      <c r="L38" s="2">
        <f t="shared" si="3"/>
        <v>1.599230745</v>
      </c>
      <c r="M38" s="2">
        <f t="shared" si="5"/>
        <v>84.84641295</v>
      </c>
    </row>
    <row r="39">
      <c r="A39" s="2" t="str">
        <f>IFERROR(__xludf.DUMMYFUNCTION("""COMPUTED_VALUE"""),"Chile")</f>
        <v>Chile</v>
      </c>
      <c r="B39" s="3">
        <f>IFERROR(__xludf.DUMMYFUNCTION("""COMPUTED_VALUE"""),44165.0)</f>
        <v>44165</v>
      </c>
      <c r="C39" s="3">
        <f>IFERROR(__xludf.DUMMYFUNCTION("""COMPUTED_VALUE"""),44171.0)</f>
        <v>44171</v>
      </c>
      <c r="D39" s="2">
        <f>IFERROR(__xludf.DUMMYFUNCTION("""COMPUTED_VALUE"""),49.0)</f>
        <v>49</v>
      </c>
      <c r="E39" s="2">
        <f>IFERROR(__xludf.DUMMYFUNCTION("""COMPUTED_VALUE"""),2174.0)</f>
        <v>2174</v>
      </c>
      <c r="F39" s="2">
        <f>IFERROR(__xludf.DUMMYFUNCTION("""COMPUTED_VALUE"""),272.0)</f>
        <v>272</v>
      </c>
      <c r="G39" s="4">
        <f>VLOOKUP(A39,Populacao!A:B,2,0)</f>
        <v>19212362</v>
      </c>
      <c r="H39" s="2">
        <f t="shared" si="1"/>
        <v>1.415755127</v>
      </c>
      <c r="I39" s="2">
        <f t="shared" si="4"/>
        <v>81.34346001</v>
      </c>
      <c r="J39" s="2">
        <f>AVERAGEIFS(Dados!F:F, Dados!A:A, "=Chile", Dados!G:G, "=0", Dados!E:E,D39 )</f>
        <v>1850.25</v>
      </c>
      <c r="K39" s="2">
        <f t="shared" si="2"/>
        <v>323.75</v>
      </c>
      <c r="L39" s="2">
        <f t="shared" si="3"/>
        <v>1.68511295</v>
      </c>
      <c r="M39" s="2">
        <f t="shared" si="5"/>
        <v>86.5315259</v>
      </c>
    </row>
    <row r="40">
      <c r="A40" s="2" t="str">
        <f>IFERROR(__xludf.DUMMYFUNCTION("""COMPUTED_VALUE"""),"Chile")</f>
        <v>Chile</v>
      </c>
      <c r="B40" s="3">
        <f>IFERROR(__xludf.DUMMYFUNCTION("""COMPUTED_VALUE"""),44172.0)</f>
        <v>44172</v>
      </c>
      <c r="C40" s="3">
        <f>IFERROR(__xludf.DUMMYFUNCTION("""COMPUTED_VALUE"""),44178.0)</f>
        <v>44178</v>
      </c>
      <c r="D40" s="2">
        <f>IFERROR(__xludf.DUMMYFUNCTION("""COMPUTED_VALUE"""),50.0)</f>
        <v>50</v>
      </c>
      <c r="E40" s="2">
        <f>IFERROR(__xludf.DUMMYFUNCTION("""COMPUTED_VALUE"""),2187.0)</f>
        <v>2187</v>
      </c>
      <c r="F40" s="2">
        <f>IFERROR(__xludf.DUMMYFUNCTION("""COMPUTED_VALUE"""),258.0)</f>
        <v>258</v>
      </c>
      <c r="G40" s="4">
        <f>VLOOKUP(A40,Populacao!A:B,2,0)</f>
        <v>19212362</v>
      </c>
      <c r="H40" s="2">
        <f t="shared" si="1"/>
        <v>1.342885378</v>
      </c>
      <c r="I40" s="2">
        <f t="shared" si="4"/>
        <v>82.68634539</v>
      </c>
      <c r="J40" s="2">
        <f>AVERAGEIFS(Dados!F:F, Dados!A:A, "=Chile", Dados!G:G, "=0", Dados!E:E,D40 )</f>
        <v>1890</v>
      </c>
      <c r="K40" s="2">
        <f t="shared" si="2"/>
        <v>297</v>
      </c>
      <c r="L40" s="2">
        <f t="shared" si="3"/>
        <v>1.545879679</v>
      </c>
      <c r="M40" s="2">
        <f t="shared" si="5"/>
        <v>88.07740558</v>
      </c>
    </row>
    <row r="41">
      <c r="A41" s="2" t="str">
        <f>IFERROR(__xludf.DUMMYFUNCTION("""COMPUTED_VALUE"""),"Chile")</f>
        <v>Chile</v>
      </c>
      <c r="B41" s="3">
        <f>IFERROR(__xludf.DUMMYFUNCTION("""COMPUTED_VALUE"""),44179.0)</f>
        <v>44179</v>
      </c>
      <c r="C41" s="3">
        <f>IFERROR(__xludf.DUMMYFUNCTION("""COMPUTED_VALUE"""),44185.0)</f>
        <v>44185</v>
      </c>
      <c r="D41" s="2">
        <f>IFERROR(__xludf.DUMMYFUNCTION("""COMPUTED_VALUE"""),51.0)</f>
        <v>51</v>
      </c>
      <c r="E41" s="2">
        <f>IFERROR(__xludf.DUMMYFUNCTION("""COMPUTED_VALUE"""),2155.0)</f>
        <v>2155</v>
      </c>
      <c r="F41" s="2">
        <f>IFERROR(__xludf.DUMMYFUNCTION("""COMPUTED_VALUE"""),268.0)</f>
        <v>268</v>
      </c>
      <c r="G41" s="4">
        <f>VLOOKUP(A41,Populacao!A:B,2,0)</f>
        <v>19212362</v>
      </c>
      <c r="H41" s="2">
        <f t="shared" si="1"/>
        <v>1.394935198</v>
      </c>
      <c r="I41" s="2">
        <f t="shared" si="4"/>
        <v>84.08128058</v>
      </c>
      <c r="J41" s="2">
        <f>AVERAGEIFS(Dados!F:F, Dados!A:A, "=Chile", Dados!G:G, "=0", Dados!E:E,D41 )</f>
        <v>1883.75</v>
      </c>
      <c r="K41" s="2">
        <f t="shared" si="2"/>
        <v>271.25</v>
      </c>
      <c r="L41" s="2">
        <f t="shared" si="3"/>
        <v>1.41185139</v>
      </c>
      <c r="M41" s="2">
        <f t="shared" si="5"/>
        <v>89.48925697</v>
      </c>
    </row>
    <row r="42">
      <c r="A42" s="2" t="str">
        <f>IFERROR(__xludf.DUMMYFUNCTION("""COMPUTED_VALUE"""),"Chile")</f>
        <v>Chile</v>
      </c>
      <c r="B42" s="3">
        <f>IFERROR(__xludf.DUMMYFUNCTION("""COMPUTED_VALUE"""),44186.0)</f>
        <v>44186</v>
      </c>
      <c r="C42" s="3">
        <f>IFERROR(__xludf.DUMMYFUNCTION("""COMPUTED_VALUE"""),44192.0)</f>
        <v>44192</v>
      </c>
      <c r="D42" s="2">
        <f>IFERROR(__xludf.DUMMYFUNCTION("""COMPUTED_VALUE"""),52.0)</f>
        <v>52</v>
      </c>
      <c r="E42" s="2">
        <f>IFERROR(__xludf.DUMMYFUNCTION("""COMPUTED_VALUE"""),2291.0)</f>
        <v>2291</v>
      </c>
      <c r="F42" s="2">
        <f>IFERROR(__xludf.DUMMYFUNCTION("""COMPUTED_VALUE"""),289.0)</f>
        <v>289</v>
      </c>
      <c r="G42" s="4">
        <f>VLOOKUP(A42,Populacao!A:B,2,0)</f>
        <v>19212362</v>
      </c>
      <c r="H42" s="2">
        <f t="shared" si="1"/>
        <v>1.504239822</v>
      </c>
      <c r="I42" s="2">
        <f t="shared" si="4"/>
        <v>85.58552041</v>
      </c>
      <c r="J42" s="2">
        <f>AVERAGEIFS(Dados!F:F, Dados!A:A, "=Chile", Dados!G:G, "=0", Dados!E:E,D42 )</f>
        <v>1811.5</v>
      </c>
      <c r="K42" s="2">
        <f t="shared" si="2"/>
        <v>479.5</v>
      </c>
      <c r="L42" s="2">
        <f t="shared" si="3"/>
        <v>2.495788909</v>
      </c>
      <c r="M42" s="2">
        <f t="shared" si="5"/>
        <v>91.98504588</v>
      </c>
    </row>
    <row r="43">
      <c r="A43" s="2" t="str">
        <f>IFERROR(__xludf.DUMMYFUNCTION("""COMPUTED_VALUE"""),"Chile")</f>
        <v>Chile</v>
      </c>
      <c r="B43" s="3">
        <f>IFERROR(__xludf.DUMMYFUNCTION("""COMPUTED_VALUE"""),44193.0)</f>
        <v>44193</v>
      </c>
      <c r="C43" s="3">
        <f>IFERROR(__xludf.DUMMYFUNCTION("""COMPUTED_VALUE"""),44199.0)</f>
        <v>44199</v>
      </c>
      <c r="D43" s="2">
        <f>IFERROR(__xludf.DUMMYFUNCTION("""COMPUTED_VALUE"""),53.0)</f>
        <v>53</v>
      </c>
      <c r="E43" s="2">
        <f>IFERROR(__xludf.DUMMYFUNCTION("""COMPUTED_VALUE"""),2236.0)</f>
        <v>2236</v>
      </c>
      <c r="F43" s="2">
        <f>IFERROR(__xludf.DUMMYFUNCTION("""COMPUTED_VALUE"""),324.0)</f>
        <v>324</v>
      </c>
      <c r="G43" s="4">
        <f>VLOOKUP(A43,Populacao!A:B,2,0)</f>
        <v>19212362</v>
      </c>
      <c r="H43" s="2">
        <f t="shared" si="1"/>
        <v>1.686414195</v>
      </c>
      <c r="I43" s="2">
        <f t="shared" si="4"/>
        <v>87.2719346</v>
      </c>
      <c r="J43" s="2">
        <f>IFERROR(AVERAGEIFS(Dados!F:F, Dados!A:A, "=Chile", Dados!G:G, "=0", Dados!E:E,D43 ),J42)</f>
        <v>1811.5</v>
      </c>
      <c r="K43" s="2">
        <f t="shared" si="2"/>
        <v>424.5</v>
      </c>
      <c r="L43" s="2">
        <f t="shared" si="3"/>
        <v>2.209514895</v>
      </c>
      <c r="M43" s="2">
        <f t="shared" si="5"/>
        <v>94.19456077</v>
      </c>
    </row>
    <row r="44">
      <c r="A44" s="2" t="str">
        <f>IFERROR(__xludf.DUMMYFUNCTION("""COMPUTED_VALUE"""),"Chile")</f>
        <v>Chile</v>
      </c>
      <c r="B44" s="3">
        <f>IFERROR(__xludf.DUMMYFUNCTION("""COMPUTED_VALUE"""),44200.0)</f>
        <v>44200</v>
      </c>
      <c r="C44" s="3">
        <f>IFERROR(__xludf.DUMMYFUNCTION("""COMPUTED_VALUE"""),44206.0)</f>
        <v>44206</v>
      </c>
      <c r="D44" s="2">
        <f>IFERROR(__xludf.DUMMYFUNCTION("""COMPUTED_VALUE"""),1.0)</f>
        <v>1</v>
      </c>
      <c r="E44" s="2">
        <f>IFERROR(__xludf.DUMMYFUNCTION("""COMPUTED_VALUE"""),2445.0)</f>
        <v>2445</v>
      </c>
      <c r="F44" s="2">
        <f>IFERROR(__xludf.DUMMYFUNCTION("""COMPUTED_VALUE"""),329.0)</f>
        <v>329</v>
      </c>
      <c r="G44" s="4">
        <f>VLOOKUP(A44,Populacao!A:B,2,0)</f>
        <v>19212362</v>
      </c>
      <c r="H44" s="2">
        <f t="shared" si="1"/>
        <v>1.712439106</v>
      </c>
      <c r="I44" s="2">
        <f t="shared" si="4"/>
        <v>88.98437371</v>
      </c>
      <c r="J44" s="2">
        <f>AVERAGEIFS(Dados!F:F, Dados!A:A, "=Chile", Dados!G:G, "=0", Dados!E:E,D44 )</f>
        <v>1967.2</v>
      </c>
      <c r="K44" s="2">
        <f t="shared" si="2"/>
        <v>477.8</v>
      </c>
      <c r="L44" s="2">
        <f t="shared" si="3"/>
        <v>2.48694044</v>
      </c>
      <c r="M44" s="2">
        <f t="shared" si="5"/>
        <v>96.68150121</v>
      </c>
    </row>
    <row r="45">
      <c r="A45" s="2" t="str">
        <f>IFERROR(__xludf.DUMMYFUNCTION("""COMPUTED_VALUE"""),"Chile")</f>
        <v>Chile</v>
      </c>
      <c r="B45" s="3">
        <f>IFERROR(__xludf.DUMMYFUNCTION("""COMPUTED_VALUE"""),44207.0)</f>
        <v>44207</v>
      </c>
      <c r="C45" s="3">
        <f>IFERROR(__xludf.DUMMYFUNCTION("""COMPUTED_VALUE"""),44213.0)</f>
        <v>44213</v>
      </c>
      <c r="D45" s="2">
        <f>IFERROR(__xludf.DUMMYFUNCTION("""COMPUTED_VALUE"""),2.0)</f>
        <v>2</v>
      </c>
      <c r="E45" s="2">
        <f>IFERROR(__xludf.DUMMYFUNCTION("""COMPUTED_VALUE"""),2438.0)</f>
        <v>2438</v>
      </c>
      <c r="F45" s="2">
        <f>IFERROR(__xludf.DUMMYFUNCTION("""COMPUTED_VALUE"""),381.0)</f>
        <v>381</v>
      </c>
      <c r="G45" s="4">
        <f>VLOOKUP(A45,Populacao!A:B,2,0)</f>
        <v>19212362</v>
      </c>
      <c r="H45" s="2">
        <f t="shared" si="1"/>
        <v>1.983098174</v>
      </c>
      <c r="I45" s="2">
        <f t="shared" si="4"/>
        <v>90.96747188</v>
      </c>
      <c r="J45" s="2">
        <f>AVERAGEIFS(Dados!F:F, Dados!A:A, "=Chile", Dados!G:G, "=0", Dados!E:E,D45 )</f>
        <v>1885.6</v>
      </c>
      <c r="K45" s="2">
        <f t="shared" si="2"/>
        <v>552.4</v>
      </c>
      <c r="L45" s="2">
        <f t="shared" si="3"/>
        <v>2.875232103</v>
      </c>
      <c r="M45" s="2">
        <f t="shared" si="5"/>
        <v>99.55673332</v>
      </c>
    </row>
    <row r="46">
      <c r="A46" s="2" t="str">
        <f>IFERROR(__xludf.DUMMYFUNCTION("""COMPUTED_VALUE"""),"Chile")</f>
        <v>Chile</v>
      </c>
      <c r="B46" s="3">
        <f>IFERROR(__xludf.DUMMYFUNCTION("""COMPUTED_VALUE"""),44214.0)</f>
        <v>44214</v>
      </c>
      <c r="C46" s="3">
        <f>IFERROR(__xludf.DUMMYFUNCTION("""COMPUTED_VALUE"""),44220.0)</f>
        <v>44220</v>
      </c>
      <c r="D46" s="2">
        <f>IFERROR(__xludf.DUMMYFUNCTION("""COMPUTED_VALUE"""),3.0)</f>
        <v>3</v>
      </c>
      <c r="E46" s="2">
        <f>IFERROR(__xludf.DUMMYFUNCTION("""COMPUTED_VALUE"""),2701.0)</f>
        <v>2701</v>
      </c>
      <c r="F46" s="2">
        <f>IFERROR(__xludf.DUMMYFUNCTION("""COMPUTED_VALUE"""),456.0)</f>
        <v>456</v>
      </c>
      <c r="G46" s="4">
        <f>VLOOKUP(A46,Populacao!A:B,2,0)</f>
        <v>19212362</v>
      </c>
      <c r="H46" s="2">
        <f t="shared" si="1"/>
        <v>2.37347183</v>
      </c>
      <c r="I46" s="2">
        <f t="shared" si="4"/>
        <v>93.34094371</v>
      </c>
      <c r="J46" s="2">
        <f>AVERAGEIFS(Dados!F:F, Dados!A:A, "=Chile", Dados!G:G, "=0", Dados!E:E,D46 )</f>
        <v>1926</v>
      </c>
      <c r="K46" s="2">
        <f t="shared" si="2"/>
        <v>775</v>
      </c>
      <c r="L46" s="2">
        <f t="shared" si="3"/>
        <v>4.033861115</v>
      </c>
      <c r="M46" s="2">
        <f t="shared" si="5"/>
        <v>103.5905944</v>
      </c>
    </row>
    <row r="47">
      <c r="A47" s="2" t="str">
        <f>IFERROR(__xludf.DUMMYFUNCTION("""COMPUTED_VALUE"""),"Chile")</f>
        <v>Chile</v>
      </c>
      <c r="B47" s="3">
        <f>IFERROR(__xludf.DUMMYFUNCTION("""COMPUTED_VALUE"""),44221.0)</f>
        <v>44221</v>
      </c>
      <c r="C47" s="3">
        <f>IFERROR(__xludf.DUMMYFUNCTION("""COMPUTED_VALUE"""),44227.0)</f>
        <v>44227</v>
      </c>
      <c r="D47" s="2">
        <f>IFERROR(__xludf.DUMMYFUNCTION("""COMPUTED_VALUE"""),4.0)</f>
        <v>4</v>
      </c>
      <c r="E47" s="2">
        <f>IFERROR(__xludf.DUMMYFUNCTION("""COMPUTED_VALUE"""),2557.0)</f>
        <v>2557</v>
      </c>
      <c r="F47" s="2">
        <f>IFERROR(__xludf.DUMMYFUNCTION("""COMPUTED_VALUE"""),519.0)</f>
        <v>519</v>
      </c>
      <c r="G47" s="4">
        <f>VLOOKUP(A47,Populacao!A:B,2,0)</f>
        <v>19212362</v>
      </c>
      <c r="H47" s="2">
        <f t="shared" si="1"/>
        <v>2.701385702</v>
      </c>
      <c r="I47" s="2">
        <f t="shared" si="4"/>
        <v>96.04232941</v>
      </c>
      <c r="J47" s="2">
        <f>AVERAGEIFS(Dados!F:F, Dados!A:A, "=Chile", Dados!G:G, "=0", Dados!E:E,D47 )</f>
        <v>1920.8</v>
      </c>
      <c r="K47" s="2">
        <f t="shared" si="2"/>
        <v>636.2</v>
      </c>
      <c r="L47" s="2">
        <f t="shared" si="3"/>
        <v>3.311409602</v>
      </c>
      <c r="M47" s="2">
        <f t="shared" si="5"/>
        <v>106.902004</v>
      </c>
    </row>
    <row r="48">
      <c r="A48" s="2" t="str">
        <f>IFERROR(__xludf.DUMMYFUNCTION("""COMPUTED_VALUE"""),"Chile")</f>
        <v>Chile</v>
      </c>
      <c r="B48" s="3">
        <f>IFERROR(__xludf.DUMMYFUNCTION("""COMPUTED_VALUE"""),44228.0)</f>
        <v>44228</v>
      </c>
      <c r="C48" s="3">
        <f>IFERROR(__xludf.DUMMYFUNCTION("""COMPUTED_VALUE"""),44234.0)</f>
        <v>44234</v>
      </c>
      <c r="D48" s="2">
        <f>IFERROR(__xludf.DUMMYFUNCTION("""COMPUTED_VALUE"""),5.0)</f>
        <v>5</v>
      </c>
      <c r="E48" s="2">
        <f>IFERROR(__xludf.DUMMYFUNCTION("""COMPUTED_VALUE"""),2633.0)</f>
        <v>2633</v>
      </c>
      <c r="F48" s="2">
        <f>IFERROR(__xludf.DUMMYFUNCTION("""COMPUTED_VALUE"""),522.0)</f>
        <v>522</v>
      </c>
      <c r="G48" s="4">
        <f>VLOOKUP(A48,Populacao!A:B,2,0)</f>
        <v>19212362</v>
      </c>
      <c r="H48" s="2">
        <f t="shared" si="1"/>
        <v>2.717000648</v>
      </c>
      <c r="I48" s="2">
        <f t="shared" si="4"/>
        <v>98.75933006</v>
      </c>
      <c r="J48" s="2">
        <f>AVERAGEIFS(Dados!F:F, Dados!A:A, "=Chile", Dados!G:G, "=0", Dados!E:E,D48 )</f>
        <v>1925.8</v>
      </c>
      <c r="K48" s="2">
        <f t="shared" si="2"/>
        <v>707.2</v>
      </c>
      <c r="L48" s="2">
        <f t="shared" si="3"/>
        <v>3.68096333</v>
      </c>
      <c r="M48" s="2">
        <f t="shared" si="5"/>
        <v>110.5829674</v>
      </c>
    </row>
    <row r="49">
      <c r="A49" s="2" t="str">
        <f>IFERROR(__xludf.DUMMYFUNCTION("""COMPUTED_VALUE"""),"Chile")</f>
        <v>Chile</v>
      </c>
      <c r="B49" s="3">
        <f>IFERROR(__xludf.DUMMYFUNCTION("""COMPUTED_VALUE"""),44235.0)</f>
        <v>44235</v>
      </c>
      <c r="C49" s="3">
        <f>IFERROR(__xludf.DUMMYFUNCTION("""COMPUTED_VALUE"""),44241.0)</f>
        <v>44241</v>
      </c>
      <c r="D49" s="2">
        <f>IFERROR(__xludf.DUMMYFUNCTION("""COMPUTED_VALUE"""),6.0)</f>
        <v>6</v>
      </c>
      <c r="E49" s="2">
        <f>IFERROR(__xludf.DUMMYFUNCTION("""COMPUTED_VALUE"""),2506.0)</f>
        <v>2506</v>
      </c>
      <c r="F49" s="2">
        <f>IFERROR(__xludf.DUMMYFUNCTION("""COMPUTED_VALUE"""),567.0)</f>
        <v>567</v>
      </c>
      <c r="G49" s="4">
        <f>VLOOKUP(A49,Populacao!A:B,2,0)</f>
        <v>19212362</v>
      </c>
      <c r="H49" s="2">
        <f t="shared" si="1"/>
        <v>2.951224842</v>
      </c>
      <c r="I49" s="2">
        <f t="shared" si="4"/>
        <v>101.7105549</v>
      </c>
      <c r="J49" s="2">
        <f>AVERAGEIFS(Dados!F:F, Dados!A:A, "=Chile", Dados!G:G, "=0", Dados!E:E,D49 )</f>
        <v>1868</v>
      </c>
      <c r="K49" s="2">
        <f t="shared" si="2"/>
        <v>638</v>
      </c>
      <c r="L49" s="2">
        <f t="shared" si="3"/>
        <v>3.32077857</v>
      </c>
      <c r="M49" s="2">
        <f t="shared" si="5"/>
        <v>113.9037459</v>
      </c>
    </row>
    <row r="50">
      <c r="A50" s="2" t="str">
        <f>IFERROR(__xludf.DUMMYFUNCTION("""COMPUTED_VALUE"""),"Chile")</f>
        <v>Chile</v>
      </c>
      <c r="B50" s="3">
        <f>IFERROR(__xludf.DUMMYFUNCTION("""COMPUTED_VALUE"""),44242.0)</f>
        <v>44242</v>
      </c>
      <c r="C50" s="3">
        <f>IFERROR(__xludf.DUMMYFUNCTION("""COMPUTED_VALUE"""),44248.0)</f>
        <v>44248</v>
      </c>
      <c r="D50" s="2">
        <f>IFERROR(__xludf.DUMMYFUNCTION("""COMPUTED_VALUE"""),7.0)</f>
        <v>7</v>
      </c>
      <c r="E50" s="2">
        <f>IFERROR(__xludf.DUMMYFUNCTION("""COMPUTED_VALUE"""),2502.0)</f>
        <v>2502</v>
      </c>
      <c r="F50" s="2">
        <f>IFERROR(__xludf.DUMMYFUNCTION("""COMPUTED_VALUE"""),501.0)</f>
        <v>501</v>
      </c>
      <c r="G50" s="4">
        <f>VLOOKUP(A50,Populacao!A:B,2,0)</f>
        <v>19212362</v>
      </c>
      <c r="H50" s="2">
        <f t="shared" si="1"/>
        <v>2.607696024</v>
      </c>
      <c r="I50" s="2">
        <f t="shared" si="4"/>
        <v>104.3182509</v>
      </c>
      <c r="J50" s="2">
        <f>AVERAGEIFS(Dados!F:F, Dados!A:A, "=Chile", Dados!G:G, "=0", Dados!E:E,D50 )</f>
        <v>1848.4</v>
      </c>
      <c r="K50" s="2">
        <f t="shared" si="2"/>
        <v>653.6</v>
      </c>
      <c r="L50" s="2">
        <f t="shared" si="3"/>
        <v>3.40197629</v>
      </c>
      <c r="M50" s="2">
        <f t="shared" si="5"/>
        <v>117.3057222</v>
      </c>
    </row>
    <row r="51">
      <c r="A51" s="2" t="str">
        <f>IFERROR(__xludf.DUMMYFUNCTION("""COMPUTED_VALUE"""),"Chile")</f>
        <v>Chile</v>
      </c>
      <c r="B51" s="3">
        <f>IFERROR(__xludf.DUMMYFUNCTION("""COMPUTED_VALUE"""),44249.0)</f>
        <v>44249</v>
      </c>
      <c r="C51" s="3">
        <f>IFERROR(__xludf.DUMMYFUNCTION("""COMPUTED_VALUE"""),44255.0)</f>
        <v>44255</v>
      </c>
      <c r="D51" s="2">
        <f>IFERROR(__xludf.DUMMYFUNCTION("""COMPUTED_VALUE"""),8.0)</f>
        <v>8</v>
      </c>
      <c r="E51" s="2">
        <f>IFERROR(__xludf.DUMMYFUNCTION("""COMPUTED_VALUE"""),2606.0)</f>
        <v>2606</v>
      </c>
      <c r="F51" s="2">
        <f>IFERROR(__xludf.DUMMYFUNCTION("""COMPUTED_VALUE"""),530.0)</f>
        <v>530</v>
      </c>
      <c r="G51" s="4">
        <f>VLOOKUP(A51,Populacao!A:B,2,0)</f>
        <v>19212362</v>
      </c>
      <c r="H51" s="2">
        <f t="shared" si="1"/>
        <v>2.758640504</v>
      </c>
      <c r="I51" s="2">
        <f t="shared" si="4"/>
        <v>107.0768914</v>
      </c>
      <c r="J51" s="2">
        <f>AVERAGEIFS(Dados!F:F, Dados!A:A, "=Chile", Dados!G:G, "=0", Dados!E:E,D51 )</f>
        <v>1884.2</v>
      </c>
      <c r="K51" s="2">
        <f t="shared" si="2"/>
        <v>721.8</v>
      </c>
      <c r="L51" s="2">
        <f t="shared" si="3"/>
        <v>3.756956068</v>
      </c>
      <c r="M51" s="2">
        <f t="shared" si="5"/>
        <v>121.0626783</v>
      </c>
    </row>
    <row r="52">
      <c r="A52" s="2" t="str">
        <f>IFERROR(__xludf.DUMMYFUNCTION("""COMPUTED_VALUE"""),"Chile")</f>
        <v>Chile</v>
      </c>
      <c r="B52" s="3">
        <f>IFERROR(__xludf.DUMMYFUNCTION("""COMPUTED_VALUE"""),44256.0)</f>
        <v>44256</v>
      </c>
      <c r="C52" s="3">
        <f>IFERROR(__xludf.DUMMYFUNCTION("""COMPUTED_VALUE"""),44262.0)</f>
        <v>44262</v>
      </c>
      <c r="D52" s="2">
        <f>IFERROR(__xludf.DUMMYFUNCTION("""COMPUTED_VALUE"""),9.0)</f>
        <v>9</v>
      </c>
      <c r="E52" s="2">
        <f>IFERROR(__xludf.DUMMYFUNCTION("""COMPUTED_VALUE"""),2661.0)</f>
        <v>2661</v>
      </c>
      <c r="F52" s="2">
        <f>IFERROR(__xludf.DUMMYFUNCTION("""COMPUTED_VALUE"""),505.0)</f>
        <v>505</v>
      </c>
      <c r="G52" s="4">
        <f>VLOOKUP(A52,Populacao!A:B,2,0)</f>
        <v>19212362</v>
      </c>
      <c r="H52" s="2">
        <f t="shared" si="1"/>
        <v>2.628515952</v>
      </c>
      <c r="I52" s="2">
        <f t="shared" si="4"/>
        <v>109.7054074</v>
      </c>
      <c r="J52" s="2">
        <f>AVERAGEIFS(Dados!F:F, Dados!A:A, "=Chile", Dados!G:G, "=0", Dados!E:E,D52 )</f>
        <v>1802.8</v>
      </c>
      <c r="K52" s="2">
        <f t="shared" si="2"/>
        <v>858.2</v>
      </c>
      <c r="L52" s="2">
        <f t="shared" si="3"/>
        <v>4.466915624</v>
      </c>
      <c r="M52" s="2">
        <f t="shared" si="5"/>
        <v>125.5295939</v>
      </c>
    </row>
    <row r="53">
      <c r="A53" s="2" t="str">
        <f>IFERROR(__xludf.DUMMYFUNCTION("""COMPUTED_VALUE"""),"Chile")</f>
        <v>Chile</v>
      </c>
      <c r="B53" s="3">
        <f>IFERROR(__xludf.DUMMYFUNCTION("""COMPUTED_VALUE"""),44263.0)</f>
        <v>44263</v>
      </c>
      <c r="C53" s="3">
        <f>IFERROR(__xludf.DUMMYFUNCTION("""COMPUTED_VALUE"""),44269.0)</f>
        <v>44269</v>
      </c>
      <c r="D53" s="2">
        <f>IFERROR(__xludf.DUMMYFUNCTION("""COMPUTED_VALUE"""),10.0)</f>
        <v>10</v>
      </c>
      <c r="E53" s="2">
        <f>IFERROR(__xludf.DUMMYFUNCTION("""COMPUTED_VALUE"""),2656.0)</f>
        <v>2656</v>
      </c>
      <c r="F53" s="2">
        <f>IFERROR(__xludf.DUMMYFUNCTION("""COMPUTED_VALUE"""),597.0)</f>
        <v>597</v>
      </c>
      <c r="G53" s="4">
        <f>VLOOKUP(A53,Populacao!A:B,2,0)</f>
        <v>19212362</v>
      </c>
      <c r="H53" s="2">
        <f t="shared" si="1"/>
        <v>3.107374304</v>
      </c>
      <c r="I53" s="2">
        <f t="shared" si="4"/>
        <v>112.8127817</v>
      </c>
      <c r="J53" s="2">
        <f>AVERAGEIFS(Dados!F:F, Dados!A:A, "=Chile", Dados!G:G, "=0", Dados!E:E,D53 )</f>
        <v>1808.4</v>
      </c>
      <c r="K53" s="2">
        <f t="shared" si="2"/>
        <v>847.6</v>
      </c>
      <c r="L53" s="2">
        <f t="shared" si="3"/>
        <v>4.411742814</v>
      </c>
      <c r="M53" s="2">
        <f t="shared" si="5"/>
        <v>129.9413367</v>
      </c>
    </row>
    <row r="54">
      <c r="A54" s="2" t="str">
        <f>IFERROR(__xludf.DUMMYFUNCTION("""COMPUTED_VALUE"""),"Chile")</f>
        <v>Chile</v>
      </c>
      <c r="B54" s="3">
        <f>IFERROR(__xludf.DUMMYFUNCTION("""COMPUTED_VALUE"""),44270.0)</f>
        <v>44270</v>
      </c>
      <c r="C54" s="3">
        <f>IFERROR(__xludf.DUMMYFUNCTION("""COMPUTED_VALUE"""),44276.0)</f>
        <v>44276</v>
      </c>
      <c r="D54" s="2">
        <f>IFERROR(__xludf.DUMMYFUNCTION("""COMPUTED_VALUE"""),11.0)</f>
        <v>11</v>
      </c>
      <c r="E54" s="2">
        <f>IFERROR(__xludf.DUMMYFUNCTION("""COMPUTED_VALUE"""),2550.0)</f>
        <v>2550</v>
      </c>
      <c r="F54" s="2">
        <f>IFERROR(__xludf.DUMMYFUNCTION("""COMPUTED_VALUE"""),605.0)</f>
        <v>605</v>
      </c>
      <c r="G54" s="4">
        <f>VLOOKUP(A54,Populacao!A:B,2,0)</f>
        <v>19212362</v>
      </c>
      <c r="H54" s="2">
        <f t="shared" si="1"/>
        <v>3.149014161</v>
      </c>
      <c r="I54" s="2">
        <f t="shared" si="4"/>
        <v>115.9617958</v>
      </c>
      <c r="J54" s="2">
        <f>AVERAGEIFS(Dados!F:F, Dados!A:A, "=Chile", Dados!G:G, "=0", Dados!E:E,D54 )</f>
        <v>1821.8</v>
      </c>
      <c r="K54" s="2">
        <f t="shared" si="2"/>
        <v>728.2</v>
      </c>
      <c r="L54" s="2">
        <f t="shared" si="3"/>
        <v>3.790267954</v>
      </c>
      <c r="M54" s="2">
        <f t="shared" si="5"/>
        <v>133.7316047</v>
      </c>
    </row>
    <row r="55">
      <c r="A55" s="2" t="str">
        <f>IFERROR(__xludf.DUMMYFUNCTION("""COMPUTED_VALUE"""),"Chile")</f>
        <v>Chile</v>
      </c>
      <c r="B55" s="3">
        <f>IFERROR(__xludf.DUMMYFUNCTION("""COMPUTED_VALUE"""),44277.0)</f>
        <v>44277</v>
      </c>
      <c r="C55" s="3">
        <f>IFERROR(__xludf.DUMMYFUNCTION("""COMPUTED_VALUE"""),44283.0)</f>
        <v>44283</v>
      </c>
      <c r="D55" s="2">
        <f>IFERROR(__xludf.DUMMYFUNCTION("""COMPUTED_VALUE"""),12.0)</f>
        <v>12</v>
      </c>
      <c r="E55" s="2">
        <f>IFERROR(__xludf.DUMMYFUNCTION("""COMPUTED_VALUE"""),2741.0)</f>
        <v>2741</v>
      </c>
      <c r="F55" s="2">
        <f>IFERROR(__xludf.DUMMYFUNCTION("""COMPUTED_VALUE"""),475.0)</f>
        <v>475</v>
      </c>
      <c r="G55" s="4">
        <f>VLOOKUP(A55,Populacao!A:B,2,0)</f>
        <v>19212362</v>
      </c>
      <c r="H55" s="2">
        <f t="shared" si="1"/>
        <v>2.47236649</v>
      </c>
      <c r="I55" s="2">
        <f t="shared" si="4"/>
        <v>118.4341623</v>
      </c>
      <c r="J55" s="2">
        <f>AVERAGEIFS(Dados!F:F, Dados!A:A, "=Chile", Dados!G:G, "=0", Dados!E:E,D55 )</f>
        <v>1806</v>
      </c>
      <c r="K55" s="2">
        <f t="shared" si="2"/>
        <v>935</v>
      </c>
      <c r="L55" s="2">
        <f t="shared" si="3"/>
        <v>4.866658248</v>
      </c>
      <c r="M55" s="2">
        <f t="shared" si="5"/>
        <v>138.5982629</v>
      </c>
    </row>
    <row r="56">
      <c r="A56" s="2" t="str">
        <f>IFERROR(__xludf.DUMMYFUNCTION("""COMPUTED_VALUE"""),"Chile")</f>
        <v>Chile</v>
      </c>
      <c r="B56" s="3">
        <f>IFERROR(__xludf.DUMMYFUNCTION("""COMPUTED_VALUE"""),44284.0)</f>
        <v>44284</v>
      </c>
      <c r="C56" s="3">
        <f>IFERROR(__xludf.DUMMYFUNCTION("""COMPUTED_VALUE"""),44290.0)</f>
        <v>44290</v>
      </c>
      <c r="D56" s="2">
        <f>IFERROR(__xludf.DUMMYFUNCTION("""COMPUTED_VALUE"""),13.0)</f>
        <v>13</v>
      </c>
      <c r="E56" s="2">
        <f>IFERROR(__xludf.DUMMYFUNCTION("""COMPUTED_VALUE"""),2833.0)</f>
        <v>2833</v>
      </c>
      <c r="F56" s="2">
        <f>IFERROR(__xludf.DUMMYFUNCTION("""COMPUTED_VALUE"""),890.0)</f>
        <v>890</v>
      </c>
      <c r="G56" s="4">
        <f>VLOOKUP(A56,Populacao!A:B,2,0)</f>
        <v>19212362</v>
      </c>
      <c r="H56" s="2">
        <f t="shared" si="1"/>
        <v>4.632434055</v>
      </c>
      <c r="I56" s="2">
        <f t="shared" si="4"/>
        <v>123.0665964</v>
      </c>
      <c r="J56" s="2">
        <f>AVERAGEIFS(Dados!F:F, Dados!A:A, "=Chile", Dados!G:G, "=0", Dados!E:E,D56 )</f>
        <v>1841.5</v>
      </c>
      <c r="K56" s="2">
        <f t="shared" si="2"/>
        <v>991.5</v>
      </c>
      <c r="L56" s="2">
        <f t="shared" si="3"/>
        <v>5.160739736</v>
      </c>
      <c r="M56" s="2">
        <f t="shared" si="5"/>
        <v>143.7590027</v>
      </c>
    </row>
    <row r="57">
      <c r="A57" s="2" t="str">
        <f>IFERROR(__xludf.DUMMYFUNCTION("""COMPUTED_VALUE"""),"Chile")</f>
        <v>Chile</v>
      </c>
      <c r="B57" s="3">
        <f>IFERROR(__xludf.DUMMYFUNCTION("""COMPUTED_VALUE"""),44291.0)</f>
        <v>44291</v>
      </c>
      <c r="C57" s="3">
        <f>IFERROR(__xludf.DUMMYFUNCTION("""COMPUTED_VALUE"""),44297.0)</f>
        <v>44297</v>
      </c>
      <c r="D57" s="2">
        <f>IFERROR(__xludf.DUMMYFUNCTION("""COMPUTED_VALUE"""),14.0)</f>
        <v>14</v>
      </c>
      <c r="E57" s="2">
        <f>IFERROR(__xludf.DUMMYFUNCTION("""COMPUTED_VALUE"""),2849.0)</f>
        <v>2849</v>
      </c>
      <c r="F57" s="2">
        <f>IFERROR(__xludf.DUMMYFUNCTION("""COMPUTED_VALUE"""),702.0)</f>
        <v>702</v>
      </c>
      <c r="G57" s="4">
        <f>VLOOKUP(A57,Populacao!A:B,2,0)</f>
        <v>19212362</v>
      </c>
      <c r="H57" s="2">
        <f t="shared" si="1"/>
        <v>3.653897423</v>
      </c>
      <c r="I57" s="2">
        <f t="shared" si="4"/>
        <v>126.7204938</v>
      </c>
      <c r="J57" s="2">
        <f>AVERAGEIFS(Dados!F:F, Dados!A:A, "=Chile", Dados!G:G, "=0", Dados!E:E,D57 )</f>
        <v>1886.5</v>
      </c>
      <c r="K57" s="2">
        <f t="shared" si="2"/>
        <v>962.5</v>
      </c>
      <c r="L57" s="2">
        <f t="shared" si="3"/>
        <v>5.009795256</v>
      </c>
      <c r="M57" s="2">
        <f t="shared" si="5"/>
        <v>148.7687979</v>
      </c>
    </row>
    <row r="58">
      <c r="A58" s="2" t="str">
        <f>IFERROR(__xludf.DUMMYFUNCTION("""COMPUTED_VALUE"""),"Chile")</f>
        <v>Chile</v>
      </c>
      <c r="B58" s="3">
        <f>IFERROR(__xludf.DUMMYFUNCTION("""COMPUTED_VALUE"""),44298.0)</f>
        <v>44298</v>
      </c>
      <c r="C58" s="3">
        <f>IFERROR(__xludf.DUMMYFUNCTION("""COMPUTED_VALUE"""),44304.0)</f>
        <v>44304</v>
      </c>
      <c r="D58" s="2">
        <f>IFERROR(__xludf.DUMMYFUNCTION("""COMPUTED_VALUE"""),15.0)</f>
        <v>15</v>
      </c>
      <c r="E58" s="2">
        <f>IFERROR(__xludf.DUMMYFUNCTION("""COMPUTED_VALUE"""),2897.0)</f>
        <v>2897</v>
      </c>
      <c r="F58" s="2">
        <f>IFERROR(__xludf.DUMMYFUNCTION("""COMPUTED_VALUE"""),831.0)</f>
        <v>831</v>
      </c>
      <c r="G58" s="4">
        <f>VLOOKUP(A58,Populacao!A:B,2,0)</f>
        <v>19212362</v>
      </c>
      <c r="H58" s="2">
        <f t="shared" si="1"/>
        <v>4.325340112</v>
      </c>
      <c r="I58" s="2">
        <f t="shared" si="4"/>
        <v>131.0458339</v>
      </c>
      <c r="J58" s="2">
        <f>AVERAGEIFS(Dados!F:F, Dados!A:A, "=Chile", Dados!G:G, "=0", Dados!E:E,D58 )</f>
        <v>1951.5</v>
      </c>
      <c r="K58" s="2">
        <f t="shared" si="2"/>
        <v>945.5</v>
      </c>
      <c r="L58" s="2">
        <f t="shared" si="3"/>
        <v>4.92131056</v>
      </c>
      <c r="M58" s="2">
        <f t="shared" si="5"/>
        <v>153.6901085</v>
      </c>
    </row>
    <row r="59">
      <c r="A59" s="2" t="str">
        <f>IFERROR(__xludf.DUMMYFUNCTION("""COMPUTED_VALUE"""),"Chile")</f>
        <v>Chile</v>
      </c>
      <c r="B59" s="3">
        <f>IFERROR(__xludf.DUMMYFUNCTION("""COMPUTED_VALUE"""),44305.0)</f>
        <v>44305</v>
      </c>
      <c r="C59" s="3">
        <f>IFERROR(__xludf.DUMMYFUNCTION("""COMPUTED_VALUE"""),44311.0)</f>
        <v>44311</v>
      </c>
      <c r="D59" s="2">
        <f>IFERROR(__xludf.DUMMYFUNCTION("""COMPUTED_VALUE"""),16.0)</f>
        <v>16</v>
      </c>
      <c r="E59" s="2">
        <f>IFERROR(__xludf.DUMMYFUNCTION("""COMPUTED_VALUE"""),2664.0)</f>
        <v>2664</v>
      </c>
      <c r="F59" s="2">
        <f>IFERROR(__xludf.DUMMYFUNCTION("""COMPUTED_VALUE"""),679.0)</f>
        <v>679</v>
      </c>
      <c r="G59" s="4">
        <f>VLOOKUP(A59,Populacao!A:B,2,0)</f>
        <v>19212362</v>
      </c>
      <c r="H59" s="2">
        <f t="shared" si="1"/>
        <v>3.534182835</v>
      </c>
      <c r="I59" s="2">
        <f t="shared" si="4"/>
        <v>134.5800168</v>
      </c>
      <c r="J59" s="2">
        <f>AVERAGEIFS(Dados!F:F, Dados!A:A, "=Chile", Dados!G:G, "=0", Dados!E:E,D59 )</f>
        <v>1909</v>
      </c>
      <c r="K59" s="2">
        <f t="shared" si="2"/>
        <v>755</v>
      </c>
      <c r="L59" s="2">
        <f t="shared" si="3"/>
        <v>3.929761473</v>
      </c>
      <c r="M59" s="2">
        <f t="shared" si="5"/>
        <v>157.61987</v>
      </c>
    </row>
    <row r="60">
      <c r="A60" s="2" t="str">
        <f>IFERROR(__xludf.DUMMYFUNCTION("""COMPUTED_VALUE"""),"Chile")</f>
        <v>Chile</v>
      </c>
      <c r="B60" s="3">
        <f>IFERROR(__xludf.DUMMYFUNCTION("""COMPUTED_VALUE"""),44312.0)</f>
        <v>44312</v>
      </c>
      <c r="C60" s="3">
        <f>IFERROR(__xludf.DUMMYFUNCTION("""COMPUTED_VALUE"""),44318.0)</f>
        <v>44318</v>
      </c>
      <c r="D60" s="2">
        <f>IFERROR(__xludf.DUMMYFUNCTION("""COMPUTED_VALUE"""),17.0)</f>
        <v>17</v>
      </c>
      <c r="E60" s="2">
        <f>IFERROR(__xludf.DUMMYFUNCTION("""COMPUTED_VALUE"""),2786.0)</f>
        <v>2786</v>
      </c>
      <c r="F60" s="2">
        <f>IFERROR(__xludf.DUMMYFUNCTION("""COMPUTED_VALUE"""),705.0)</f>
        <v>705</v>
      </c>
      <c r="G60" s="4">
        <f>VLOOKUP(A60,Populacao!A:B,2,0)</f>
        <v>19212362</v>
      </c>
      <c r="H60" s="2">
        <f t="shared" si="1"/>
        <v>3.669512369</v>
      </c>
      <c r="I60" s="2">
        <f t="shared" si="4"/>
        <v>138.2495291</v>
      </c>
      <c r="J60" s="2">
        <f>AVERAGEIFS(Dados!F:F, Dados!A:A, "=Chile", Dados!G:G, "=0", Dados!E:E,D60 )</f>
        <v>1984.5</v>
      </c>
      <c r="K60" s="2">
        <f t="shared" si="2"/>
        <v>801.5</v>
      </c>
      <c r="L60" s="2">
        <f t="shared" si="3"/>
        <v>4.17179314</v>
      </c>
      <c r="M60" s="2">
        <f t="shared" si="5"/>
        <v>161.7916631</v>
      </c>
    </row>
    <row r="61">
      <c r="A61" s="2" t="str">
        <f>IFERROR(__xludf.DUMMYFUNCTION("""COMPUTED_VALUE"""),"Chile")</f>
        <v>Chile</v>
      </c>
      <c r="B61" s="3">
        <f>IFERROR(__xludf.DUMMYFUNCTION("""COMPUTED_VALUE"""),44319.0)</f>
        <v>44319</v>
      </c>
      <c r="C61" s="3">
        <f>IFERROR(__xludf.DUMMYFUNCTION("""COMPUTED_VALUE"""),44325.0)</f>
        <v>44325</v>
      </c>
      <c r="D61" s="2">
        <f>IFERROR(__xludf.DUMMYFUNCTION("""COMPUTED_VALUE"""),18.0)</f>
        <v>18</v>
      </c>
      <c r="E61" s="2">
        <f>IFERROR(__xludf.DUMMYFUNCTION("""COMPUTED_VALUE"""),2731.0)</f>
        <v>2731</v>
      </c>
      <c r="F61" s="2">
        <f>IFERROR(__xludf.DUMMYFUNCTION("""COMPUTED_VALUE"""),657.0)</f>
        <v>657</v>
      </c>
      <c r="G61" s="4">
        <f>VLOOKUP(A61,Populacao!A:B,2,0)</f>
        <v>19212362</v>
      </c>
      <c r="H61" s="2">
        <f t="shared" si="1"/>
        <v>3.419673229</v>
      </c>
      <c r="I61" s="2">
        <f t="shared" si="4"/>
        <v>141.6692024</v>
      </c>
      <c r="J61" s="2">
        <f>AVERAGEIFS(Dados!F:F, Dados!A:A, "=Chile", Dados!G:G, "=0", Dados!E:E,D61 )</f>
        <v>1979.25</v>
      </c>
      <c r="K61" s="2">
        <f t="shared" si="2"/>
        <v>751.75</v>
      </c>
      <c r="L61" s="2">
        <f t="shared" si="3"/>
        <v>3.912845282</v>
      </c>
      <c r="M61" s="2">
        <f t="shared" si="5"/>
        <v>165.7045084</v>
      </c>
    </row>
    <row r="62">
      <c r="A62" s="2" t="str">
        <f>IFERROR(__xludf.DUMMYFUNCTION("""COMPUTED_VALUE"""),"Chile")</f>
        <v>Chile</v>
      </c>
      <c r="B62" s="3">
        <f>IFERROR(__xludf.DUMMYFUNCTION("""COMPUTED_VALUE"""),44326.0)</f>
        <v>44326</v>
      </c>
      <c r="C62" s="3">
        <f>IFERROR(__xludf.DUMMYFUNCTION("""COMPUTED_VALUE"""),44332.0)</f>
        <v>44332</v>
      </c>
      <c r="D62" s="2">
        <f>IFERROR(__xludf.DUMMYFUNCTION("""COMPUTED_VALUE"""),19.0)</f>
        <v>19</v>
      </c>
      <c r="E62" s="2">
        <f>IFERROR(__xludf.DUMMYFUNCTION("""COMPUTED_VALUE"""),2766.0)</f>
        <v>2766</v>
      </c>
      <c r="F62" s="2">
        <f>IFERROR(__xludf.DUMMYFUNCTION("""COMPUTED_VALUE"""),614.0)</f>
        <v>614</v>
      </c>
      <c r="G62" s="4">
        <f>VLOOKUP(A62,Populacao!A:B,2,0)</f>
        <v>19212362</v>
      </c>
      <c r="H62" s="2">
        <f t="shared" si="1"/>
        <v>3.195859</v>
      </c>
      <c r="I62" s="2">
        <f t="shared" si="4"/>
        <v>144.8650614</v>
      </c>
      <c r="J62" s="2">
        <f>AVERAGEIFS(Dados!F:F, Dados!A:A, "=Chile", Dados!G:G, "=0", Dados!E:E,D62 )</f>
        <v>1955.5</v>
      </c>
      <c r="K62" s="2">
        <f t="shared" si="2"/>
        <v>810.5</v>
      </c>
      <c r="L62" s="2">
        <f t="shared" si="3"/>
        <v>4.218637979</v>
      </c>
      <c r="M62" s="2">
        <f t="shared" si="5"/>
        <v>169.9231464</v>
      </c>
    </row>
    <row r="63">
      <c r="A63" s="2" t="str">
        <f>IFERROR(__xludf.DUMMYFUNCTION("""COMPUTED_VALUE"""),"Chile")</f>
        <v>Chile</v>
      </c>
      <c r="B63" s="3">
        <f>IFERROR(__xludf.DUMMYFUNCTION("""COMPUTED_VALUE"""),44333.0)</f>
        <v>44333</v>
      </c>
      <c r="C63" s="3">
        <f>IFERROR(__xludf.DUMMYFUNCTION("""COMPUTED_VALUE"""),44339.0)</f>
        <v>44339</v>
      </c>
      <c r="D63" s="2">
        <f>IFERROR(__xludf.DUMMYFUNCTION("""COMPUTED_VALUE"""),20.0)</f>
        <v>20</v>
      </c>
      <c r="E63" s="2">
        <f>IFERROR(__xludf.DUMMYFUNCTION("""COMPUTED_VALUE"""),2936.0)</f>
        <v>2936</v>
      </c>
      <c r="F63" s="2">
        <f>IFERROR(__xludf.DUMMYFUNCTION("""COMPUTED_VALUE"""),686.0)</f>
        <v>686</v>
      </c>
      <c r="G63" s="4">
        <f>VLOOKUP(A63,Populacao!A:B,2,0)</f>
        <v>19212362</v>
      </c>
      <c r="H63" s="2">
        <f t="shared" si="1"/>
        <v>3.57061771</v>
      </c>
      <c r="I63" s="2">
        <f t="shared" si="4"/>
        <v>148.4356791</v>
      </c>
      <c r="J63" s="2">
        <f>AVERAGEIFS(Dados!F:F, Dados!A:A, "=Chile", Dados!G:G, "=0", Dados!E:E,D63 )</f>
        <v>2037.25</v>
      </c>
      <c r="K63" s="2">
        <f t="shared" si="2"/>
        <v>898.75</v>
      </c>
      <c r="L63" s="2">
        <f t="shared" si="3"/>
        <v>4.677977648</v>
      </c>
      <c r="M63" s="2">
        <f t="shared" si="5"/>
        <v>174.601124</v>
      </c>
    </row>
    <row r="64">
      <c r="A64" s="2" t="str">
        <f>IFERROR(__xludf.DUMMYFUNCTION("""COMPUTED_VALUE"""),"Chile")</f>
        <v>Chile</v>
      </c>
      <c r="B64" s="3">
        <f>IFERROR(__xludf.DUMMYFUNCTION("""COMPUTED_VALUE"""),44340.0)</f>
        <v>44340</v>
      </c>
      <c r="C64" s="3">
        <f>IFERROR(__xludf.DUMMYFUNCTION("""COMPUTED_VALUE"""),44346.0)</f>
        <v>44346</v>
      </c>
      <c r="D64" s="2">
        <f>IFERROR(__xludf.DUMMYFUNCTION("""COMPUTED_VALUE"""),21.0)</f>
        <v>21</v>
      </c>
      <c r="E64" s="2">
        <f>IFERROR(__xludf.DUMMYFUNCTION("""COMPUTED_VALUE"""),3081.0)</f>
        <v>3081</v>
      </c>
      <c r="F64" s="2">
        <f>IFERROR(__xludf.DUMMYFUNCTION("""COMPUTED_VALUE"""),650.0)</f>
        <v>650</v>
      </c>
      <c r="G64" s="4">
        <f>VLOOKUP(A64,Populacao!A:B,2,0)</f>
        <v>19212362</v>
      </c>
      <c r="H64" s="2">
        <f t="shared" si="1"/>
        <v>3.383238355</v>
      </c>
      <c r="I64" s="2">
        <f t="shared" si="4"/>
        <v>151.8189174</v>
      </c>
      <c r="J64" s="2">
        <f>AVERAGEIFS(Dados!F:F, Dados!A:A, "=Chile", Dados!G:G, "=0", Dados!E:E,D64 )</f>
        <v>2176.5</v>
      </c>
      <c r="K64" s="2">
        <f t="shared" si="2"/>
        <v>904.5</v>
      </c>
      <c r="L64" s="2">
        <f t="shared" si="3"/>
        <v>4.707906295</v>
      </c>
      <c r="M64" s="2">
        <f t="shared" si="5"/>
        <v>179.3090303</v>
      </c>
    </row>
    <row r="65">
      <c r="A65" s="2" t="str">
        <f>IFERROR(__xludf.DUMMYFUNCTION("""COMPUTED_VALUE"""),"Chile")</f>
        <v>Chile</v>
      </c>
      <c r="B65" s="3">
        <f>IFERROR(__xludf.DUMMYFUNCTION("""COMPUTED_VALUE"""),44347.0)</f>
        <v>44347</v>
      </c>
      <c r="C65" s="3">
        <f>IFERROR(__xludf.DUMMYFUNCTION("""COMPUTED_VALUE"""),44353.0)</f>
        <v>44353</v>
      </c>
      <c r="D65" s="2">
        <f>IFERROR(__xludf.DUMMYFUNCTION("""COMPUTED_VALUE"""),22.0)</f>
        <v>22</v>
      </c>
      <c r="E65" s="2">
        <f>IFERROR(__xludf.DUMMYFUNCTION("""COMPUTED_VALUE"""),3014.0)</f>
        <v>3014</v>
      </c>
      <c r="F65" s="2">
        <f>IFERROR(__xludf.DUMMYFUNCTION("""COMPUTED_VALUE"""),769.0)</f>
        <v>769</v>
      </c>
      <c r="G65" s="4">
        <f>VLOOKUP(A65,Populacao!A:B,2,0)</f>
        <v>19212362</v>
      </c>
      <c r="H65" s="2">
        <f t="shared" si="1"/>
        <v>4.002631223</v>
      </c>
      <c r="I65" s="2">
        <f t="shared" si="4"/>
        <v>155.8215486</v>
      </c>
      <c r="J65" s="2">
        <f>AVERAGEIFS(Dados!F:F, Dados!A:A, "=Chile", Dados!G:G, "=0", Dados!E:E,D65 )</f>
        <v>2208</v>
      </c>
      <c r="K65" s="2">
        <f t="shared" si="2"/>
        <v>806</v>
      </c>
      <c r="L65" s="2">
        <f t="shared" si="3"/>
        <v>4.19521556</v>
      </c>
      <c r="M65" s="2">
        <f t="shared" si="5"/>
        <v>183.5042459</v>
      </c>
    </row>
    <row r="66">
      <c r="A66" s="2" t="str">
        <f>IFERROR(__xludf.DUMMYFUNCTION("""COMPUTED_VALUE"""),"Chile")</f>
        <v>Chile</v>
      </c>
      <c r="B66" s="3">
        <f>IFERROR(__xludf.DUMMYFUNCTION("""COMPUTED_VALUE"""),44354.0)</f>
        <v>44354</v>
      </c>
      <c r="C66" s="3">
        <f>IFERROR(__xludf.DUMMYFUNCTION("""COMPUTED_VALUE"""),44360.0)</f>
        <v>44360</v>
      </c>
      <c r="D66" s="2">
        <f>IFERROR(__xludf.DUMMYFUNCTION("""COMPUTED_VALUE"""),23.0)</f>
        <v>23</v>
      </c>
      <c r="E66" s="2">
        <f>IFERROR(__xludf.DUMMYFUNCTION("""COMPUTED_VALUE"""),3132.0)</f>
        <v>3132</v>
      </c>
      <c r="F66" s="2">
        <f>IFERROR(__xludf.DUMMYFUNCTION("""COMPUTED_VALUE"""),770.0)</f>
        <v>770</v>
      </c>
      <c r="G66" s="4">
        <f>VLOOKUP(A66,Populacao!A:B,2,0)</f>
        <v>19212362</v>
      </c>
      <c r="H66" s="2">
        <f t="shared" si="1"/>
        <v>4.007836205</v>
      </c>
      <c r="I66" s="2">
        <f t="shared" si="4"/>
        <v>159.8293849</v>
      </c>
      <c r="J66" s="2">
        <f>AVERAGEIFS(Dados!F:F, Dados!A:A, "=Chile", Dados!G:G, "=0", Dados!E:E,D66 )</f>
        <v>2310.75</v>
      </c>
      <c r="K66" s="2">
        <f t="shared" si="2"/>
        <v>821.25</v>
      </c>
      <c r="L66" s="2">
        <f t="shared" si="3"/>
        <v>4.274591536</v>
      </c>
      <c r="M66" s="2">
        <f t="shared" si="5"/>
        <v>187.7788374</v>
      </c>
    </row>
    <row r="67">
      <c r="A67" s="2" t="str">
        <f>IFERROR(__xludf.DUMMYFUNCTION("""COMPUTED_VALUE"""),"Chile")</f>
        <v>Chile</v>
      </c>
      <c r="B67" s="3">
        <f>IFERROR(__xludf.DUMMYFUNCTION("""COMPUTED_VALUE"""),44361.0)</f>
        <v>44361</v>
      </c>
      <c r="C67" s="3">
        <f>IFERROR(__xludf.DUMMYFUNCTION("""COMPUTED_VALUE"""),44367.0)</f>
        <v>44367</v>
      </c>
      <c r="D67" s="2">
        <f>IFERROR(__xludf.DUMMYFUNCTION("""COMPUTED_VALUE"""),24.0)</f>
        <v>24</v>
      </c>
      <c r="E67" s="2">
        <f>IFERROR(__xludf.DUMMYFUNCTION("""COMPUTED_VALUE"""),3180.0)</f>
        <v>3180</v>
      </c>
      <c r="F67" s="2">
        <f>IFERROR(__xludf.DUMMYFUNCTION("""COMPUTED_VALUE"""),806.0)</f>
        <v>806</v>
      </c>
      <c r="G67" s="4">
        <f>VLOOKUP(A67,Populacao!A:B,2,0)</f>
        <v>19212362</v>
      </c>
      <c r="H67" s="2">
        <f t="shared" si="1"/>
        <v>4.19521556</v>
      </c>
      <c r="I67" s="2">
        <f t="shared" si="4"/>
        <v>164.0246004</v>
      </c>
      <c r="J67" s="2">
        <f>AVERAGEIFS(Dados!F:F, Dados!A:A, "=Chile", Dados!G:G, "=0", Dados!E:E,D67 )</f>
        <v>2415.25</v>
      </c>
      <c r="K67" s="2">
        <f t="shared" si="2"/>
        <v>764.75</v>
      </c>
      <c r="L67" s="2">
        <f t="shared" si="3"/>
        <v>3.980510049</v>
      </c>
      <c r="M67" s="2">
        <f t="shared" si="5"/>
        <v>191.7593474</v>
      </c>
    </row>
    <row r="68">
      <c r="A68" s="2" t="str">
        <f>IFERROR(__xludf.DUMMYFUNCTION("""COMPUTED_VALUE"""),"Chile")</f>
        <v>Chile</v>
      </c>
      <c r="B68" s="3">
        <f>IFERROR(__xludf.DUMMYFUNCTION("""COMPUTED_VALUE"""),44368.0)</f>
        <v>44368</v>
      </c>
      <c r="C68" s="3">
        <f>IFERROR(__xludf.DUMMYFUNCTION("""COMPUTED_VALUE"""),44374.0)</f>
        <v>44374</v>
      </c>
      <c r="D68" s="2">
        <f>IFERROR(__xludf.DUMMYFUNCTION("""COMPUTED_VALUE"""),25.0)</f>
        <v>25</v>
      </c>
      <c r="E68" s="2">
        <f>IFERROR(__xludf.DUMMYFUNCTION("""COMPUTED_VALUE"""),3194.0)</f>
        <v>3194</v>
      </c>
      <c r="F68" s="2">
        <f>IFERROR(__xludf.DUMMYFUNCTION("""COMPUTED_VALUE"""),785.0)</f>
        <v>785</v>
      </c>
      <c r="G68" s="4">
        <f>VLOOKUP(A68,Populacao!A:B,2,0)</f>
        <v>19212362</v>
      </c>
      <c r="H68" s="2">
        <f t="shared" si="1"/>
        <v>4.085910936</v>
      </c>
      <c r="I68" s="2">
        <f t="shared" si="4"/>
        <v>168.1105113</v>
      </c>
      <c r="J68" s="2">
        <f>AVERAGEIFS(Dados!F:F, Dados!A:A, "=Chile", Dados!G:G, "=0", Dados!E:E,D68 )</f>
        <v>2425.5</v>
      </c>
      <c r="K68" s="2">
        <f t="shared" si="2"/>
        <v>768.5</v>
      </c>
      <c r="L68" s="2">
        <f t="shared" si="3"/>
        <v>4.000028732</v>
      </c>
      <c r="M68" s="2">
        <f t="shared" si="5"/>
        <v>195.7593762</v>
      </c>
    </row>
    <row r="69">
      <c r="A69" s="2" t="str">
        <f>IFERROR(__xludf.DUMMYFUNCTION("""COMPUTED_VALUE"""),"Chile")</f>
        <v>Chile</v>
      </c>
      <c r="B69" s="3">
        <f>IFERROR(__xludf.DUMMYFUNCTION("""COMPUTED_VALUE"""),44375.0)</f>
        <v>44375</v>
      </c>
      <c r="C69" s="3">
        <f>IFERROR(__xludf.DUMMYFUNCTION("""COMPUTED_VALUE"""),44381.0)</f>
        <v>44381</v>
      </c>
      <c r="D69" s="2">
        <f>IFERROR(__xludf.DUMMYFUNCTION("""COMPUTED_VALUE"""),26.0)</f>
        <v>26</v>
      </c>
      <c r="E69" s="2">
        <f>IFERROR(__xludf.DUMMYFUNCTION("""COMPUTED_VALUE"""),3326.0)</f>
        <v>3326</v>
      </c>
      <c r="F69" s="2">
        <f>IFERROR(__xludf.DUMMYFUNCTION("""COMPUTED_VALUE"""),805.0)</f>
        <v>805</v>
      </c>
      <c r="G69" s="4">
        <f>VLOOKUP(A69,Populacao!A:B,2,0)</f>
        <v>19212362</v>
      </c>
      <c r="H69" s="2">
        <f t="shared" si="1"/>
        <v>4.190010578</v>
      </c>
      <c r="I69" s="2">
        <f t="shared" si="4"/>
        <v>172.3005219</v>
      </c>
      <c r="J69" s="2">
        <f>AVERAGEIFS(Dados!F:F, Dados!A:A, "=Chile", Dados!G:G, "=0", Dados!E:E,D69 )</f>
        <v>2440.75</v>
      </c>
      <c r="K69" s="2">
        <f t="shared" si="2"/>
        <v>885.25</v>
      </c>
      <c r="L69" s="2">
        <f t="shared" si="3"/>
        <v>4.60771039</v>
      </c>
      <c r="M69" s="2">
        <f t="shared" si="5"/>
        <v>200.3670866</v>
      </c>
    </row>
    <row r="70">
      <c r="A70" s="2" t="str">
        <f>IFERROR(__xludf.DUMMYFUNCTION("""COMPUTED_VALUE"""),"Chile")</f>
        <v>Chile</v>
      </c>
      <c r="B70" s="3">
        <f>IFERROR(__xludf.DUMMYFUNCTION("""COMPUTED_VALUE"""),44382.0)</f>
        <v>44382</v>
      </c>
      <c r="C70" s="3">
        <f>IFERROR(__xludf.DUMMYFUNCTION("""COMPUTED_VALUE"""),44388.0)</f>
        <v>44388</v>
      </c>
      <c r="D70" s="2">
        <f>IFERROR(__xludf.DUMMYFUNCTION("""COMPUTED_VALUE"""),27.0)</f>
        <v>27</v>
      </c>
      <c r="E70" s="2">
        <f>IFERROR(__xludf.DUMMYFUNCTION("""COMPUTED_VALUE"""),3119.0)</f>
        <v>3119</v>
      </c>
      <c r="F70" s="2">
        <f>IFERROR(__xludf.DUMMYFUNCTION("""COMPUTED_VALUE"""),774.0)</f>
        <v>774</v>
      </c>
      <c r="G70" s="4">
        <f>VLOOKUP(A70,Populacao!A:B,2,0)</f>
        <v>19212362</v>
      </c>
      <c r="H70" s="2">
        <f t="shared" si="1"/>
        <v>4.028656133</v>
      </c>
      <c r="I70" s="2">
        <f t="shared" si="4"/>
        <v>176.3291781</v>
      </c>
      <c r="J70" s="2">
        <f>AVERAGEIFS(Dados!F:F, Dados!A:A, "=Chile", Dados!G:G, "=0", Dados!E:E,D70 )</f>
        <v>2390</v>
      </c>
      <c r="K70" s="2">
        <f t="shared" si="2"/>
        <v>729</v>
      </c>
      <c r="L70" s="2">
        <f t="shared" si="3"/>
        <v>3.794431939</v>
      </c>
      <c r="M70" s="2">
        <f t="shared" si="5"/>
        <v>204.1615185</v>
      </c>
    </row>
    <row r="71">
      <c r="A71" s="2" t="str">
        <f>IFERROR(__xludf.DUMMYFUNCTION("""COMPUTED_VALUE"""),"Chile")</f>
        <v>Chile</v>
      </c>
      <c r="B71" s="3">
        <f>IFERROR(__xludf.DUMMYFUNCTION("""COMPUTED_VALUE"""),44389.0)</f>
        <v>44389</v>
      </c>
      <c r="C71" s="3">
        <f>IFERROR(__xludf.DUMMYFUNCTION("""COMPUTED_VALUE"""),44395.0)</f>
        <v>44395</v>
      </c>
      <c r="D71" s="2">
        <f>IFERROR(__xludf.DUMMYFUNCTION("""COMPUTED_VALUE"""),28.0)</f>
        <v>28</v>
      </c>
      <c r="E71" s="2">
        <f>IFERROR(__xludf.DUMMYFUNCTION("""COMPUTED_VALUE"""),3042.0)</f>
        <v>3042</v>
      </c>
      <c r="F71" s="2">
        <f>IFERROR(__xludf.DUMMYFUNCTION("""COMPUTED_VALUE"""),637.0)</f>
        <v>637</v>
      </c>
      <c r="G71" s="4">
        <f>VLOOKUP(A71,Populacao!A:B,2,0)</f>
        <v>19212362</v>
      </c>
      <c r="H71" s="2">
        <f t="shared" si="1"/>
        <v>3.315573587</v>
      </c>
      <c r="I71" s="2">
        <f t="shared" si="4"/>
        <v>179.6447516</v>
      </c>
      <c r="J71" s="2">
        <f>AVERAGEIFS(Dados!F:F, Dados!A:A, "=Chile", Dados!G:G, "=0", Dados!E:E,D71 )</f>
        <v>2360.75</v>
      </c>
      <c r="K71" s="2">
        <f t="shared" si="2"/>
        <v>681.25</v>
      </c>
      <c r="L71" s="2">
        <f t="shared" si="3"/>
        <v>3.545894045</v>
      </c>
      <c r="M71" s="2">
        <f t="shared" si="5"/>
        <v>207.7074126</v>
      </c>
    </row>
    <row r="72">
      <c r="A72" s="2" t="str">
        <f>IFERROR(__xludf.DUMMYFUNCTION("""COMPUTED_VALUE"""),"Chile")</f>
        <v>Chile</v>
      </c>
      <c r="B72" s="3">
        <f>IFERROR(__xludf.DUMMYFUNCTION("""COMPUTED_VALUE"""),44396.0)</f>
        <v>44396</v>
      </c>
      <c r="C72" s="3">
        <f>IFERROR(__xludf.DUMMYFUNCTION("""COMPUTED_VALUE"""),44402.0)</f>
        <v>44402</v>
      </c>
      <c r="D72" s="2">
        <f>IFERROR(__xludf.DUMMYFUNCTION("""COMPUTED_VALUE"""),29.0)</f>
        <v>29</v>
      </c>
      <c r="E72" s="2">
        <f>IFERROR(__xludf.DUMMYFUNCTION("""COMPUTED_VALUE"""),2866.0)</f>
        <v>2866</v>
      </c>
      <c r="F72" s="2">
        <f>IFERROR(__xludf.DUMMYFUNCTION("""COMPUTED_VALUE"""),512.0)</f>
        <v>512</v>
      </c>
      <c r="G72" s="4">
        <f>VLOOKUP(A72,Populacao!A:B,2,0)</f>
        <v>19212362</v>
      </c>
      <c r="H72" s="2">
        <f t="shared" si="1"/>
        <v>2.664950827</v>
      </c>
      <c r="I72" s="2">
        <f t="shared" si="4"/>
        <v>182.3097025</v>
      </c>
      <c r="J72" s="2">
        <f>AVERAGEIFS(Dados!F:F, Dados!A:A, "=Chile", Dados!G:G, "=0", Dados!E:E,D72 )</f>
        <v>2424.75</v>
      </c>
      <c r="K72" s="2">
        <f t="shared" si="2"/>
        <v>441.25</v>
      </c>
      <c r="L72" s="2">
        <f t="shared" si="3"/>
        <v>2.296698345</v>
      </c>
      <c r="M72" s="2">
        <f t="shared" si="5"/>
        <v>210.0041109</v>
      </c>
    </row>
    <row r="73">
      <c r="A73" s="2" t="str">
        <f>IFERROR(__xludf.DUMMYFUNCTION("""COMPUTED_VALUE"""),"Chile")</f>
        <v>Chile</v>
      </c>
      <c r="B73" s="3">
        <f>IFERROR(__xludf.DUMMYFUNCTION("""COMPUTED_VALUE"""),44403.0)</f>
        <v>44403</v>
      </c>
      <c r="C73" s="3">
        <f>IFERROR(__xludf.DUMMYFUNCTION("""COMPUTED_VALUE"""),44409.0)</f>
        <v>44409</v>
      </c>
      <c r="D73" s="2">
        <f>IFERROR(__xludf.DUMMYFUNCTION("""COMPUTED_VALUE"""),30.0)</f>
        <v>30</v>
      </c>
      <c r="E73" s="2">
        <f>IFERROR(__xludf.DUMMYFUNCTION("""COMPUTED_VALUE"""),2745.0)</f>
        <v>2745</v>
      </c>
      <c r="F73" s="2">
        <f>IFERROR(__xludf.DUMMYFUNCTION("""COMPUTED_VALUE"""),502.0)</f>
        <v>502</v>
      </c>
      <c r="G73" s="4">
        <f>VLOOKUP(A73,Populacao!A:B,2,0)</f>
        <v>19212362</v>
      </c>
      <c r="H73" s="2">
        <f t="shared" si="1"/>
        <v>2.612901006</v>
      </c>
      <c r="I73" s="2">
        <f t="shared" si="4"/>
        <v>184.9226035</v>
      </c>
      <c r="J73" s="2">
        <f>AVERAGEIFS(Dados!F:F, Dados!A:A, "=Chile", Dados!G:G, "=0", Dados!E:E,D73 )</f>
        <v>2369.75</v>
      </c>
      <c r="K73" s="2">
        <f t="shared" si="2"/>
        <v>375.25</v>
      </c>
      <c r="L73" s="2">
        <f t="shared" si="3"/>
        <v>1.953169527</v>
      </c>
      <c r="M73" s="2">
        <f t="shared" si="5"/>
        <v>211.9572804</v>
      </c>
    </row>
    <row r="74">
      <c r="A74" s="2" t="str">
        <f>IFERROR(__xludf.DUMMYFUNCTION("""COMPUTED_VALUE"""),"Chile")</f>
        <v>Chile</v>
      </c>
      <c r="B74" s="3">
        <f>IFERROR(__xludf.DUMMYFUNCTION("""COMPUTED_VALUE"""),44410.0)</f>
        <v>44410</v>
      </c>
      <c r="C74" s="3">
        <f>IFERROR(__xludf.DUMMYFUNCTION("""COMPUTED_VALUE"""),44416.0)</f>
        <v>44416</v>
      </c>
      <c r="D74" s="2">
        <f>IFERROR(__xludf.DUMMYFUNCTION("""COMPUTED_VALUE"""),31.0)</f>
        <v>31</v>
      </c>
      <c r="E74" s="2">
        <f>IFERROR(__xludf.DUMMYFUNCTION("""COMPUTED_VALUE"""),2639.0)</f>
        <v>2639</v>
      </c>
      <c r="F74" s="2">
        <f>IFERROR(__xludf.DUMMYFUNCTION("""COMPUTED_VALUE"""),488.0)</f>
        <v>488</v>
      </c>
      <c r="G74" s="4">
        <f>VLOOKUP(A74,Populacao!A:B,2,0)</f>
        <v>19212362</v>
      </c>
      <c r="H74" s="2">
        <f t="shared" si="1"/>
        <v>2.540031257</v>
      </c>
      <c r="I74" s="2">
        <f t="shared" si="4"/>
        <v>187.4626347</v>
      </c>
      <c r="J74" s="2">
        <f>AVERAGEIFS(Dados!F:F, Dados!A:A, "=Chile", Dados!G:G, "=0", Dados!E:E,D74 )</f>
        <v>2344</v>
      </c>
      <c r="K74" s="2">
        <f t="shared" si="2"/>
        <v>295</v>
      </c>
      <c r="L74" s="2">
        <f t="shared" si="3"/>
        <v>1.535469715</v>
      </c>
      <c r="M74" s="2">
        <f t="shared" si="5"/>
        <v>213.4927501</v>
      </c>
    </row>
    <row r="75">
      <c r="A75" s="2" t="str">
        <f>IFERROR(__xludf.DUMMYFUNCTION("""COMPUTED_VALUE"""),"Chile")</f>
        <v>Chile</v>
      </c>
      <c r="B75" s="3">
        <f>IFERROR(__xludf.DUMMYFUNCTION("""COMPUTED_VALUE"""),44417.0)</f>
        <v>44417</v>
      </c>
      <c r="C75" s="3">
        <f>IFERROR(__xludf.DUMMYFUNCTION("""COMPUTED_VALUE"""),44423.0)</f>
        <v>44423</v>
      </c>
      <c r="D75" s="2">
        <f>IFERROR(__xludf.DUMMYFUNCTION("""COMPUTED_VALUE"""),32.0)</f>
        <v>32</v>
      </c>
      <c r="E75" s="2">
        <f>IFERROR(__xludf.DUMMYFUNCTION("""COMPUTED_VALUE"""),2625.0)</f>
        <v>2625</v>
      </c>
      <c r="F75" s="2">
        <f>IFERROR(__xludf.DUMMYFUNCTION("""COMPUTED_VALUE"""),364.0)</f>
        <v>364</v>
      </c>
      <c r="G75" s="4">
        <f>VLOOKUP(A75,Populacao!A:B,2,0)</f>
        <v>19212362</v>
      </c>
      <c r="H75" s="2">
        <f t="shared" si="1"/>
        <v>1.894613479</v>
      </c>
      <c r="I75" s="2">
        <f t="shared" si="4"/>
        <v>189.3572482</v>
      </c>
      <c r="J75" s="2">
        <f>AVERAGEIFS(Dados!F:F, Dados!A:A, "=Chile", Dados!G:G, "=0", Dados!E:E,D75 )</f>
        <v>2277.75</v>
      </c>
      <c r="K75" s="2">
        <f t="shared" si="2"/>
        <v>347.25</v>
      </c>
      <c r="L75" s="2">
        <f t="shared" si="3"/>
        <v>1.807430029</v>
      </c>
      <c r="M75" s="2">
        <f t="shared" si="5"/>
        <v>215.3001802</v>
      </c>
    </row>
    <row r="76">
      <c r="A76" s="2" t="str">
        <f>IFERROR(__xludf.DUMMYFUNCTION("""COMPUTED_VALUE"""),"Chile")</f>
        <v>Chile</v>
      </c>
      <c r="B76" s="3">
        <f>IFERROR(__xludf.DUMMYFUNCTION("""COMPUTED_VALUE"""),44424.0)</f>
        <v>44424</v>
      </c>
      <c r="C76" s="3">
        <f>IFERROR(__xludf.DUMMYFUNCTION("""COMPUTED_VALUE"""),44430.0)</f>
        <v>44430</v>
      </c>
      <c r="D76" s="2">
        <f>IFERROR(__xludf.DUMMYFUNCTION("""COMPUTED_VALUE"""),33.0)</f>
        <v>33</v>
      </c>
      <c r="E76" s="2">
        <f>IFERROR(__xludf.DUMMYFUNCTION("""COMPUTED_VALUE"""),2608.0)</f>
        <v>2608</v>
      </c>
      <c r="F76" s="2">
        <f>IFERROR(__xludf.DUMMYFUNCTION("""COMPUTED_VALUE"""),270.0)</f>
        <v>270</v>
      </c>
      <c r="G76" s="4">
        <f>VLOOKUP(A76,Populacao!A:B,2,0)</f>
        <v>19212362</v>
      </c>
      <c r="H76" s="2">
        <f t="shared" si="1"/>
        <v>1.405345163</v>
      </c>
      <c r="I76" s="2">
        <f t="shared" si="4"/>
        <v>190.7625934</v>
      </c>
      <c r="J76" s="2">
        <f>AVERAGEIFS(Dados!F:F, Dados!A:A, "=Chile", Dados!G:G, "=0", Dados!E:E,D76 )</f>
        <v>2245</v>
      </c>
      <c r="K76" s="2">
        <f t="shared" si="2"/>
        <v>363</v>
      </c>
      <c r="L76" s="2">
        <f t="shared" si="3"/>
        <v>1.889408496</v>
      </c>
      <c r="M76" s="2">
        <f t="shared" si="5"/>
        <v>217.1895887</v>
      </c>
    </row>
    <row r="77">
      <c r="A77" s="2" t="str">
        <f>IFERROR(__xludf.DUMMYFUNCTION("""COMPUTED_VALUE"""),"Chile")</f>
        <v>Chile</v>
      </c>
      <c r="B77" s="3">
        <f>IFERROR(__xludf.DUMMYFUNCTION("""COMPUTED_VALUE"""),44431.0)</f>
        <v>44431</v>
      </c>
      <c r="C77" s="3">
        <f>IFERROR(__xludf.DUMMYFUNCTION("""COMPUTED_VALUE"""),44437.0)</f>
        <v>44437</v>
      </c>
      <c r="D77" s="2">
        <f>IFERROR(__xludf.DUMMYFUNCTION("""COMPUTED_VALUE"""),34.0)</f>
        <v>34</v>
      </c>
      <c r="E77" s="2">
        <f>IFERROR(__xludf.DUMMYFUNCTION("""COMPUTED_VALUE"""),2357.0)</f>
        <v>2357</v>
      </c>
      <c r="F77" s="2">
        <f>IFERROR(__xludf.DUMMYFUNCTION("""COMPUTED_VALUE"""),235.0)</f>
        <v>235</v>
      </c>
      <c r="G77" s="4">
        <f>VLOOKUP(A77,Populacao!A:B,2,0)</f>
        <v>19212362</v>
      </c>
      <c r="H77" s="2">
        <f t="shared" si="1"/>
        <v>1.22317079</v>
      </c>
      <c r="I77" s="2">
        <f t="shared" si="4"/>
        <v>191.9857642</v>
      </c>
      <c r="J77" s="2">
        <f>AVERAGEIFS(Dados!F:F, Dados!A:A, "=Chile", Dados!G:G, "=0", Dados!E:E,D77 )</f>
        <v>2223</v>
      </c>
      <c r="K77" s="2">
        <f t="shared" si="2"/>
        <v>134</v>
      </c>
      <c r="L77" s="2">
        <f t="shared" si="3"/>
        <v>0.6974675992</v>
      </c>
      <c r="M77" s="2">
        <f t="shared" si="5"/>
        <v>217.8870563</v>
      </c>
    </row>
    <row r="78">
      <c r="A78" s="2" t="str">
        <f>IFERROR(__xludf.DUMMYFUNCTION("""COMPUTED_VALUE"""),"Chile")</f>
        <v>Chile</v>
      </c>
      <c r="B78" s="3">
        <f>IFERROR(__xludf.DUMMYFUNCTION("""COMPUTED_VALUE"""),44438.0)</f>
        <v>44438</v>
      </c>
      <c r="C78" s="3">
        <f>IFERROR(__xludf.DUMMYFUNCTION("""COMPUTED_VALUE"""),44444.0)</f>
        <v>44444</v>
      </c>
      <c r="D78" s="2">
        <f>IFERROR(__xludf.DUMMYFUNCTION("""COMPUTED_VALUE"""),35.0)</f>
        <v>35</v>
      </c>
      <c r="E78" s="2">
        <f>IFERROR(__xludf.DUMMYFUNCTION("""COMPUTED_VALUE"""),2332.0)</f>
        <v>2332</v>
      </c>
      <c r="F78" s="2">
        <f>IFERROR(__xludf.DUMMYFUNCTION("""COMPUTED_VALUE"""),205.0)</f>
        <v>205</v>
      </c>
      <c r="G78" s="4">
        <f>VLOOKUP(A78,Populacao!A:B,2,0)</f>
        <v>19212362</v>
      </c>
      <c r="H78" s="2">
        <f t="shared" si="1"/>
        <v>1.067021327</v>
      </c>
      <c r="I78" s="2">
        <f t="shared" si="4"/>
        <v>193.0527855</v>
      </c>
      <c r="J78" s="2">
        <f>AVERAGEIFS(Dados!F:F, Dados!A:A, "=Chile", Dados!G:G, "=0", Dados!E:E,D78 )</f>
        <v>2155</v>
      </c>
      <c r="K78" s="2">
        <f t="shared" si="2"/>
        <v>177</v>
      </c>
      <c r="L78" s="2">
        <f t="shared" si="3"/>
        <v>0.9212818289</v>
      </c>
      <c r="M78" s="2">
        <f t="shared" si="5"/>
        <v>218.8083381</v>
      </c>
    </row>
    <row r="79">
      <c r="A79" s="2" t="str">
        <f>IFERROR(__xludf.DUMMYFUNCTION("""COMPUTED_VALUE"""),"Chile")</f>
        <v>Chile</v>
      </c>
      <c r="B79" s="3">
        <f>IFERROR(__xludf.DUMMYFUNCTION("""COMPUTED_VALUE"""),44445.0)</f>
        <v>44445</v>
      </c>
      <c r="C79" s="3">
        <f>IFERROR(__xludf.DUMMYFUNCTION("""COMPUTED_VALUE"""),44451.0)</f>
        <v>44451</v>
      </c>
      <c r="D79" s="2">
        <f>IFERROR(__xludf.DUMMYFUNCTION("""COMPUTED_VALUE"""),36.0)</f>
        <v>36</v>
      </c>
      <c r="E79" s="2">
        <f>IFERROR(__xludf.DUMMYFUNCTION("""COMPUTED_VALUE"""),2394.0)</f>
        <v>2394</v>
      </c>
      <c r="F79" s="2">
        <f>IFERROR(__xludf.DUMMYFUNCTION("""COMPUTED_VALUE"""),142.0)</f>
        <v>142</v>
      </c>
      <c r="G79" s="4">
        <f>VLOOKUP(A79,Populacao!A:B,2,0)</f>
        <v>19212362</v>
      </c>
      <c r="H79" s="2">
        <f t="shared" si="1"/>
        <v>0.7391074559</v>
      </c>
      <c r="I79" s="2">
        <f t="shared" si="4"/>
        <v>193.7918929</v>
      </c>
      <c r="J79" s="2">
        <f>AVERAGEIFS(Dados!F:F, Dados!A:A, "=Chile", Dados!G:G, "=0", Dados!E:E,D79 )</f>
        <v>2213.25</v>
      </c>
      <c r="K79" s="2">
        <f t="shared" si="2"/>
        <v>180.75</v>
      </c>
      <c r="L79" s="2">
        <f t="shared" si="3"/>
        <v>0.9408005117</v>
      </c>
      <c r="M79" s="2">
        <f t="shared" si="5"/>
        <v>219.7491386</v>
      </c>
    </row>
    <row r="80">
      <c r="A80" s="2" t="str">
        <f>IFERROR(__xludf.DUMMYFUNCTION("""COMPUTED_VALUE"""),"Chile")</f>
        <v>Chile</v>
      </c>
      <c r="B80" s="3">
        <f>IFERROR(__xludf.DUMMYFUNCTION("""COMPUTED_VALUE"""),44452.0)</f>
        <v>44452</v>
      </c>
      <c r="C80" s="3">
        <f>IFERROR(__xludf.DUMMYFUNCTION("""COMPUTED_VALUE"""),44458.0)</f>
        <v>44458</v>
      </c>
      <c r="D80" s="2">
        <f>IFERROR(__xludf.DUMMYFUNCTION("""COMPUTED_VALUE"""),37.0)</f>
        <v>37</v>
      </c>
      <c r="E80" s="2">
        <f>IFERROR(__xludf.DUMMYFUNCTION("""COMPUTED_VALUE"""),2383.0)</f>
        <v>2383</v>
      </c>
      <c r="F80" s="2">
        <f>IFERROR(__xludf.DUMMYFUNCTION("""COMPUTED_VALUE"""),127.0)</f>
        <v>127</v>
      </c>
      <c r="G80" s="4">
        <f>VLOOKUP(A80,Populacao!A:B,2,0)</f>
        <v>19212362</v>
      </c>
      <c r="H80" s="2">
        <f t="shared" si="1"/>
        <v>0.6610327247</v>
      </c>
      <c r="I80" s="2">
        <f t="shared" si="4"/>
        <v>194.4529257</v>
      </c>
      <c r="J80" s="2">
        <f>AVERAGEIFS(Dados!F:F, Dados!A:A, "=Chile", Dados!G:G, "=0", Dados!E:E,D80 )</f>
        <v>2154.25</v>
      </c>
      <c r="K80" s="2">
        <f t="shared" si="2"/>
        <v>228.75</v>
      </c>
      <c r="L80" s="2">
        <f t="shared" si="3"/>
        <v>1.190639652</v>
      </c>
      <c r="M80" s="2">
        <f t="shared" si="5"/>
        <v>220.9397783</v>
      </c>
    </row>
    <row r="81">
      <c r="A81" s="2" t="str">
        <f>IFERROR(__xludf.DUMMYFUNCTION("""COMPUTED_VALUE"""),"Chile")</f>
        <v>Chile</v>
      </c>
      <c r="B81" s="3">
        <f>IFERROR(__xludf.DUMMYFUNCTION("""COMPUTED_VALUE"""),44459.0)</f>
        <v>44459</v>
      </c>
      <c r="C81" s="3">
        <f>IFERROR(__xludf.DUMMYFUNCTION("""COMPUTED_VALUE"""),44465.0)</f>
        <v>44465</v>
      </c>
      <c r="D81" s="2">
        <f>IFERROR(__xludf.DUMMYFUNCTION("""COMPUTED_VALUE"""),38.0)</f>
        <v>38</v>
      </c>
      <c r="E81" s="2">
        <f>IFERROR(__xludf.DUMMYFUNCTION("""COMPUTED_VALUE"""),2354.0)</f>
        <v>2354</v>
      </c>
      <c r="F81" s="2">
        <f>IFERROR(__xludf.DUMMYFUNCTION("""COMPUTED_VALUE"""),81.0)</f>
        <v>81</v>
      </c>
      <c r="G81" s="4">
        <f>VLOOKUP(A81,Populacao!A:B,2,0)</f>
        <v>19212362</v>
      </c>
      <c r="H81" s="2">
        <f t="shared" si="1"/>
        <v>0.4216035488</v>
      </c>
      <c r="I81" s="2">
        <f t="shared" si="4"/>
        <v>194.8745292</v>
      </c>
      <c r="J81" s="2">
        <f>AVERAGEIFS(Dados!F:F, Dados!A:A, "=Chile", Dados!G:G, "=0", Dados!E:E,D81 )</f>
        <v>2213.75</v>
      </c>
      <c r="K81" s="2">
        <f t="shared" si="2"/>
        <v>140.25</v>
      </c>
      <c r="L81" s="2">
        <f t="shared" si="3"/>
        <v>0.7299987373</v>
      </c>
      <c r="M81" s="2">
        <f t="shared" si="5"/>
        <v>221.669777</v>
      </c>
    </row>
    <row r="82">
      <c r="A82" s="2" t="str">
        <f>IFERROR(__xludf.DUMMYFUNCTION("""COMPUTED_VALUE"""),"Chile")</f>
        <v>Chile</v>
      </c>
      <c r="B82" s="3">
        <f>IFERROR(__xludf.DUMMYFUNCTION("""COMPUTED_VALUE"""),44466.0)</f>
        <v>44466</v>
      </c>
      <c r="C82" s="3">
        <f>IFERROR(__xludf.DUMMYFUNCTION("""COMPUTED_VALUE"""),44472.0)</f>
        <v>44472</v>
      </c>
      <c r="D82" s="2">
        <f>IFERROR(__xludf.DUMMYFUNCTION("""COMPUTED_VALUE"""),39.0)</f>
        <v>39</v>
      </c>
      <c r="E82" s="2">
        <f>IFERROR(__xludf.DUMMYFUNCTION("""COMPUTED_VALUE"""),2244.0)</f>
        <v>2244</v>
      </c>
      <c r="F82" s="2">
        <f>IFERROR(__xludf.DUMMYFUNCTION("""COMPUTED_VALUE"""),54.0)</f>
        <v>54</v>
      </c>
      <c r="G82" s="4">
        <f>VLOOKUP(A82,Populacao!A:B,2,0)</f>
        <v>19212362</v>
      </c>
      <c r="H82" s="2">
        <f t="shared" si="1"/>
        <v>0.2810690325</v>
      </c>
      <c r="I82" s="2">
        <f t="shared" si="4"/>
        <v>195.1555983</v>
      </c>
      <c r="J82" s="2">
        <f>AVERAGEIFS(Dados!F:F, Dados!A:A, "=Chile", Dados!G:G, "=0", Dados!E:E,D82 )</f>
        <v>2122.5</v>
      </c>
      <c r="K82" s="2">
        <f t="shared" si="2"/>
        <v>121.5</v>
      </c>
      <c r="L82" s="2">
        <f t="shared" si="3"/>
        <v>0.6324053232</v>
      </c>
      <c r="M82" s="2">
        <f t="shared" si="5"/>
        <v>222.3021823</v>
      </c>
    </row>
    <row r="83">
      <c r="A83" s="2" t="str">
        <f>IFERROR(__xludf.DUMMYFUNCTION("""COMPUTED_VALUE"""),"Chile")</f>
        <v>Chile</v>
      </c>
      <c r="B83" s="3">
        <f>IFERROR(__xludf.DUMMYFUNCTION("""COMPUTED_VALUE"""),44473.0)</f>
        <v>44473</v>
      </c>
      <c r="C83" s="3">
        <f>IFERROR(__xludf.DUMMYFUNCTION("""COMPUTED_VALUE"""),44479.0)</f>
        <v>44479</v>
      </c>
      <c r="D83" s="2">
        <f>IFERROR(__xludf.DUMMYFUNCTION("""COMPUTED_VALUE"""),40.0)</f>
        <v>40</v>
      </c>
      <c r="E83" s="2">
        <f>IFERROR(__xludf.DUMMYFUNCTION("""COMPUTED_VALUE"""),2316.0)</f>
        <v>2316</v>
      </c>
      <c r="F83" s="2">
        <f>IFERROR(__xludf.DUMMYFUNCTION("""COMPUTED_VALUE"""),70.0)</f>
        <v>70</v>
      </c>
      <c r="G83" s="4">
        <f>VLOOKUP(A83,Populacao!A:B,2,0)</f>
        <v>19212362</v>
      </c>
      <c r="H83" s="2">
        <f t="shared" si="1"/>
        <v>0.3643487459</v>
      </c>
      <c r="I83" s="2">
        <f t="shared" si="4"/>
        <v>195.519947</v>
      </c>
      <c r="J83" s="2">
        <f>AVERAGEIFS(Dados!F:F, Dados!A:A, "=Chile", Dados!G:G, "=0", Dados!E:E,D83 )</f>
        <v>2069.25</v>
      </c>
      <c r="K83" s="2">
        <f t="shared" si="2"/>
        <v>246.75</v>
      </c>
      <c r="L83" s="2">
        <f t="shared" si="3"/>
        <v>1.284329329</v>
      </c>
      <c r="M83" s="2">
        <f t="shared" si="5"/>
        <v>223.5865116</v>
      </c>
    </row>
    <row r="84">
      <c r="A84" s="2" t="str">
        <f>IFERROR(__xludf.DUMMYFUNCTION("""COMPUTED_VALUE"""),"Chile")</f>
        <v>Chile</v>
      </c>
      <c r="B84" s="3">
        <f>IFERROR(__xludf.DUMMYFUNCTION("""COMPUTED_VALUE"""),44480.0)</f>
        <v>44480</v>
      </c>
      <c r="C84" s="3">
        <f>IFERROR(__xludf.DUMMYFUNCTION("""COMPUTED_VALUE"""),44486.0)</f>
        <v>44486</v>
      </c>
      <c r="D84" s="2">
        <f>IFERROR(__xludf.DUMMYFUNCTION("""COMPUTED_VALUE"""),41.0)</f>
        <v>41</v>
      </c>
      <c r="E84" s="2">
        <f>IFERROR(__xludf.DUMMYFUNCTION("""COMPUTED_VALUE"""),2325.0)</f>
        <v>2325</v>
      </c>
      <c r="F84" s="2">
        <f>IFERROR(__xludf.DUMMYFUNCTION("""COMPUTED_VALUE"""),45.0)</f>
        <v>45</v>
      </c>
      <c r="G84" s="4">
        <f>VLOOKUP(A84,Populacao!A:B,2,0)</f>
        <v>19212362</v>
      </c>
      <c r="H84" s="2">
        <f t="shared" si="1"/>
        <v>0.2342241938</v>
      </c>
      <c r="I84" s="2">
        <f t="shared" si="4"/>
        <v>195.7541712</v>
      </c>
      <c r="J84" s="2">
        <f>AVERAGEIFS(Dados!F:F, Dados!A:A, "=Chile", Dados!G:G, "=0", Dados!E:E,D84 )</f>
        <v>2005.5</v>
      </c>
      <c r="K84" s="2">
        <f t="shared" si="2"/>
        <v>319.5</v>
      </c>
      <c r="L84" s="2">
        <f t="shared" si="3"/>
        <v>1.662991776</v>
      </c>
      <c r="M84" s="2">
        <f t="shared" si="5"/>
        <v>225.2495034</v>
      </c>
    </row>
    <row r="85">
      <c r="A85" s="2" t="str">
        <f>IFERROR(__xludf.DUMMYFUNCTION("""COMPUTED_VALUE"""),"Chile")</f>
        <v>Chile</v>
      </c>
      <c r="B85" s="3">
        <f>IFERROR(__xludf.DUMMYFUNCTION("""COMPUTED_VALUE"""),44487.0)</f>
        <v>44487</v>
      </c>
      <c r="C85" s="3">
        <f>IFERROR(__xludf.DUMMYFUNCTION("""COMPUTED_VALUE"""),44493.0)</f>
        <v>44493</v>
      </c>
      <c r="D85" s="2">
        <f>IFERROR(__xludf.DUMMYFUNCTION("""COMPUTED_VALUE"""),42.0)</f>
        <v>42</v>
      </c>
      <c r="E85" s="2">
        <f>IFERROR(__xludf.DUMMYFUNCTION("""COMPUTED_VALUE"""),2112.0)</f>
        <v>2112</v>
      </c>
      <c r="F85" s="2">
        <f>IFERROR(__xludf.DUMMYFUNCTION("""COMPUTED_VALUE"""),60.0)</f>
        <v>60</v>
      </c>
      <c r="G85" s="4">
        <f>VLOOKUP(A85,Populacao!A:B,2,0)</f>
        <v>19212362</v>
      </c>
      <c r="H85" s="2">
        <f t="shared" si="1"/>
        <v>0.312298925</v>
      </c>
      <c r="I85" s="2">
        <f t="shared" si="4"/>
        <v>196.0664701</v>
      </c>
      <c r="J85" s="2">
        <f>AVERAGEIFS(Dados!F:F, Dados!A:A, "=Chile", Dados!G:G, "=0", Dados!E:E,D85 )</f>
        <v>1981.25</v>
      </c>
      <c r="K85" s="2">
        <f t="shared" si="2"/>
        <v>130.75</v>
      </c>
      <c r="L85" s="2">
        <f t="shared" si="3"/>
        <v>0.6805514075</v>
      </c>
      <c r="M85" s="2">
        <f t="shared" si="5"/>
        <v>225.9300548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13"/>
    <col customWidth="1" min="2" max="2" width="10.75"/>
    <col customWidth="1" min="3" max="3" width="11.5"/>
    <col customWidth="1" min="4" max="4" width="8.13"/>
    <col customWidth="1" min="8" max="8" width="11.75"/>
    <col customWidth="1" min="9" max="9" width="14.63"/>
    <col customWidth="1" min="12" max="12" width="14.63"/>
    <col customWidth="1" min="13" max="13" width="14.75"/>
  </cols>
  <sheetData>
    <row r="1">
      <c r="A1" s="6" t="str">
        <f>IFERROR(__xludf.DUMMYFUNCTION("QUERY(Dados!A:G, ""SELECT A,B,C,E,F, G where A= 'Brazil' and G &gt; 0"")"),"país")</f>
        <v>país</v>
      </c>
      <c r="B1" s="6" t="str">
        <f>IFERROR(__xludf.DUMMYFUNCTION("""COMPUTED_VALUE"""),"data início")</f>
        <v>data início</v>
      </c>
      <c r="C1" s="6" t="str">
        <f>IFERROR(__xludf.DUMMYFUNCTION("""COMPUTED_VALUE"""),"data fim")</f>
        <v>data fim</v>
      </c>
      <c r="D1" s="6" t="str">
        <f>IFERROR(__xludf.DUMMYFUNCTION("""COMPUTED_VALUE"""),"semana")</f>
        <v>semana</v>
      </c>
      <c r="E1" s="6" t="str">
        <f>IFERROR(__xludf.DUMMYFUNCTION("""COMPUTED_VALUE"""),"total mortes reportadas")</f>
        <v>total mortes reportadas</v>
      </c>
      <c r="F1" s="6" t="str">
        <f>IFERROR(__xludf.DUMMYFUNCTION("""COMPUTED_VALUE"""),"total mortes reportadas por covid")</f>
        <v>total mortes reportadas por covid</v>
      </c>
      <c r="G1" s="7" t="s">
        <v>7</v>
      </c>
      <c r="H1" s="8" t="s">
        <v>1</v>
      </c>
      <c r="I1" s="9" t="s">
        <v>2</v>
      </c>
      <c r="J1" s="10" t="s">
        <v>3</v>
      </c>
      <c r="K1" s="11" t="s">
        <v>4</v>
      </c>
      <c r="L1" s="12" t="s">
        <v>5</v>
      </c>
      <c r="M1" s="13" t="s">
        <v>6</v>
      </c>
    </row>
    <row r="2">
      <c r="A2" s="2" t="str">
        <f>IFERROR(__xludf.DUMMYFUNCTION("""COMPUTED_VALUE"""),"Brazil")</f>
        <v>Brazil</v>
      </c>
      <c r="B2" s="3">
        <f>IFERROR(__xludf.DUMMYFUNCTION("""COMPUTED_VALUE"""),43891.0)</f>
        <v>43891</v>
      </c>
      <c r="C2" s="3">
        <f>IFERROR(__xludf.DUMMYFUNCTION("""COMPUTED_VALUE"""),43921.0)</f>
        <v>43921</v>
      </c>
      <c r="D2" s="2">
        <f>IFERROR(__xludf.DUMMYFUNCTION("""COMPUTED_VALUE"""),3.0)</f>
        <v>3</v>
      </c>
      <c r="E2" s="2">
        <f>IFERROR(__xludf.DUMMYFUNCTION("""COMPUTED_VALUE"""),120185.0)</f>
        <v>120185</v>
      </c>
      <c r="F2" s="2">
        <f>IFERROR(__xludf.DUMMYFUNCTION("""COMPUTED_VALUE"""),201.0)</f>
        <v>201</v>
      </c>
      <c r="G2" s="4">
        <f>VLOOKUP(A2,Populacao!A:B, 2, 0)</f>
        <v>213993441</v>
      </c>
      <c r="H2" s="2">
        <f t="shared" ref="H2:H20" si="1">(F2*100000)/G2</f>
        <v>0.0939281125</v>
      </c>
      <c r="I2" s="2">
        <f>H2</f>
        <v>0.0939281125</v>
      </c>
      <c r="J2" s="2">
        <f>AVERAGEIFS(Dados!F:F,Dados!A:A,"=Brazil", Dados!G:G, "=0",Dados!E:E, D2)</f>
        <v>108378.6</v>
      </c>
      <c r="K2" s="2">
        <f t="shared" ref="K2:K20" si="2">E2-J2</f>
        <v>11806.4</v>
      </c>
      <c r="L2" s="2">
        <f t="shared" ref="L2:L20" si="3">(K2*100000)/G2</f>
        <v>5.517178445</v>
      </c>
      <c r="M2" s="2">
        <f>L2</f>
        <v>5.517178445</v>
      </c>
    </row>
    <row r="3">
      <c r="A3" s="2" t="str">
        <f>IFERROR(__xludf.DUMMYFUNCTION("""COMPUTED_VALUE"""),"Brazil")</f>
        <v>Brazil</v>
      </c>
      <c r="B3" s="3">
        <f>IFERROR(__xludf.DUMMYFUNCTION("""COMPUTED_VALUE"""),43922.0)</f>
        <v>43922</v>
      </c>
      <c r="C3" s="3">
        <f>IFERROR(__xludf.DUMMYFUNCTION("""COMPUTED_VALUE"""),43951.0)</f>
        <v>43951</v>
      </c>
      <c r="D3" s="2">
        <f>IFERROR(__xludf.DUMMYFUNCTION("""COMPUTED_VALUE"""),4.0)</f>
        <v>4</v>
      </c>
      <c r="E3" s="2">
        <f>IFERROR(__xludf.DUMMYFUNCTION("""COMPUTED_VALUE"""),125923.0)</f>
        <v>125923</v>
      </c>
      <c r="F3" s="2">
        <f>IFERROR(__xludf.DUMMYFUNCTION("""COMPUTED_VALUE"""),5805.0)</f>
        <v>5805</v>
      </c>
      <c r="G3" s="4">
        <f>VLOOKUP(A3,Populacao!A:B, 2, 0)</f>
        <v>213993441</v>
      </c>
      <c r="H3" s="2">
        <f t="shared" si="1"/>
        <v>2.712699965</v>
      </c>
      <c r="I3" s="2">
        <f t="shared" ref="I3:I20" si="4">H3+I2</f>
        <v>2.806628078</v>
      </c>
      <c r="J3" s="2">
        <f>AVERAGEIFS(Dados!F:F,Dados!A:A,"=Brazil", Dados!G:G, "=0",Dados!E:E, D3)</f>
        <v>108504.6</v>
      </c>
      <c r="K3" s="2">
        <f t="shared" si="2"/>
        <v>17418.4</v>
      </c>
      <c r="L3" s="2">
        <f t="shared" si="3"/>
        <v>8.13968873</v>
      </c>
      <c r="M3" s="2">
        <f t="shared" ref="M3:M20" si="5">L3+M2</f>
        <v>13.65686717</v>
      </c>
    </row>
    <row r="4">
      <c r="A4" s="2" t="str">
        <f>IFERROR(__xludf.DUMMYFUNCTION("""COMPUTED_VALUE"""),"Brazil")</f>
        <v>Brazil</v>
      </c>
      <c r="B4" s="3">
        <f>IFERROR(__xludf.DUMMYFUNCTION("""COMPUTED_VALUE"""),43952.0)</f>
        <v>43952</v>
      </c>
      <c r="C4" s="3">
        <f>IFERROR(__xludf.DUMMYFUNCTION("""COMPUTED_VALUE"""),43982.0)</f>
        <v>43982</v>
      </c>
      <c r="D4" s="2">
        <f>IFERROR(__xludf.DUMMYFUNCTION("""COMPUTED_VALUE"""),5.0)</f>
        <v>5</v>
      </c>
      <c r="E4" s="2">
        <f>IFERROR(__xludf.DUMMYFUNCTION("""COMPUTED_VALUE"""),156908.0)</f>
        <v>156908</v>
      </c>
      <c r="F4" s="2">
        <f>IFERROR(__xludf.DUMMYFUNCTION("""COMPUTED_VALUE"""),23308.0)</f>
        <v>23308</v>
      </c>
      <c r="G4" s="4">
        <f>VLOOKUP(A4,Populacao!A:B, 2, 0)</f>
        <v>213993441</v>
      </c>
      <c r="H4" s="2">
        <f t="shared" si="1"/>
        <v>10.89192262</v>
      </c>
      <c r="I4" s="2">
        <f t="shared" si="4"/>
        <v>13.6985507</v>
      </c>
      <c r="J4" s="2">
        <f>AVERAGEIFS(Dados!F:F,Dados!A:A,"=Brazil", Dados!G:G, "=0",Dados!E:E, D4)</f>
        <v>115587.2</v>
      </c>
      <c r="K4" s="2">
        <f t="shared" si="2"/>
        <v>41320.8</v>
      </c>
      <c r="L4" s="2">
        <f t="shared" si="3"/>
        <v>19.30937687</v>
      </c>
      <c r="M4" s="2">
        <f t="shared" si="5"/>
        <v>32.96624404</v>
      </c>
    </row>
    <row r="5">
      <c r="A5" s="2" t="str">
        <f>IFERROR(__xludf.DUMMYFUNCTION("""COMPUTED_VALUE"""),"Brazil")</f>
        <v>Brazil</v>
      </c>
      <c r="B5" s="3">
        <f>IFERROR(__xludf.DUMMYFUNCTION("""COMPUTED_VALUE"""),43983.0)</f>
        <v>43983</v>
      </c>
      <c r="C5" s="3">
        <f>IFERROR(__xludf.DUMMYFUNCTION("""COMPUTED_VALUE"""),44012.0)</f>
        <v>44012</v>
      </c>
      <c r="D5" s="2">
        <f>IFERROR(__xludf.DUMMYFUNCTION("""COMPUTED_VALUE"""),6.0)</f>
        <v>6</v>
      </c>
      <c r="E5" s="2">
        <f>IFERROR(__xludf.DUMMYFUNCTION("""COMPUTED_VALUE"""),142885.0)</f>
        <v>142885</v>
      </c>
      <c r="F5" s="2">
        <f>IFERROR(__xludf.DUMMYFUNCTION("""COMPUTED_VALUE"""),30280.0)</f>
        <v>30280</v>
      </c>
      <c r="G5" s="4">
        <f>VLOOKUP(A5,Populacao!A:B, 2, 0)</f>
        <v>213993441</v>
      </c>
      <c r="H5" s="2">
        <f t="shared" si="1"/>
        <v>14.1499664</v>
      </c>
      <c r="I5" s="2">
        <f t="shared" si="4"/>
        <v>27.8485171</v>
      </c>
      <c r="J5" s="2">
        <f>AVERAGEIFS(Dados!F:F,Dados!A:A,"=Brazil", Dados!G:G, "=0",Dados!E:E, D5)</f>
        <v>115331.6</v>
      </c>
      <c r="K5" s="2">
        <f t="shared" si="2"/>
        <v>27553.4</v>
      </c>
      <c r="L5" s="2">
        <f t="shared" si="3"/>
        <v>12.8758152</v>
      </c>
      <c r="M5" s="2">
        <f t="shared" si="5"/>
        <v>45.84205924</v>
      </c>
    </row>
    <row r="6">
      <c r="A6" s="2" t="str">
        <f>IFERROR(__xludf.DUMMYFUNCTION("""COMPUTED_VALUE"""),"Brazil")</f>
        <v>Brazil</v>
      </c>
      <c r="B6" s="3">
        <f>IFERROR(__xludf.DUMMYFUNCTION("""COMPUTED_VALUE"""),44013.0)</f>
        <v>44013</v>
      </c>
      <c r="C6" s="3">
        <f>IFERROR(__xludf.DUMMYFUNCTION("""COMPUTED_VALUE"""),44043.0)</f>
        <v>44043</v>
      </c>
      <c r="D6" s="2">
        <f>IFERROR(__xludf.DUMMYFUNCTION("""COMPUTED_VALUE"""),7.0)</f>
        <v>7</v>
      </c>
      <c r="E6" s="2">
        <f>IFERROR(__xludf.DUMMYFUNCTION("""COMPUTED_VALUE"""),147571.0)</f>
        <v>147571</v>
      </c>
      <c r="F6" s="2">
        <f>IFERROR(__xludf.DUMMYFUNCTION("""COMPUTED_VALUE"""),32881.0)</f>
        <v>32881</v>
      </c>
      <c r="G6" s="4">
        <f>VLOOKUP(A6,Populacao!A:B, 2, 0)</f>
        <v>213993441</v>
      </c>
      <c r="H6" s="2">
        <f t="shared" si="1"/>
        <v>15.36542421</v>
      </c>
      <c r="I6" s="2">
        <f t="shared" si="4"/>
        <v>43.21394131</v>
      </c>
      <c r="J6" s="2">
        <f>AVERAGEIFS(Dados!F:F,Dados!A:A,"=Brazil", Dados!G:G, "=0",Dados!E:E, D6)</f>
        <v>119659.2</v>
      </c>
      <c r="K6" s="2">
        <f t="shared" si="2"/>
        <v>27911.8</v>
      </c>
      <c r="L6" s="2">
        <f t="shared" si="3"/>
        <v>13.04329697</v>
      </c>
      <c r="M6" s="2">
        <f t="shared" si="5"/>
        <v>58.88535621</v>
      </c>
    </row>
    <row r="7">
      <c r="A7" s="2" t="str">
        <f>IFERROR(__xludf.DUMMYFUNCTION("""COMPUTED_VALUE"""),"Brazil")</f>
        <v>Brazil</v>
      </c>
      <c r="B7" s="3">
        <f>IFERROR(__xludf.DUMMYFUNCTION("""COMPUTED_VALUE"""),44044.0)</f>
        <v>44044</v>
      </c>
      <c r="C7" s="3">
        <f>IFERROR(__xludf.DUMMYFUNCTION("""COMPUTED_VALUE"""),44074.0)</f>
        <v>44074</v>
      </c>
      <c r="D7" s="2">
        <f>IFERROR(__xludf.DUMMYFUNCTION("""COMPUTED_VALUE"""),8.0)</f>
        <v>8</v>
      </c>
      <c r="E7" s="2">
        <f>IFERROR(__xludf.DUMMYFUNCTION("""COMPUTED_VALUE"""),143383.0)</f>
        <v>143383</v>
      </c>
      <c r="F7" s="2">
        <f>IFERROR(__xludf.DUMMYFUNCTION("""COMPUTED_VALUE"""),28906.0)</f>
        <v>28906</v>
      </c>
      <c r="G7" s="4">
        <f>VLOOKUP(A7,Populacao!A:B, 2, 0)</f>
        <v>213993441</v>
      </c>
      <c r="H7" s="2">
        <f t="shared" si="1"/>
        <v>13.50789065</v>
      </c>
      <c r="I7" s="2">
        <f t="shared" si="4"/>
        <v>56.72183196</v>
      </c>
      <c r="J7" s="2">
        <f>AVERAGEIFS(Dados!F:F,Dados!A:A,"=Brazil", Dados!G:G, "=0",Dados!E:E, D7)</f>
        <v>113413</v>
      </c>
      <c r="K7" s="2">
        <f t="shared" si="2"/>
        <v>29970</v>
      </c>
      <c r="L7" s="2">
        <f t="shared" si="3"/>
        <v>14.00510215</v>
      </c>
      <c r="M7" s="2">
        <f t="shared" si="5"/>
        <v>72.89045836</v>
      </c>
    </row>
    <row r="8">
      <c r="A8" s="2" t="str">
        <f>IFERROR(__xludf.DUMMYFUNCTION("""COMPUTED_VALUE"""),"Brazil")</f>
        <v>Brazil</v>
      </c>
      <c r="B8" s="3">
        <f>IFERROR(__xludf.DUMMYFUNCTION("""COMPUTED_VALUE"""),44075.0)</f>
        <v>44075</v>
      </c>
      <c r="C8" s="3">
        <f>IFERROR(__xludf.DUMMYFUNCTION("""COMPUTED_VALUE"""),44104.0)</f>
        <v>44104</v>
      </c>
      <c r="D8" s="2">
        <f>IFERROR(__xludf.DUMMYFUNCTION("""COMPUTED_VALUE"""),9.0)</f>
        <v>9</v>
      </c>
      <c r="E8" s="2">
        <f>IFERROR(__xludf.DUMMYFUNCTION("""COMPUTED_VALUE"""),128972.0)</f>
        <v>128972</v>
      </c>
      <c r="F8" s="2">
        <f>IFERROR(__xludf.DUMMYFUNCTION("""COMPUTED_VALUE"""),22571.0)</f>
        <v>22571</v>
      </c>
      <c r="G8" s="4">
        <f>VLOOKUP(A8,Populacao!A:B, 2, 0)</f>
        <v>213993441</v>
      </c>
      <c r="H8" s="2">
        <f t="shared" si="1"/>
        <v>10.54751954</v>
      </c>
      <c r="I8" s="2">
        <f t="shared" si="4"/>
        <v>67.26935149</v>
      </c>
      <c r="J8" s="2">
        <f>AVERAGEIFS(Dados!F:F,Dados!A:A,"=Brazil", Dados!G:G, "=0",Dados!E:E, D8)</f>
        <v>106914</v>
      </c>
      <c r="K8" s="2">
        <f t="shared" si="2"/>
        <v>22058</v>
      </c>
      <c r="L8" s="2">
        <f t="shared" si="3"/>
        <v>10.30779256</v>
      </c>
      <c r="M8" s="2">
        <f t="shared" si="5"/>
        <v>83.19825092</v>
      </c>
    </row>
    <row r="9">
      <c r="A9" s="2" t="str">
        <f>IFERROR(__xludf.DUMMYFUNCTION("""COMPUTED_VALUE"""),"Brazil")</f>
        <v>Brazil</v>
      </c>
      <c r="B9" s="3">
        <f>IFERROR(__xludf.DUMMYFUNCTION("""COMPUTED_VALUE"""),44105.0)</f>
        <v>44105</v>
      </c>
      <c r="C9" s="3">
        <f>IFERROR(__xludf.DUMMYFUNCTION("""COMPUTED_VALUE"""),44135.0)</f>
        <v>44135</v>
      </c>
      <c r="D9" s="2">
        <f>IFERROR(__xludf.DUMMYFUNCTION("""COMPUTED_VALUE"""),10.0)</f>
        <v>10</v>
      </c>
      <c r="E9" s="2">
        <f>IFERROR(__xludf.DUMMYFUNCTION("""COMPUTED_VALUE"""),130493.0)</f>
        <v>130493</v>
      </c>
      <c r="F9" s="2">
        <f>IFERROR(__xludf.DUMMYFUNCTION("""COMPUTED_VALUE"""),15932.0)</f>
        <v>15932</v>
      </c>
      <c r="G9" s="4">
        <f>VLOOKUP(A9,Populacao!A:B, 2, 0)</f>
        <v>213993441</v>
      </c>
      <c r="H9" s="2">
        <f t="shared" si="1"/>
        <v>7.445088002</v>
      </c>
      <c r="I9" s="2">
        <f t="shared" si="4"/>
        <v>74.7144395</v>
      </c>
      <c r="J9" s="2">
        <f>AVERAGEIFS(Dados!F:F,Dados!A:A,"=Brazil", Dados!G:G, "=0",Dados!E:E, D9)</f>
        <v>108218.4</v>
      </c>
      <c r="K9" s="2">
        <f t="shared" si="2"/>
        <v>22274.6</v>
      </c>
      <c r="L9" s="2">
        <f t="shared" si="3"/>
        <v>10.40901062</v>
      </c>
      <c r="M9" s="2">
        <f t="shared" si="5"/>
        <v>93.60726154</v>
      </c>
    </row>
    <row r="10">
      <c r="A10" s="2" t="str">
        <f>IFERROR(__xludf.DUMMYFUNCTION("""COMPUTED_VALUE"""),"Brazil")</f>
        <v>Brazil</v>
      </c>
      <c r="B10" s="3">
        <f>IFERROR(__xludf.DUMMYFUNCTION("""COMPUTED_VALUE"""),44136.0)</f>
        <v>44136</v>
      </c>
      <c r="C10" s="3">
        <f>IFERROR(__xludf.DUMMYFUNCTION("""COMPUTED_VALUE"""),44165.0)</f>
        <v>44165</v>
      </c>
      <c r="D10" s="2">
        <f>IFERROR(__xludf.DUMMYFUNCTION("""COMPUTED_VALUE"""),11.0)</f>
        <v>11</v>
      </c>
      <c r="E10" s="2">
        <f>IFERROR(__xludf.DUMMYFUNCTION("""COMPUTED_VALUE"""),124326.0)</f>
        <v>124326</v>
      </c>
      <c r="F10" s="2">
        <f>IFERROR(__xludf.DUMMYFUNCTION("""COMPUTED_VALUE"""),13236.0)</f>
        <v>13236</v>
      </c>
      <c r="G10" s="4">
        <f>VLOOKUP(A10,Populacao!A:B, 2, 0)</f>
        <v>213993441</v>
      </c>
      <c r="H10" s="2">
        <f t="shared" si="1"/>
        <v>6.185236304</v>
      </c>
      <c r="I10" s="2">
        <f t="shared" si="4"/>
        <v>80.8996758</v>
      </c>
      <c r="J10" s="2">
        <f>AVERAGEIFS(Dados!F:F,Dados!A:A,"=Brazil", Dados!G:G, "=0",Dados!E:E, D10)</f>
        <v>102370.2</v>
      </c>
      <c r="K10" s="2">
        <f t="shared" si="2"/>
        <v>21955.8</v>
      </c>
      <c r="L10" s="2">
        <f t="shared" si="3"/>
        <v>10.26003409</v>
      </c>
      <c r="M10" s="2">
        <f t="shared" si="5"/>
        <v>103.8672956</v>
      </c>
    </row>
    <row r="11">
      <c r="A11" s="2" t="str">
        <f>IFERROR(__xludf.DUMMYFUNCTION("""COMPUTED_VALUE"""),"Brazil")</f>
        <v>Brazil</v>
      </c>
      <c r="B11" s="3">
        <f>IFERROR(__xludf.DUMMYFUNCTION("""COMPUTED_VALUE"""),44166.0)</f>
        <v>44166</v>
      </c>
      <c r="C11" s="3">
        <f>IFERROR(__xludf.DUMMYFUNCTION("""COMPUTED_VALUE"""),44196.0)</f>
        <v>44196</v>
      </c>
      <c r="D11" s="2">
        <f>IFERROR(__xludf.DUMMYFUNCTION("""COMPUTED_VALUE"""),12.0)</f>
        <v>12</v>
      </c>
      <c r="E11" s="2">
        <f>IFERROR(__xludf.DUMMYFUNCTION("""COMPUTED_VALUE"""),141190.0)</f>
        <v>141190</v>
      </c>
      <c r="F11" s="2">
        <f>IFERROR(__xludf.DUMMYFUNCTION("""COMPUTED_VALUE"""),21829.0)</f>
        <v>21829</v>
      </c>
      <c r="G11" s="4">
        <f>VLOOKUP(A11,Populacao!A:B, 2, 0)</f>
        <v>213993441</v>
      </c>
      <c r="H11" s="2">
        <f t="shared" si="1"/>
        <v>10.20077994</v>
      </c>
      <c r="I11" s="2">
        <f t="shared" si="4"/>
        <v>91.10045574</v>
      </c>
      <c r="J11" s="2">
        <f>AVERAGEIFS(Dados!F:F,Dados!A:A,"=Brazil", Dados!G:G, "=0",Dados!E:E, D11)</f>
        <v>108400.4</v>
      </c>
      <c r="K11" s="2">
        <f t="shared" si="2"/>
        <v>32789.6</v>
      </c>
      <c r="L11" s="2">
        <f t="shared" si="3"/>
        <v>15.32271262</v>
      </c>
      <c r="M11" s="2">
        <f t="shared" si="5"/>
        <v>119.1900083</v>
      </c>
    </row>
    <row r="12">
      <c r="A12" s="2" t="str">
        <f>IFERROR(__xludf.DUMMYFUNCTION("""COMPUTED_VALUE"""),"Brazil")</f>
        <v>Brazil</v>
      </c>
      <c r="B12" s="3">
        <f>IFERROR(__xludf.DUMMYFUNCTION("""COMPUTED_VALUE"""),44197.0)</f>
        <v>44197</v>
      </c>
      <c r="C12" s="3">
        <f>IFERROR(__xludf.DUMMYFUNCTION("""COMPUTED_VALUE"""),44227.0)</f>
        <v>44227</v>
      </c>
      <c r="D12" s="2">
        <f>IFERROR(__xludf.DUMMYFUNCTION("""COMPUTED_VALUE"""),1.0)</f>
        <v>1</v>
      </c>
      <c r="E12" s="2">
        <f>IFERROR(__xludf.DUMMYFUNCTION("""COMPUTED_VALUE"""),147526.0)</f>
        <v>147526</v>
      </c>
      <c r="F12" s="2">
        <f>IFERROR(__xludf.DUMMYFUNCTION("""COMPUTED_VALUE"""),29555.0)</f>
        <v>29555</v>
      </c>
      <c r="G12" s="4">
        <f>VLOOKUP(A12,Populacao!A:B, 2, 0)</f>
        <v>213993441</v>
      </c>
      <c r="H12" s="2">
        <f t="shared" si="1"/>
        <v>13.81117097</v>
      </c>
      <c r="I12" s="2">
        <f t="shared" si="4"/>
        <v>104.9116267</v>
      </c>
      <c r="J12" s="2">
        <f>AVERAGEIFS(Dados!F:F,Dados!A:A,"=Brazil", Dados!G:G, "=0",Dados!E:E, D12)</f>
        <v>108233.1667</v>
      </c>
      <c r="K12" s="2">
        <f t="shared" si="2"/>
        <v>39292.83333</v>
      </c>
      <c r="L12" s="2">
        <f t="shared" si="3"/>
        <v>18.36169985</v>
      </c>
      <c r="M12" s="2">
        <f t="shared" si="5"/>
        <v>137.5517081</v>
      </c>
    </row>
    <row r="13">
      <c r="A13" s="2" t="str">
        <f>IFERROR(__xludf.DUMMYFUNCTION("""COMPUTED_VALUE"""),"Brazil")</f>
        <v>Brazil</v>
      </c>
      <c r="B13" s="3">
        <f>IFERROR(__xludf.DUMMYFUNCTION("""COMPUTED_VALUE"""),44228.0)</f>
        <v>44228</v>
      </c>
      <c r="C13" s="3">
        <f>IFERROR(__xludf.DUMMYFUNCTION("""COMPUTED_VALUE"""),44255.0)</f>
        <v>44255</v>
      </c>
      <c r="D13" s="2">
        <f>IFERROR(__xludf.DUMMYFUNCTION("""COMPUTED_VALUE"""),2.0)</f>
        <v>2</v>
      </c>
      <c r="E13" s="2">
        <f>IFERROR(__xludf.DUMMYFUNCTION("""COMPUTED_VALUE"""),135290.0)</f>
        <v>135290</v>
      </c>
      <c r="F13" s="2">
        <f>IFERROR(__xludf.DUMMYFUNCTION("""COMPUTED_VALUE"""),30438.0)</f>
        <v>30438</v>
      </c>
      <c r="G13" s="4">
        <f>VLOOKUP(A13,Populacao!A:B, 2, 0)</f>
        <v>213993441</v>
      </c>
      <c r="H13" s="2">
        <f t="shared" si="1"/>
        <v>14.22380044</v>
      </c>
      <c r="I13" s="2">
        <f t="shared" si="4"/>
        <v>119.1354271</v>
      </c>
      <c r="J13" s="2">
        <f>AVERAGEIFS(Dados!F:F,Dados!A:A,"=Brazil", Dados!G:G, "=0",Dados!E:E, D13)</f>
        <v>98276.16667</v>
      </c>
      <c r="K13" s="2">
        <f t="shared" si="2"/>
        <v>37013.83333</v>
      </c>
      <c r="L13" s="2">
        <f t="shared" si="3"/>
        <v>17.29671394</v>
      </c>
      <c r="M13" s="2">
        <f t="shared" si="5"/>
        <v>154.848422</v>
      </c>
    </row>
    <row r="14">
      <c r="A14" s="2" t="str">
        <f>IFERROR(__xludf.DUMMYFUNCTION("""COMPUTED_VALUE"""),"Brazil")</f>
        <v>Brazil</v>
      </c>
      <c r="B14" s="3">
        <f>IFERROR(__xludf.DUMMYFUNCTION("""COMPUTED_VALUE"""),44256.0)</f>
        <v>44256</v>
      </c>
      <c r="C14" s="3">
        <f>IFERROR(__xludf.DUMMYFUNCTION("""COMPUTED_VALUE"""),44286.0)</f>
        <v>44286</v>
      </c>
      <c r="D14" s="2">
        <f>IFERROR(__xludf.DUMMYFUNCTION("""COMPUTED_VALUE"""),3.0)</f>
        <v>3</v>
      </c>
      <c r="E14" s="2">
        <f>IFERROR(__xludf.DUMMYFUNCTION("""COMPUTED_VALUE"""),205125.0)</f>
        <v>205125</v>
      </c>
      <c r="F14" s="2">
        <f>IFERROR(__xludf.DUMMYFUNCTION("""COMPUTED_VALUE"""),66573.0)</f>
        <v>66573</v>
      </c>
      <c r="G14" s="4">
        <f>VLOOKUP(A14,Populacao!A:B, 2, 0)</f>
        <v>213993441</v>
      </c>
      <c r="H14" s="2">
        <f t="shared" si="1"/>
        <v>31.10983201</v>
      </c>
      <c r="I14" s="2">
        <f t="shared" si="4"/>
        <v>150.2452592</v>
      </c>
      <c r="J14" s="2">
        <f>AVERAGEIFS(Dados!F:F,Dados!A:A,"=Brazil", Dados!G:G, "=0",Dados!E:E, D14)</f>
        <v>108378.6</v>
      </c>
      <c r="K14" s="2">
        <f t="shared" si="2"/>
        <v>96746.4</v>
      </c>
      <c r="L14" s="2">
        <f t="shared" si="3"/>
        <v>45.2099838</v>
      </c>
      <c r="M14" s="2">
        <f t="shared" si="5"/>
        <v>200.0584058</v>
      </c>
    </row>
    <row r="15">
      <c r="A15" s="2" t="str">
        <f>IFERROR(__xludf.DUMMYFUNCTION("""COMPUTED_VALUE"""),"Brazil")</f>
        <v>Brazil</v>
      </c>
      <c r="B15" s="3">
        <f>IFERROR(__xludf.DUMMYFUNCTION("""COMPUTED_VALUE"""),44287.0)</f>
        <v>44287</v>
      </c>
      <c r="C15" s="3">
        <f>IFERROR(__xludf.DUMMYFUNCTION("""COMPUTED_VALUE"""),44316.0)</f>
        <v>44316</v>
      </c>
      <c r="D15" s="2">
        <f>IFERROR(__xludf.DUMMYFUNCTION("""COMPUTED_VALUE"""),4.0)</f>
        <v>4</v>
      </c>
      <c r="E15" s="2">
        <f>IFERROR(__xludf.DUMMYFUNCTION("""COMPUTED_VALUE"""),204893.0)</f>
        <v>204893</v>
      </c>
      <c r="F15" s="2">
        <f>IFERROR(__xludf.DUMMYFUNCTION("""COMPUTED_VALUE"""),82266.0)</f>
        <v>82266</v>
      </c>
      <c r="G15" s="4">
        <f>VLOOKUP(A15,Populacao!A:B, 2, 0)</f>
        <v>213993441</v>
      </c>
      <c r="H15" s="2">
        <f t="shared" si="1"/>
        <v>38.44323434</v>
      </c>
      <c r="I15" s="2">
        <f t="shared" si="4"/>
        <v>188.6884935</v>
      </c>
      <c r="J15" s="2">
        <f>AVERAGEIFS(Dados!F:F,Dados!A:A,"=Brazil", Dados!G:G, "=0",Dados!E:E, D15)</f>
        <v>108504.6</v>
      </c>
      <c r="K15" s="2">
        <f t="shared" si="2"/>
        <v>96388.4</v>
      </c>
      <c r="L15" s="2">
        <f t="shared" si="3"/>
        <v>45.04268895</v>
      </c>
      <c r="M15" s="2">
        <f t="shared" si="5"/>
        <v>245.1010948</v>
      </c>
    </row>
    <row r="16">
      <c r="A16" s="2" t="str">
        <f>IFERROR(__xludf.DUMMYFUNCTION("""COMPUTED_VALUE"""),"Brazil")</f>
        <v>Brazil</v>
      </c>
      <c r="B16" s="3">
        <f>IFERROR(__xludf.DUMMYFUNCTION("""COMPUTED_VALUE"""),44317.0)</f>
        <v>44317</v>
      </c>
      <c r="C16" s="3">
        <f>IFERROR(__xludf.DUMMYFUNCTION("""COMPUTED_VALUE"""),44347.0)</f>
        <v>44347</v>
      </c>
      <c r="D16" s="2">
        <f>IFERROR(__xludf.DUMMYFUNCTION("""COMPUTED_VALUE"""),5.0)</f>
        <v>5</v>
      </c>
      <c r="E16" s="2">
        <f>IFERROR(__xludf.DUMMYFUNCTION("""COMPUTED_VALUE"""),178877.0)</f>
        <v>178877</v>
      </c>
      <c r="F16" s="2">
        <f>IFERROR(__xludf.DUMMYFUNCTION("""COMPUTED_VALUE"""),59010.0)</f>
        <v>59010</v>
      </c>
      <c r="G16" s="4">
        <f>VLOOKUP(A16,Populacao!A:B, 2, 0)</f>
        <v>213993441</v>
      </c>
      <c r="H16" s="2">
        <f t="shared" si="1"/>
        <v>27.57561153</v>
      </c>
      <c r="I16" s="2">
        <f t="shared" si="4"/>
        <v>216.264105</v>
      </c>
      <c r="J16" s="2">
        <f>AVERAGEIFS(Dados!F:F,Dados!A:A,"=Brazil", Dados!G:G, "=0",Dados!E:E, D16)</f>
        <v>115587.2</v>
      </c>
      <c r="K16" s="2">
        <f t="shared" si="2"/>
        <v>63289.8</v>
      </c>
      <c r="L16" s="2">
        <f t="shared" si="3"/>
        <v>29.57557937</v>
      </c>
      <c r="M16" s="2">
        <f t="shared" si="5"/>
        <v>274.6766742</v>
      </c>
    </row>
    <row r="17">
      <c r="A17" s="2" t="str">
        <f>IFERROR(__xludf.DUMMYFUNCTION("""COMPUTED_VALUE"""),"Brazil")</f>
        <v>Brazil</v>
      </c>
      <c r="B17" s="3">
        <f>IFERROR(__xludf.DUMMYFUNCTION("""COMPUTED_VALUE"""),44348.0)</f>
        <v>44348</v>
      </c>
      <c r="C17" s="3">
        <f>IFERROR(__xludf.DUMMYFUNCTION("""COMPUTED_VALUE"""),44377.0)</f>
        <v>44377</v>
      </c>
      <c r="D17" s="2">
        <f>IFERROR(__xludf.DUMMYFUNCTION("""COMPUTED_VALUE"""),6.0)</f>
        <v>6</v>
      </c>
      <c r="E17" s="2">
        <f>IFERROR(__xludf.DUMMYFUNCTION("""COMPUTED_VALUE"""),178844.0)</f>
        <v>178844</v>
      </c>
      <c r="F17" s="2">
        <f>IFERROR(__xludf.DUMMYFUNCTION("""COMPUTED_VALUE"""),55275.0)</f>
        <v>55275</v>
      </c>
      <c r="G17" s="4">
        <f>VLOOKUP(A17,Populacao!A:B, 2, 0)</f>
        <v>213993441</v>
      </c>
      <c r="H17" s="2">
        <f t="shared" si="1"/>
        <v>25.83023094</v>
      </c>
      <c r="I17" s="2">
        <f t="shared" si="4"/>
        <v>242.094336</v>
      </c>
      <c r="J17" s="2">
        <f>AVERAGEIFS(Dados!F:F,Dados!A:A,"=Brazil", Dados!G:G, "=0",Dados!E:E, D17)</f>
        <v>115331.6</v>
      </c>
      <c r="K17" s="2">
        <f t="shared" si="2"/>
        <v>63512.4</v>
      </c>
      <c r="L17" s="2">
        <f t="shared" si="3"/>
        <v>29.67960125</v>
      </c>
      <c r="M17" s="2">
        <f t="shared" si="5"/>
        <v>304.3562754</v>
      </c>
    </row>
    <row r="18">
      <c r="A18" s="2" t="str">
        <f>IFERROR(__xludf.DUMMYFUNCTION("""COMPUTED_VALUE"""),"Brazil")</f>
        <v>Brazil</v>
      </c>
      <c r="B18" s="3">
        <f>IFERROR(__xludf.DUMMYFUNCTION("""COMPUTED_VALUE"""),44378.0)</f>
        <v>44378</v>
      </c>
      <c r="C18" s="3">
        <f>IFERROR(__xludf.DUMMYFUNCTION("""COMPUTED_VALUE"""),44408.0)</f>
        <v>44408</v>
      </c>
      <c r="D18" s="2">
        <f>IFERROR(__xludf.DUMMYFUNCTION("""COMPUTED_VALUE"""),7.0)</f>
        <v>7</v>
      </c>
      <c r="E18" s="2">
        <f>IFERROR(__xludf.DUMMYFUNCTION("""COMPUTED_VALUE"""),162439.0)</f>
        <v>162439</v>
      </c>
      <c r="F18" s="2">
        <f>IFERROR(__xludf.DUMMYFUNCTION("""COMPUTED_VALUE"""),38304.0)</f>
        <v>38304</v>
      </c>
      <c r="G18" s="4">
        <f>VLOOKUP(A18,Populacao!A:B, 2, 0)</f>
        <v>213993441</v>
      </c>
      <c r="H18" s="2">
        <f t="shared" si="1"/>
        <v>17.89961404</v>
      </c>
      <c r="I18" s="2">
        <f t="shared" si="4"/>
        <v>259.99395</v>
      </c>
      <c r="J18" s="2">
        <f>AVERAGEIFS(Dados!F:F,Dados!A:A,"=Brazil", Dados!G:G, "=0",Dados!E:E, D18)</f>
        <v>119659.2</v>
      </c>
      <c r="K18" s="2">
        <f t="shared" si="2"/>
        <v>42779.8</v>
      </c>
      <c r="L18" s="2">
        <f t="shared" si="3"/>
        <v>19.99117347</v>
      </c>
      <c r="M18" s="2">
        <f t="shared" si="5"/>
        <v>324.3474489</v>
      </c>
    </row>
    <row r="19">
      <c r="A19" s="2" t="str">
        <f>IFERROR(__xludf.DUMMYFUNCTION("""COMPUTED_VALUE"""),"Brazil")</f>
        <v>Brazil</v>
      </c>
      <c r="B19" s="3">
        <f>IFERROR(__xludf.DUMMYFUNCTION("""COMPUTED_VALUE"""),44409.0)</f>
        <v>44409</v>
      </c>
      <c r="C19" s="3">
        <f>IFERROR(__xludf.DUMMYFUNCTION("""COMPUTED_VALUE"""),44439.0)</f>
        <v>44439</v>
      </c>
      <c r="D19" s="2">
        <f>IFERROR(__xludf.DUMMYFUNCTION("""COMPUTED_VALUE"""),8.0)</f>
        <v>8</v>
      </c>
      <c r="E19" s="2">
        <f>IFERROR(__xludf.DUMMYFUNCTION("""COMPUTED_VALUE"""),149206.0)</f>
        <v>149206</v>
      </c>
      <c r="F19" s="2">
        <f>IFERROR(__xludf.DUMMYFUNCTION("""COMPUTED_VALUE"""),24043.0)</f>
        <v>24043</v>
      </c>
      <c r="G19" s="4">
        <f>VLOOKUP(A19,Populacao!A:B, 2, 0)</f>
        <v>213993441</v>
      </c>
      <c r="H19" s="2">
        <f t="shared" si="1"/>
        <v>11.23539109</v>
      </c>
      <c r="I19" s="2">
        <f t="shared" si="4"/>
        <v>271.2293411</v>
      </c>
      <c r="J19" s="2">
        <f>AVERAGEIFS(Dados!F:F,Dados!A:A,"=Brazil", Dados!G:G, "=0",Dados!E:E, D19)</f>
        <v>113413</v>
      </c>
      <c r="K19" s="2">
        <f t="shared" si="2"/>
        <v>35793</v>
      </c>
      <c r="L19" s="2">
        <f t="shared" si="3"/>
        <v>16.72621359</v>
      </c>
      <c r="M19" s="2">
        <f t="shared" si="5"/>
        <v>341.0736625</v>
      </c>
    </row>
    <row r="20">
      <c r="A20" s="2" t="str">
        <f>IFERROR(__xludf.DUMMYFUNCTION("""COMPUTED_VALUE"""),"Brazil")</f>
        <v>Brazil</v>
      </c>
      <c r="B20" s="3">
        <f>IFERROR(__xludf.DUMMYFUNCTION("""COMPUTED_VALUE"""),44440.0)</f>
        <v>44440</v>
      </c>
      <c r="C20" s="3">
        <f>IFERROR(__xludf.DUMMYFUNCTION("""COMPUTED_VALUE"""),44469.0)</f>
        <v>44469</v>
      </c>
      <c r="D20" s="2">
        <f>IFERROR(__xludf.DUMMYFUNCTION("""COMPUTED_VALUE"""),9.0)</f>
        <v>9</v>
      </c>
      <c r="E20" s="2">
        <f>IFERROR(__xludf.DUMMYFUNCTION("""COMPUTED_VALUE"""),129743.0)</f>
        <v>129743</v>
      </c>
      <c r="F20" s="2">
        <f>IFERROR(__xludf.DUMMYFUNCTION("""COMPUTED_VALUE"""),16336.0)</f>
        <v>16336</v>
      </c>
      <c r="G20" s="4">
        <f>VLOOKUP(A20,Populacao!A:B, 2, 0)</f>
        <v>213993441</v>
      </c>
      <c r="H20" s="2">
        <f t="shared" si="1"/>
        <v>7.633878835</v>
      </c>
      <c r="I20" s="2">
        <f t="shared" si="4"/>
        <v>278.8632199</v>
      </c>
      <c r="J20" s="2">
        <f>AVERAGEIFS(Dados!F:F,Dados!A:A,"=Brazil", Dados!G:G, "=0",Dados!E:E, D20)</f>
        <v>106914</v>
      </c>
      <c r="K20" s="2">
        <f t="shared" si="2"/>
        <v>22829</v>
      </c>
      <c r="L20" s="2">
        <f t="shared" si="3"/>
        <v>10.66808398</v>
      </c>
      <c r="M20" s="2">
        <f t="shared" si="5"/>
        <v>351.7417465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0"/>
    <col customWidth="1" min="4" max="4" width="10.38"/>
    <col customWidth="1" min="5" max="5" width="11.13"/>
    <col customWidth="1" min="7" max="7" width="10.88"/>
    <col customWidth="1" min="8" max="8" width="15.0"/>
    <col customWidth="1" min="9" max="9" width="15.5"/>
    <col customWidth="1" min="12" max="13" width="14.0"/>
  </cols>
  <sheetData>
    <row r="1">
      <c r="A1" s="6" t="str">
        <f>IFERROR(__xludf.DUMMYFUNCTION("QUERY(Dados!A:G, ""SELECT A,B,C,E,F, G where A= 'Colombia' and G &gt; 0"")"),"país")</f>
        <v>país</v>
      </c>
      <c r="B1" s="6" t="str">
        <f>IFERROR(__xludf.DUMMYFUNCTION("""COMPUTED_VALUE"""),"data início")</f>
        <v>data início</v>
      </c>
      <c r="C1" s="6" t="str">
        <f>IFERROR(__xludf.DUMMYFUNCTION("""COMPUTED_VALUE"""),"data fim")</f>
        <v>data fim</v>
      </c>
      <c r="D1" s="6" t="str">
        <f>IFERROR(__xludf.DUMMYFUNCTION("""COMPUTED_VALUE"""),"semana")</f>
        <v>semana</v>
      </c>
      <c r="E1" s="6" t="str">
        <f>IFERROR(__xludf.DUMMYFUNCTION("""COMPUTED_VALUE"""),"total mortes reportadas")</f>
        <v>total mortes reportadas</v>
      </c>
      <c r="F1" s="6" t="str">
        <f>IFERROR(__xludf.DUMMYFUNCTION("""COMPUTED_VALUE"""),"total mortes reportadas por covid")</f>
        <v>total mortes reportadas por covid</v>
      </c>
      <c r="G1" s="7" t="s">
        <v>7</v>
      </c>
      <c r="H1" s="8" t="s">
        <v>1</v>
      </c>
      <c r="I1" s="9" t="s">
        <v>2</v>
      </c>
      <c r="J1" s="10" t="s">
        <v>3</v>
      </c>
      <c r="K1" s="11" t="s">
        <v>4</v>
      </c>
      <c r="L1" s="12" t="s">
        <v>5</v>
      </c>
      <c r="M1" s="13" t="s">
        <v>6</v>
      </c>
    </row>
    <row r="2">
      <c r="A2" s="2" t="str">
        <f>IFERROR(__xludf.DUMMYFUNCTION("""COMPUTED_VALUE"""),"Colombia")</f>
        <v>Colombia</v>
      </c>
      <c r="B2" s="3">
        <f>IFERROR(__xludf.DUMMYFUNCTION("""COMPUTED_VALUE"""),43906.0)</f>
        <v>43906</v>
      </c>
      <c r="C2" s="3">
        <f>IFERROR(__xludf.DUMMYFUNCTION("""COMPUTED_VALUE"""),43912.0)</f>
        <v>43912</v>
      </c>
      <c r="D2" s="2">
        <f>IFERROR(__xludf.DUMMYFUNCTION("""COMPUTED_VALUE"""),12.0)</f>
        <v>12</v>
      </c>
      <c r="E2" s="2">
        <f>IFERROR(__xludf.DUMMYFUNCTION("""COMPUTED_VALUE"""),4499.0)</f>
        <v>4499</v>
      </c>
      <c r="F2" s="2">
        <f>IFERROR(__xludf.DUMMYFUNCTION("""COMPUTED_VALUE"""),2.0)</f>
        <v>2</v>
      </c>
      <c r="G2" s="4">
        <f>VLOOKUP(A2, Populacao!A:B, 2, 0)</f>
        <v>51265841</v>
      </c>
      <c r="H2" s="2">
        <f t="shared" ref="H2:H70" si="1">(F2*100000)/G2</f>
        <v>0.003901233182</v>
      </c>
      <c r="I2" s="2">
        <f>H2</f>
        <v>0.003901233182</v>
      </c>
      <c r="J2" s="2">
        <f>AVERAGEIFS(Dados!F:F,Dados!A:A, "=Colombia", Dados!G:G, "=0", Dados!E:E, D2)</f>
        <v>4296.8</v>
      </c>
      <c r="K2" s="2">
        <f t="shared" ref="K2:K70" si="2">E2-J2</f>
        <v>202.2</v>
      </c>
      <c r="L2" s="2">
        <f t="shared" ref="L2:L70" si="3">(K2*100000)/G2</f>
        <v>0.3944146747</v>
      </c>
      <c r="M2" s="2">
        <f>L2</f>
        <v>0.3944146747</v>
      </c>
    </row>
    <row r="3">
      <c r="A3" s="2" t="str">
        <f>IFERROR(__xludf.DUMMYFUNCTION("""COMPUTED_VALUE"""),"Colombia")</f>
        <v>Colombia</v>
      </c>
      <c r="B3" s="3">
        <f>IFERROR(__xludf.DUMMYFUNCTION("""COMPUTED_VALUE"""),43913.0)</f>
        <v>43913</v>
      </c>
      <c r="C3" s="3">
        <f>IFERROR(__xludf.DUMMYFUNCTION("""COMPUTED_VALUE"""),43919.0)</f>
        <v>43919</v>
      </c>
      <c r="D3" s="2">
        <f>IFERROR(__xludf.DUMMYFUNCTION("""COMPUTED_VALUE"""),13.0)</f>
        <v>13</v>
      </c>
      <c r="E3" s="2">
        <f>IFERROR(__xludf.DUMMYFUNCTION("""COMPUTED_VALUE"""),4337.0)</f>
        <v>4337</v>
      </c>
      <c r="F3" s="2">
        <f>IFERROR(__xludf.DUMMYFUNCTION("""COMPUTED_VALUE"""),8.0)</f>
        <v>8</v>
      </c>
      <c r="G3" s="4">
        <f>VLOOKUP(A3, Populacao!A:B, 2, 0)</f>
        <v>51265841</v>
      </c>
      <c r="H3" s="2">
        <f t="shared" si="1"/>
        <v>0.01560493273</v>
      </c>
      <c r="I3" s="2">
        <f t="shared" ref="I3:I70" si="4">H3+I2</f>
        <v>0.01950616591</v>
      </c>
      <c r="J3" s="2">
        <f>AVERAGEIFS(Dados!F:F,Dados!A:A, "=Colombia", Dados!G:G, "=0", Dados!E:E, D3)</f>
        <v>4316.4</v>
      </c>
      <c r="K3" s="2">
        <f t="shared" si="2"/>
        <v>20.6</v>
      </c>
      <c r="L3" s="2">
        <f t="shared" si="3"/>
        <v>0.04018270177</v>
      </c>
      <c r="M3" s="2">
        <f t="shared" ref="M3:M70" si="5">L3+M2</f>
        <v>0.4345973764</v>
      </c>
    </row>
    <row r="4">
      <c r="A4" s="2" t="str">
        <f>IFERROR(__xludf.DUMMYFUNCTION("""COMPUTED_VALUE"""),"Colombia")</f>
        <v>Colombia</v>
      </c>
      <c r="B4" s="3">
        <f>IFERROR(__xludf.DUMMYFUNCTION("""COMPUTED_VALUE"""),43920.0)</f>
        <v>43920</v>
      </c>
      <c r="C4" s="3">
        <f>IFERROR(__xludf.DUMMYFUNCTION("""COMPUTED_VALUE"""),43926.0)</f>
        <v>43926</v>
      </c>
      <c r="D4" s="2">
        <f>IFERROR(__xludf.DUMMYFUNCTION("""COMPUTED_VALUE"""),14.0)</f>
        <v>14</v>
      </c>
      <c r="E4" s="2">
        <f>IFERROR(__xludf.DUMMYFUNCTION("""COMPUTED_VALUE"""),4190.0)</f>
        <v>4190</v>
      </c>
      <c r="F4" s="2">
        <f>IFERROR(__xludf.DUMMYFUNCTION("""COMPUTED_VALUE"""),25.0)</f>
        <v>25</v>
      </c>
      <c r="G4" s="4">
        <f>VLOOKUP(A4, Populacao!A:B, 2, 0)</f>
        <v>51265841</v>
      </c>
      <c r="H4" s="2">
        <f t="shared" si="1"/>
        <v>0.04876541477</v>
      </c>
      <c r="I4" s="2">
        <f t="shared" si="4"/>
        <v>0.06827158068</v>
      </c>
      <c r="J4" s="2">
        <f>AVERAGEIFS(Dados!F:F,Dados!A:A, "=Colombia", Dados!G:G, "=0", Dados!E:E, D4)</f>
        <v>4278</v>
      </c>
      <c r="K4" s="2">
        <f t="shared" si="2"/>
        <v>-88</v>
      </c>
      <c r="L4" s="2">
        <f t="shared" si="3"/>
        <v>-0.17165426</v>
      </c>
      <c r="M4" s="2">
        <f t="shared" si="5"/>
        <v>0.2629431165</v>
      </c>
    </row>
    <row r="5">
      <c r="A5" s="2" t="str">
        <f>IFERROR(__xludf.DUMMYFUNCTION("""COMPUTED_VALUE"""),"Colombia")</f>
        <v>Colombia</v>
      </c>
      <c r="B5" s="3">
        <f>IFERROR(__xludf.DUMMYFUNCTION("""COMPUTED_VALUE"""),43927.0)</f>
        <v>43927</v>
      </c>
      <c r="C5" s="3">
        <f>IFERROR(__xludf.DUMMYFUNCTION("""COMPUTED_VALUE"""),43933.0)</f>
        <v>43933</v>
      </c>
      <c r="D5" s="2">
        <f>IFERROR(__xludf.DUMMYFUNCTION("""COMPUTED_VALUE"""),15.0)</f>
        <v>15</v>
      </c>
      <c r="E5" s="2">
        <f>IFERROR(__xludf.DUMMYFUNCTION("""COMPUTED_VALUE"""),4255.0)</f>
        <v>4255</v>
      </c>
      <c r="F5" s="2">
        <f>IFERROR(__xludf.DUMMYFUNCTION("""COMPUTED_VALUE"""),74.0)</f>
        <v>74</v>
      </c>
      <c r="G5" s="4">
        <f>VLOOKUP(A5, Populacao!A:B, 2, 0)</f>
        <v>51265841</v>
      </c>
      <c r="H5" s="2">
        <f t="shared" si="1"/>
        <v>0.1443456277</v>
      </c>
      <c r="I5" s="2">
        <f t="shared" si="4"/>
        <v>0.2126172084</v>
      </c>
      <c r="J5" s="2">
        <f>AVERAGEIFS(Dados!F:F,Dados!A:A, "=Colombia", Dados!G:G, "=0", Dados!E:E, D5)</f>
        <v>4255</v>
      </c>
      <c r="K5" s="2">
        <f t="shared" si="2"/>
        <v>0</v>
      </c>
      <c r="L5" s="2">
        <f t="shared" si="3"/>
        <v>0</v>
      </c>
      <c r="M5" s="2">
        <f t="shared" si="5"/>
        <v>0.2629431165</v>
      </c>
    </row>
    <row r="6">
      <c r="A6" s="2" t="str">
        <f>IFERROR(__xludf.DUMMYFUNCTION("""COMPUTED_VALUE"""),"Colombia")</f>
        <v>Colombia</v>
      </c>
      <c r="B6" s="3">
        <f>IFERROR(__xludf.DUMMYFUNCTION("""COMPUTED_VALUE"""),43934.0)</f>
        <v>43934</v>
      </c>
      <c r="C6" s="3">
        <f>IFERROR(__xludf.DUMMYFUNCTION("""COMPUTED_VALUE"""),43940.0)</f>
        <v>43940</v>
      </c>
      <c r="D6" s="2">
        <f>IFERROR(__xludf.DUMMYFUNCTION("""COMPUTED_VALUE"""),16.0)</f>
        <v>16</v>
      </c>
      <c r="E6" s="2">
        <f>IFERROR(__xludf.DUMMYFUNCTION("""COMPUTED_VALUE"""),4355.0)</f>
        <v>4355</v>
      </c>
      <c r="F6" s="2">
        <f>IFERROR(__xludf.DUMMYFUNCTION("""COMPUTED_VALUE"""),70.0)</f>
        <v>70</v>
      </c>
      <c r="G6" s="4">
        <f>VLOOKUP(A6, Populacao!A:B, 2, 0)</f>
        <v>51265841</v>
      </c>
      <c r="H6" s="2">
        <f t="shared" si="1"/>
        <v>0.1365431614</v>
      </c>
      <c r="I6" s="2">
        <f t="shared" si="4"/>
        <v>0.3491603698</v>
      </c>
      <c r="J6" s="2">
        <f>AVERAGEIFS(Dados!F:F,Dados!A:A, "=Colombia", Dados!G:G, "=0", Dados!E:E, D6)</f>
        <v>4262.8</v>
      </c>
      <c r="K6" s="2">
        <f t="shared" si="2"/>
        <v>92.2</v>
      </c>
      <c r="L6" s="2">
        <f t="shared" si="3"/>
        <v>0.1798468497</v>
      </c>
      <c r="M6" s="2">
        <f t="shared" si="5"/>
        <v>0.4427899661</v>
      </c>
    </row>
    <row r="7">
      <c r="A7" s="2" t="str">
        <f>IFERROR(__xludf.DUMMYFUNCTION("""COMPUTED_VALUE"""),"Colombia")</f>
        <v>Colombia</v>
      </c>
      <c r="B7" s="3">
        <f>IFERROR(__xludf.DUMMYFUNCTION("""COMPUTED_VALUE"""),43941.0)</f>
        <v>43941</v>
      </c>
      <c r="C7" s="3">
        <f>IFERROR(__xludf.DUMMYFUNCTION("""COMPUTED_VALUE"""),43947.0)</f>
        <v>43947</v>
      </c>
      <c r="D7" s="2">
        <f>IFERROR(__xludf.DUMMYFUNCTION("""COMPUTED_VALUE"""),17.0)</f>
        <v>17</v>
      </c>
      <c r="E7" s="2">
        <f>IFERROR(__xludf.DUMMYFUNCTION("""COMPUTED_VALUE"""),4328.0)</f>
        <v>4328</v>
      </c>
      <c r="F7" s="2">
        <f>IFERROR(__xludf.DUMMYFUNCTION("""COMPUTED_VALUE"""),65.0)</f>
        <v>65</v>
      </c>
      <c r="G7" s="4">
        <f>VLOOKUP(A7, Populacao!A:B, 2, 0)</f>
        <v>51265841</v>
      </c>
      <c r="H7" s="2">
        <f t="shared" si="1"/>
        <v>0.1267900784</v>
      </c>
      <c r="I7" s="2">
        <f t="shared" si="4"/>
        <v>0.4759504482</v>
      </c>
      <c r="J7" s="2">
        <f>AVERAGEIFS(Dados!F:F,Dados!A:A, "=Colombia", Dados!G:G, "=0", Dados!E:E, D7)</f>
        <v>4263</v>
      </c>
      <c r="K7" s="2">
        <f t="shared" si="2"/>
        <v>65</v>
      </c>
      <c r="L7" s="2">
        <f t="shared" si="3"/>
        <v>0.1267900784</v>
      </c>
      <c r="M7" s="2">
        <f t="shared" si="5"/>
        <v>0.5695800445</v>
      </c>
    </row>
    <row r="8">
      <c r="A8" s="2" t="str">
        <f>IFERROR(__xludf.DUMMYFUNCTION("""COMPUTED_VALUE"""),"Colombia")</f>
        <v>Colombia</v>
      </c>
      <c r="B8" s="3">
        <f>IFERROR(__xludf.DUMMYFUNCTION("""COMPUTED_VALUE"""),43948.0)</f>
        <v>43948</v>
      </c>
      <c r="C8" s="3">
        <f>IFERROR(__xludf.DUMMYFUNCTION("""COMPUTED_VALUE"""),43954.0)</f>
        <v>43954</v>
      </c>
      <c r="D8" s="2">
        <f>IFERROR(__xludf.DUMMYFUNCTION("""COMPUTED_VALUE"""),18.0)</f>
        <v>18</v>
      </c>
      <c r="E8" s="2">
        <f>IFERROR(__xludf.DUMMYFUNCTION("""COMPUTED_VALUE"""),4263.0)</f>
        <v>4263</v>
      </c>
      <c r="F8" s="2">
        <f>IFERROR(__xludf.DUMMYFUNCTION("""COMPUTED_VALUE"""),96.0)</f>
        <v>96</v>
      </c>
      <c r="G8" s="4">
        <f>VLOOKUP(A8, Populacao!A:B, 2, 0)</f>
        <v>51265841</v>
      </c>
      <c r="H8" s="2">
        <f t="shared" si="1"/>
        <v>0.1872591927</v>
      </c>
      <c r="I8" s="2">
        <f t="shared" si="4"/>
        <v>0.6632096409</v>
      </c>
      <c r="J8" s="2">
        <f>AVERAGEIFS(Dados!F:F,Dados!A:A, "=Colombia", Dados!G:G, "=0", Dados!E:E, D8)</f>
        <v>4331.2</v>
      </c>
      <c r="K8" s="2">
        <f t="shared" si="2"/>
        <v>-68.2</v>
      </c>
      <c r="L8" s="2">
        <f t="shared" si="3"/>
        <v>-0.1330320515</v>
      </c>
      <c r="M8" s="2">
        <f t="shared" si="5"/>
        <v>0.436547993</v>
      </c>
    </row>
    <row r="9">
      <c r="A9" s="2" t="str">
        <f>IFERROR(__xludf.DUMMYFUNCTION("""COMPUTED_VALUE"""),"Colombia")</f>
        <v>Colombia</v>
      </c>
      <c r="B9" s="3">
        <f>IFERROR(__xludf.DUMMYFUNCTION("""COMPUTED_VALUE"""),43955.0)</f>
        <v>43955</v>
      </c>
      <c r="C9" s="3">
        <f>IFERROR(__xludf.DUMMYFUNCTION("""COMPUTED_VALUE"""),43961.0)</f>
        <v>43961</v>
      </c>
      <c r="D9" s="2">
        <f>IFERROR(__xludf.DUMMYFUNCTION("""COMPUTED_VALUE"""),19.0)</f>
        <v>19</v>
      </c>
      <c r="E9" s="2">
        <f>IFERROR(__xludf.DUMMYFUNCTION("""COMPUTED_VALUE"""),4469.0)</f>
        <v>4469</v>
      </c>
      <c r="F9" s="2">
        <f>IFERROR(__xludf.DUMMYFUNCTION("""COMPUTED_VALUE"""),123.0)</f>
        <v>123</v>
      </c>
      <c r="G9" s="4">
        <f>VLOOKUP(A9, Populacao!A:B, 2, 0)</f>
        <v>51265841</v>
      </c>
      <c r="H9" s="2">
        <f t="shared" si="1"/>
        <v>0.2399258407</v>
      </c>
      <c r="I9" s="2">
        <f t="shared" si="4"/>
        <v>0.9031354816</v>
      </c>
      <c r="J9" s="2">
        <f>AVERAGEIFS(Dados!F:F,Dados!A:A, "=Colombia", Dados!G:G, "=0", Dados!E:E, D9)</f>
        <v>4368.2</v>
      </c>
      <c r="K9" s="2">
        <f t="shared" si="2"/>
        <v>100.8</v>
      </c>
      <c r="L9" s="2">
        <f t="shared" si="3"/>
        <v>0.1966221524</v>
      </c>
      <c r="M9" s="2">
        <f t="shared" si="5"/>
        <v>0.6331701454</v>
      </c>
    </row>
    <row r="10">
      <c r="A10" s="2" t="str">
        <f>IFERROR(__xludf.DUMMYFUNCTION("""COMPUTED_VALUE"""),"Colombia")</f>
        <v>Colombia</v>
      </c>
      <c r="B10" s="3">
        <f>IFERROR(__xludf.DUMMYFUNCTION("""COMPUTED_VALUE"""),43962.0)</f>
        <v>43962</v>
      </c>
      <c r="C10" s="3">
        <f>IFERROR(__xludf.DUMMYFUNCTION("""COMPUTED_VALUE"""),43968.0)</f>
        <v>43968</v>
      </c>
      <c r="D10" s="2">
        <f>IFERROR(__xludf.DUMMYFUNCTION("""COMPUTED_VALUE"""),20.0)</f>
        <v>20</v>
      </c>
      <c r="E10" s="2">
        <f>IFERROR(__xludf.DUMMYFUNCTION("""COMPUTED_VALUE"""),4579.0)</f>
        <v>4579</v>
      </c>
      <c r="F10" s="2">
        <f>IFERROR(__xludf.DUMMYFUNCTION("""COMPUTED_VALUE"""),111.0)</f>
        <v>111</v>
      </c>
      <c r="G10" s="4">
        <f>VLOOKUP(A10, Populacao!A:B, 2, 0)</f>
        <v>51265841</v>
      </c>
      <c r="H10" s="2">
        <f t="shared" si="1"/>
        <v>0.2165184416</v>
      </c>
      <c r="I10" s="2">
        <f t="shared" si="4"/>
        <v>1.119653923</v>
      </c>
      <c r="J10" s="2">
        <f>AVERAGEIFS(Dados!F:F,Dados!A:A, "=Colombia", Dados!G:G, "=0", Dados!E:E, D10)</f>
        <v>4518.8</v>
      </c>
      <c r="K10" s="2">
        <f t="shared" si="2"/>
        <v>60.2</v>
      </c>
      <c r="L10" s="2">
        <f t="shared" si="3"/>
        <v>0.1174271188</v>
      </c>
      <c r="M10" s="2">
        <f t="shared" si="5"/>
        <v>0.7505972642</v>
      </c>
    </row>
    <row r="11">
      <c r="A11" s="2" t="str">
        <f>IFERROR(__xludf.DUMMYFUNCTION("""COMPUTED_VALUE"""),"Colombia")</f>
        <v>Colombia</v>
      </c>
      <c r="B11" s="3">
        <f>IFERROR(__xludf.DUMMYFUNCTION("""COMPUTED_VALUE"""),43969.0)</f>
        <v>43969</v>
      </c>
      <c r="C11" s="3">
        <f>IFERROR(__xludf.DUMMYFUNCTION("""COMPUTED_VALUE"""),43975.0)</f>
        <v>43975</v>
      </c>
      <c r="D11" s="2">
        <f>IFERROR(__xludf.DUMMYFUNCTION("""COMPUTED_VALUE"""),21.0)</f>
        <v>21</v>
      </c>
      <c r="E11" s="2">
        <f>IFERROR(__xludf.DUMMYFUNCTION("""COMPUTED_VALUE"""),4701.0)</f>
        <v>4701</v>
      </c>
      <c r="F11" s="2">
        <f>IFERROR(__xludf.DUMMYFUNCTION("""COMPUTED_VALUE"""),153.0)</f>
        <v>153</v>
      </c>
      <c r="G11" s="4">
        <f>VLOOKUP(A11, Populacao!A:B, 2, 0)</f>
        <v>51265841</v>
      </c>
      <c r="H11" s="2">
        <f t="shared" si="1"/>
        <v>0.2984443384</v>
      </c>
      <c r="I11" s="2">
        <f t="shared" si="4"/>
        <v>1.418098262</v>
      </c>
      <c r="J11" s="2">
        <f>AVERAGEIFS(Dados!F:F,Dados!A:A, "=Colombia", Dados!G:G, "=0", Dados!E:E, D11)</f>
        <v>4478.2</v>
      </c>
      <c r="K11" s="2">
        <f t="shared" si="2"/>
        <v>222.8</v>
      </c>
      <c r="L11" s="2">
        <f t="shared" si="3"/>
        <v>0.4345973764</v>
      </c>
      <c r="M11" s="2">
        <f t="shared" si="5"/>
        <v>1.185194641</v>
      </c>
    </row>
    <row r="12">
      <c r="A12" s="2" t="str">
        <f>IFERROR(__xludf.DUMMYFUNCTION("""COMPUTED_VALUE"""),"Colombia")</f>
        <v>Colombia</v>
      </c>
      <c r="B12" s="3">
        <f>IFERROR(__xludf.DUMMYFUNCTION("""COMPUTED_VALUE"""),43976.0)</f>
        <v>43976</v>
      </c>
      <c r="C12" s="3">
        <f>IFERROR(__xludf.DUMMYFUNCTION("""COMPUTED_VALUE"""),43982.0)</f>
        <v>43982</v>
      </c>
      <c r="D12" s="2">
        <f>IFERROR(__xludf.DUMMYFUNCTION("""COMPUTED_VALUE"""),22.0)</f>
        <v>22</v>
      </c>
      <c r="E12" s="2">
        <f>IFERROR(__xludf.DUMMYFUNCTION("""COMPUTED_VALUE"""),4738.0)</f>
        <v>4738</v>
      </c>
      <c r="F12" s="2">
        <f>IFERROR(__xludf.DUMMYFUNCTION("""COMPUTED_VALUE"""),212.0)</f>
        <v>212</v>
      </c>
      <c r="G12" s="4">
        <f>VLOOKUP(A12, Populacao!A:B, 2, 0)</f>
        <v>51265841</v>
      </c>
      <c r="H12" s="2">
        <f t="shared" si="1"/>
        <v>0.4135307173</v>
      </c>
      <c r="I12" s="2">
        <f t="shared" si="4"/>
        <v>1.831628979</v>
      </c>
      <c r="J12" s="2">
        <f>AVERAGEIFS(Dados!F:F,Dados!A:A, "=Colombia", Dados!G:G, "=0", Dados!E:E, D12)</f>
        <v>4485</v>
      </c>
      <c r="K12" s="2">
        <f t="shared" si="2"/>
        <v>253</v>
      </c>
      <c r="L12" s="2">
        <f t="shared" si="3"/>
        <v>0.4935059975</v>
      </c>
      <c r="M12" s="2">
        <f t="shared" si="5"/>
        <v>1.678700638</v>
      </c>
    </row>
    <row r="13">
      <c r="A13" s="2" t="str">
        <f>IFERROR(__xludf.DUMMYFUNCTION("""COMPUTED_VALUE"""),"Colombia")</f>
        <v>Colombia</v>
      </c>
      <c r="B13" s="3">
        <f>IFERROR(__xludf.DUMMYFUNCTION("""COMPUTED_VALUE"""),43983.0)</f>
        <v>43983</v>
      </c>
      <c r="C13" s="3">
        <f>IFERROR(__xludf.DUMMYFUNCTION("""COMPUTED_VALUE"""),43989.0)</f>
        <v>43989</v>
      </c>
      <c r="D13" s="2">
        <f>IFERROR(__xludf.DUMMYFUNCTION("""COMPUTED_VALUE"""),23.0)</f>
        <v>23</v>
      </c>
      <c r="E13" s="2">
        <f>IFERROR(__xludf.DUMMYFUNCTION("""COMPUTED_VALUE"""),5153.0)</f>
        <v>5153</v>
      </c>
      <c r="F13" s="2">
        <f>IFERROR(__xludf.DUMMYFUNCTION("""COMPUTED_VALUE"""),320.0)</f>
        <v>320</v>
      </c>
      <c r="G13" s="4">
        <f>VLOOKUP(A13, Populacao!A:B, 2, 0)</f>
        <v>51265841</v>
      </c>
      <c r="H13" s="2">
        <f t="shared" si="1"/>
        <v>0.6241973091</v>
      </c>
      <c r="I13" s="2">
        <f t="shared" si="4"/>
        <v>2.455826288</v>
      </c>
      <c r="J13" s="2">
        <f>AVERAGEIFS(Dados!F:F,Dados!A:A, "=Colombia", Dados!G:G, "=0", Dados!E:E, D13)</f>
        <v>4542.6</v>
      </c>
      <c r="K13" s="2">
        <f t="shared" si="2"/>
        <v>610.4</v>
      </c>
      <c r="L13" s="2">
        <f t="shared" si="3"/>
        <v>1.190656367</v>
      </c>
      <c r="M13" s="2">
        <f t="shared" si="5"/>
        <v>2.869357005</v>
      </c>
    </row>
    <row r="14">
      <c r="A14" s="2" t="str">
        <f>IFERROR(__xludf.DUMMYFUNCTION("""COMPUTED_VALUE"""),"Colombia")</f>
        <v>Colombia</v>
      </c>
      <c r="B14" s="3">
        <f>IFERROR(__xludf.DUMMYFUNCTION("""COMPUTED_VALUE"""),43990.0)</f>
        <v>43990</v>
      </c>
      <c r="C14" s="3">
        <f>IFERROR(__xludf.DUMMYFUNCTION("""COMPUTED_VALUE"""),43996.0)</f>
        <v>43996</v>
      </c>
      <c r="D14" s="2">
        <f>IFERROR(__xludf.DUMMYFUNCTION("""COMPUTED_VALUE"""),24.0)</f>
        <v>24</v>
      </c>
      <c r="E14" s="2">
        <f>IFERROR(__xludf.DUMMYFUNCTION("""COMPUTED_VALUE"""),5338.0)</f>
        <v>5338</v>
      </c>
      <c r="F14" s="2">
        <f>IFERROR(__xludf.DUMMYFUNCTION("""COMPUTED_VALUE"""),408.0)</f>
        <v>408</v>
      </c>
      <c r="G14" s="4">
        <f>VLOOKUP(A14, Populacao!A:B, 2, 0)</f>
        <v>51265841</v>
      </c>
      <c r="H14" s="2">
        <f t="shared" si="1"/>
        <v>0.7958515691</v>
      </c>
      <c r="I14" s="2">
        <f t="shared" si="4"/>
        <v>3.251677857</v>
      </c>
      <c r="J14" s="2">
        <f>AVERAGEIFS(Dados!F:F,Dados!A:A, "=Colombia", Dados!G:G, "=0", Dados!E:E, D14)</f>
        <v>4514.8</v>
      </c>
      <c r="K14" s="2">
        <f t="shared" si="2"/>
        <v>823.2</v>
      </c>
      <c r="L14" s="2">
        <f t="shared" si="3"/>
        <v>1.605747578</v>
      </c>
      <c r="M14" s="2">
        <f t="shared" si="5"/>
        <v>4.475104583</v>
      </c>
    </row>
    <row r="15">
      <c r="A15" s="2" t="str">
        <f>IFERROR(__xludf.DUMMYFUNCTION("""COMPUTED_VALUE"""),"Colombia")</f>
        <v>Colombia</v>
      </c>
      <c r="B15" s="3">
        <f>IFERROR(__xludf.DUMMYFUNCTION("""COMPUTED_VALUE"""),43997.0)</f>
        <v>43997</v>
      </c>
      <c r="C15" s="3">
        <f>IFERROR(__xludf.DUMMYFUNCTION("""COMPUTED_VALUE"""),44003.0)</f>
        <v>44003</v>
      </c>
      <c r="D15" s="2">
        <f>IFERROR(__xludf.DUMMYFUNCTION("""COMPUTED_VALUE"""),25.0)</f>
        <v>25</v>
      </c>
      <c r="E15" s="2">
        <f>IFERROR(__xludf.DUMMYFUNCTION("""COMPUTED_VALUE"""),5778.0)</f>
        <v>5778</v>
      </c>
      <c r="F15" s="2">
        <f>IFERROR(__xludf.DUMMYFUNCTION("""COMPUTED_VALUE"""),570.0)</f>
        <v>570</v>
      </c>
      <c r="G15" s="4">
        <f>VLOOKUP(A15, Populacao!A:B, 2, 0)</f>
        <v>51265841</v>
      </c>
      <c r="H15" s="2">
        <f t="shared" si="1"/>
        <v>1.111851457</v>
      </c>
      <c r="I15" s="2">
        <f t="shared" si="4"/>
        <v>4.363529314</v>
      </c>
      <c r="J15" s="2">
        <f>AVERAGEIFS(Dados!F:F,Dados!A:A, "=Colombia", Dados!G:G, "=0", Dados!E:E, D15)</f>
        <v>4554.6</v>
      </c>
      <c r="K15" s="2">
        <f t="shared" si="2"/>
        <v>1223.4</v>
      </c>
      <c r="L15" s="2">
        <f t="shared" si="3"/>
        <v>2.386384337</v>
      </c>
      <c r="M15" s="2">
        <f t="shared" si="5"/>
        <v>6.86148892</v>
      </c>
    </row>
    <row r="16">
      <c r="A16" s="2" t="str">
        <f>IFERROR(__xludf.DUMMYFUNCTION("""COMPUTED_VALUE"""),"Colombia")</f>
        <v>Colombia</v>
      </c>
      <c r="B16" s="3">
        <f>IFERROR(__xludf.DUMMYFUNCTION("""COMPUTED_VALUE"""),44004.0)</f>
        <v>44004</v>
      </c>
      <c r="C16" s="3">
        <f>IFERROR(__xludf.DUMMYFUNCTION("""COMPUTED_VALUE"""),44010.0)</f>
        <v>44010</v>
      </c>
      <c r="D16" s="2">
        <f>IFERROR(__xludf.DUMMYFUNCTION("""COMPUTED_VALUE"""),26.0)</f>
        <v>26</v>
      </c>
      <c r="E16" s="2">
        <f>IFERROR(__xludf.DUMMYFUNCTION("""COMPUTED_VALUE"""),6128.0)</f>
        <v>6128</v>
      </c>
      <c r="F16" s="2">
        <f>IFERROR(__xludf.DUMMYFUNCTION("""COMPUTED_VALUE"""),941.0)</f>
        <v>941</v>
      </c>
      <c r="G16" s="4">
        <f>VLOOKUP(A16, Populacao!A:B, 2, 0)</f>
        <v>51265841</v>
      </c>
      <c r="H16" s="2">
        <f t="shared" si="1"/>
        <v>1.835530212</v>
      </c>
      <c r="I16" s="2">
        <f t="shared" si="4"/>
        <v>6.199059526</v>
      </c>
      <c r="J16" s="2">
        <f>AVERAGEIFS(Dados!F:F,Dados!A:A, "=Colombia", Dados!G:G, "=0", Dados!E:E, D16)</f>
        <v>4592</v>
      </c>
      <c r="K16" s="2">
        <f t="shared" si="2"/>
        <v>1536</v>
      </c>
      <c r="L16" s="2">
        <f t="shared" si="3"/>
        <v>2.996147084</v>
      </c>
      <c r="M16" s="2">
        <f t="shared" si="5"/>
        <v>9.857636004</v>
      </c>
    </row>
    <row r="17">
      <c r="A17" s="2" t="str">
        <f>IFERROR(__xludf.DUMMYFUNCTION("""COMPUTED_VALUE"""),"Colombia")</f>
        <v>Colombia</v>
      </c>
      <c r="B17" s="3">
        <f>IFERROR(__xludf.DUMMYFUNCTION("""COMPUTED_VALUE"""),44011.0)</f>
        <v>44011</v>
      </c>
      <c r="C17" s="3">
        <f>IFERROR(__xludf.DUMMYFUNCTION("""COMPUTED_VALUE"""),44017.0)</f>
        <v>44017</v>
      </c>
      <c r="D17" s="2">
        <f>IFERROR(__xludf.DUMMYFUNCTION("""COMPUTED_VALUE"""),27.0)</f>
        <v>27</v>
      </c>
      <c r="E17" s="2">
        <f>IFERROR(__xludf.DUMMYFUNCTION("""COMPUTED_VALUE"""),6233.0)</f>
        <v>6233</v>
      </c>
      <c r="F17" s="2">
        <f>IFERROR(__xludf.DUMMYFUNCTION("""COMPUTED_VALUE"""),886.0)</f>
        <v>886</v>
      </c>
      <c r="G17" s="4">
        <f>VLOOKUP(A17, Populacao!A:B, 2, 0)</f>
        <v>51265841</v>
      </c>
      <c r="H17" s="2">
        <f t="shared" si="1"/>
        <v>1.7282463</v>
      </c>
      <c r="I17" s="2">
        <f t="shared" si="4"/>
        <v>7.927305825</v>
      </c>
      <c r="J17" s="2">
        <f>AVERAGEIFS(Dados!F:F,Dados!A:A, "=Colombia", Dados!G:G, "=0", Dados!E:E, D17)</f>
        <v>4567</v>
      </c>
      <c r="K17" s="2">
        <f t="shared" si="2"/>
        <v>1666</v>
      </c>
      <c r="L17" s="2">
        <f t="shared" si="3"/>
        <v>3.24972724</v>
      </c>
      <c r="M17" s="2">
        <f t="shared" si="5"/>
        <v>13.10736324</v>
      </c>
    </row>
    <row r="18">
      <c r="A18" s="2" t="str">
        <f>IFERROR(__xludf.DUMMYFUNCTION("""COMPUTED_VALUE"""),"Colombia")</f>
        <v>Colombia</v>
      </c>
      <c r="B18" s="3">
        <f>IFERROR(__xludf.DUMMYFUNCTION("""COMPUTED_VALUE"""),44018.0)</f>
        <v>44018</v>
      </c>
      <c r="C18" s="3">
        <f>IFERROR(__xludf.DUMMYFUNCTION("""COMPUTED_VALUE"""),44024.0)</f>
        <v>44024</v>
      </c>
      <c r="D18" s="2">
        <f>IFERROR(__xludf.DUMMYFUNCTION("""COMPUTED_VALUE"""),28.0)</f>
        <v>28</v>
      </c>
      <c r="E18" s="2">
        <f>IFERROR(__xludf.DUMMYFUNCTION("""COMPUTED_VALUE"""),6739.0)</f>
        <v>6739</v>
      </c>
      <c r="F18" s="2">
        <f>IFERROR(__xludf.DUMMYFUNCTION("""COMPUTED_VALUE"""),1243.0)</f>
        <v>1243</v>
      </c>
      <c r="G18" s="4">
        <f>VLOOKUP(A18, Populacao!A:B, 2, 0)</f>
        <v>51265841</v>
      </c>
      <c r="H18" s="2">
        <f t="shared" si="1"/>
        <v>2.424616422</v>
      </c>
      <c r="I18" s="2">
        <f t="shared" si="4"/>
        <v>10.35192225</v>
      </c>
      <c r="J18" s="2">
        <f>AVERAGEIFS(Dados!F:F,Dados!A:A, "=Colombia", Dados!G:G, "=0", Dados!E:E, D18)</f>
        <v>4543.6</v>
      </c>
      <c r="K18" s="2">
        <f t="shared" si="2"/>
        <v>2195.4</v>
      </c>
      <c r="L18" s="2">
        <f t="shared" si="3"/>
        <v>4.282383664</v>
      </c>
      <c r="M18" s="2">
        <f t="shared" si="5"/>
        <v>17.38974691</v>
      </c>
    </row>
    <row r="19">
      <c r="A19" s="2" t="str">
        <f>IFERROR(__xludf.DUMMYFUNCTION("""COMPUTED_VALUE"""),"Colombia")</f>
        <v>Colombia</v>
      </c>
      <c r="B19" s="3">
        <f>IFERROR(__xludf.DUMMYFUNCTION("""COMPUTED_VALUE"""),44025.0)</f>
        <v>44025</v>
      </c>
      <c r="C19" s="3">
        <f>IFERROR(__xludf.DUMMYFUNCTION("""COMPUTED_VALUE"""),44031.0)</f>
        <v>44031</v>
      </c>
      <c r="D19" s="2">
        <f>IFERROR(__xludf.DUMMYFUNCTION("""COMPUTED_VALUE"""),29.0)</f>
        <v>29</v>
      </c>
      <c r="E19" s="2">
        <f>IFERROR(__xludf.DUMMYFUNCTION("""COMPUTED_VALUE"""),7313.0)</f>
        <v>7313</v>
      </c>
      <c r="F19" s="2">
        <f>IFERROR(__xludf.DUMMYFUNCTION("""COMPUTED_VALUE"""),1429.0)</f>
        <v>1429</v>
      </c>
      <c r="G19" s="4">
        <f>VLOOKUP(A19, Populacao!A:B, 2, 0)</f>
        <v>51265841</v>
      </c>
      <c r="H19" s="2">
        <f t="shared" si="1"/>
        <v>2.787431108</v>
      </c>
      <c r="I19" s="2">
        <f t="shared" si="4"/>
        <v>13.13935336</v>
      </c>
      <c r="J19" s="2">
        <f>AVERAGEIFS(Dados!F:F,Dados!A:A, "=Colombia", Dados!G:G, "=0", Dados!E:E, D19)</f>
        <v>4444.8</v>
      </c>
      <c r="K19" s="2">
        <f t="shared" si="2"/>
        <v>2868.2</v>
      </c>
      <c r="L19" s="2">
        <f t="shared" si="3"/>
        <v>5.594758506</v>
      </c>
      <c r="M19" s="2">
        <f t="shared" si="5"/>
        <v>22.98450541</v>
      </c>
    </row>
    <row r="20">
      <c r="A20" s="2" t="str">
        <f>IFERROR(__xludf.DUMMYFUNCTION("""COMPUTED_VALUE"""),"Colombia")</f>
        <v>Colombia</v>
      </c>
      <c r="B20" s="3">
        <f>IFERROR(__xludf.DUMMYFUNCTION("""COMPUTED_VALUE"""),44032.0)</f>
        <v>44032</v>
      </c>
      <c r="C20" s="3">
        <f>IFERROR(__xludf.DUMMYFUNCTION("""COMPUTED_VALUE"""),44038.0)</f>
        <v>44038</v>
      </c>
      <c r="D20" s="2">
        <f>IFERROR(__xludf.DUMMYFUNCTION("""COMPUTED_VALUE"""),30.0)</f>
        <v>30</v>
      </c>
      <c r="E20" s="2">
        <f>IFERROR(__xludf.DUMMYFUNCTION("""COMPUTED_VALUE"""),7702.0)</f>
        <v>7702</v>
      </c>
      <c r="F20" s="2">
        <f>IFERROR(__xludf.DUMMYFUNCTION("""COMPUTED_VALUE"""),1789.0)</f>
        <v>1789</v>
      </c>
      <c r="G20" s="4">
        <f>VLOOKUP(A20, Populacao!A:B, 2, 0)</f>
        <v>51265841</v>
      </c>
      <c r="H20" s="2">
        <f t="shared" si="1"/>
        <v>3.489653081</v>
      </c>
      <c r="I20" s="2">
        <f t="shared" si="4"/>
        <v>16.62900644</v>
      </c>
      <c r="J20" s="2">
        <f>AVERAGEIFS(Dados!F:F,Dados!A:A, "=Colombia", Dados!G:G, "=0", Dados!E:E, D20)</f>
        <v>4322.2</v>
      </c>
      <c r="K20" s="2">
        <f t="shared" si="2"/>
        <v>3379.8</v>
      </c>
      <c r="L20" s="2">
        <f t="shared" si="3"/>
        <v>6.592693954</v>
      </c>
      <c r="M20" s="2">
        <f t="shared" si="5"/>
        <v>29.57719937</v>
      </c>
    </row>
    <row r="21">
      <c r="A21" s="2" t="str">
        <f>IFERROR(__xludf.DUMMYFUNCTION("""COMPUTED_VALUE"""),"Colombia")</f>
        <v>Colombia</v>
      </c>
      <c r="B21" s="3">
        <f>IFERROR(__xludf.DUMMYFUNCTION("""COMPUTED_VALUE"""),44039.0)</f>
        <v>44039</v>
      </c>
      <c r="C21" s="3">
        <f>IFERROR(__xludf.DUMMYFUNCTION("""COMPUTED_VALUE"""),44045.0)</f>
        <v>44045</v>
      </c>
      <c r="D21" s="2">
        <f>IFERROR(__xludf.DUMMYFUNCTION("""COMPUTED_VALUE"""),31.0)</f>
        <v>31</v>
      </c>
      <c r="E21" s="2">
        <f>IFERROR(__xludf.DUMMYFUNCTION("""COMPUTED_VALUE"""),8070.0)</f>
        <v>8070</v>
      </c>
      <c r="F21" s="2">
        <f>IFERROR(__xludf.DUMMYFUNCTION("""COMPUTED_VALUE"""),2125.0)</f>
        <v>2125</v>
      </c>
      <c r="G21" s="4">
        <f>VLOOKUP(A21, Populacao!A:B, 2, 0)</f>
        <v>51265841</v>
      </c>
      <c r="H21" s="2">
        <f t="shared" si="1"/>
        <v>4.145060256</v>
      </c>
      <c r="I21" s="2">
        <f t="shared" si="4"/>
        <v>20.77406669</v>
      </c>
      <c r="J21" s="2">
        <f>AVERAGEIFS(Dados!F:F,Dados!A:A, "=Colombia", Dados!G:G, "=0", Dados!E:E, D21)</f>
        <v>4363.8</v>
      </c>
      <c r="K21" s="2">
        <f t="shared" si="2"/>
        <v>3706.2</v>
      </c>
      <c r="L21" s="2">
        <f t="shared" si="3"/>
        <v>7.229375209</v>
      </c>
      <c r="M21" s="2">
        <f t="shared" si="5"/>
        <v>36.80657458</v>
      </c>
    </row>
    <row r="22">
      <c r="A22" s="2" t="str">
        <f>IFERROR(__xludf.DUMMYFUNCTION("""COMPUTED_VALUE"""),"Colombia")</f>
        <v>Colombia</v>
      </c>
      <c r="B22" s="3">
        <f>IFERROR(__xludf.DUMMYFUNCTION("""COMPUTED_VALUE"""),44046.0)</f>
        <v>44046</v>
      </c>
      <c r="C22" s="3">
        <f>IFERROR(__xludf.DUMMYFUNCTION("""COMPUTED_VALUE"""),44052.0)</f>
        <v>44052</v>
      </c>
      <c r="D22" s="2">
        <f>IFERROR(__xludf.DUMMYFUNCTION("""COMPUTED_VALUE"""),32.0)</f>
        <v>32</v>
      </c>
      <c r="E22" s="2">
        <f>IFERROR(__xludf.DUMMYFUNCTION("""COMPUTED_VALUE"""),7888.0)</f>
        <v>7888</v>
      </c>
      <c r="F22" s="2">
        <f>IFERROR(__xludf.DUMMYFUNCTION("""COMPUTED_VALUE"""),2192.0)</f>
        <v>2192</v>
      </c>
      <c r="G22" s="4">
        <f>VLOOKUP(A22, Populacao!A:B, 2, 0)</f>
        <v>51265841</v>
      </c>
      <c r="H22" s="2">
        <f t="shared" si="1"/>
        <v>4.275751567</v>
      </c>
      <c r="I22" s="2">
        <f t="shared" si="4"/>
        <v>25.04981826</v>
      </c>
      <c r="J22" s="2">
        <f>AVERAGEIFS(Dados!F:F,Dados!A:A, "=Colombia", Dados!G:G, "=0", Dados!E:E, D22)</f>
        <v>4442.8</v>
      </c>
      <c r="K22" s="2">
        <f t="shared" si="2"/>
        <v>3445.2</v>
      </c>
      <c r="L22" s="2">
        <f t="shared" si="3"/>
        <v>6.720264279</v>
      </c>
      <c r="M22" s="2">
        <f t="shared" si="5"/>
        <v>43.52683886</v>
      </c>
    </row>
    <row r="23">
      <c r="A23" s="2" t="str">
        <f>IFERROR(__xludf.DUMMYFUNCTION("""COMPUTED_VALUE"""),"Colombia")</f>
        <v>Colombia</v>
      </c>
      <c r="B23" s="3">
        <f>IFERROR(__xludf.DUMMYFUNCTION("""COMPUTED_VALUE"""),44053.0)</f>
        <v>44053</v>
      </c>
      <c r="C23" s="3">
        <f>IFERROR(__xludf.DUMMYFUNCTION("""COMPUTED_VALUE"""),44059.0)</f>
        <v>44059</v>
      </c>
      <c r="D23" s="2">
        <f>IFERROR(__xludf.DUMMYFUNCTION("""COMPUTED_VALUE"""),33.0)</f>
        <v>33</v>
      </c>
      <c r="E23" s="2">
        <f>IFERROR(__xludf.DUMMYFUNCTION("""COMPUTED_VALUE"""),7648.0)</f>
        <v>7648</v>
      </c>
      <c r="F23" s="2">
        <f>IFERROR(__xludf.DUMMYFUNCTION("""COMPUTED_VALUE"""),2255.0)</f>
        <v>2255</v>
      </c>
      <c r="G23" s="4">
        <f>VLOOKUP(A23, Populacao!A:B, 2, 0)</f>
        <v>51265841</v>
      </c>
      <c r="H23" s="2">
        <f t="shared" si="1"/>
        <v>4.398640412</v>
      </c>
      <c r="I23" s="2">
        <f t="shared" si="4"/>
        <v>29.44845867</v>
      </c>
      <c r="J23" s="2">
        <f>AVERAGEIFS(Dados!F:F,Dados!A:A, "=Colombia", Dados!G:G, "=0", Dados!E:E, D23)</f>
        <v>4399.2</v>
      </c>
      <c r="K23" s="2">
        <f t="shared" si="2"/>
        <v>3248.8</v>
      </c>
      <c r="L23" s="2">
        <f t="shared" si="3"/>
        <v>6.33716318</v>
      </c>
      <c r="M23" s="2">
        <f t="shared" si="5"/>
        <v>49.86400204</v>
      </c>
    </row>
    <row r="24">
      <c r="A24" s="2" t="str">
        <f>IFERROR(__xludf.DUMMYFUNCTION("""COMPUTED_VALUE"""),"Colombia")</f>
        <v>Colombia</v>
      </c>
      <c r="B24" s="3">
        <f>IFERROR(__xludf.DUMMYFUNCTION("""COMPUTED_VALUE"""),44060.0)</f>
        <v>44060</v>
      </c>
      <c r="C24" s="3">
        <f>IFERROR(__xludf.DUMMYFUNCTION("""COMPUTED_VALUE"""),44066.0)</f>
        <v>44066</v>
      </c>
      <c r="D24" s="2">
        <f>IFERROR(__xludf.DUMMYFUNCTION("""COMPUTED_VALUE"""),34.0)</f>
        <v>34</v>
      </c>
      <c r="E24" s="2">
        <f>IFERROR(__xludf.DUMMYFUNCTION("""COMPUTED_VALUE"""),7152.0)</f>
        <v>7152</v>
      </c>
      <c r="F24" s="2">
        <f>IFERROR(__xludf.DUMMYFUNCTION("""COMPUTED_VALUE"""),2219.0)</f>
        <v>2219</v>
      </c>
      <c r="G24" s="4">
        <f>VLOOKUP(A24, Populacao!A:B, 2, 0)</f>
        <v>51265841</v>
      </c>
      <c r="H24" s="2">
        <f t="shared" si="1"/>
        <v>4.328418215</v>
      </c>
      <c r="I24" s="2">
        <f t="shared" si="4"/>
        <v>33.77687689</v>
      </c>
      <c r="J24" s="2">
        <f>AVERAGEIFS(Dados!F:F,Dados!A:A, "=Colombia", Dados!G:G, "=0", Dados!E:E, D24)</f>
        <v>4336</v>
      </c>
      <c r="K24" s="2">
        <f t="shared" si="2"/>
        <v>2816</v>
      </c>
      <c r="L24" s="2">
        <f t="shared" si="3"/>
        <v>5.49293632</v>
      </c>
      <c r="M24" s="2">
        <f t="shared" si="5"/>
        <v>55.35693836</v>
      </c>
    </row>
    <row r="25">
      <c r="A25" s="2" t="str">
        <f>IFERROR(__xludf.DUMMYFUNCTION("""COMPUTED_VALUE"""),"Colombia")</f>
        <v>Colombia</v>
      </c>
      <c r="B25" s="3">
        <f>IFERROR(__xludf.DUMMYFUNCTION("""COMPUTED_VALUE"""),44067.0)</f>
        <v>44067</v>
      </c>
      <c r="C25" s="3">
        <f>IFERROR(__xludf.DUMMYFUNCTION("""COMPUTED_VALUE"""),44073.0)</f>
        <v>44073</v>
      </c>
      <c r="D25" s="2">
        <f>IFERROR(__xludf.DUMMYFUNCTION("""COMPUTED_VALUE"""),35.0)</f>
        <v>35</v>
      </c>
      <c r="E25" s="2">
        <f>IFERROR(__xludf.DUMMYFUNCTION("""COMPUTED_VALUE"""),6798.0)</f>
        <v>6798</v>
      </c>
      <c r="F25" s="2">
        <f>IFERROR(__xludf.DUMMYFUNCTION("""COMPUTED_VALUE"""),2047.0)</f>
        <v>2047</v>
      </c>
      <c r="G25" s="4">
        <f>VLOOKUP(A25, Populacao!A:B, 2, 0)</f>
        <v>51265841</v>
      </c>
      <c r="H25" s="2">
        <f t="shared" si="1"/>
        <v>3.992912162</v>
      </c>
      <c r="I25" s="2">
        <f t="shared" si="4"/>
        <v>37.76978905</v>
      </c>
      <c r="J25" s="2">
        <f>AVERAGEIFS(Dados!F:F,Dados!A:A, "=Colombia", Dados!G:G, "=0", Dados!E:E, D25)</f>
        <v>4352.6</v>
      </c>
      <c r="K25" s="2">
        <f t="shared" si="2"/>
        <v>2445.4</v>
      </c>
      <c r="L25" s="2">
        <f t="shared" si="3"/>
        <v>4.770037811</v>
      </c>
      <c r="M25" s="2">
        <f t="shared" si="5"/>
        <v>60.12697617</v>
      </c>
    </row>
    <row r="26">
      <c r="A26" s="2" t="str">
        <f>IFERROR(__xludf.DUMMYFUNCTION("""COMPUTED_VALUE"""),"Colombia")</f>
        <v>Colombia</v>
      </c>
      <c r="B26" s="3">
        <f>IFERROR(__xludf.DUMMYFUNCTION("""COMPUTED_VALUE"""),44074.0)</f>
        <v>44074</v>
      </c>
      <c r="C26" s="3">
        <f>IFERROR(__xludf.DUMMYFUNCTION("""COMPUTED_VALUE"""),44080.0)</f>
        <v>44080</v>
      </c>
      <c r="D26" s="2">
        <f>IFERROR(__xludf.DUMMYFUNCTION("""COMPUTED_VALUE"""),36.0)</f>
        <v>36</v>
      </c>
      <c r="E26" s="2">
        <f>IFERROR(__xludf.DUMMYFUNCTION("""COMPUTED_VALUE"""),6570.0)</f>
        <v>6570</v>
      </c>
      <c r="F26" s="2">
        <f>IFERROR(__xludf.DUMMYFUNCTION("""COMPUTED_VALUE"""),2049.0)</f>
        <v>2049</v>
      </c>
      <c r="G26" s="4">
        <f>VLOOKUP(A26, Populacao!A:B, 2, 0)</f>
        <v>51265841</v>
      </c>
      <c r="H26" s="2">
        <f t="shared" si="1"/>
        <v>3.996813395</v>
      </c>
      <c r="I26" s="2">
        <f t="shared" si="4"/>
        <v>41.76660244</v>
      </c>
      <c r="J26" s="2">
        <f>AVERAGEIFS(Dados!F:F,Dados!A:A, "=Colombia", Dados!G:G, "=0", Dados!E:E, D26)</f>
        <v>4348.4</v>
      </c>
      <c r="K26" s="2">
        <f t="shared" si="2"/>
        <v>2221.6</v>
      </c>
      <c r="L26" s="2">
        <f t="shared" si="3"/>
        <v>4.333489818</v>
      </c>
      <c r="M26" s="2">
        <f t="shared" si="5"/>
        <v>64.46046599</v>
      </c>
    </row>
    <row r="27">
      <c r="A27" s="2" t="str">
        <f>IFERROR(__xludf.DUMMYFUNCTION("""COMPUTED_VALUE"""),"Colombia")</f>
        <v>Colombia</v>
      </c>
      <c r="B27" s="3">
        <f>IFERROR(__xludf.DUMMYFUNCTION("""COMPUTED_VALUE"""),44081.0)</f>
        <v>44081</v>
      </c>
      <c r="C27" s="3">
        <f>IFERROR(__xludf.DUMMYFUNCTION("""COMPUTED_VALUE"""),44087.0)</f>
        <v>44087</v>
      </c>
      <c r="D27" s="2">
        <f>IFERROR(__xludf.DUMMYFUNCTION("""COMPUTED_VALUE"""),37.0)</f>
        <v>37</v>
      </c>
      <c r="E27" s="2">
        <f>IFERROR(__xludf.DUMMYFUNCTION("""COMPUTED_VALUE"""),6383.0)</f>
        <v>6383</v>
      </c>
      <c r="F27" s="2">
        <f>IFERROR(__xludf.DUMMYFUNCTION("""COMPUTED_VALUE"""),1512.0)</f>
        <v>1512</v>
      </c>
      <c r="G27" s="4">
        <f>VLOOKUP(A27, Populacao!A:B, 2, 0)</f>
        <v>51265841</v>
      </c>
      <c r="H27" s="2">
        <f t="shared" si="1"/>
        <v>2.949332285</v>
      </c>
      <c r="I27" s="2">
        <f t="shared" si="4"/>
        <v>44.71593473</v>
      </c>
      <c r="J27" s="2">
        <f>AVERAGEIFS(Dados!F:F,Dados!A:A, "=Colombia", Dados!G:G, "=0", Dados!E:E, D27)</f>
        <v>4310.6</v>
      </c>
      <c r="K27" s="2">
        <f t="shared" si="2"/>
        <v>2072.4</v>
      </c>
      <c r="L27" s="2">
        <f t="shared" si="3"/>
        <v>4.042457823</v>
      </c>
      <c r="M27" s="2">
        <f t="shared" si="5"/>
        <v>68.50292381</v>
      </c>
    </row>
    <row r="28">
      <c r="A28" s="2" t="str">
        <f>IFERROR(__xludf.DUMMYFUNCTION("""COMPUTED_VALUE"""),"Colombia")</f>
        <v>Colombia</v>
      </c>
      <c r="B28" s="3">
        <f>IFERROR(__xludf.DUMMYFUNCTION("""COMPUTED_VALUE"""),44088.0)</f>
        <v>44088</v>
      </c>
      <c r="C28" s="3">
        <f>IFERROR(__xludf.DUMMYFUNCTION("""COMPUTED_VALUE"""),44094.0)</f>
        <v>44094</v>
      </c>
      <c r="D28" s="2">
        <f>IFERROR(__xludf.DUMMYFUNCTION("""COMPUTED_VALUE"""),38.0)</f>
        <v>38</v>
      </c>
      <c r="E28" s="2">
        <f>IFERROR(__xludf.DUMMYFUNCTION("""COMPUTED_VALUE"""),6240.0)</f>
        <v>6240</v>
      </c>
      <c r="F28" s="2">
        <f>IFERROR(__xludf.DUMMYFUNCTION("""COMPUTED_VALUE"""),1284.0)</f>
        <v>1284</v>
      </c>
      <c r="G28" s="4">
        <f>VLOOKUP(A28, Populacao!A:B, 2, 0)</f>
        <v>51265841</v>
      </c>
      <c r="H28" s="2">
        <f t="shared" si="1"/>
        <v>2.504591703</v>
      </c>
      <c r="I28" s="2">
        <f t="shared" si="4"/>
        <v>47.22052643</v>
      </c>
      <c r="J28" s="2">
        <f>AVERAGEIFS(Dados!F:F,Dados!A:A, "=Colombia", Dados!G:G, "=0", Dados!E:E, D28)</f>
        <v>4372.2</v>
      </c>
      <c r="K28" s="2">
        <f t="shared" si="2"/>
        <v>1867.8</v>
      </c>
      <c r="L28" s="2">
        <f t="shared" si="3"/>
        <v>3.643361668</v>
      </c>
      <c r="M28" s="2">
        <f t="shared" si="5"/>
        <v>72.14628548</v>
      </c>
    </row>
    <row r="29">
      <c r="A29" s="2" t="str">
        <f>IFERROR(__xludf.DUMMYFUNCTION("""COMPUTED_VALUE"""),"Colombia")</f>
        <v>Colombia</v>
      </c>
      <c r="B29" s="3">
        <f>IFERROR(__xludf.DUMMYFUNCTION("""COMPUTED_VALUE"""),44095.0)</f>
        <v>44095</v>
      </c>
      <c r="C29" s="3">
        <f>IFERROR(__xludf.DUMMYFUNCTION("""COMPUTED_VALUE"""),44101.0)</f>
        <v>44101</v>
      </c>
      <c r="D29" s="2">
        <f>IFERROR(__xludf.DUMMYFUNCTION("""COMPUTED_VALUE"""),39.0)</f>
        <v>39</v>
      </c>
      <c r="E29" s="2">
        <f>IFERROR(__xludf.DUMMYFUNCTION("""COMPUTED_VALUE"""),6161.0)</f>
        <v>6161</v>
      </c>
      <c r="F29" s="2">
        <f>IFERROR(__xludf.DUMMYFUNCTION("""COMPUTED_VALUE"""),1280.0)</f>
        <v>1280</v>
      </c>
      <c r="G29" s="4">
        <f>VLOOKUP(A29, Populacao!A:B, 2, 0)</f>
        <v>51265841</v>
      </c>
      <c r="H29" s="2">
        <f t="shared" si="1"/>
        <v>2.496789236</v>
      </c>
      <c r="I29" s="2">
        <f t="shared" si="4"/>
        <v>49.71731567</v>
      </c>
      <c r="J29" s="2">
        <f>AVERAGEIFS(Dados!F:F,Dados!A:A, "=Colombia", Dados!G:G, "=0", Dados!E:E, D29)</f>
        <v>4257.6</v>
      </c>
      <c r="K29" s="2">
        <f t="shared" si="2"/>
        <v>1903.4</v>
      </c>
      <c r="L29" s="2">
        <f t="shared" si="3"/>
        <v>3.712803619</v>
      </c>
      <c r="M29" s="2">
        <f t="shared" si="5"/>
        <v>75.8590891</v>
      </c>
    </row>
    <row r="30">
      <c r="A30" s="2" t="str">
        <f>IFERROR(__xludf.DUMMYFUNCTION("""COMPUTED_VALUE"""),"Colombia")</f>
        <v>Colombia</v>
      </c>
      <c r="B30" s="3">
        <f>IFERROR(__xludf.DUMMYFUNCTION("""COMPUTED_VALUE"""),44102.0)</f>
        <v>44102</v>
      </c>
      <c r="C30" s="3">
        <f>IFERROR(__xludf.DUMMYFUNCTION("""COMPUTED_VALUE"""),44108.0)</f>
        <v>44108</v>
      </c>
      <c r="D30" s="2">
        <f>IFERROR(__xludf.DUMMYFUNCTION("""COMPUTED_VALUE"""),40.0)</f>
        <v>40</v>
      </c>
      <c r="E30" s="2">
        <f>IFERROR(__xludf.DUMMYFUNCTION("""COMPUTED_VALUE"""),6019.0)</f>
        <v>6019</v>
      </c>
      <c r="F30" s="2">
        <f>IFERROR(__xludf.DUMMYFUNCTION("""COMPUTED_VALUE"""),1224.0)</f>
        <v>1224</v>
      </c>
      <c r="G30" s="4">
        <f>VLOOKUP(A30, Populacao!A:B, 2, 0)</f>
        <v>51265841</v>
      </c>
      <c r="H30" s="2">
        <f t="shared" si="1"/>
        <v>2.387554707</v>
      </c>
      <c r="I30" s="2">
        <f t="shared" si="4"/>
        <v>52.10487038</v>
      </c>
      <c r="J30" s="2">
        <f>AVERAGEIFS(Dados!F:F,Dados!A:A, "=Colombia", Dados!G:G, "=0", Dados!E:E, D30)</f>
        <v>4307.2</v>
      </c>
      <c r="K30" s="2">
        <f t="shared" si="2"/>
        <v>1711.8</v>
      </c>
      <c r="L30" s="2">
        <f t="shared" si="3"/>
        <v>3.33906548</v>
      </c>
      <c r="M30" s="2">
        <f t="shared" si="5"/>
        <v>79.19815458</v>
      </c>
    </row>
    <row r="31">
      <c r="A31" s="2" t="str">
        <f>IFERROR(__xludf.DUMMYFUNCTION("""COMPUTED_VALUE"""),"Colombia")</f>
        <v>Colombia</v>
      </c>
      <c r="B31" s="3">
        <f>IFERROR(__xludf.DUMMYFUNCTION("""COMPUTED_VALUE"""),44109.0)</f>
        <v>44109</v>
      </c>
      <c r="C31" s="3">
        <f>IFERROR(__xludf.DUMMYFUNCTION("""COMPUTED_VALUE"""),44115.0)</f>
        <v>44115</v>
      </c>
      <c r="D31" s="2">
        <f>IFERROR(__xludf.DUMMYFUNCTION("""COMPUTED_VALUE"""),41.0)</f>
        <v>41</v>
      </c>
      <c r="E31" s="2">
        <f>IFERROR(__xludf.DUMMYFUNCTION("""COMPUTED_VALUE"""),6173.0)</f>
        <v>6173</v>
      </c>
      <c r="F31" s="2">
        <f>IFERROR(__xludf.DUMMYFUNCTION("""COMPUTED_VALUE"""),1122.0)</f>
        <v>1122</v>
      </c>
      <c r="G31" s="4">
        <f>VLOOKUP(A31, Populacao!A:B, 2, 0)</f>
        <v>51265841</v>
      </c>
      <c r="H31" s="2">
        <f t="shared" si="1"/>
        <v>2.188591815</v>
      </c>
      <c r="I31" s="2">
        <f t="shared" si="4"/>
        <v>54.29346219</v>
      </c>
      <c r="J31" s="2">
        <f>AVERAGEIFS(Dados!F:F,Dados!A:A, "=Colombia", Dados!G:G, "=0", Dados!E:E, D31)</f>
        <v>4335</v>
      </c>
      <c r="K31" s="2">
        <f t="shared" si="2"/>
        <v>1838</v>
      </c>
      <c r="L31" s="2">
        <f t="shared" si="3"/>
        <v>3.585233294</v>
      </c>
      <c r="M31" s="2">
        <f t="shared" si="5"/>
        <v>82.78338787</v>
      </c>
    </row>
    <row r="32">
      <c r="A32" s="2" t="str">
        <f>IFERROR(__xludf.DUMMYFUNCTION("""COMPUTED_VALUE"""),"Colombia")</f>
        <v>Colombia</v>
      </c>
      <c r="B32" s="3">
        <f>IFERROR(__xludf.DUMMYFUNCTION("""COMPUTED_VALUE"""),44116.0)</f>
        <v>44116</v>
      </c>
      <c r="C32" s="3">
        <f>IFERROR(__xludf.DUMMYFUNCTION("""COMPUTED_VALUE"""),44122.0)</f>
        <v>44122</v>
      </c>
      <c r="D32" s="2">
        <f>IFERROR(__xludf.DUMMYFUNCTION("""COMPUTED_VALUE"""),42.0)</f>
        <v>42</v>
      </c>
      <c r="E32" s="2">
        <f>IFERROR(__xludf.DUMMYFUNCTION("""COMPUTED_VALUE"""),6190.0)</f>
        <v>6190</v>
      </c>
      <c r="F32" s="2">
        <f>IFERROR(__xludf.DUMMYFUNCTION("""COMPUTED_VALUE"""),1136.0)</f>
        <v>1136</v>
      </c>
      <c r="G32" s="4">
        <f>VLOOKUP(A32, Populacao!A:B, 2, 0)</f>
        <v>51265841</v>
      </c>
      <c r="H32" s="2">
        <f t="shared" si="1"/>
        <v>2.215900447</v>
      </c>
      <c r="I32" s="2">
        <f t="shared" si="4"/>
        <v>56.50936264</v>
      </c>
      <c r="J32" s="2">
        <f>AVERAGEIFS(Dados!F:F,Dados!A:A, "=Colombia", Dados!G:G, "=0", Dados!E:E, D32)</f>
        <v>4321.4</v>
      </c>
      <c r="K32" s="2">
        <f t="shared" si="2"/>
        <v>1868.6</v>
      </c>
      <c r="L32" s="2">
        <f t="shared" si="3"/>
        <v>3.644922162</v>
      </c>
      <c r="M32" s="2">
        <f t="shared" si="5"/>
        <v>86.42831003</v>
      </c>
    </row>
    <row r="33">
      <c r="A33" s="2" t="str">
        <f>IFERROR(__xludf.DUMMYFUNCTION("""COMPUTED_VALUE"""),"Colombia")</f>
        <v>Colombia</v>
      </c>
      <c r="B33" s="3">
        <f>IFERROR(__xludf.DUMMYFUNCTION("""COMPUTED_VALUE"""),44123.0)</f>
        <v>44123</v>
      </c>
      <c r="C33" s="3">
        <f>IFERROR(__xludf.DUMMYFUNCTION("""COMPUTED_VALUE"""),44129.0)</f>
        <v>44129</v>
      </c>
      <c r="D33" s="2">
        <f>IFERROR(__xludf.DUMMYFUNCTION("""COMPUTED_VALUE"""),43.0)</f>
        <v>43</v>
      </c>
      <c r="E33" s="2">
        <f>IFERROR(__xludf.DUMMYFUNCTION("""COMPUTED_VALUE"""),6303.0)</f>
        <v>6303</v>
      </c>
      <c r="F33" s="2">
        <f>IFERROR(__xludf.DUMMYFUNCTION("""COMPUTED_VALUE"""),1184.0)</f>
        <v>1184</v>
      </c>
      <c r="G33" s="4">
        <f>VLOOKUP(A33, Populacao!A:B, 2, 0)</f>
        <v>51265841</v>
      </c>
      <c r="H33" s="2">
        <f t="shared" si="1"/>
        <v>2.309530044</v>
      </c>
      <c r="I33" s="2">
        <f t="shared" si="4"/>
        <v>58.81889268</v>
      </c>
      <c r="J33" s="2">
        <f>AVERAGEIFS(Dados!F:F,Dados!A:A, "=Colombia", Dados!G:G, "=0", Dados!E:E, D33)</f>
        <v>4239.4</v>
      </c>
      <c r="K33" s="2">
        <f t="shared" si="2"/>
        <v>2063.6</v>
      </c>
      <c r="L33" s="2">
        <f t="shared" si="3"/>
        <v>4.025292397</v>
      </c>
      <c r="M33" s="2">
        <f t="shared" si="5"/>
        <v>90.45360243</v>
      </c>
    </row>
    <row r="34">
      <c r="A34" s="2" t="str">
        <f>IFERROR(__xludf.DUMMYFUNCTION("""COMPUTED_VALUE"""),"Colombia")</f>
        <v>Colombia</v>
      </c>
      <c r="B34" s="3">
        <f>IFERROR(__xludf.DUMMYFUNCTION("""COMPUTED_VALUE"""),44130.0)</f>
        <v>44130</v>
      </c>
      <c r="C34" s="3">
        <f>IFERROR(__xludf.DUMMYFUNCTION("""COMPUTED_VALUE"""),44136.0)</f>
        <v>44136</v>
      </c>
      <c r="D34" s="2">
        <f>IFERROR(__xludf.DUMMYFUNCTION("""COMPUTED_VALUE"""),44.0)</f>
        <v>44</v>
      </c>
      <c r="E34" s="2">
        <f>IFERROR(__xludf.DUMMYFUNCTION("""COMPUTED_VALUE"""),6080.0)</f>
        <v>6080</v>
      </c>
      <c r="F34" s="2">
        <f>IFERROR(__xludf.DUMMYFUNCTION("""COMPUTED_VALUE"""),1361.0)</f>
        <v>1361</v>
      </c>
      <c r="G34" s="4">
        <f>VLOOKUP(A34, Populacao!A:B, 2, 0)</f>
        <v>51265841</v>
      </c>
      <c r="H34" s="2">
        <f t="shared" si="1"/>
        <v>2.65478918</v>
      </c>
      <c r="I34" s="2">
        <f t="shared" si="4"/>
        <v>61.47368186</v>
      </c>
      <c r="J34" s="2">
        <f>AVERAGEIFS(Dados!F:F,Dados!A:A, "=Colombia", Dados!G:G, "=0", Dados!E:E, D34)</f>
        <v>4357.2</v>
      </c>
      <c r="K34" s="2">
        <f t="shared" si="2"/>
        <v>1722.8</v>
      </c>
      <c r="L34" s="2">
        <f t="shared" si="3"/>
        <v>3.360522263</v>
      </c>
      <c r="M34" s="2">
        <f t="shared" si="5"/>
        <v>93.81412469</v>
      </c>
    </row>
    <row r="35">
      <c r="A35" s="2" t="str">
        <f>IFERROR(__xludf.DUMMYFUNCTION("""COMPUTED_VALUE"""),"Colombia")</f>
        <v>Colombia</v>
      </c>
      <c r="B35" s="3">
        <f>IFERROR(__xludf.DUMMYFUNCTION("""COMPUTED_VALUE"""),44137.0)</f>
        <v>44137</v>
      </c>
      <c r="C35" s="3">
        <f>IFERROR(__xludf.DUMMYFUNCTION("""COMPUTED_VALUE"""),44143.0)</f>
        <v>44143</v>
      </c>
      <c r="D35" s="2">
        <f>IFERROR(__xludf.DUMMYFUNCTION("""COMPUTED_VALUE"""),45.0)</f>
        <v>45</v>
      </c>
      <c r="E35" s="2">
        <f>IFERROR(__xludf.DUMMYFUNCTION("""COMPUTED_VALUE"""),6252.0)</f>
        <v>6252</v>
      </c>
      <c r="F35" s="2">
        <f>IFERROR(__xludf.DUMMYFUNCTION("""COMPUTED_VALUE"""),1276.0)</f>
        <v>1276</v>
      </c>
      <c r="G35" s="4">
        <f>VLOOKUP(A35, Populacao!A:B, 2, 0)</f>
        <v>51265841</v>
      </c>
      <c r="H35" s="2">
        <f t="shared" si="1"/>
        <v>2.48898677</v>
      </c>
      <c r="I35" s="2">
        <f t="shared" si="4"/>
        <v>63.96266863</v>
      </c>
      <c r="J35" s="2">
        <f>AVERAGEIFS(Dados!F:F,Dados!A:A, "=Colombia", Dados!G:G, "=0", Dados!E:E, D35)</f>
        <v>4379.8</v>
      </c>
      <c r="K35" s="2">
        <f t="shared" si="2"/>
        <v>1872.2</v>
      </c>
      <c r="L35" s="2">
        <f t="shared" si="3"/>
        <v>3.651944381</v>
      </c>
      <c r="M35" s="2">
        <f t="shared" si="5"/>
        <v>97.46606907</v>
      </c>
    </row>
    <row r="36">
      <c r="A36" s="2" t="str">
        <f>IFERROR(__xludf.DUMMYFUNCTION("""COMPUTED_VALUE"""),"Colombia")</f>
        <v>Colombia</v>
      </c>
      <c r="B36" s="3">
        <f>IFERROR(__xludf.DUMMYFUNCTION("""COMPUTED_VALUE"""),44144.0)</f>
        <v>44144</v>
      </c>
      <c r="C36" s="3">
        <f>IFERROR(__xludf.DUMMYFUNCTION("""COMPUTED_VALUE"""),44150.0)</f>
        <v>44150</v>
      </c>
      <c r="D36" s="2">
        <f>IFERROR(__xludf.DUMMYFUNCTION("""COMPUTED_VALUE"""),46.0)</f>
        <v>46</v>
      </c>
      <c r="E36" s="2">
        <f>IFERROR(__xludf.DUMMYFUNCTION("""COMPUTED_VALUE"""),6119.0)</f>
        <v>6119</v>
      </c>
      <c r="F36" s="2">
        <f>IFERROR(__xludf.DUMMYFUNCTION("""COMPUTED_VALUE"""),1240.0)</f>
        <v>1240</v>
      </c>
      <c r="G36" s="4">
        <f>VLOOKUP(A36, Populacao!A:B, 2, 0)</f>
        <v>51265841</v>
      </c>
      <c r="H36" s="2">
        <f t="shared" si="1"/>
        <v>2.418764573</v>
      </c>
      <c r="I36" s="2">
        <f t="shared" si="4"/>
        <v>66.3814332</v>
      </c>
      <c r="J36" s="2">
        <f>AVERAGEIFS(Dados!F:F,Dados!A:A, "=Colombia", Dados!G:G, "=0", Dados!E:E, D36)</f>
        <v>4391.4</v>
      </c>
      <c r="K36" s="2">
        <f t="shared" si="2"/>
        <v>1727.6</v>
      </c>
      <c r="L36" s="2">
        <f t="shared" si="3"/>
        <v>3.369885222</v>
      </c>
      <c r="M36" s="2">
        <f t="shared" si="5"/>
        <v>100.8359543</v>
      </c>
    </row>
    <row r="37">
      <c r="A37" s="2" t="str">
        <f>IFERROR(__xludf.DUMMYFUNCTION("""COMPUTED_VALUE"""),"Colombia")</f>
        <v>Colombia</v>
      </c>
      <c r="B37" s="3">
        <f>IFERROR(__xludf.DUMMYFUNCTION("""COMPUTED_VALUE"""),44151.0)</f>
        <v>44151</v>
      </c>
      <c r="C37" s="3">
        <f>IFERROR(__xludf.DUMMYFUNCTION("""COMPUTED_VALUE"""),44157.0)</f>
        <v>44157</v>
      </c>
      <c r="D37" s="2">
        <f>IFERROR(__xludf.DUMMYFUNCTION("""COMPUTED_VALUE"""),47.0)</f>
        <v>47</v>
      </c>
      <c r="E37" s="2">
        <f>IFERROR(__xludf.DUMMYFUNCTION("""COMPUTED_VALUE"""),6242.0)</f>
        <v>6242</v>
      </c>
      <c r="F37" s="2">
        <f>IFERROR(__xludf.DUMMYFUNCTION("""COMPUTED_VALUE"""),1256.0)</f>
        <v>1256</v>
      </c>
      <c r="G37" s="4">
        <f>VLOOKUP(A37, Populacao!A:B, 2, 0)</f>
        <v>51265841</v>
      </c>
      <c r="H37" s="2">
        <f t="shared" si="1"/>
        <v>2.449974438</v>
      </c>
      <c r="I37" s="2">
        <f t="shared" si="4"/>
        <v>68.83140764</v>
      </c>
      <c r="J37" s="2">
        <f>AVERAGEIFS(Dados!F:F,Dados!A:A, "=Colombia", Dados!G:G, "=0", Dados!E:E, D37)</f>
        <v>4422</v>
      </c>
      <c r="K37" s="2">
        <f t="shared" si="2"/>
        <v>1820</v>
      </c>
      <c r="L37" s="2">
        <f t="shared" si="3"/>
        <v>3.550122195</v>
      </c>
      <c r="M37" s="2">
        <f t="shared" si="5"/>
        <v>104.3860765</v>
      </c>
    </row>
    <row r="38">
      <c r="A38" s="2" t="str">
        <f>IFERROR(__xludf.DUMMYFUNCTION("""COMPUTED_VALUE"""),"Colombia")</f>
        <v>Colombia</v>
      </c>
      <c r="B38" s="3">
        <f>IFERROR(__xludf.DUMMYFUNCTION("""COMPUTED_VALUE"""),44158.0)</f>
        <v>44158</v>
      </c>
      <c r="C38" s="3">
        <f>IFERROR(__xludf.DUMMYFUNCTION("""COMPUTED_VALUE"""),44164.0)</f>
        <v>44164</v>
      </c>
      <c r="D38" s="2">
        <f>IFERROR(__xludf.DUMMYFUNCTION("""COMPUTED_VALUE"""),48.0)</f>
        <v>48</v>
      </c>
      <c r="E38" s="2">
        <f>IFERROR(__xludf.DUMMYFUNCTION("""COMPUTED_VALUE"""),6266.0)</f>
        <v>6266</v>
      </c>
      <c r="F38" s="2">
        <f>IFERROR(__xludf.DUMMYFUNCTION("""COMPUTED_VALUE"""),1297.0)</f>
        <v>1297</v>
      </c>
      <c r="G38" s="4">
        <f>VLOOKUP(A38, Populacao!A:B, 2, 0)</f>
        <v>51265841</v>
      </c>
      <c r="H38" s="2">
        <f t="shared" si="1"/>
        <v>2.529949718</v>
      </c>
      <c r="I38" s="2">
        <f t="shared" si="4"/>
        <v>71.36135736</v>
      </c>
      <c r="J38" s="2">
        <f>AVERAGEIFS(Dados!F:F,Dados!A:A, "=Colombia", Dados!G:G, "=0", Dados!E:E, D38)</f>
        <v>4471.6</v>
      </c>
      <c r="K38" s="2">
        <f t="shared" si="2"/>
        <v>1794.4</v>
      </c>
      <c r="L38" s="2">
        <f t="shared" si="3"/>
        <v>3.500186411</v>
      </c>
      <c r="M38" s="2">
        <f t="shared" si="5"/>
        <v>107.8862629</v>
      </c>
    </row>
    <row r="39">
      <c r="A39" s="2" t="str">
        <f>IFERROR(__xludf.DUMMYFUNCTION("""COMPUTED_VALUE"""),"Colombia")</f>
        <v>Colombia</v>
      </c>
      <c r="B39" s="3">
        <f>IFERROR(__xludf.DUMMYFUNCTION("""COMPUTED_VALUE"""),44165.0)</f>
        <v>44165</v>
      </c>
      <c r="C39" s="3">
        <f>IFERROR(__xludf.DUMMYFUNCTION("""COMPUTED_VALUE"""),44171.0)</f>
        <v>44171</v>
      </c>
      <c r="D39" s="2">
        <f>IFERROR(__xludf.DUMMYFUNCTION("""COMPUTED_VALUE"""),49.0)</f>
        <v>49</v>
      </c>
      <c r="E39" s="2">
        <f>IFERROR(__xludf.DUMMYFUNCTION("""COMPUTED_VALUE"""),6206.0)</f>
        <v>6206</v>
      </c>
      <c r="F39" s="2">
        <f>IFERROR(__xludf.DUMMYFUNCTION("""COMPUTED_VALUE"""),1224.0)</f>
        <v>1224</v>
      </c>
      <c r="G39" s="4">
        <f>VLOOKUP(A39, Populacao!A:B, 2, 0)</f>
        <v>51265841</v>
      </c>
      <c r="H39" s="2">
        <f t="shared" si="1"/>
        <v>2.387554707</v>
      </c>
      <c r="I39" s="2">
        <f t="shared" si="4"/>
        <v>73.74891207</v>
      </c>
      <c r="J39" s="2">
        <f>AVERAGEIFS(Dados!F:F,Dados!A:A, "=Colombia", Dados!G:G, "=0", Dados!E:E, D39)</f>
        <v>4591.4</v>
      </c>
      <c r="K39" s="2">
        <f t="shared" si="2"/>
        <v>1614.6</v>
      </c>
      <c r="L39" s="2">
        <f t="shared" si="3"/>
        <v>3.149465548</v>
      </c>
      <c r="M39" s="2">
        <f t="shared" si="5"/>
        <v>111.0357284</v>
      </c>
    </row>
    <row r="40">
      <c r="A40" s="2" t="str">
        <f>IFERROR(__xludf.DUMMYFUNCTION("""COMPUTED_VALUE"""),"Colombia")</f>
        <v>Colombia</v>
      </c>
      <c r="B40" s="3">
        <f>IFERROR(__xludf.DUMMYFUNCTION("""COMPUTED_VALUE"""),44172.0)</f>
        <v>44172</v>
      </c>
      <c r="C40" s="3">
        <f>IFERROR(__xludf.DUMMYFUNCTION("""COMPUTED_VALUE"""),44178.0)</f>
        <v>44178</v>
      </c>
      <c r="D40" s="2">
        <f>IFERROR(__xludf.DUMMYFUNCTION("""COMPUTED_VALUE"""),50.0)</f>
        <v>50</v>
      </c>
      <c r="E40" s="2">
        <f>IFERROR(__xludf.DUMMYFUNCTION("""COMPUTED_VALUE"""),6640.0)</f>
        <v>6640</v>
      </c>
      <c r="F40" s="2">
        <f>IFERROR(__xludf.DUMMYFUNCTION("""COMPUTED_VALUE"""),1245.0)</f>
        <v>1245</v>
      </c>
      <c r="G40" s="4">
        <f>VLOOKUP(A40, Populacao!A:B, 2, 0)</f>
        <v>51265841</v>
      </c>
      <c r="H40" s="2">
        <f t="shared" si="1"/>
        <v>2.428517656</v>
      </c>
      <c r="I40" s="2">
        <f t="shared" si="4"/>
        <v>76.17742972</v>
      </c>
      <c r="J40" s="2">
        <f>AVERAGEIFS(Dados!F:F,Dados!A:A, "=Colombia", Dados!G:G, "=0", Dados!E:E, D40)</f>
        <v>4597.2</v>
      </c>
      <c r="K40" s="2">
        <f t="shared" si="2"/>
        <v>2042.8</v>
      </c>
      <c r="L40" s="2">
        <f t="shared" si="3"/>
        <v>3.984719572</v>
      </c>
      <c r="M40" s="2">
        <f t="shared" si="5"/>
        <v>115.020448</v>
      </c>
    </row>
    <row r="41">
      <c r="A41" s="2" t="str">
        <f>IFERROR(__xludf.DUMMYFUNCTION("""COMPUTED_VALUE"""),"Colombia")</f>
        <v>Colombia</v>
      </c>
      <c r="B41" s="3">
        <f>IFERROR(__xludf.DUMMYFUNCTION("""COMPUTED_VALUE"""),44179.0)</f>
        <v>44179</v>
      </c>
      <c r="C41" s="3">
        <f>IFERROR(__xludf.DUMMYFUNCTION("""COMPUTED_VALUE"""),44185.0)</f>
        <v>44185</v>
      </c>
      <c r="D41" s="2">
        <f>IFERROR(__xludf.DUMMYFUNCTION("""COMPUTED_VALUE"""),51.0)</f>
        <v>51</v>
      </c>
      <c r="E41" s="2">
        <f>IFERROR(__xludf.DUMMYFUNCTION("""COMPUTED_VALUE"""),6687.0)</f>
        <v>6687</v>
      </c>
      <c r="F41" s="2">
        <f>IFERROR(__xludf.DUMMYFUNCTION("""COMPUTED_VALUE"""),1422.0)</f>
        <v>1422</v>
      </c>
      <c r="G41" s="4">
        <f>VLOOKUP(A41, Populacao!A:B, 2, 0)</f>
        <v>51265841</v>
      </c>
      <c r="H41" s="2">
        <f t="shared" si="1"/>
        <v>2.773776792</v>
      </c>
      <c r="I41" s="2">
        <f t="shared" si="4"/>
        <v>78.95120652</v>
      </c>
      <c r="J41" s="2">
        <f>AVERAGEIFS(Dados!F:F,Dados!A:A, "=Colombia", Dados!G:G, "=0", Dados!E:E, D41)</f>
        <v>4619.6</v>
      </c>
      <c r="K41" s="2">
        <f t="shared" si="2"/>
        <v>2067.4</v>
      </c>
      <c r="L41" s="2">
        <f t="shared" si="3"/>
        <v>4.03270474</v>
      </c>
      <c r="M41" s="2">
        <f t="shared" si="5"/>
        <v>119.0531528</v>
      </c>
    </row>
    <row r="42">
      <c r="A42" s="2" t="str">
        <f>IFERROR(__xludf.DUMMYFUNCTION("""COMPUTED_VALUE"""),"Colombia")</f>
        <v>Colombia</v>
      </c>
      <c r="B42" s="3">
        <f>IFERROR(__xludf.DUMMYFUNCTION("""COMPUTED_VALUE"""),44186.0)</f>
        <v>44186</v>
      </c>
      <c r="C42" s="3">
        <f>IFERROR(__xludf.DUMMYFUNCTION("""COMPUTED_VALUE"""),44192.0)</f>
        <v>44192</v>
      </c>
      <c r="D42" s="2">
        <f>IFERROR(__xludf.DUMMYFUNCTION("""COMPUTED_VALUE"""),52.0)</f>
        <v>52</v>
      </c>
      <c r="E42" s="2">
        <f>IFERROR(__xludf.DUMMYFUNCTION("""COMPUTED_VALUE"""),7203.0)</f>
        <v>7203</v>
      </c>
      <c r="F42" s="2">
        <f>IFERROR(__xludf.DUMMYFUNCTION("""COMPUTED_VALUE"""),1696.0)</f>
        <v>1696</v>
      </c>
      <c r="G42" s="4">
        <f>VLOOKUP(A42, Populacao!A:B, 2, 0)</f>
        <v>51265841</v>
      </c>
      <c r="H42" s="2">
        <f t="shared" si="1"/>
        <v>3.308245738</v>
      </c>
      <c r="I42" s="2">
        <f t="shared" si="4"/>
        <v>82.25945225</v>
      </c>
      <c r="J42" s="2">
        <f>AVERAGEIFS(Dados!F:F,Dados!A:A, "=Colombia", Dados!G:G, "=0", Dados!E:E, D42)</f>
        <v>4794.2</v>
      </c>
      <c r="K42" s="2">
        <f t="shared" si="2"/>
        <v>2408.8</v>
      </c>
      <c r="L42" s="2">
        <f t="shared" si="3"/>
        <v>4.698645244</v>
      </c>
      <c r="M42" s="2">
        <f t="shared" si="5"/>
        <v>123.751798</v>
      </c>
    </row>
    <row r="43">
      <c r="A43" s="2" t="str">
        <f>IFERROR(__xludf.DUMMYFUNCTION("""COMPUTED_VALUE"""),"Colombia")</f>
        <v>Colombia</v>
      </c>
      <c r="B43" s="3">
        <f>IFERROR(__xludf.DUMMYFUNCTION("""COMPUTED_VALUE"""),44193.0)</f>
        <v>44193</v>
      </c>
      <c r="C43" s="3">
        <f>IFERROR(__xludf.DUMMYFUNCTION("""COMPUTED_VALUE"""),44199.0)</f>
        <v>44199</v>
      </c>
      <c r="D43" s="2">
        <f>IFERROR(__xludf.DUMMYFUNCTION("""COMPUTED_VALUE"""),53.0)</f>
        <v>53</v>
      </c>
      <c r="E43" s="2">
        <f>IFERROR(__xludf.DUMMYFUNCTION("""COMPUTED_VALUE"""),7814.0)</f>
        <v>7814</v>
      </c>
      <c r="F43" s="2">
        <f>IFERROR(__xludf.DUMMYFUNCTION("""COMPUTED_VALUE"""),1794.0)</f>
        <v>1794</v>
      </c>
      <c r="G43" s="4">
        <f>VLOOKUP(A43, Populacao!A:B, 2, 0)</f>
        <v>51265841</v>
      </c>
      <c r="H43" s="2">
        <f t="shared" si="1"/>
        <v>3.499406164</v>
      </c>
      <c r="I43" s="2">
        <f t="shared" si="4"/>
        <v>85.75885842</v>
      </c>
      <c r="J43" s="2">
        <f>AVERAGEIFS(Dados!F:F,Dados!A:A, "=Colombia", Dados!G:G, "=0", Dados!E:E, D43)</f>
        <v>4609</v>
      </c>
      <c r="K43" s="2">
        <f t="shared" si="2"/>
        <v>3205</v>
      </c>
      <c r="L43" s="2">
        <f t="shared" si="3"/>
        <v>6.251726174</v>
      </c>
      <c r="M43" s="2">
        <f t="shared" si="5"/>
        <v>130.0035242</v>
      </c>
    </row>
    <row r="44">
      <c r="A44" s="2" t="str">
        <f>IFERROR(__xludf.DUMMYFUNCTION("""COMPUTED_VALUE"""),"Colombia")</f>
        <v>Colombia</v>
      </c>
      <c r="B44" s="3">
        <f>IFERROR(__xludf.DUMMYFUNCTION("""COMPUTED_VALUE"""),44200.0)</f>
        <v>44200</v>
      </c>
      <c r="C44" s="3">
        <f>IFERROR(__xludf.DUMMYFUNCTION("""COMPUTED_VALUE"""),44206.0)</f>
        <v>44206</v>
      </c>
      <c r="D44" s="2">
        <f>IFERROR(__xludf.DUMMYFUNCTION("""COMPUTED_VALUE"""),1.0)</f>
        <v>1</v>
      </c>
      <c r="E44" s="2">
        <f>IFERROR(__xludf.DUMMYFUNCTION("""COMPUTED_VALUE"""),7964.0)</f>
        <v>7964</v>
      </c>
      <c r="F44" s="2">
        <f>IFERROR(__xludf.DUMMYFUNCTION("""COMPUTED_VALUE"""),2149.0)</f>
        <v>2149</v>
      </c>
      <c r="G44" s="4">
        <f>VLOOKUP(A44, Populacao!A:B, 2, 0)</f>
        <v>51265841</v>
      </c>
      <c r="H44" s="2">
        <f t="shared" si="1"/>
        <v>4.191875054</v>
      </c>
      <c r="I44" s="2">
        <f t="shared" si="4"/>
        <v>89.95073347</v>
      </c>
      <c r="J44" s="2">
        <f>AVERAGEIFS(Dados!F:F,Dados!A:A, "=Colombia", Dados!G:G, "=0", Dados!E:E, D44)</f>
        <v>4853.333333</v>
      </c>
      <c r="K44" s="2">
        <f t="shared" si="2"/>
        <v>3110.666667</v>
      </c>
      <c r="L44" s="2">
        <f t="shared" si="3"/>
        <v>6.067718009</v>
      </c>
      <c r="M44" s="2">
        <f t="shared" si="5"/>
        <v>136.0712422</v>
      </c>
    </row>
    <row r="45">
      <c r="A45" s="2" t="str">
        <f>IFERROR(__xludf.DUMMYFUNCTION("""COMPUTED_VALUE"""),"Colombia")</f>
        <v>Colombia</v>
      </c>
      <c r="B45" s="3">
        <f>IFERROR(__xludf.DUMMYFUNCTION("""COMPUTED_VALUE"""),44207.0)</f>
        <v>44207</v>
      </c>
      <c r="C45" s="3">
        <f>IFERROR(__xludf.DUMMYFUNCTION("""COMPUTED_VALUE"""),44213.0)</f>
        <v>44213</v>
      </c>
      <c r="D45" s="2">
        <f>IFERROR(__xludf.DUMMYFUNCTION("""COMPUTED_VALUE"""),2.0)</f>
        <v>2</v>
      </c>
      <c r="E45" s="2">
        <f>IFERROR(__xludf.DUMMYFUNCTION("""COMPUTED_VALUE"""),8440.0)</f>
        <v>8440</v>
      </c>
      <c r="F45" s="2">
        <f>IFERROR(__xludf.DUMMYFUNCTION("""COMPUTED_VALUE"""),2517.0)</f>
        <v>2517</v>
      </c>
      <c r="G45" s="4">
        <f>VLOOKUP(A45, Populacao!A:B, 2, 0)</f>
        <v>51265841</v>
      </c>
      <c r="H45" s="2">
        <f t="shared" si="1"/>
        <v>4.909701959</v>
      </c>
      <c r="I45" s="2">
        <f t="shared" si="4"/>
        <v>94.86043543</v>
      </c>
      <c r="J45" s="2">
        <f>AVERAGEIFS(Dados!F:F,Dados!A:A, "=Colombia", Dados!G:G, "=0", Dados!E:E, D45)</f>
        <v>4660.666667</v>
      </c>
      <c r="K45" s="2">
        <f t="shared" si="2"/>
        <v>3779.333333</v>
      </c>
      <c r="L45" s="2">
        <f t="shared" si="3"/>
        <v>7.372030302</v>
      </c>
      <c r="M45" s="2">
        <f t="shared" si="5"/>
        <v>143.4432725</v>
      </c>
    </row>
    <row r="46">
      <c r="A46" s="2" t="str">
        <f>IFERROR(__xludf.DUMMYFUNCTION("""COMPUTED_VALUE"""),"Colombia")</f>
        <v>Colombia</v>
      </c>
      <c r="B46" s="3">
        <f>IFERROR(__xludf.DUMMYFUNCTION("""COMPUTED_VALUE"""),44214.0)</f>
        <v>44214</v>
      </c>
      <c r="C46" s="3">
        <f>IFERROR(__xludf.DUMMYFUNCTION("""COMPUTED_VALUE"""),44220.0)</f>
        <v>44220</v>
      </c>
      <c r="D46" s="2">
        <f>IFERROR(__xludf.DUMMYFUNCTION("""COMPUTED_VALUE"""),3.0)</f>
        <v>3</v>
      </c>
      <c r="E46" s="2">
        <f>IFERROR(__xludf.DUMMYFUNCTION("""COMPUTED_VALUE"""),8479.0)</f>
        <v>8479</v>
      </c>
      <c r="F46" s="2">
        <f>IFERROR(__xludf.DUMMYFUNCTION("""COMPUTED_VALUE"""),2743.0)</f>
        <v>2743</v>
      </c>
      <c r="G46" s="4">
        <f>VLOOKUP(A46, Populacao!A:B, 2, 0)</f>
        <v>51265841</v>
      </c>
      <c r="H46" s="2">
        <f t="shared" si="1"/>
        <v>5.350541309</v>
      </c>
      <c r="I46" s="2">
        <f t="shared" si="4"/>
        <v>100.2109767</v>
      </c>
      <c r="J46" s="2">
        <f>AVERAGEIFS(Dados!F:F,Dados!A:A, "=Colombia", Dados!G:G, "=0", Dados!E:E, D46)</f>
        <v>4653.166667</v>
      </c>
      <c r="K46" s="2">
        <f t="shared" si="2"/>
        <v>3825.833333</v>
      </c>
      <c r="L46" s="2">
        <f t="shared" si="3"/>
        <v>7.462733974</v>
      </c>
      <c r="M46" s="2">
        <f t="shared" si="5"/>
        <v>150.9060065</v>
      </c>
    </row>
    <row r="47">
      <c r="A47" s="2" t="str">
        <f>IFERROR(__xludf.DUMMYFUNCTION("""COMPUTED_VALUE"""),"Colombia")</f>
        <v>Colombia</v>
      </c>
      <c r="B47" s="3">
        <f>IFERROR(__xludf.DUMMYFUNCTION("""COMPUTED_VALUE"""),44221.0)</f>
        <v>44221</v>
      </c>
      <c r="C47" s="3">
        <f>IFERROR(__xludf.DUMMYFUNCTION("""COMPUTED_VALUE"""),44227.0)</f>
        <v>44227</v>
      </c>
      <c r="D47" s="2">
        <f>IFERROR(__xludf.DUMMYFUNCTION("""COMPUTED_VALUE"""),4.0)</f>
        <v>4</v>
      </c>
      <c r="E47" s="2">
        <f>IFERROR(__xludf.DUMMYFUNCTION("""COMPUTED_VALUE"""),7676.0)</f>
        <v>7676</v>
      </c>
      <c r="F47" s="2">
        <f>IFERROR(__xludf.DUMMYFUNCTION("""COMPUTED_VALUE"""),2609.0)</f>
        <v>2609</v>
      </c>
      <c r="G47" s="4">
        <f>VLOOKUP(A47, Populacao!A:B, 2, 0)</f>
        <v>51265841</v>
      </c>
      <c r="H47" s="2">
        <f t="shared" si="1"/>
        <v>5.089158686</v>
      </c>
      <c r="I47" s="2">
        <f t="shared" si="4"/>
        <v>105.3001354</v>
      </c>
      <c r="J47" s="2">
        <f>AVERAGEIFS(Dados!F:F,Dados!A:A, "=Colombia", Dados!G:G, "=0", Dados!E:E, D47)</f>
        <v>4519.5</v>
      </c>
      <c r="K47" s="2">
        <f t="shared" si="2"/>
        <v>3156.5</v>
      </c>
      <c r="L47" s="2">
        <f t="shared" si="3"/>
        <v>6.157121269</v>
      </c>
      <c r="M47" s="2">
        <f t="shared" si="5"/>
        <v>157.0631277</v>
      </c>
    </row>
    <row r="48">
      <c r="A48" s="2" t="str">
        <f>IFERROR(__xludf.DUMMYFUNCTION("""COMPUTED_VALUE"""),"Colombia")</f>
        <v>Colombia</v>
      </c>
      <c r="B48" s="3">
        <f>IFERROR(__xludf.DUMMYFUNCTION("""COMPUTED_VALUE"""),44228.0)</f>
        <v>44228</v>
      </c>
      <c r="C48" s="3">
        <f>IFERROR(__xludf.DUMMYFUNCTION("""COMPUTED_VALUE"""),44234.0)</f>
        <v>44234</v>
      </c>
      <c r="D48" s="2">
        <f>IFERROR(__xludf.DUMMYFUNCTION("""COMPUTED_VALUE"""),5.0)</f>
        <v>5</v>
      </c>
      <c r="E48" s="2">
        <f>IFERROR(__xludf.DUMMYFUNCTION("""COMPUTED_VALUE"""),7029.0)</f>
        <v>7029</v>
      </c>
      <c r="F48" s="2">
        <f>IFERROR(__xludf.DUMMYFUNCTION("""COMPUTED_VALUE"""),2010.0)</f>
        <v>2010</v>
      </c>
      <c r="G48" s="4">
        <f>VLOOKUP(A48, Populacao!A:B, 2, 0)</f>
        <v>51265841</v>
      </c>
      <c r="H48" s="2">
        <f t="shared" si="1"/>
        <v>3.920739348</v>
      </c>
      <c r="I48" s="2">
        <f t="shared" si="4"/>
        <v>109.2208748</v>
      </c>
      <c r="J48" s="2">
        <f>AVERAGEIFS(Dados!F:F,Dados!A:A, "=Colombia", Dados!G:G, "=0", Dados!E:E, D48)</f>
        <v>4406.333333</v>
      </c>
      <c r="K48" s="2">
        <f t="shared" si="2"/>
        <v>2622.666667</v>
      </c>
      <c r="L48" s="2">
        <f t="shared" si="3"/>
        <v>5.115817112</v>
      </c>
      <c r="M48" s="2">
        <f t="shared" si="5"/>
        <v>162.1789448</v>
      </c>
    </row>
    <row r="49">
      <c r="A49" s="2" t="str">
        <f>IFERROR(__xludf.DUMMYFUNCTION("""COMPUTED_VALUE"""),"Colombia")</f>
        <v>Colombia</v>
      </c>
      <c r="B49" s="3">
        <f>IFERROR(__xludf.DUMMYFUNCTION("""COMPUTED_VALUE"""),44235.0)</f>
        <v>44235</v>
      </c>
      <c r="C49" s="3">
        <f>IFERROR(__xludf.DUMMYFUNCTION("""COMPUTED_VALUE"""),44241.0)</f>
        <v>44241</v>
      </c>
      <c r="D49" s="2">
        <f>IFERROR(__xludf.DUMMYFUNCTION("""COMPUTED_VALUE"""),6.0)</f>
        <v>6</v>
      </c>
      <c r="E49" s="2">
        <f>IFERROR(__xludf.DUMMYFUNCTION("""COMPUTED_VALUE"""),6341.0)</f>
        <v>6341</v>
      </c>
      <c r="F49" s="2">
        <f>IFERROR(__xludf.DUMMYFUNCTION("""COMPUTED_VALUE"""),1612.0)</f>
        <v>1612</v>
      </c>
      <c r="G49" s="4">
        <f>VLOOKUP(A49, Populacao!A:B, 2, 0)</f>
        <v>51265841</v>
      </c>
      <c r="H49" s="2">
        <f t="shared" si="1"/>
        <v>3.144393944</v>
      </c>
      <c r="I49" s="2">
        <f t="shared" si="4"/>
        <v>112.3652687</v>
      </c>
      <c r="J49" s="2">
        <f>AVERAGEIFS(Dados!F:F,Dados!A:A, "=Colombia", Dados!G:G, "=0", Dados!E:E, D49)</f>
        <v>4375.166667</v>
      </c>
      <c r="K49" s="2">
        <f t="shared" si="2"/>
        <v>1965.833333</v>
      </c>
      <c r="L49" s="2">
        <f t="shared" si="3"/>
        <v>3.834587115</v>
      </c>
      <c r="M49" s="2">
        <f t="shared" si="5"/>
        <v>166.013532</v>
      </c>
    </row>
    <row r="50">
      <c r="A50" s="2" t="str">
        <f>IFERROR(__xludf.DUMMYFUNCTION("""COMPUTED_VALUE"""),"Colombia")</f>
        <v>Colombia</v>
      </c>
      <c r="B50" s="3">
        <f>IFERROR(__xludf.DUMMYFUNCTION("""COMPUTED_VALUE"""),44242.0)</f>
        <v>44242</v>
      </c>
      <c r="C50" s="3">
        <f>IFERROR(__xludf.DUMMYFUNCTION("""COMPUTED_VALUE"""),44248.0)</f>
        <v>44248</v>
      </c>
      <c r="D50" s="2">
        <f>IFERROR(__xludf.DUMMYFUNCTION("""COMPUTED_VALUE"""),7.0)</f>
        <v>7</v>
      </c>
      <c r="E50" s="2">
        <f>IFERROR(__xludf.DUMMYFUNCTION("""COMPUTED_VALUE"""),5915.0)</f>
        <v>5915</v>
      </c>
      <c r="F50" s="2">
        <f>IFERROR(__xludf.DUMMYFUNCTION("""COMPUTED_VALUE"""),1229.0)</f>
        <v>1229</v>
      </c>
      <c r="G50" s="4">
        <f>VLOOKUP(A50, Populacao!A:B, 2, 0)</f>
        <v>51265841</v>
      </c>
      <c r="H50" s="2">
        <f t="shared" si="1"/>
        <v>2.39730779</v>
      </c>
      <c r="I50" s="2">
        <f t="shared" si="4"/>
        <v>114.7625765</v>
      </c>
      <c r="J50" s="2">
        <f>AVERAGEIFS(Dados!F:F,Dados!A:A, "=Colombia", Dados!G:G, "=0", Dados!E:E, D50)</f>
        <v>4324.5</v>
      </c>
      <c r="K50" s="2">
        <f t="shared" si="2"/>
        <v>1590.5</v>
      </c>
      <c r="L50" s="2">
        <f t="shared" si="3"/>
        <v>3.102455688</v>
      </c>
      <c r="M50" s="2">
        <f t="shared" si="5"/>
        <v>169.1159876</v>
      </c>
    </row>
    <row r="51">
      <c r="A51" s="2" t="str">
        <f>IFERROR(__xludf.DUMMYFUNCTION("""COMPUTED_VALUE"""),"Colombia")</f>
        <v>Colombia</v>
      </c>
      <c r="B51" s="3">
        <f>IFERROR(__xludf.DUMMYFUNCTION("""COMPUTED_VALUE"""),44249.0)</f>
        <v>44249</v>
      </c>
      <c r="C51" s="3">
        <f>IFERROR(__xludf.DUMMYFUNCTION("""COMPUTED_VALUE"""),44255.0)</f>
        <v>44255</v>
      </c>
      <c r="D51" s="2">
        <f>IFERROR(__xludf.DUMMYFUNCTION("""COMPUTED_VALUE"""),8.0)</f>
        <v>8</v>
      </c>
      <c r="E51" s="2">
        <f>IFERROR(__xludf.DUMMYFUNCTION("""COMPUTED_VALUE"""),5564.0)</f>
        <v>5564</v>
      </c>
      <c r="F51" s="2">
        <f>IFERROR(__xludf.DUMMYFUNCTION("""COMPUTED_VALUE"""),932.0)</f>
        <v>932</v>
      </c>
      <c r="G51" s="4">
        <f>VLOOKUP(A51, Populacao!A:B, 2, 0)</f>
        <v>51265841</v>
      </c>
      <c r="H51" s="2">
        <f t="shared" si="1"/>
        <v>1.817974663</v>
      </c>
      <c r="I51" s="2">
        <f t="shared" si="4"/>
        <v>116.5805512</v>
      </c>
      <c r="J51" s="2">
        <f>AVERAGEIFS(Dados!F:F,Dados!A:A, "=Colombia", Dados!G:G, "=0", Dados!E:E, D51)</f>
        <v>4307.333333</v>
      </c>
      <c r="K51" s="2">
        <f t="shared" si="2"/>
        <v>1256.666667</v>
      </c>
      <c r="L51" s="2">
        <f t="shared" si="3"/>
        <v>2.451274849</v>
      </c>
      <c r="M51" s="2">
        <f t="shared" si="5"/>
        <v>171.5672625</v>
      </c>
    </row>
    <row r="52">
      <c r="A52" s="2" t="str">
        <f>IFERROR(__xludf.DUMMYFUNCTION("""COMPUTED_VALUE"""),"Colombia")</f>
        <v>Colombia</v>
      </c>
      <c r="B52" s="3">
        <f>IFERROR(__xludf.DUMMYFUNCTION("""COMPUTED_VALUE"""),44256.0)</f>
        <v>44256</v>
      </c>
      <c r="C52" s="3">
        <f>IFERROR(__xludf.DUMMYFUNCTION("""COMPUTED_VALUE"""),44262.0)</f>
        <v>44262</v>
      </c>
      <c r="D52" s="2">
        <f>IFERROR(__xludf.DUMMYFUNCTION("""COMPUTED_VALUE"""),9.0)</f>
        <v>9</v>
      </c>
      <c r="E52" s="2">
        <f>IFERROR(__xludf.DUMMYFUNCTION("""COMPUTED_VALUE"""),5562.0)</f>
        <v>5562</v>
      </c>
      <c r="F52" s="2">
        <f>IFERROR(__xludf.DUMMYFUNCTION("""COMPUTED_VALUE"""),737.0)</f>
        <v>737</v>
      </c>
      <c r="G52" s="4">
        <f>VLOOKUP(A52, Populacao!A:B, 2, 0)</f>
        <v>51265841</v>
      </c>
      <c r="H52" s="2">
        <f t="shared" si="1"/>
        <v>1.437604427</v>
      </c>
      <c r="I52" s="2">
        <f t="shared" si="4"/>
        <v>118.0181556</v>
      </c>
      <c r="J52" s="2">
        <f>AVERAGEIFS(Dados!F:F,Dados!A:A, "=Colombia", Dados!G:G, "=0", Dados!E:E, D52)</f>
        <v>4312</v>
      </c>
      <c r="K52" s="2">
        <f t="shared" si="2"/>
        <v>1250</v>
      </c>
      <c r="L52" s="2">
        <f t="shared" si="3"/>
        <v>2.438270739</v>
      </c>
      <c r="M52" s="2">
        <f t="shared" si="5"/>
        <v>174.0055332</v>
      </c>
    </row>
    <row r="53">
      <c r="A53" s="2" t="str">
        <f>IFERROR(__xludf.DUMMYFUNCTION("""COMPUTED_VALUE"""),"Colombia")</f>
        <v>Colombia</v>
      </c>
      <c r="B53" s="3">
        <f>IFERROR(__xludf.DUMMYFUNCTION("""COMPUTED_VALUE"""),44263.0)</f>
        <v>44263</v>
      </c>
      <c r="C53" s="3">
        <f>IFERROR(__xludf.DUMMYFUNCTION("""COMPUTED_VALUE"""),44269.0)</f>
        <v>44269</v>
      </c>
      <c r="D53" s="2">
        <f>IFERROR(__xludf.DUMMYFUNCTION("""COMPUTED_VALUE"""),10.0)</f>
        <v>10</v>
      </c>
      <c r="E53" s="2">
        <f>IFERROR(__xludf.DUMMYFUNCTION("""COMPUTED_VALUE"""),5315.0)</f>
        <v>5315</v>
      </c>
      <c r="F53" s="2">
        <f>IFERROR(__xludf.DUMMYFUNCTION("""COMPUTED_VALUE"""),640.0)</f>
        <v>640</v>
      </c>
      <c r="G53" s="4">
        <f>VLOOKUP(A53, Populacao!A:B, 2, 0)</f>
        <v>51265841</v>
      </c>
      <c r="H53" s="2">
        <f t="shared" si="1"/>
        <v>1.248394618</v>
      </c>
      <c r="I53" s="2">
        <f t="shared" si="4"/>
        <v>119.2665502</v>
      </c>
      <c r="J53" s="2">
        <f>AVERAGEIFS(Dados!F:F,Dados!A:A, "=Colombia", Dados!G:G, "=0", Dados!E:E, D53)</f>
        <v>4341.666667</v>
      </c>
      <c r="K53" s="2">
        <f t="shared" si="2"/>
        <v>973.3333333</v>
      </c>
      <c r="L53" s="2">
        <f t="shared" si="3"/>
        <v>1.898600148</v>
      </c>
      <c r="M53" s="2">
        <f t="shared" si="5"/>
        <v>175.9041334</v>
      </c>
    </row>
    <row r="54">
      <c r="A54" s="2" t="str">
        <f>IFERROR(__xludf.DUMMYFUNCTION("""COMPUTED_VALUE"""),"Colombia")</f>
        <v>Colombia</v>
      </c>
      <c r="B54" s="3">
        <f>IFERROR(__xludf.DUMMYFUNCTION("""COMPUTED_VALUE"""),44270.0)</f>
        <v>44270</v>
      </c>
      <c r="C54" s="3">
        <f>IFERROR(__xludf.DUMMYFUNCTION("""COMPUTED_VALUE"""),44276.0)</f>
        <v>44276</v>
      </c>
      <c r="D54" s="2">
        <f>IFERROR(__xludf.DUMMYFUNCTION("""COMPUTED_VALUE"""),11.0)</f>
        <v>11</v>
      </c>
      <c r="E54" s="2">
        <f>IFERROR(__xludf.DUMMYFUNCTION("""COMPUTED_VALUE"""),5569.0)</f>
        <v>5569</v>
      </c>
      <c r="F54" s="2">
        <f>IFERROR(__xludf.DUMMYFUNCTION("""COMPUTED_VALUE"""),885.0)</f>
        <v>885</v>
      </c>
      <c r="G54" s="4">
        <f>VLOOKUP(A54, Populacao!A:B, 2, 0)</f>
        <v>51265841</v>
      </c>
      <c r="H54" s="2">
        <f t="shared" si="1"/>
        <v>1.726295683</v>
      </c>
      <c r="I54" s="2">
        <f t="shared" si="4"/>
        <v>120.9928459</v>
      </c>
      <c r="J54" s="2">
        <f>AVERAGEIFS(Dados!F:F,Dados!A:A, "=Colombia", Dados!G:G, "=0", Dados!E:E, D54)</f>
        <v>4366</v>
      </c>
      <c r="K54" s="2">
        <f t="shared" si="2"/>
        <v>1203</v>
      </c>
      <c r="L54" s="2">
        <f t="shared" si="3"/>
        <v>2.346591759</v>
      </c>
      <c r="M54" s="2">
        <f t="shared" si="5"/>
        <v>178.2507251</v>
      </c>
    </row>
    <row r="55">
      <c r="A55" s="2" t="str">
        <f>IFERROR(__xludf.DUMMYFUNCTION("""COMPUTED_VALUE"""),"Colombia")</f>
        <v>Colombia</v>
      </c>
      <c r="B55" s="3">
        <f>IFERROR(__xludf.DUMMYFUNCTION("""COMPUTED_VALUE"""),44277.0)</f>
        <v>44277</v>
      </c>
      <c r="C55" s="3">
        <f>IFERROR(__xludf.DUMMYFUNCTION("""COMPUTED_VALUE"""),44283.0)</f>
        <v>44283</v>
      </c>
      <c r="D55" s="2">
        <f>IFERROR(__xludf.DUMMYFUNCTION("""COMPUTED_VALUE"""),12.0)</f>
        <v>12</v>
      </c>
      <c r="E55" s="2">
        <f>IFERROR(__xludf.DUMMYFUNCTION("""COMPUTED_VALUE"""),5958.0)</f>
        <v>5958</v>
      </c>
      <c r="F55" s="2">
        <f>IFERROR(__xludf.DUMMYFUNCTION("""COMPUTED_VALUE"""),927.0)</f>
        <v>927</v>
      </c>
      <c r="G55" s="4">
        <f>VLOOKUP(A55, Populacao!A:B, 2, 0)</f>
        <v>51265841</v>
      </c>
      <c r="H55" s="2">
        <f t="shared" si="1"/>
        <v>1.80822158</v>
      </c>
      <c r="I55" s="2">
        <f t="shared" si="4"/>
        <v>122.8010675</v>
      </c>
      <c r="J55" s="2">
        <f>AVERAGEIFS(Dados!F:F,Dados!A:A, "=Colombia", Dados!G:G, "=0", Dados!E:E, D55)</f>
        <v>4296.8</v>
      </c>
      <c r="K55" s="2">
        <f t="shared" si="2"/>
        <v>1661.2</v>
      </c>
      <c r="L55" s="2">
        <f t="shared" si="3"/>
        <v>3.240364281</v>
      </c>
      <c r="M55" s="2">
        <f t="shared" si="5"/>
        <v>181.4910894</v>
      </c>
    </row>
    <row r="56">
      <c r="A56" s="2" t="str">
        <f>IFERROR(__xludf.DUMMYFUNCTION("""COMPUTED_VALUE"""),"Colombia")</f>
        <v>Colombia</v>
      </c>
      <c r="B56" s="3">
        <f>IFERROR(__xludf.DUMMYFUNCTION("""COMPUTED_VALUE"""),44284.0)</f>
        <v>44284</v>
      </c>
      <c r="C56" s="3">
        <f>IFERROR(__xludf.DUMMYFUNCTION("""COMPUTED_VALUE"""),44290.0)</f>
        <v>44290</v>
      </c>
      <c r="D56" s="2">
        <f>IFERROR(__xludf.DUMMYFUNCTION("""COMPUTED_VALUE"""),13.0)</f>
        <v>13</v>
      </c>
      <c r="E56" s="2">
        <f>IFERROR(__xludf.DUMMYFUNCTION("""COMPUTED_VALUE"""),6473.0)</f>
        <v>6473</v>
      </c>
      <c r="F56" s="2">
        <f>IFERROR(__xludf.DUMMYFUNCTION("""COMPUTED_VALUE"""),1139.0)</f>
        <v>1139</v>
      </c>
      <c r="G56" s="4">
        <f>VLOOKUP(A56, Populacao!A:B, 2, 0)</f>
        <v>51265841</v>
      </c>
      <c r="H56" s="2">
        <f t="shared" si="1"/>
        <v>2.221752297</v>
      </c>
      <c r="I56" s="2">
        <f t="shared" si="4"/>
        <v>125.0228198</v>
      </c>
      <c r="J56" s="2">
        <f>AVERAGEIFS(Dados!F:F,Dados!A:A, "=Colombia", Dados!G:G, "=0", Dados!E:E, D56)</f>
        <v>4316.4</v>
      </c>
      <c r="K56" s="2">
        <f t="shared" si="2"/>
        <v>2156.6</v>
      </c>
      <c r="L56" s="2">
        <f t="shared" si="3"/>
        <v>4.20669974</v>
      </c>
      <c r="M56" s="2">
        <f t="shared" si="5"/>
        <v>185.6977892</v>
      </c>
    </row>
    <row r="57">
      <c r="A57" s="2" t="str">
        <f>IFERROR(__xludf.DUMMYFUNCTION("""COMPUTED_VALUE"""),"Colombia")</f>
        <v>Colombia</v>
      </c>
      <c r="B57" s="3">
        <f>IFERROR(__xludf.DUMMYFUNCTION("""COMPUTED_VALUE"""),44291.0)</f>
        <v>44291</v>
      </c>
      <c r="C57" s="3">
        <f>IFERROR(__xludf.DUMMYFUNCTION("""COMPUTED_VALUE"""),44297.0)</f>
        <v>44297</v>
      </c>
      <c r="D57" s="2">
        <f>IFERROR(__xludf.DUMMYFUNCTION("""COMPUTED_VALUE"""),14.0)</f>
        <v>14</v>
      </c>
      <c r="E57" s="2">
        <f>IFERROR(__xludf.DUMMYFUNCTION("""COMPUTED_VALUE"""),7210.0)</f>
        <v>7210</v>
      </c>
      <c r="F57" s="2">
        <f>IFERROR(__xludf.DUMMYFUNCTION("""COMPUTED_VALUE"""),1795.0)</f>
        <v>1795</v>
      </c>
      <c r="G57" s="4">
        <f>VLOOKUP(A57, Populacao!A:B, 2, 0)</f>
        <v>51265841</v>
      </c>
      <c r="H57" s="2">
        <f t="shared" si="1"/>
        <v>3.501356781</v>
      </c>
      <c r="I57" s="2">
        <f t="shared" si="4"/>
        <v>128.5241766</v>
      </c>
      <c r="J57" s="2">
        <f>AVERAGEIFS(Dados!F:F,Dados!A:A, "=Colombia", Dados!G:G, "=0", Dados!E:E, D57)</f>
        <v>4278</v>
      </c>
      <c r="K57" s="2">
        <f t="shared" si="2"/>
        <v>2932</v>
      </c>
      <c r="L57" s="2">
        <f t="shared" si="3"/>
        <v>5.719207844</v>
      </c>
      <c r="M57" s="2">
        <f t="shared" si="5"/>
        <v>191.416997</v>
      </c>
    </row>
    <row r="58">
      <c r="A58" s="2" t="str">
        <f>IFERROR(__xludf.DUMMYFUNCTION("""COMPUTED_VALUE"""),"Colombia")</f>
        <v>Colombia</v>
      </c>
      <c r="B58" s="3">
        <f>IFERROR(__xludf.DUMMYFUNCTION("""COMPUTED_VALUE"""),44298.0)</f>
        <v>44298</v>
      </c>
      <c r="C58" s="3">
        <f>IFERROR(__xludf.DUMMYFUNCTION("""COMPUTED_VALUE"""),44304.0)</f>
        <v>44304</v>
      </c>
      <c r="D58" s="2">
        <f>IFERROR(__xludf.DUMMYFUNCTION("""COMPUTED_VALUE"""),15.0)</f>
        <v>15</v>
      </c>
      <c r="E58" s="2">
        <f>IFERROR(__xludf.DUMMYFUNCTION("""COMPUTED_VALUE"""),8440.0)</f>
        <v>8440</v>
      </c>
      <c r="F58" s="2">
        <f>IFERROR(__xludf.DUMMYFUNCTION("""COMPUTED_VALUE"""),2439.0)</f>
        <v>2439</v>
      </c>
      <c r="G58" s="4">
        <f>VLOOKUP(A58, Populacao!A:B, 2, 0)</f>
        <v>51265841</v>
      </c>
      <c r="H58" s="2">
        <f t="shared" si="1"/>
        <v>4.757553865</v>
      </c>
      <c r="I58" s="2">
        <f t="shared" si="4"/>
        <v>133.2817304</v>
      </c>
      <c r="J58" s="2">
        <f>AVERAGEIFS(Dados!F:F,Dados!A:A, "=Colombia", Dados!G:G, "=0", Dados!E:E, D58)</f>
        <v>4255</v>
      </c>
      <c r="K58" s="2">
        <f t="shared" si="2"/>
        <v>4185</v>
      </c>
      <c r="L58" s="2">
        <f t="shared" si="3"/>
        <v>8.163330433</v>
      </c>
      <c r="M58" s="2">
        <f t="shared" si="5"/>
        <v>199.5803274</v>
      </c>
    </row>
    <row r="59">
      <c r="A59" s="2" t="str">
        <f>IFERROR(__xludf.DUMMYFUNCTION("""COMPUTED_VALUE"""),"Colombia")</f>
        <v>Colombia</v>
      </c>
      <c r="B59" s="3">
        <f>IFERROR(__xludf.DUMMYFUNCTION("""COMPUTED_VALUE"""),44305.0)</f>
        <v>44305</v>
      </c>
      <c r="C59" s="3">
        <f>IFERROR(__xludf.DUMMYFUNCTION("""COMPUTED_VALUE"""),44311.0)</f>
        <v>44311</v>
      </c>
      <c r="D59" s="2">
        <f>IFERROR(__xludf.DUMMYFUNCTION("""COMPUTED_VALUE"""),16.0)</f>
        <v>16</v>
      </c>
      <c r="E59" s="2">
        <f>IFERROR(__xludf.DUMMYFUNCTION("""COMPUTED_VALUE"""),8775.0)</f>
        <v>8775</v>
      </c>
      <c r="F59" s="2">
        <f>IFERROR(__xludf.DUMMYFUNCTION("""COMPUTED_VALUE"""),3023.0)</f>
        <v>3023</v>
      </c>
      <c r="G59" s="4">
        <f>VLOOKUP(A59, Populacao!A:B, 2, 0)</f>
        <v>51265841</v>
      </c>
      <c r="H59" s="2">
        <f t="shared" si="1"/>
        <v>5.896713954</v>
      </c>
      <c r="I59" s="2">
        <f t="shared" si="4"/>
        <v>139.1784444</v>
      </c>
      <c r="J59" s="2">
        <f>AVERAGEIFS(Dados!F:F,Dados!A:A, "=Colombia", Dados!G:G, "=0", Dados!E:E, D59)</f>
        <v>4262.8</v>
      </c>
      <c r="K59" s="2">
        <f t="shared" si="2"/>
        <v>4512.2</v>
      </c>
      <c r="L59" s="2">
        <f t="shared" si="3"/>
        <v>8.801572181</v>
      </c>
      <c r="M59" s="2">
        <f t="shared" si="5"/>
        <v>208.3818996</v>
      </c>
    </row>
    <row r="60">
      <c r="A60" s="2" t="str">
        <f>IFERROR(__xludf.DUMMYFUNCTION("""COMPUTED_VALUE"""),"Colombia")</f>
        <v>Colombia</v>
      </c>
      <c r="B60" s="3">
        <f>IFERROR(__xludf.DUMMYFUNCTION("""COMPUTED_VALUE"""),44312.0)</f>
        <v>44312</v>
      </c>
      <c r="C60" s="3">
        <f>IFERROR(__xludf.DUMMYFUNCTION("""COMPUTED_VALUE"""),44318.0)</f>
        <v>44318</v>
      </c>
      <c r="D60" s="2">
        <f>IFERROR(__xludf.DUMMYFUNCTION("""COMPUTED_VALUE"""),17.0)</f>
        <v>17</v>
      </c>
      <c r="E60" s="2">
        <f>IFERROR(__xludf.DUMMYFUNCTION("""COMPUTED_VALUE"""),8789.0)</f>
        <v>8789</v>
      </c>
      <c r="F60" s="2">
        <f>IFERROR(__xludf.DUMMYFUNCTION("""COMPUTED_VALUE"""),3126.0)</f>
        <v>3126</v>
      </c>
      <c r="G60" s="4">
        <f>VLOOKUP(A60, Populacao!A:B, 2, 0)</f>
        <v>51265841</v>
      </c>
      <c r="H60" s="2">
        <f t="shared" si="1"/>
        <v>6.097627463</v>
      </c>
      <c r="I60" s="2">
        <f t="shared" si="4"/>
        <v>145.2760718</v>
      </c>
      <c r="J60" s="2">
        <f>AVERAGEIFS(Dados!F:F,Dados!A:A, "=Colombia", Dados!G:G, "=0", Dados!E:E, D60)</f>
        <v>4263</v>
      </c>
      <c r="K60" s="2">
        <f t="shared" si="2"/>
        <v>4526</v>
      </c>
      <c r="L60" s="2">
        <f t="shared" si="3"/>
        <v>8.82849069</v>
      </c>
      <c r="M60" s="2">
        <f t="shared" si="5"/>
        <v>217.2103903</v>
      </c>
    </row>
    <row r="61">
      <c r="A61" s="2" t="str">
        <f>IFERROR(__xludf.DUMMYFUNCTION("""COMPUTED_VALUE"""),"Colombia")</f>
        <v>Colombia</v>
      </c>
      <c r="B61" s="3">
        <f>IFERROR(__xludf.DUMMYFUNCTION("""COMPUTED_VALUE"""),44319.0)</f>
        <v>44319</v>
      </c>
      <c r="C61" s="3">
        <f>IFERROR(__xludf.DUMMYFUNCTION("""COMPUTED_VALUE"""),44325.0)</f>
        <v>44325</v>
      </c>
      <c r="D61" s="2">
        <f>IFERROR(__xludf.DUMMYFUNCTION("""COMPUTED_VALUE"""),18.0)</f>
        <v>18</v>
      </c>
      <c r="E61" s="2">
        <f>IFERROR(__xludf.DUMMYFUNCTION("""COMPUTED_VALUE"""),8882.0)</f>
        <v>8882</v>
      </c>
      <c r="F61" s="2">
        <f>IFERROR(__xludf.DUMMYFUNCTION("""COMPUTED_VALUE"""),3377.0)</f>
        <v>3377</v>
      </c>
      <c r="G61" s="4">
        <f>VLOOKUP(A61, Populacao!A:B, 2, 0)</f>
        <v>51265841</v>
      </c>
      <c r="H61" s="2">
        <f t="shared" si="1"/>
        <v>6.587232227</v>
      </c>
      <c r="I61" s="2">
        <f t="shared" si="4"/>
        <v>151.8633041</v>
      </c>
      <c r="J61" s="2">
        <f>AVERAGEIFS(Dados!F:F,Dados!A:A, "=Colombia", Dados!G:G, "=0", Dados!E:E, D61)</f>
        <v>4331.2</v>
      </c>
      <c r="K61" s="2">
        <f t="shared" si="2"/>
        <v>4550.8</v>
      </c>
      <c r="L61" s="2">
        <f t="shared" si="3"/>
        <v>8.876865982</v>
      </c>
      <c r="M61" s="2">
        <f t="shared" si="5"/>
        <v>226.0872563</v>
      </c>
    </row>
    <row r="62">
      <c r="A62" s="2" t="str">
        <f>IFERROR(__xludf.DUMMYFUNCTION("""COMPUTED_VALUE"""),"Colombia")</f>
        <v>Colombia</v>
      </c>
      <c r="B62" s="3">
        <f>IFERROR(__xludf.DUMMYFUNCTION("""COMPUTED_VALUE"""),44326.0)</f>
        <v>44326</v>
      </c>
      <c r="C62" s="3">
        <f>IFERROR(__xludf.DUMMYFUNCTION("""COMPUTED_VALUE"""),44332.0)</f>
        <v>44332</v>
      </c>
      <c r="D62" s="2">
        <f>IFERROR(__xludf.DUMMYFUNCTION("""COMPUTED_VALUE"""),19.0)</f>
        <v>19</v>
      </c>
      <c r="E62" s="2">
        <f>IFERROR(__xludf.DUMMYFUNCTION("""COMPUTED_VALUE"""),8988.0)</f>
        <v>8988</v>
      </c>
      <c r="F62" s="2">
        <f>IFERROR(__xludf.DUMMYFUNCTION("""COMPUTED_VALUE"""),3446.0)</f>
        <v>3446</v>
      </c>
      <c r="G62" s="4">
        <f>VLOOKUP(A62, Populacao!A:B, 2, 0)</f>
        <v>51265841</v>
      </c>
      <c r="H62" s="2">
        <f t="shared" si="1"/>
        <v>6.721824772</v>
      </c>
      <c r="I62" s="2">
        <f t="shared" si="4"/>
        <v>158.5851288</v>
      </c>
      <c r="J62" s="2">
        <f>AVERAGEIFS(Dados!F:F,Dados!A:A, "=Colombia", Dados!G:G, "=0", Dados!E:E, D62)</f>
        <v>4368.2</v>
      </c>
      <c r="K62" s="2">
        <f t="shared" si="2"/>
        <v>4619.8</v>
      </c>
      <c r="L62" s="2">
        <f t="shared" si="3"/>
        <v>9.011458527</v>
      </c>
      <c r="M62" s="2">
        <f t="shared" si="5"/>
        <v>235.0987148</v>
      </c>
    </row>
    <row r="63">
      <c r="A63" s="2" t="str">
        <f>IFERROR(__xludf.DUMMYFUNCTION("""COMPUTED_VALUE"""),"Colombia")</f>
        <v>Colombia</v>
      </c>
      <c r="B63" s="3">
        <f>IFERROR(__xludf.DUMMYFUNCTION("""COMPUTED_VALUE"""),44333.0)</f>
        <v>44333</v>
      </c>
      <c r="C63" s="3">
        <f>IFERROR(__xludf.DUMMYFUNCTION("""COMPUTED_VALUE"""),44339.0)</f>
        <v>44339</v>
      </c>
      <c r="D63" s="2">
        <f>IFERROR(__xludf.DUMMYFUNCTION("""COMPUTED_VALUE"""),20.0)</f>
        <v>20</v>
      </c>
      <c r="E63" s="2">
        <f>IFERROR(__xludf.DUMMYFUNCTION("""COMPUTED_VALUE"""),9058.0)</f>
        <v>9058</v>
      </c>
      <c r="F63" s="2">
        <f>IFERROR(__xludf.DUMMYFUNCTION("""COMPUTED_VALUE"""),3424.0)</f>
        <v>3424</v>
      </c>
      <c r="G63" s="4">
        <f>VLOOKUP(A63, Populacao!A:B, 2, 0)</f>
        <v>51265841</v>
      </c>
      <c r="H63" s="2">
        <f t="shared" si="1"/>
        <v>6.678911207</v>
      </c>
      <c r="I63" s="2">
        <f t="shared" si="4"/>
        <v>165.26404</v>
      </c>
      <c r="J63" s="2">
        <f>AVERAGEIFS(Dados!F:F,Dados!A:A, "=Colombia", Dados!G:G, "=0", Dados!E:E, D63)</f>
        <v>4518.8</v>
      </c>
      <c r="K63" s="2">
        <f t="shared" si="2"/>
        <v>4539.2</v>
      </c>
      <c r="L63" s="2">
        <f t="shared" si="3"/>
        <v>8.854238829</v>
      </c>
      <c r="M63" s="2">
        <f t="shared" si="5"/>
        <v>243.9529537</v>
      </c>
    </row>
    <row r="64">
      <c r="A64" s="2" t="str">
        <f>IFERROR(__xludf.DUMMYFUNCTION("""COMPUTED_VALUE"""),"Colombia")</f>
        <v>Colombia</v>
      </c>
      <c r="B64" s="3">
        <f>IFERROR(__xludf.DUMMYFUNCTION("""COMPUTED_VALUE"""),44340.0)</f>
        <v>44340</v>
      </c>
      <c r="C64" s="3">
        <f>IFERROR(__xludf.DUMMYFUNCTION("""COMPUTED_VALUE"""),44346.0)</f>
        <v>44346</v>
      </c>
      <c r="D64" s="2">
        <f>IFERROR(__xludf.DUMMYFUNCTION("""COMPUTED_VALUE"""),21.0)</f>
        <v>21</v>
      </c>
      <c r="E64" s="2">
        <f>IFERROR(__xludf.DUMMYFUNCTION("""COMPUTED_VALUE"""),9296.0)</f>
        <v>9296</v>
      </c>
      <c r="F64" s="2">
        <f>IFERROR(__xludf.DUMMYFUNCTION("""COMPUTED_VALUE"""),3558.0)</f>
        <v>3558</v>
      </c>
      <c r="G64" s="4">
        <f>VLOOKUP(A64, Populacao!A:B, 2, 0)</f>
        <v>51265841</v>
      </c>
      <c r="H64" s="2">
        <f t="shared" si="1"/>
        <v>6.94029383</v>
      </c>
      <c r="I64" s="2">
        <f t="shared" si="4"/>
        <v>172.2043339</v>
      </c>
      <c r="J64" s="2">
        <f>AVERAGEIFS(Dados!F:F,Dados!A:A, "=Colombia", Dados!G:G, "=0", Dados!E:E, D64)</f>
        <v>4478.2</v>
      </c>
      <c r="K64" s="2">
        <f t="shared" si="2"/>
        <v>4817.8</v>
      </c>
      <c r="L64" s="2">
        <f t="shared" si="3"/>
        <v>9.397680612</v>
      </c>
      <c r="M64" s="2">
        <f t="shared" si="5"/>
        <v>253.3506343</v>
      </c>
    </row>
    <row r="65">
      <c r="A65" s="2" t="str">
        <f>IFERROR(__xludf.DUMMYFUNCTION("""COMPUTED_VALUE"""),"Colombia")</f>
        <v>Colombia</v>
      </c>
      <c r="B65" s="3">
        <f>IFERROR(__xludf.DUMMYFUNCTION("""COMPUTED_VALUE"""),44347.0)</f>
        <v>44347</v>
      </c>
      <c r="C65" s="3">
        <f>IFERROR(__xludf.DUMMYFUNCTION("""COMPUTED_VALUE"""),44353.0)</f>
        <v>44353</v>
      </c>
      <c r="D65" s="2">
        <f>IFERROR(__xludf.DUMMYFUNCTION("""COMPUTED_VALUE"""),22.0)</f>
        <v>22</v>
      </c>
      <c r="E65" s="2">
        <f>IFERROR(__xludf.DUMMYFUNCTION("""COMPUTED_VALUE"""),9767.0)</f>
        <v>9767</v>
      </c>
      <c r="F65" s="2">
        <f>IFERROR(__xludf.DUMMYFUNCTION("""COMPUTED_VALUE"""),3679.0)</f>
        <v>3679</v>
      </c>
      <c r="G65" s="4">
        <f>VLOOKUP(A65, Populacao!A:B, 2, 0)</f>
        <v>51265841</v>
      </c>
      <c r="H65" s="2">
        <f t="shared" si="1"/>
        <v>7.176318438</v>
      </c>
      <c r="I65" s="2">
        <f t="shared" si="4"/>
        <v>179.3806523</v>
      </c>
      <c r="J65" s="2">
        <f>AVERAGEIFS(Dados!F:F,Dados!A:A, "=Colombia", Dados!G:G, "=0", Dados!E:E, D65)</f>
        <v>4485</v>
      </c>
      <c r="K65" s="2">
        <f t="shared" si="2"/>
        <v>5282</v>
      </c>
      <c r="L65" s="2">
        <f t="shared" si="3"/>
        <v>10.30315683</v>
      </c>
      <c r="M65" s="2">
        <f t="shared" si="5"/>
        <v>263.6537911</v>
      </c>
    </row>
    <row r="66">
      <c r="A66" s="2" t="str">
        <f>IFERROR(__xludf.DUMMYFUNCTION("""COMPUTED_VALUE"""),"Colombia")</f>
        <v>Colombia</v>
      </c>
      <c r="B66" s="3">
        <f>IFERROR(__xludf.DUMMYFUNCTION("""COMPUTED_VALUE"""),44354.0)</f>
        <v>44354</v>
      </c>
      <c r="C66" s="3">
        <f>IFERROR(__xludf.DUMMYFUNCTION("""COMPUTED_VALUE"""),44360.0)</f>
        <v>44360</v>
      </c>
      <c r="D66" s="2">
        <f>IFERROR(__xludf.DUMMYFUNCTION("""COMPUTED_VALUE"""),23.0)</f>
        <v>23</v>
      </c>
      <c r="E66" s="2">
        <f>IFERROR(__xludf.DUMMYFUNCTION("""COMPUTED_VALUE"""),10081.0)</f>
        <v>10081</v>
      </c>
      <c r="F66" s="2">
        <f>IFERROR(__xludf.DUMMYFUNCTION("""COMPUTED_VALUE"""),3817.0)</f>
        <v>3817</v>
      </c>
      <c r="G66" s="4">
        <f>VLOOKUP(A66, Populacao!A:B, 2, 0)</f>
        <v>51265841</v>
      </c>
      <c r="H66" s="2">
        <f t="shared" si="1"/>
        <v>7.445503527</v>
      </c>
      <c r="I66" s="2">
        <f t="shared" si="4"/>
        <v>186.8261558</v>
      </c>
      <c r="J66" s="2">
        <f>AVERAGEIFS(Dados!F:F,Dados!A:A, "=Colombia", Dados!G:G, "=0", Dados!E:E, D66)</f>
        <v>4542.6</v>
      </c>
      <c r="K66" s="2">
        <f t="shared" si="2"/>
        <v>5538.4</v>
      </c>
      <c r="L66" s="2">
        <f t="shared" si="3"/>
        <v>10.80329493</v>
      </c>
      <c r="M66" s="2">
        <f t="shared" si="5"/>
        <v>274.457086</v>
      </c>
    </row>
    <row r="67">
      <c r="A67" s="2" t="str">
        <f>IFERROR(__xludf.DUMMYFUNCTION("""COMPUTED_VALUE"""),"Colombia")</f>
        <v>Colombia</v>
      </c>
      <c r="B67" s="3">
        <f>IFERROR(__xludf.DUMMYFUNCTION("""COMPUTED_VALUE"""),44361.0)</f>
        <v>44361</v>
      </c>
      <c r="C67" s="3">
        <f>IFERROR(__xludf.DUMMYFUNCTION("""COMPUTED_VALUE"""),44367.0)</f>
        <v>44367</v>
      </c>
      <c r="D67" s="2">
        <f>IFERROR(__xludf.DUMMYFUNCTION("""COMPUTED_VALUE"""),24.0)</f>
        <v>24</v>
      </c>
      <c r="E67" s="2">
        <f>IFERROR(__xludf.DUMMYFUNCTION("""COMPUTED_VALUE"""),10451.0)</f>
        <v>10451</v>
      </c>
      <c r="F67" s="2">
        <f>IFERROR(__xludf.DUMMYFUNCTION("""COMPUTED_VALUE"""),4156.0)</f>
        <v>4156</v>
      </c>
      <c r="G67" s="4">
        <f>VLOOKUP(A67, Populacao!A:B, 2, 0)</f>
        <v>51265841</v>
      </c>
      <c r="H67" s="2">
        <f t="shared" si="1"/>
        <v>8.106762552</v>
      </c>
      <c r="I67" s="2">
        <f t="shared" si="4"/>
        <v>194.9329184</v>
      </c>
      <c r="J67" s="2">
        <f>AVERAGEIFS(Dados!F:F,Dados!A:A, "=Colombia", Dados!G:G, "=0", Dados!E:E, D67)</f>
        <v>4514.8</v>
      </c>
      <c r="K67" s="2">
        <f t="shared" si="2"/>
        <v>5936.2</v>
      </c>
      <c r="L67" s="2">
        <f t="shared" si="3"/>
        <v>11.57925021</v>
      </c>
      <c r="M67" s="2">
        <f t="shared" si="5"/>
        <v>286.0363362</v>
      </c>
    </row>
    <row r="68">
      <c r="A68" s="2" t="str">
        <f>IFERROR(__xludf.DUMMYFUNCTION("""COMPUTED_VALUE"""),"Colombia")</f>
        <v>Colombia</v>
      </c>
      <c r="B68" s="3">
        <f>IFERROR(__xludf.DUMMYFUNCTION("""COMPUTED_VALUE"""),44368.0)</f>
        <v>44368</v>
      </c>
      <c r="C68" s="3">
        <f>IFERROR(__xludf.DUMMYFUNCTION("""COMPUTED_VALUE"""),44374.0)</f>
        <v>44374</v>
      </c>
      <c r="D68" s="2">
        <f>IFERROR(__xludf.DUMMYFUNCTION("""COMPUTED_VALUE"""),25.0)</f>
        <v>25</v>
      </c>
      <c r="E68" s="2">
        <f>IFERROR(__xludf.DUMMYFUNCTION("""COMPUTED_VALUE"""),10456.0)</f>
        <v>10456</v>
      </c>
      <c r="F68" s="2">
        <f>IFERROR(__xludf.DUMMYFUNCTION("""COMPUTED_VALUE"""),4744.0)</f>
        <v>4744</v>
      </c>
      <c r="G68" s="4">
        <f>VLOOKUP(A68, Populacao!A:B, 2, 0)</f>
        <v>51265841</v>
      </c>
      <c r="H68" s="2">
        <f t="shared" si="1"/>
        <v>9.253725107</v>
      </c>
      <c r="I68" s="2">
        <f t="shared" si="4"/>
        <v>204.1866435</v>
      </c>
      <c r="J68" s="2">
        <f>AVERAGEIFS(Dados!F:F,Dados!A:A, "=Colombia", Dados!G:G, "=0", Dados!E:E, D68)</f>
        <v>4554.6</v>
      </c>
      <c r="K68" s="2">
        <f t="shared" si="2"/>
        <v>5901.4</v>
      </c>
      <c r="L68" s="2">
        <f t="shared" si="3"/>
        <v>11.51136875</v>
      </c>
      <c r="M68" s="2">
        <f t="shared" si="5"/>
        <v>297.547705</v>
      </c>
    </row>
    <row r="69">
      <c r="A69" s="2" t="str">
        <f>IFERROR(__xludf.DUMMYFUNCTION("""COMPUTED_VALUE"""),"Colombia")</f>
        <v>Colombia</v>
      </c>
      <c r="B69" s="3">
        <f>IFERROR(__xludf.DUMMYFUNCTION("""COMPUTED_VALUE"""),44375.0)</f>
        <v>44375</v>
      </c>
      <c r="C69" s="3">
        <f>IFERROR(__xludf.DUMMYFUNCTION("""COMPUTED_VALUE"""),44381.0)</f>
        <v>44381</v>
      </c>
      <c r="D69" s="2">
        <f>IFERROR(__xludf.DUMMYFUNCTION("""COMPUTED_VALUE"""),26.0)</f>
        <v>26</v>
      </c>
      <c r="E69" s="2">
        <f>IFERROR(__xludf.DUMMYFUNCTION("""COMPUTED_VALUE"""),10240.0)</f>
        <v>10240</v>
      </c>
      <c r="F69" s="2">
        <f>IFERROR(__xludf.DUMMYFUNCTION("""COMPUTED_VALUE"""),4218.0)</f>
        <v>4218</v>
      </c>
      <c r="G69" s="4">
        <f>VLOOKUP(A69, Populacao!A:B, 2, 0)</f>
        <v>51265841</v>
      </c>
      <c r="H69" s="2">
        <f t="shared" si="1"/>
        <v>8.22770078</v>
      </c>
      <c r="I69" s="2">
        <f t="shared" si="4"/>
        <v>212.4143443</v>
      </c>
      <c r="J69" s="2">
        <f>AVERAGEIFS(Dados!F:F,Dados!A:A, "=Colombia", Dados!G:G, "=0", Dados!E:E, D69)</f>
        <v>4592</v>
      </c>
      <c r="K69" s="2">
        <f t="shared" si="2"/>
        <v>5648</v>
      </c>
      <c r="L69" s="2">
        <f t="shared" si="3"/>
        <v>11.01708251</v>
      </c>
      <c r="M69" s="2">
        <f t="shared" si="5"/>
        <v>308.5647875</v>
      </c>
    </row>
    <row r="70">
      <c r="A70" s="2" t="str">
        <f>IFERROR(__xludf.DUMMYFUNCTION("""COMPUTED_VALUE"""),"Colombia")</f>
        <v>Colombia</v>
      </c>
      <c r="B70" s="3">
        <f>IFERROR(__xludf.DUMMYFUNCTION("""COMPUTED_VALUE"""),44382.0)</f>
        <v>44382</v>
      </c>
      <c r="C70" s="3">
        <f>IFERROR(__xludf.DUMMYFUNCTION("""COMPUTED_VALUE"""),44388.0)</f>
        <v>44388</v>
      </c>
      <c r="D70" s="2">
        <f>IFERROR(__xludf.DUMMYFUNCTION("""COMPUTED_VALUE"""),27.0)</f>
        <v>27</v>
      </c>
      <c r="E70" s="2">
        <f>IFERROR(__xludf.DUMMYFUNCTION("""COMPUTED_VALUE"""),9485.0)</f>
        <v>9485</v>
      </c>
      <c r="F70" s="2">
        <f>IFERROR(__xludf.DUMMYFUNCTION("""COMPUTED_VALUE"""),3930.0)</f>
        <v>3930</v>
      </c>
      <c r="G70" s="4">
        <f>VLOOKUP(A70, Populacao!A:B, 2, 0)</f>
        <v>51265841</v>
      </c>
      <c r="H70" s="2">
        <f t="shared" si="1"/>
        <v>7.665923202</v>
      </c>
      <c r="I70" s="2">
        <f t="shared" si="4"/>
        <v>220.0802675</v>
      </c>
      <c r="J70" s="2">
        <f>AVERAGEIFS(Dados!F:F,Dados!A:A, "=Colombia", Dados!G:G, "=0", Dados!E:E, D70)</f>
        <v>4567</v>
      </c>
      <c r="K70" s="2">
        <f t="shared" si="2"/>
        <v>4918</v>
      </c>
      <c r="L70" s="2">
        <f t="shared" si="3"/>
        <v>9.593132394</v>
      </c>
      <c r="M70" s="2">
        <f t="shared" si="5"/>
        <v>318.1579199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6.88"/>
    <col customWidth="1" min="3" max="3" width="15.63"/>
    <col customWidth="1" min="4" max="4" width="16.75"/>
  </cols>
  <sheetData>
    <row r="1" ht="48.0" customHeight="1">
      <c r="A1" s="15" t="s">
        <v>8</v>
      </c>
      <c r="B1" s="16" t="s">
        <v>9</v>
      </c>
      <c r="C1" s="17" t="s">
        <v>10</v>
      </c>
      <c r="D1" s="18" t="s">
        <v>11</v>
      </c>
    </row>
    <row r="2">
      <c r="A2" s="19" t="s">
        <v>12</v>
      </c>
      <c r="B2" s="20">
        <f>SUM(Mexico!H2:H83)</f>
        <v>213.2728891</v>
      </c>
      <c r="C2" s="20">
        <f>SUM(Mexico!L2:L83)</f>
        <v>523.2386387</v>
      </c>
      <c r="D2" s="20">
        <f t="shared" ref="D2:D6" si="1">C2-B2</f>
        <v>309.9657496</v>
      </c>
    </row>
    <row r="3">
      <c r="A3" s="19" t="s">
        <v>13</v>
      </c>
      <c r="B3" s="21">
        <f>SUM(Peru!H2:H89)</f>
        <v>600.8198885</v>
      </c>
      <c r="C3" s="20">
        <f>SUM(Peru!L2:L89)</f>
        <v>693.3609797</v>
      </c>
      <c r="D3" s="21">
        <f t="shared" si="1"/>
        <v>92.54109122</v>
      </c>
    </row>
    <row r="4">
      <c r="A4" s="19" t="s">
        <v>14</v>
      </c>
      <c r="B4" s="20">
        <f>SUM(Chile!H2:H85)</f>
        <v>196.0664701</v>
      </c>
      <c r="C4" s="20">
        <f>SUM(Chile!L2:L85)</f>
        <v>225.9300548</v>
      </c>
      <c r="D4" s="20">
        <f t="shared" si="1"/>
        <v>29.86358471</v>
      </c>
    </row>
    <row r="5">
      <c r="A5" s="22" t="s">
        <v>15</v>
      </c>
      <c r="B5" s="20">
        <f>SUM(Brasil!H2:H20)</f>
        <v>278.8632199</v>
      </c>
      <c r="C5" s="20">
        <f>SUM(Brasil!L2:L20)</f>
        <v>351.7417465</v>
      </c>
      <c r="D5" s="20">
        <f t="shared" si="1"/>
        <v>72.87852653</v>
      </c>
    </row>
    <row r="6">
      <c r="A6" s="19" t="s">
        <v>16</v>
      </c>
      <c r="B6" s="20">
        <f>SUM(Colombia!H2:H70)</f>
        <v>220.0802675</v>
      </c>
      <c r="C6" s="20">
        <f>SUM(Colombia!L2:L70)</f>
        <v>318.1579199</v>
      </c>
      <c r="D6" s="20">
        <f t="shared" si="1"/>
        <v>98.07765239</v>
      </c>
    </row>
    <row r="13">
      <c r="B13" s="4"/>
    </row>
    <row r="14">
      <c r="B14" s="4"/>
    </row>
    <row r="15">
      <c r="B15" s="4"/>
    </row>
    <row r="16">
      <c r="B16" s="4"/>
    </row>
    <row r="17">
      <c r="B17" s="4"/>
    </row>
    <row r="18">
      <c r="B18" s="4"/>
    </row>
    <row r="19">
      <c r="B19" s="4"/>
    </row>
    <row r="20" ht="60.0" customHeight="1">
      <c r="B20" s="23" t="s">
        <v>17</v>
      </c>
      <c r="H20" s="24" t="s">
        <v>18</v>
      </c>
      <c r="N20" s="25" t="s">
        <v>19</v>
      </c>
      <c r="T20" s="26" t="s">
        <v>20</v>
      </c>
      <c r="Y20" s="27" t="s">
        <v>21</v>
      </c>
    </row>
  </sheetData>
  <customSheetViews>
    <customSheetView guid="{77C78EA8-B01D-488C-9311-C9D60B294603}" filter="1" showAutoFilter="1">
      <autoFilter ref="$A$15:$B$20"/>
    </customSheetView>
  </customSheetViews>
  <drawing r:id="rId1"/>
</worksheet>
</file>