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ino\Desktop\"/>
    </mc:Choice>
  </mc:AlternateContent>
  <xr:revisionPtr revIDLastSave="0" documentId="13_ncr:1_{6B636513-E004-4670-9A5D-E564C0BB03CC}" xr6:coauthVersionLast="47" xr6:coauthVersionMax="47" xr10:uidLastSave="{00000000-0000-0000-0000-000000000000}"/>
  <bookViews>
    <workbookView xWindow="3072" yWindow="24" windowWidth="19056" windowHeight="13128" firstSheet="3" activeTab="3" xr2:uid="{5401784C-685A-4005-9D9F-BE08CE9A259E}"/>
  </bookViews>
  <sheets>
    <sheet name="Single" sheetId="2" r:id="rId1"/>
    <sheet name="Single_withBypass(HCM)" sheetId="3" r:id="rId2"/>
    <sheet name="MultiLane(HCM)" sheetId="6" r:id="rId3"/>
    <sheet name="2EntryLanes&amp;2CircularLane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7" i="7" l="1"/>
  <c r="E107" i="7"/>
  <c r="D107" i="7"/>
  <c r="C107" i="7"/>
  <c r="G43" i="7"/>
  <c r="F39" i="7"/>
  <c r="F56" i="7" s="1"/>
  <c r="E39" i="7"/>
  <c r="D39" i="7"/>
  <c r="C39" i="7"/>
  <c r="F38" i="7"/>
  <c r="F55" i="7" s="1"/>
  <c r="E38" i="7"/>
  <c r="E55" i="7" s="1"/>
  <c r="D38" i="7"/>
  <c r="D55" i="7" s="1"/>
  <c r="C38" i="7"/>
  <c r="C55" i="7" s="1"/>
  <c r="F37" i="7"/>
  <c r="F54" i="7" s="1"/>
  <c r="E37" i="7"/>
  <c r="D37" i="7"/>
  <c r="C37" i="7"/>
  <c r="F36" i="7"/>
  <c r="F53" i="7" s="1"/>
  <c r="E36" i="7"/>
  <c r="E53" i="7" s="1"/>
  <c r="D36" i="7"/>
  <c r="D53" i="7" s="1"/>
  <c r="C36" i="7"/>
  <c r="C53" i="7" s="1"/>
  <c r="F21" i="7"/>
  <c r="E21" i="7"/>
  <c r="D21" i="7"/>
  <c r="C21" i="7"/>
  <c r="G20" i="7"/>
  <c r="G19" i="7"/>
  <c r="G18" i="7"/>
  <c r="G17" i="7"/>
  <c r="F115" i="6"/>
  <c r="E115" i="6"/>
  <c r="D115" i="6"/>
  <c r="C115" i="6"/>
  <c r="F79" i="6"/>
  <c r="G45" i="6"/>
  <c r="G44" i="6"/>
  <c r="F40" i="6"/>
  <c r="E40" i="6"/>
  <c r="E58" i="6" s="1"/>
  <c r="D40" i="6"/>
  <c r="C40" i="6"/>
  <c r="G40" i="6" s="1"/>
  <c r="F39" i="6"/>
  <c r="F57" i="6" s="1"/>
  <c r="E39" i="6"/>
  <c r="E57" i="6" s="1"/>
  <c r="D39" i="6"/>
  <c r="D57" i="6" s="1"/>
  <c r="C39" i="6"/>
  <c r="C57" i="6" s="1"/>
  <c r="F38" i="6"/>
  <c r="E38" i="6"/>
  <c r="D38" i="6"/>
  <c r="C38" i="6"/>
  <c r="G38" i="6" s="1"/>
  <c r="F37" i="6"/>
  <c r="F55" i="6" s="1"/>
  <c r="E37" i="6"/>
  <c r="E55" i="6" s="1"/>
  <c r="D37" i="6"/>
  <c r="D55" i="6" s="1"/>
  <c r="C37" i="6"/>
  <c r="C55" i="6" s="1"/>
  <c r="F22" i="6"/>
  <c r="E22" i="6"/>
  <c r="D22" i="6"/>
  <c r="C22" i="6"/>
  <c r="G21" i="6"/>
  <c r="G20" i="6"/>
  <c r="G19" i="6"/>
  <c r="G18" i="6"/>
  <c r="G22" i="6" l="1"/>
  <c r="C179" i="6"/>
  <c r="C85" i="6"/>
  <c r="E179" i="6"/>
  <c r="E85" i="6"/>
  <c r="F58" i="6"/>
  <c r="C168" i="7"/>
  <c r="E168" i="7"/>
  <c r="C54" i="7"/>
  <c r="E56" i="7"/>
  <c r="F40" i="7"/>
  <c r="D54" i="7"/>
  <c r="D56" i="7"/>
  <c r="E40" i="7"/>
  <c r="D40" i="7"/>
  <c r="G21" i="7"/>
  <c r="G38" i="7"/>
  <c r="G39" i="7"/>
  <c r="C40" i="7"/>
  <c r="G37" i="7"/>
  <c r="E54" i="7"/>
  <c r="C56" i="7"/>
  <c r="G36" i="7"/>
  <c r="G37" i="6"/>
  <c r="F41" i="6"/>
  <c r="D58" i="6"/>
  <c r="E56" i="6"/>
  <c r="C71" i="6" s="1"/>
  <c r="F56" i="6"/>
  <c r="F71" i="6" s="1"/>
  <c r="D56" i="6"/>
  <c r="D71" i="6" s="1"/>
  <c r="C41" i="6"/>
  <c r="C70" i="6"/>
  <c r="E59" i="6"/>
  <c r="E131" i="6"/>
  <c r="F70" i="6"/>
  <c r="G55" i="6"/>
  <c r="C78" i="6"/>
  <c r="C83" i="6" s="1"/>
  <c r="D41" i="6"/>
  <c r="G39" i="6"/>
  <c r="E41" i="6"/>
  <c r="C56" i="6"/>
  <c r="G57" i="6"/>
  <c r="C58" i="6"/>
  <c r="F179" i="6" s="1"/>
  <c r="E176" i="3"/>
  <c r="F176" i="3"/>
  <c r="C176" i="3"/>
  <c r="F118" i="3"/>
  <c r="E118" i="3"/>
  <c r="F140" i="3"/>
  <c r="E140" i="3"/>
  <c r="C140" i="3"/>
  <c r="F154" i="3"/>
  <c r="E154" i="3"/>
  <c r="C154" i="3"/>
  <c r="E129" i="3"/>
  <c r="F129" i="3"/>
  <c r="C129" i="3"/>
  <c r="C88" i="3"/>
  <c r="F88" i="3"/>
  <c r="E88" i="3"/>
  <c r="C37" i="2"/>
  <c r="F102" i="3"/>
  <c r="E102" i="3"/>
  <c r="D102" i="3"/>
  <c r="C102" i="3"/>
  <c r="G45" i="3"/>
  <c r="F41" i="3"/>
  <c r="E41" i="3"/>
  <c r="D41" i="3"/>
  <c r="C41" i="3"/>
  <c r="F40" i="3"/>
  <c r="E40" i="3"/>
  <c r="D40" i="3"/>
  <c r="C40" i="3"/>
  <c r="F39" i="3"/>
  <c r="E39" i="3"/>
  <c r="D39" i="3"/>
  <c r="C39" i="3"/>
  <c r="F38" i="3"/>
  <c r="E38" i="3"/>
  <c r="D38" i="3"/>
  <c r="C38" i="3"/>
  <c r="F23" i="3"/>
  <c r="E23" i="3"/>
  <c r="D23" i="3"/>
  <c r="C23" i="3"/>
  <c r="G22" i="3"/>
  <c r="G21" i="3"/>
  <c r="G20" i="3"/>
  <c r="G19" i="3"/>
  <c r="G43" i="2"/>
  <c r="D97" i="2"/>
  <c r="E97" i="2"/>
  <c r="F97" i="2"/>
  <c r="C97" i="2"/>
  <c r="C54" i="2" l="1"/>
  <c r="D179" i="6"/>
  <c r="D85" i="6"/>
  <c r="E71" i="6"/>
  <c r="D59" i="6"/>
  <c r="F168" i="7"/>
  <c r="D168" i="7"/>
  <c r="D76" i="7"/>
  <c r="D77" i="7" s="1"/>
  <c r="D82" i="7" s="1"/>
  <c r="D122" i="7" s="1"/>
  <c r="E76" i="7"/>
  <c r="E77" i="7" s="1"/>
  <c r="E82" i="7" s="1"/>
  <c r="E122" i="7" s="1"/>
  <c r="F76" i="7"/>
  <c r="F77" i="7" s="1"/>
  <c r="G40" i="7"/>
  <c r="G55" i="7"/>
  <c r="C76" i="7"/>
  <c r="F69" i="7"/>
  <c r="F57" i="7"/>
  <c r="E68" i="7"/>
  <c r="C57" i="7"/>
  <c r="D68" i="7"/>
  <c r="F68" i="7"/>
  <c r="G53" i="7"/>
  <c r="E69" i="7"/>
  <c r="C68" i="7"/>
  <c r="C69" i="7"/>
  <c r="G56" i="7"/>
  <c r="D57" i="7"/>
  <c r="D69" i="7"/>
  <c r="G54" i="7"/>
  <c r="E57" i="7"/>
  <c r="F59" i="6"/>
  <c r="G41" i="6"/>
  <c r="F100" i="6"/>
  <c r="F133" i="6" s="1"/>
  <c r="F99" i="6"/>
  <c r="F132" i="6" s="1"/>
  <c r="F101" i="6"/>
  <c r="F83" i="6"/>
  <c r="G58" i="6"/>
  <c r="D70" i="6"/>
  <c r="G56" i="6"/>
  <c r="C129" i="6"/>
  <c r="C79" i="6"/>
  <c r="C84" i="6" s="1"/>
  <c r="C130" i="6" s="1"/>
  <c r="D78" i="6"/>
  <c r="E70" i="6"/>
  <c r="E101" i="6" s="1"/>
  <c r="E134" i="6" s="1"/>
  <c r="E145" i="6" s="1"/>
  <c r="E193" i="6" s="1"/>
  <c r="C59" i="6"/>
  <c r="G59" i="6" s="1"/>
  <c r="C99" i="6"/>
  <c r="C132" i="6" s="1"/>
  <c r="C101" i="6"/>
  <c r="C100" i="6"/>
  <c r="C133" i="6" s="1"/>
  <c r="E119" i="3"/>
  <c r="F119" i="3"/>
  <c r="D58" i="3"/>
  <c r="E56" i="3"/>
  <c r="E58" i="3"/>
  <c r="F56" i="3"/>
  <c r="D55" i="3"/>
  <c r="G40" i="3"/>
  <c r="G39" i="3"/>
  <c r="C55" i="3"/>
  <c r="F58" i="3"/>
  <c r="E42" i="3"/>
  <c r="D57" i="3"/>
  <c r="F42" i="3"/>
  <c r="E57" i="3"/>
  <c r="G23" i="3"/>
  <c r="C56" i="3"/>
  <c r="F57" i="3"/>
  <c r="D56" i="3"/>
  <c r="G41" i="3"/>
  <c r="G38" i="3"/>
  <c r="C42" i="3"/>
  <c r="E55" i="3"/>
  <c r="C57" i="3"/>
  <c r="D42" i="3"/>
  <c r="F55" i="3"/>
  <c r="C118" i="3" s="1"/>
  <c r="C58" i="3"/>
  <c r="F39" i="2"/>
  <c r="F56" i="2" s="1"/>
  <c r="E39" i="2"/>
  <c r="E56" i="2" s="1"/>
  <c r="D39" i="2"/>
  <c r="D56" i="2" s="1"/>
  <c r="C39" i="2"/>
  <c r="C56" i="2" s="1"/>
  <c r="F37" i="2"/>
  <c r="F54" i="2" s="1"/>
  <c r="E37" i="2"/>
  <c r="E54" i="2" s="1"/>
  <c r="D37" i="2"/>
  <c r="D54" i="2" s="1"/>
  <c r="F38" i="2"/>
  <c r="F55" i="2" s="1"/>
  <c r="E38" i="2"/>
  <c r="E55" i="2" s="1"/>
  <c r="C38" i="2"/>
  <c r="C55" i="2" s="1"/>
  <c r="D38" i="2"/>
  <c r="D55" i="2" s="1"/>
  <c r="F36" i="2"/>
  <c r="F53" i="2" s="1"/>
  <c r="D68" i="2" s="1"/>
  <c r="E36" i="2"/>
  <c r="E53" i="2" s="1"/>
  <c r="D36" i="2"/>
  <c r="D53" i="2" s="1"/>
  <c r="C36" i="2"/>
  <c r="C53" i="2" s="1"/>
  <c r="C93" i="7" l="1"/>
  <c r="C92" i="7"/>
  <c r="F93" i="7"/>
  <c r="F92" i="7"/>
  <c r="D93" i="7"/>
  <c r="D92" i="7"/>
  <c r="E93" i="7"/>
  <c r="E92" i="7"/>
  <c r="F68" i="2"/>
  <c r="C68" i="2"/>
  <c r="C75" i="2"/>
  <c r="E68" i="2"/>
  <c r="D75" i="2"/>
  <c r="D110" i="2" s="1"/>
  <c r="D150" i="2" s="1"/>
  <c r="C67" i="2"/>
  <c r="D81" i="7"/>
  <c r="D121" i="7" s="1"/>
  <c r="E81" i="7"/>
  <c r="E121" i="7" s="1"/>
  <c r="F81" i="7"/>
  <c r="C123" i="7"/>
  <c r="C124" i="7"/>
  <c r="E123" i="7"/>
  <c r="E124" i="7"/>
  <c r="F123" i="7"/>
  <c r="F124" i="7"/>
  <c r="C77" i="7"/>
  <c r="C82" i="7" s="1"/>
  <c r="C122" i="7" s="1"/>
  <c r="C81" i="7"/>
  <c r="C121" i="7" s="1"/>
  <c r="D124" i="7"/>
  <c r="D134" i="7" s="1"/>
  <c r="D181" i="7" s="1"/>
  <c r="D123" i="7"/>
  <c r="F82" i="7"/>
  <c r="F121" i="7"/>
  <c r="G57" i="7"/>
  <c r="D99" i="6"/>
  <c r="D132" i="6" s="1"/>
  <c r="D101" i="6"/>
  <c r="D100" i="6"/>
  <c r="D133" i="6" s="1"/>
  <c r="D79" i="6"/>
  <c r="D84" i="6" s="1"/>
  <c r="D130" i="6" s="1"/>
  <c r="D83" i="6"/>
  <c r="D129" i="6" s="1"/>
  <c r="C144" i="6"/>
  <c r="C192" i="6" s="1"/>
  <c r="E157" i="6"/>
  <c r="C143" i="6"/>
  <c r="C191" i="6" s="1"/>
  <c r="F129" i="6"/>
  <c r="F84" i="6"/>
  <c r="F78" i="3"/>
  <c r="C78" i="3"/>
  <c r="C163" i="3"/>
  <c r="D78" i="3"/>
  <c r="D116" i="3" s="1"/>
  <c r="D118" i="3"/>
  <c r="D163" i="3"/>
  <c r="E78" i="3"/>
  <c r="E116" i="3" s="1"/>
  <c r="E163" i="3" s="1"/>
  <c r="E71" i="3"/>
  <c r="D88" i="3" s="1"/>
  <c r="D119" i="3" s="1"/>
  <c r="C71" i="3"/>
  <c r="C116" i="3"/>
  <c r="C70" i="3"/>
  <c r="C87" i="3" s="1"/>
  <c r="C117" i="3" s="1"/>
  <c r="D59" i="3"/>
  <c r="F59" i="3"/>
  <c r="F71" i="3"/>
  <c r="D70" i="3"/>
  <c r="D87" i="3" s="1"/>
  <c r="D117" i="3" s="1"/>
  <c r="F70" i="3"/>
  <c r="F87" i="3" s="1"/>
  <c r="F117" i="3" s="1"/>
  <c r="E70" i="3"/>
  <c r="E87" i="3" s="1"/>
  <c r="E117" i="3" s="1"/>
  <c r="D71" i="3"/>
  <c r="C119" i="3" s="1"/>
  <c r="G56" i="3"/>
  <c r="E59" i="3"/>
  <c r="C59" i="3"/>
  <c r="F116" i="3"/>
  <c r="F163" i="3" s="1"/>
  <c r="G58" i="3"/>
  <c r="G57" i="3"/>
  <c r="G55" i="3"/>
  <c r="G42" i="3"/>
  <c r="F75" i="2"/>
  <c r="F110" i="2" s="1"/>
  <c r="F150" i="2" s="1"/>
  <c r="E75" i="2"/>
  <c r="E110" i="2" s="1"/>
  <c r="D67" i="2"/>
  <c r="D83" i="2" s="1"/>
  <c r="D111" i="2" s="1"/>
  <c r="C110" i="2"/>
  <c r="C150" i="2" s="1"/>
  <c r="G56" i="2"/>
  <c r="E67" i="2"/>
  <c r="F57" i="2"/>
  <c r="F67" i="2"/>
  <c r="G54" i="2"/>
  <c r="E57" i="2"/>
  <c r="D57" i="2"/>
  <c r="G55" i="2"/>
  <c r="C57" i="2"/>
  <c r="G53" i="2"/>
  <c r="G19" i="2"/>
  <c r="G18" i="2"/>
  <c r="C21" i="2"/>
  <c r="G17" i="2"/>
  <c r="G20" i="2"/>
  <c r="E21" i="2"/>
  <c r="D21" i="2"/>
  <c r="F21" i="2"/>
  <c r="E150" i="2" l="1"/>
  <c r="D133" i="7"/>
  <c r="D180" i="7" s="1"/>
  <c r="E134" i="7"/>
  <c r="E133" i="7"/>
  <c r="C134" i="7"/>
  <c r="C181" i="7" s="1"/>
  <c r="F133" i="7"/>
  <c r="F180" i="7" s="1"/>
  <c r="F122" i="7"/>
  <c r="F134" i="7" s="1"/>
  <c r="F181" i="7" s="1"/>
  <c r="C145" i="7"/>
  <c r="D145" i="7"/>
  <c r="C133" i="7"/>
  <c r="C180" i="7" s="1"/>
  <c r="D144" i="6"/>
  <c r="D192" i="6" s="1"/>
  <c r="C156" i="6"/>
  <c r="C155" i="6"/>
  <c r="F85" i="6"/>
  <c r="F130" i="6"/>
  <c r="F144" i="6" s="1"/>
  <c r="D143" i="6"/>
  <c r="D191" i="6" s="1"/>
  <c r="D156" i="6"/>
  <c r="F143" i="6"/>
  <c r="E180" i="6"/>
  <c r="E170" i="6"/>
  <c r="D129" i="3"/>
  <c r="D128" i="3"/>
  <c r="D175" i="3" s="1"/>
  <c r="C128" i="3"/>
  <c r="C175" i="3" s="1"/>
  <c r="G59" i="3"/>
  <c r="E128" i="3"/>
  <c r="E175" i="3" s="1"/>
  <c r="F128" i="3"/>
  <c r="F175" i="3" s="1"/>
  <c r="E83" i="2"/>
  <c r="F83" i="2"/>
  <c r="F111" i="2" s="1"/>
  <c r="C83" i="2"/>
  <c r="C111" i="2" s="1"/>
  <c r="G57" i="2"/>
  <c r="E40" i="2"/>
  <c r="G21" i="2"/>
  <c r="D140" i="3" l="1"/>
  <c r="D154" i="3" s="1"/>
  <c r="D176" i="3"/>
  <c r="D144" i="7"/>
  <c r="E144" i="7"/>
  <c r="E180" i="7"/>
  <c r="E145" i="7"/>
  <c r="E181" i="7"/>
  <c r="D146" i="7"/>
  <c r="D169" i="7" s="1"/>
  <c r="F145" i="7"/>
  <c r="F144" i="7"/>
  <c r="C144" i="7"/>
  <c r="D155" i="6"/>
  <c r="D157" i="6" s="1"/>
  <c r="D180" i="6" s="1"/>
  <c r="F191" i="6"/>
  <c r="F155" i="6"/>
  <c r="F192" i="6"/>
  <c r="F156" i="6"/>
  <c r="C157" i="6"/>
  <c r="C139" i="3"/>
  <c r="D139" i="3"/>
  <c r="D164" i="3" s="1"/>
  <c r="F139" i="3"/>
  <c r="E139" i="3"/>
  <c r="E164" i="3" s="1"/>
  <c r="E111" i="2"/>
  <c r="E119" i="2" s="1"/>
  <c r="D40" i="2"/>
  <c r="G37" i="2"/>
  <c r="F146" i="7" l="1"/>
  <c r="F169" i="7" s="1"/>
  <c r="E146" i="7"/>
  <c r="C146" i="7"/>
  <c r="C159" i="7" s="1"/>
  <c r="D159" i="7"/>
  <c r="D170" i="6"/>
  <c r="C180" i="6"/>
  <c r="C170" i="6"/>
  <c r="F157" i="6"/>
  <c r="F153" i="3"/>
  <c r="F164" i="3"/>
  <c r="E161" i="3"/>
  <c r="C164" i="3"/>
  <c r="C165" i="3" s="1"/>
  <c r="D153" i="3"/>
  <c r="C153" i="3"/>
  <c r="E153" i="3"/>
  <c r="E162" i="2"/>
  <c r="D119" i="2"/>
  <c r="D162" i="2" s="1"/>
  <c r="C119" i="2"/>
  <c r="F119" i="2"/>
  <c r="F162" i="2" s="1"/>
  <c r="G39" i="2"/>
  <c r="C40" i="2"/>
  <c r="F40" i="2"/>
  <c r="G36" i="2"/>
  <c r="G38" i="2"/>
  <c r="F159" i="7" l="1"/>
  <c r="E159" i="7"/>
  <c r="E169" i="7"/>
  <c r="C169" i="7"/>
  <c r="C170" i="7" s="1"/>
  <c r="F180" i="6"/>
  <c r="C181" i="6" s="1"/>
  <c r="F170" i="6"/>
  <c r="F128" i="2"/>
  <c r="F141" i="2" s="1"/>
  <c r="E128" i="2"/>
  <c r="E141" i="2" s="1"/>
  <c r="D128" i="2"/>
  <c r="D141" i="2" s="1"/>
  <c r="C128" i="2"/>
  <c r="C151" i="2" s="1"/>
  <c r="C162" i="2"/>
  <c r="G40" i="2"/>
  <c r="F151" i="2" l="1"/>
  <c r="E151" i="2"/>
  <c r="D151" i="2"/>
  <c r="C141" i="2"/>
  <c r="C152" i="2" l="1"/>
</calcChain>
</file>

<file path=xl/sharedStrings.xml><?xml version="1.0" encoding="utf-8"?>
<sst xmlns="http://schemas.openxmlformats.org/spreadsheetml/2006/main" count="912" uniqueCount="184">
  <si>
    <t>Calculation for Capacity of Roundabout</t>
    <phoneticPr fontId="1"/>
  </si>
  <si>
    <t>Step 0. Description of The Roundabout</t>
    <phoneticPr fontId="5"/>
  </si>
  <si>
    <r>
      <rPr>
        <sz val="10"/>
        <color theme="1"/>
        <rFont val="ＭＳ Ｐ明朝"/>
        <family val="1"/>
        <charset val="128"/>
      </rPr>
      <t>・</t>
    </r>
    <r>
      <rPr>
        <sz val="10"/>
        <color theme="1"/>
        <rFont val="Times New Roman"/>
        <family val="1"/>
      </rPr>
      <t>Number of Approach</t>
    </r>
    <phoneticPr fontId="1"/>
  </si>
  <si>
    <r>
      <rPr>
        <sz val="10"/>
        <color theme="1"/>
        <rFont val="ＭＳ Ｐ明朝"/>
        <family val="1"/>
        <charset val="128"/>
      </rPr>
      <t>・</t>
    </r>
    <r>
      <rPr>
        <sz val="10"/>
        <color theme="1"/>
        <rFont val="Times New Roman"/>
        <family val="1"/>
      </rPr>
      <t>Lane Width and Number of Lane for one Direction</t>
    </r>
    <phoneticPr fontId="1"/>
  </si>
  <si>
    <t>A
(SB)</t>
    <phoneticPr fontId="1"/>
  </si>
  <si>
    <t>B
(WB)</t>
    <phoneticPr fontId="1"/>
  </si>
  <si>
    <t>C
(NB)</t>
    <phoneticPr fontId="1"/>
  </si>
  <si>
    <t>D
(EB)</t>
    <phoneticPr fontId="1"/>
  </si>
  <si>
    <t>Number of Entry Lane</t>
    <phoneticPr fontId="1"/>
  </si>
  <si>
    <t>Number of Circulating Lane</t>
    <phoneticPr fontId="1"/>
  </si>
  <si>
    <r>
      <rPr>
        <sz val="10"/>
        <color theme="1"/>
        <rFont val="ＭＳ Ｐ明朝"/>
        <family val="1"/>
        <charset val="128"/>
      </rPr>
      <t>・</t>
    </r>
    <r>
      <rPr>
        <sz val="10"/>
        <color theme="1"/>
        <rFont val="Times New Roman"/>
        <family val="1"/>
      </rPr>
      <t>Peak hour factor (PHF)</t>
    </r>
    <phoneticPr fontId="1"/>
  </si>
  <si>
    <r>
      <rPr>
        <sz val="10"/>
        <color theme="1"/>
        <rFont val="ＭＳ Ｐ明朝"/>
        <family val="1"/>
        <charset val="128"/>
      </rPr>
      <t>・</t>
    </r>
    <r>
      <rPr>
        <sz val="10"/>
        <color theme="1"/>
        <rFont val="Times New Roman"/>
        <family val="1"/>
        <charset val="128"/>
      </rPr>
      <t>Proportion of demand volume that consists of heavy vehicles (P</t>
    </r>
    <r>
      <rPr>
        <vertAlign val="subscript"/>
        <sz val="10"/>
        <color theme="1"/>
        <rFont val="Times New Roman"/>
        <family val="1"/>
      </rPr>
      <t>T</t>
    </r>
    <r>
      <rPr>
        <sz val="10"/>
        <color theme="1"/>
        <rFont val="Times New Roman"/>
        <family val="1"/>
        <charset val="128"/>
      </rPr>
      <t>)</t>
    </r>
    <phoneticPr fontId="1"/>
  </si>
  <si>
    <r>
      <rPr>
        <sz val="10"/>
        <color theme="1"/>
        <rFont val="ＭＳ Ｐ明朝"/>
        <family val="1"/>
        <charset val="128"/>
      </rPr>
      <t>・</t>
    </r>
    <r>
      <rPr>
        <sz val="10"/>
        <color theme="1"/>
        <rFont val="Times New Roman"/>
        <family val="1"/>
        <charset val="128"/>
      </rPr>
      <t>Passenger car equivalent for heavy vehicles (E</t>
    </r>
    <r>
      <rPr>
        <vertAlign val="subscript"/>
        <sz val="10"/>
        <color theme="1"/>
        <rFont val="Times New Roman"/>
        <family val="1"/>
      </rPr>
      <t>T</t>
    </r>
    <r>
      <rPr>
        <sz val="10"/>
        <color theme="1"/>
        <rFont val="Times New Roman"/>
        <family val="1"/>
        <charset val="128"/>
      </rPr>
      <t>)</t>
    </r>
    <phoneticPr fontId="1"/>
  </si>
  <si>
    <r>
      <rPr>
        <sz val="10"/>
        <color theme="1"/>
        <rFont val="ＭＳ Ｐ明朝"/>
        <family val="1"/>
        <charset val="128"/>
      </rPr>
      <t>・</t>
    </r>
    <r>
      <rPr>
        <sz val="10"/>
        <color theme="1"/>
        <rFont val="Times New Roman"/>
        <family val="1"/>
      </rPr>
      <t>Peak hour traffic volume (V</t>
    </r>
    <r>
      <rPr>
        <vertAlign val="subscript"/>
        <sz val="10"/>
        <color theme="1"/>
        <rFont val="Times New Roman"/>
        <family val="1"/>
      </rPr>
      <t>i</t>
    </r>
    <r>
      <rPr>
        <sz val="10"/>
        <color theme="1"/>
        <rFont val="Times New Roman"/>
        <family val="1"/>
      </rPr>
      <t>)</t>
    </r>
    <phoneticPr fontId="1"/>
  </si>
  <si>
    <t>(veh/h)</t>
    <phoneticPr fontId="1"/>
  </si>
  <si>
    <t>Out Going</t>
    <phoneticPr fontId="1"/>
  </si>
  <si>
    <t>SB</t>
    <phoneticPr fontId="1"/>
  </si>
  <si>
    <t>WB</t>
    <phoneticPr fontId="1"/>
  </si>
  <si>
    <t>NB</t>
    <phoneticPr fontId="1"/>
  </si>
  <si>
    <t>EB</t>
    <phoneticPr fontId="1"/>
  </si>
  <si>
    <t>Total</t>
    <phoneticPr fontId="1"/>
  </si>
  <si>
    <t>In Coming</t>
    <phoneticPr fontId="1"/>
  </si>
  <si>
    <r>
      <rPr>
        <sz val="10"/>
        <color theme="1"/>
        <rFont val="ＭＳ Ｐ明朝"/>
        <family val="1"/>
        <charset val="128"/>
      </rPr>
      <t>・</t>
    </r>
    <r>
      <rPr>
        <sz val="10"/>
        <color theme="1"/>
        <rFont val="Times New Roman"/>
        <family val="1"/>
        <charset val="128"/>
      </rPr>
      <t>Number of road crossing pedestrian</t>
    </r>
    <phoneticPr fontId="1"/>
  </si>
  <si>
    <t>(person/h)</t>
    <phoneticPr fontId="1"/>
  </si>
  <si>
    <t>Number of pedestrian</t>
    <phoneticPr fontId="1"/>
  </si>
  <si>
    <t>Step 1. Convert movement demand volume to flow rates</t>
    <phoneticPr fontId="5"/>
  </si>
  <si>
    <r>
      <t>v</t>
    </r>
    <r>
      <rPr>
        <vertAlign val="subscript"/>
        <sz val="10"/>
        <color theme="1"/>
        <rFont val="Times New Roman"/>
        <family val="1"/>
      </rPr>
      <t>i</t>
    </r>
    <r>
      <rPr>
        <sz val="10"/>
        <color theme="1"/>
        <rFont val="Times New Roman"/>
        <family val="1"/>
      </rPr>
      <t xml:space="preserve"> = V</t>
    </r>
    <r>
      <rPr>
        <vertAlign val="subscript"/>
        <sz val="10"/>
        <color theme="1"/>
        <rFont val="Times New Roman"/>
        <family val="1"/>
      </rPr>
      <t>i</t>
    </r>
    <r>
      <rPr>
        <sz val="10"/>
        <color theme="1"/>
        <rFont val="Times New Roman"/>
        <family val="1"/>
      </rPr>
      <t xml:space="preserve"> / PHF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</si>
  <si>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i</t>
    </r>
    <r>
      <rPr>
        <sz val="10"/>
        <color theme="1"/>
        <rFont val="Times New Roman"/>
        <family val="1"/>
      </rPr>
      <t xml:space="preserve"> : demand flow rate for movement i (veh/h)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</si>
  <si>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i</t>
    </r>
    <r>
      <rPr>
        <sz val="10"/>
        <color theme="1"/>
        <rFont val="Times New Roman"/>
        <family val="1"/>
      </rPr>
      <t xml:space="preserve"> : demand volume for movement i (veh/h)</t>
    </r>
    <phoneticPr fontId="1"/>
  </si>
  <si>
    <t>PHF : peak hour factor</t>
    <phoneticPr fontId="1"/>
  </si>
  <si>
    <t xml:space="preserve">Step 2. Adjust flow rates for heavy vehicles
</t>
    <phoneticPr fontId="5"/>
  </si>
  <si>
    <t xml:space="preserve"> </t>
    <phoneticPr fontId="1"/>
  </si>
  <si>
    <r>
      <t>f</t>
    </r>
    <r>
      <rPr>
        <vertAlign val="subscript"/>
        <sz val="10"/>
        <color theme="1"/>
        <rFont val="Times New Roman"/>
        <family val="1"/>
      </rPr>
      <t>HV</t>
    </r>
    <r>
      <rPr>
        <sz val="10"/>
        <color theme="1"/>
        <rFont val="Times New Roman"/>
        <family val="1"/>
      </rPr>
      <t xml:space="preserve"> = 1 / (1 + P</t>
    </r>
    <r>
      <rPr>
        <vertAlign val="subscript"/>
        <sz val="10"/>
        <color theme="1"/>
        <rFont val="Times New Roman"/>
        <family val="1"/>
      </rPr>
      <t>T</t>
    </r>
    <r>
      <rPr>
        <sz val="10"/>
        <color theme="1"/>
        <rFont val="Times New Roman"/>
        <family val="1"/>
      </rPr>
      <t xml:space="preserve"> (E</t>
    </r>
    <r>
      <rPr>
        <vertAlign val="subscript"/>
        <sz val="10"/>
        <color theme="1"/>
        <rFont val="Times New Roman"/>
        <family val="1"/>
      </rPr>
      <t>T</t>
    </r>
    <r>
      <rPr>
        <sz val="10"/>
        <color theme="1"/>
        <rFont val="Times New Roman"/>
        <family val="1"/>
      </rPr>
      <t xml:space="preserve"> - 1)) = 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</si>
  <si>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i, pce</t>
    </r>
    <r>
      <rPr>
        <sz val="10"/>
        <color theme="1"/>
        <rFont val="Times New Roman"/>
        <family val="1"/>
      </rPr>
      <t xml:space="preserve"> = v</t>
    </r>
    <r>
      <rPr>
        <vertAlign val="subscript"/>
        <sz val="10"/>
        <color theme="1"/>
        <rFont val="Times New Roman"/>
        <family val="1"/>
      </rPr>
      <t>i</t>
    </r>
    <r>
      <rPr>
        <sz val="10"/>
        <color theme="1"/>
        <rFont val="Times New Roman"/>
        <family val="1"/>
      </rPr>
      <t xml:space="preserve"> / f</t>
    </r>
    <r>
      <rPr>
        <vertAlign val="subscript"/>
        <sz val="10"/>
        <color theme="1"/>
        <rFont val="Times New Roman"/>
        <family val="1"/>
      </rPr>
      <t>HV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</si>
  <si>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i, pce</t>
    </r>
    <r>
      <rPr>
        <sz val="10"/>
        <color theme="1"/>
        <rFont val="Times New Roman"/>
        <family val="1"/>
      </rPr>
      <t xml:space="preserve"> : demand flow rate for movement i (pcu/h)</t>
    </r>
    <phoneticPr fontId="1"/>
  </si>
  <si>
    <r>
      <t>f</t>
    </r>
    <r>
      <rPr>
        <vertAlign val="subscript"/>
        <sz val="10"/>
        <color theme="1"/>
        <rFont val="Times New Roman"/>
        <family val="1"/>
      </rPr>
      <t>HV</t>
    </r>
    <r>
      <rPr>
        <sz val="10"/>
        <color theme="1"/>
        <rFont val="Times New Roman"/>
        <family val="1"/>
      </rPr>
      <t xml:space="preserve"> : heavy-vehicle adjustment factor</t>
    </r>
    <phoneticPr fontId="1"/>
  </si>
  <si>
    <r>
      <t>P</t>
    </r>
    <r>
      <rPr>
        <vertAlign val="subscript"/>
        <sz val="10"/>
        <color theme="1"/>
        <rFont val="Times New Roman"/>
        <family val="1"/>
      </rPr>
      <t>T</t>
    </r>
    <r>
      <rPr>
        <sz val="10"/>
        <color theme="1"/>
        <rFont val="Times New Roman"/>
        <family val="1"/>
      </rPr>
      <t xml:space="preserve"> : proportion of demand volume that consists of heavy vehicles</t>
    </r>
    <phoneticPr fontId="1"/>
  </si>
  <si>
    <r>
      <t>E</t>
    </r>
    <r>
      <rPr>
        <vertAlign val="subscript"/>
        <sz val="10"/>
        <color theme="1"/>
        <rFont val="Times New Roman"/>
        <family val="1"/>
      </rPr>
      <t>T</t>
    </r>
    <r>
      <rPr>
        <sz val="10"/>
        <color theme="1"/>
        <rFont val="Times New Roman"/>
        <family val="1"/>
      </rPr>
      <t xml:space="preserve"> : passenger car equivalent for heavy vehicles</t>
    </r>
    <phoneticPr fontId="1"/>
  </si>
  <si>
    <t>(pcu/h)</t>
    <phoneticPr fontId="1"/>
  </si>
  <si>
    <t xml:space="preserve">Step 3. Determine circulating and existing flow rates
</t>
    <phoneticPr fontId="5"/>
  </si>
  <si>
    <r>
      <t>v</t>
    </r>
    <r>
      <rPr>
        <vertAlign val="subscript"/>
        <sz val="10"/>
        <color theme="1"/>
        <rFont val="Times New Roman"/>
        <family val="1"/>
      </rPr>
      <t>c, SB,pce</t>
    </r>
    <r>
      <rPr>
        <sz val="10"/>
        <color theme="1"/>
        <rFont val="Times New Roman"/>
        <family val="1"/>
      </rPr>
      <t xml:space="preserve"> = v</t>
    </r>
    <r>
      <rPr>
        <vertAlign val="subscript"/>
        <sz val="10"/>
        <color theme="1"/>
        <rFont val="Times New Roman"/>
        <family val="1"/>
      </rPr>
      <t>EBU,pce</t>
    </r>
    <r>
      <rPr>
        <sz val="10"/>
        <color theme="1"/>
        <rFont val="Times New Roman"/>
        <family val="1"/>
      </rPr>
      <t xml:space="preserve"> + v</t>
    </r>
    <r>
      <rPr>
        <vertAlign val="subscript"/>
        <sz val="10"/>
        <color theme="1"/>
        <rFont val="Times New Roman"/>
        <family val="1"/>
      </rPr>
      <t xml:space="preserve">NBL,pce </t>
    </r>
    <r>
      <rPr>
        <sz val="10"/>
        <color theme="1"/>
        <rFont val="Times New Roman"/>
        <family val="1"/>
      </rPr>
      <t>+ v</t>
    </r>
    <r>
      <rPr>
        <vertAlign val="subscript"/>
        <sz val="10"/>
        <color theme="1"/>
        <rFont val="Times New Roman"/>
        <family val="1"/>
      </rPr>
      <t>NBU,pce</t>
    </r>
    <r>
      <rPr>
        <sz val="10"/>
        <color theme="1"/>
        <rFont val="Times New Roman"/>
        <family val="1"/>
      </rPr>
      <t xml:space="preserve"> + v</t>
    </r>
    <r>
      <rPr>
        <vertAlign val="subscript"/>
        <sz val="10"/>
        <color theme="1"/>
        <rFont val="Times New Roman"/>
        <family val="1"/>
      </rPr>
      <t>WBT,pce</t>
    </r>
    <r>
      <rPr>
        <sz val="10"/>
        <color theme="1"/>
        <rFont val="Times New Roman"/>
        <family val="1"/>
      </rPr>
      <t xml:space="preserve"> + v</t>
    </r>
    <r>
      <rPr>
        <vertAlign val="subscript"/>
        <sz val="10"/>
        <color theme="1"/>
        <rFont val="Times New Roman"/>
        <family val="1"/>
      </rPr>
      <t>WBL,pce</t>
    </r>
    <r>
      <rPr>
        <sz val="10"/>
        <color theme="1"/>
        <rFont val="Times New Roman"/>
        <family val="1"/>
      </rPr>
      <t xml:space="preserve"> + v</t>
    </r>
    <r>
      <rPr>
        <vertAlign val="subscript"/>
        <sz val="10"/>
        <color theme="1"/>
        <rFont val="Times New Roman"/>
        <family val="1"/>
      </rPr>
      <t>WBU,pce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</si>
  <si>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c, WB,pce</t>
    </r>
    <r>
      <rPr>
        <sz val="10"/>
        <color theme="1"/>
        <rFont val="Times New Roman"/>
        <family val="1"/>
      </rPr>
      <t xml:space="preserve"> = v</t>
    </r>
    <r>
      <rPr>
        <vertAlign val="subscript"/>
        <sz val="10"/>
        <color theme="1"/>
        <rFont val="Times New Roman"/>
        <family val="1"/>
      </rPr>
      <t>SBU,pce</t>
    </r>
    <r>
      <rPr>
        <sz val="10"/>
        <color theme="1"/>
        <rFont val="Times New Roman"/>
        <family val="1"/>
      </rPr>
      <t xml:space="preserve"> + v</t>
    </r>
    <r>
      <rPr>
        <vertAlign val="subscript"/>
        <sz val="10"/>
        <color theme="1"/>
        <rFont val="Times New Roman"/>
        <family val="1"/>
      </rPr>
      <t xml:space="preserve">EBL,pce </t>
    </r>
    <r>
      <rPr>
        <sz val="10"/>
        <color theme="1"/>
        <rFont val="Times New Roman"/>
        <family val="1"/>
      </rPr>
      <t>+ v</t>
    </r>
    <r>
      <rPr>
        <vertAlign val="subscript"/>
        <sz val="10"/>
        <color theme="1"/>
        <rFont val="Times New Roman"/>
        <family val="1"/>
      </rPr>
      <t>EBU,pce</t>
    </r>
    <r>
      <rPr>
        <sz val="10"/>
        <color theme="1"/>
        <rFont val="Times New Roman"/>
        <family val="1"/>
      </rPr>
      <t xml:space="preserve"> + v</t>
    </r>
    <r>
      <rPr>
        <vertAlign val="subscript"/>
        <sz val="10"/>
        <color theme="1"/>
        <rFont val="Times New Roman"/>
        <family val="1"/>
      </rPr>
      <t>NBT,pce</t>
    </r>
    <r>
      <rPr>
        <sz val="10"/>
        <color theme="1"/>
        <rFont val="Times New Roman"/>
        <family val="1"/>
      </rPr>
      <t xml:space="preserve"> + v</t>
    </r>
    <r>
      <rPr>
        <vertAlign val="subscript"/>
        <sz val="10"/>
        <color theme="1"/>
        <rFont val="Times New Roman"/>
        <family val="1"/>
      </rPr>
      <t>NBL,pce</t>
    </r>
    <r>
      <rPr>
        <sz val="10"/>
        <color theme="1"/>
        <rFont val="Times New Roman"/>
        <family val="1"/>
      </rPr>
      <t xml:space="preserve"> + v</t>
    </r>
    <r>
      <rPr>
        <vertAlign val="subscript"/>
        <sz val="10"/>
        <color theme="1"/>
        <rFont val="Times New Roman"/>
        <family val="1"/>
      </rPr>
      <t>NBU,pce</t>
    </r>
  </si>
  <si>
    <r>
      <t>v</t>
    </r>
    <r>
      <rPr>
        <vertAlign val="subscript"/>
        <sz val="10"/>
        <color theme="1"/>
        <rFont val="Times New Roman"/>
        <family val="1"/>
      </rPr>
      <t>c, NB,pce</t>
    </r>
    <r>
      <rPr>
        <sz val="10"/>
        <color theme="1"/>
        <rFont val="Times New Roman"/>
        <family val="1"/>
      </rPr>
      <t xml:space="preserve"> = v</t>
    </r>
    <r>
      <rPr>
        <vertAlign val="subscript"/>
        <sz val="10"/>
        <color theme="1"/>
        <rFont val="Times New Roman"/>
        <family val="1"/>
      </rPr>
      <t>WBU,pce</t>
    </r>
    <r>
      <rPr>
        <sz val="10"/>
        <color theme="1"/>
        <rFont val="Times New Roman"/>
        <family val="1"/>
      </rPr>
      <t xml:space="preserve"> + v</t>
    </r>
    <r>
      <rPr>
        <vertAlign val="subscript"/>
        <sz val="10"/>
        <color theme="1"/>
        <rFont val="Times New Roman"/>
        <family val="1"/>
      </rPr>
      <t xml:space="preserve">SBL,pce </t>
    </r>
    <r>
      <rPr>
        <sz val="10"/>
        <color theme="1"/>
        <rFont val="Times New Roman"/>
        <family val="1"/>
      </rPr>
      <t>+ v</t>
    </r>
    <r>
      <rPr>
        <vertAlign val="subscript"/>
        <sz val="10"/>
        <color theme="1"/>
        <rFont val="Times New Roman"/>
        <family val="1"/>
      </rPr>
      <t>SBU,pce</t>
    </r>
    <r>
      <rPr>
        <sz val="10"/>
        <color theme="1"/>
        <rFont val="Times New Roman"/>
        <family val="1"/>
      </rPr>
      <t xml:space="preserve"> + v</t>
    </r>
    <r>
      <rPr>
        <vertAlign val="subscript"/>
        <sz val="10"/>
        <color theme="1"/>
        <rFont val="Times New Roman"/>
        <family val="1"/>
      </rPr>
      <t>EBT,pce</t>
    </r>
    <r>
      <rPr>
        <sz val="10"/>
        <color theme="1"/>
        <rFont val="Times New Roman"/>
        <family val="1"/>
      </rPr>
      <t xml:space="preserve"> + v</t>
    </r>
    <r>
      <rPr>
        <vertAlign val="subscript"/>
        <sz val="10"/>
        <color theme="1"/>
        <rFont val="Times New Roman"/>
        <family val="1"/>
      </rPr>
      <t>EBL,pce</t>
    </r>
    <r>
      <rPr>
        <sz val="10"/>
        <color theme="1"/>
        <rFont val="Times New Roman"/>
        <family val="1"/>
      </rPr>
      <t xml:space="preserve"> + v</t>
    </r>
    <r>
      <rPr>
        <vertAlign val="subscript"/>
        <sz val="10"/>
        <color theme="1"/>
        <rFont val="Times New Roman"/>
        <family val="1"/>
      </rPr>
      <t>EBU,pce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</si>
  <si>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c, EB,pce</t>
    </r>
    <r>
      <rPr>
        <sz val="10"/>
        <color theme="1"/>
        <rFont val="Times New Roman"/>
        <family val="1"/>
      </rPr>
      <t xml:space="preserve"> = v</t>
    </r>
    <r>
      <rPr>
        <vertAlign val="subscript"/>
        <sz val="10"/>
        <color theme="1"/>
        <rFont val="Times New Roman"/>
        <family val="1"/>
      </rPr>
      <t>NBU,pce</t>
    </r>
    <r>
      <rPr>
        <sz val="10"/>
        <color theme="1"/>
        <rFont val="Times New Roman"/>
        <family val="1"/>
      </rPr>
      <t xml:space="preserve"> + v</t>
    </r>
    <r>
      <rPr>
        <vertAlign val="subscript"/>
        <sz val="10"/>
        <color theme="1"/>
        <rFont val="Times New Roman"/>
        <family val="1"/>
      </rPr>
      <t xml:space="preserve">WBL,pce </t>
    </r>
    <r>
      <rPr>
        <sz val="10"/>
        <color theme="1"/>
        <rFont val="Times New Roman"/>
        <family val="1"/>
      </rPr>
      <t>+ v</t>
    </r>
    <r>
      <rPr>
        <vertAlign val="subscript"/>
        <sz val="10"/>
        <color theme="1"/>
        <rFont val="Times New Roman"/>
        <family val="1"/>
      </rPr>
      <t>WBU,pce</t>
    </r>
    <r>
      <rPr>
        <sz val="10"/>
        <color theme="1"/>
        <rFont val="Times New Roman"/>
        <family val="1"/>
      </rPr>
      <t xml:space="preserve"> + v</t>
    </r>
    <r>
      <rPr>
        <vertAlign val="subscript"/>
        <sz val="10"/>
        <color theme="1"/>
        <rFont val="Times New Roman"/>
        <family val="1"/>
      </rPr>
      <t>SBT,pce</t>
    </r>
    <r>
      <rPr>
        <sz val="10"/>
        <color theme="1"/>
        <rFont val="Times New Roman"/>
        <family val="1"/>
      </rPr>
      <t xml:space="preserve"> + v</t>
    </r>
    <r>
      <rPr>
        <vertAlign val="subscript"/>
        <sz val="10"/>
        <color theme="1"/>
        <rFont val="Times New Roman"/>
        <family val="1"/>
      </rPr>
      <t>SBL,pce</t>
    </r>
    <r>
      <rPr>
        <sz val="10"/>
        <color theme="1"/>
        <rFont val="Times New Roman"/>
        <family val="1"/>
      </rPr>
      <t xml:space="preserve"> + v</t>
    </r>
    <r>
      <rPr>
        <vertAlign val="subscript"/>
        <sz val="10"/>
        <color theme="1"/>
        <rFont val="Times New Roman"/>
        <family val="1"/>
      </rPr>
      <t>SBU,pce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</si>
  <si>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c, i,pce</t>
    </r>
    <r>
      <rPr>
        <sz val="10"/>
        <color theme="1"/>
        <rFont val="Times New Roman"/>
        <family val="1"/>
      </rPr>
      <t xml:space="preserve"> : Cirtulating flow rate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</si>
  <si>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c</t>
    </r>
    <r>
      <rPr>
        <sz val="10"/>
        <color theme="1"/>
        <rFont val="Times New Roman"/>
        <family val="1"/>
      </rPr>
      <t>,</t>
    </r>
    <r>
      <rPr>
        <vertAlign val="subscript"/>
        <sz val="10"/>
        <color theme="1"/>
        <rFont val="Times New Roman"/>
        <family val="1"/>
      </rPr>
      <t>SB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</si>
  <si>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c</t>
    </r>
    <r>
      <rPr>
        <sz val="10"/>
        <color theme="1"/>
        <rFont val="Times New Roman"/>
        <family val="1"/>
      </rPr>
      <t>,</t>
    </r>
    <r>
      <rPr>
        <vertAlign val="subscript"/>
        <sz val="10"/>
        <color theme="1"/>
        <rFont val="Times New Roman"/>
        <family val="1"/>
      </rPr>
      <t>WB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</si>
  <si>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c</t>
    </r>
    <r>
      <rPr>
        <sz val="10"/>
        <color theme="1"/>
        <rFont val="Times New Roman"/>
        <family val="1"/>
      </rPr>
      <t>,</t>
    </r>
    <r>
      <rPr>
        <vertAlign val="subscript"/>
        <sz val="10"/>
        <color theme="1"/>
        <rFont val="Times New Roman"/>
        <family val="1"/>
      </rPr>
      <t>NB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</si>
  <si>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c</t>
    </r>
    <r>
      <rPr>
        <sz val="10"/>
        <color theme="1"/>
        <rFont val="Times New Roman"/>
        <family val="1"/>
      </rPr>
      <t>,</t>
    </r>
    <r>
      <rPr>
        <vertAlign val="subscript"/>
        <sz val="10"/>
        <color theme="1"/>
        <rFont val="Times New Roman"/>
        <family val="1"/>
      </rPr>
      <t>EB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</si>
  <si>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c, i,pce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</si>
  <si>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cex i,pce</t>
    </r>
    <phoneticPr fontId="1"/>
  </si>
  <si>
    <t xml:space="preserve">Step 4. Determine entry flow rates by lane
</t>
    <phoneticPr fontId="5"/>
  </si>
  <si>
    <r>
      <t>v</t>
    </r>
    <r>
      <rPr>
        <vertAlign val="subscript"/>
        <sz val="10"/>
        <color theme="1"/>
        <rFont val="Times New Roman"/>
        <family val="1"/>
      </rPr>
      <t>e, i,pce</t>
    </r>
    <r>
      <rPr>
        <sz val="10"/>
        <color theme="1"/>
        <rFont val="Times New Roman"/>
        <family val="1"/>
      </rPr>
      <t xml:space="preserve"> = v</t>
    </r>
    <r>
      <rPr>
        <vertAlign val="subscript"/>
        <sz val="10"/>
        <color theme="1"/>
        <rFont val="Times New Roman"/>
        <family val="1"/>
      </rPr>
      <t>iU,pce</t>
    </r>
    <r>
      <rPr>
        <sz val="10"/>
        <color theme="1"/>
        <rFont val="Times New Roman"/>
        <family val="1"/>
      </rPr>
      <t xml:space="preserve"> + v</t>
    </r>
    <r>
      <rPr>
        <vertAlign val="subscript"/>
        <sz val="10"/>
        <color theme="1"/>
        <rFont val="Times New Roman"/>
        <family val="1"/>
      </rPr>
      <t xml:space="preserve">iL,pce </t>
    </r>
    <r>
      <rPr>
        <sz val="10"/>
        <color theme="1"/>
        <rFont val="Times New Roman"/>
        <family val="1"/>
      </rPr>
      <t>+ v</t>
    </r>
    <r>
      <rPr>
        <vertAlign val="subscript"/>
        <sz val="10"/>
        <color theme="1"/>
        <rFont val="Times New Roman"/>
        <family val="1"/>
      </rPr>
      <t>iT,pce</t>
    </r>
    <r>
      <rPr>
        <sz val="10"/>
        <color theme="1"/>
        <rFont val="Times New Roman"/>
        <family val="1"/>
      </rPr>
      <t xml:space="preserve"> + v</t>
    </r>
    <r>
      <rPr>
        <vertAlign val="subscript"/>
        <sz val="10"/>
        <color theme="1"/>
        <rFont val="Times New Roman"/>
        <family val="1"/>
      </rPr>
      <t>R,pce</t>
    </r>
    <r>
      <rPr>
        <sz val="10"/>
        <color theme="1"/>
        <rFont val="Times New Roman"/>
        <family val="1"/>
      </rPr>
      <t/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</si>
  <si>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e, i,pce</t>
    </r>
    <r>
      <rPr>
        <sz val="10"/>
        <color theme="1"/>
        <rFont val="Times New Roman"/>
        <family val="1"/>
      </rPr>
      <t xml:space="preserve"> : entry flow rate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</si>
  <si>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e</t>
    </r>
    <r>
      <rPr>
        <sz val="10"/>
        <color theme="1"/>
        <rFont val="Times New Roman"/>
        <family val="1"/>
      </rPr>
      <t>,</t>
    </r>
    <r>
      <rPr>
        <vertAlign val="subscript"/>
        <sz val="10"/>
        <color theme="1"/>
        <rFont val="Times New Roman"/>
        <family val="1"/>
      </rPr>
      <t>SB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</si>
  <si>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e</t>
    </r>
    <r>
      <rPr>
        <sz val="10"/>
        <color theme="1"/>
        <rFont val="Times New Roman"/>
        <family val="1"/>
      </rPr>
      <t>,</t>
    </r>
    <r>
      <rPr>
        <vertAlign val="subscript"/>
        <sz val="10"/>
        <color theme="1"/>
        <rFont val="Times New Roman"/>
        <family val="1"/>
      </rPr>
      <t>WB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</si>
  <si>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e</t>
    </r>
    <r>
      <rPr>
        <sz val="10"/>
        <color theme="1"/>
        <rFont val="Times New Roman"/>
        <family val="1"/>
      </rPr>
      <t>,</t>
    </r>
    <r>
      <rPr>
        <vertAlign val="subscript"/>
        <sz val="10"/>
        <color theme="1"/>
        <rFont val="Times New Roman"/>
        <family val="1"/>
      </rPr>
      <t>NB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</si>
  <si>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e</t>
    </r>
    <r>
      <rPr>
        <sz val="10"/>
        <color theme="1"/>
        <rFont val="Times New Roman"/>
        <family val="1"/>
      </rPr>
      <t>,</t>
    </r>
    <r>
      <rPr>
        <vertAlign val="subscript"/>
        <sz val="10"/>
        <color theme="1"/>
        <rFont val="Times New Roman"/>
        <family val="1"/>
      </rPr>
      <t>EB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</si>
  <si>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e, i,pce</t>
    </r>
    <phoneticPr fontId="1"/>
  </si>
  <si>
    <t xml:space="preserve">Step 5. Determine the capacity of each entry lane in passenger car equivalents
</t>
    <phoneticPr fontId="5"/>
  </si>
  <si>
    <r>
      <t>C</t>
    </r>
    <r>
      <rPr>
        <vertAlign val="subscript"/>
        <sz val="10"/>
        <color theme="1"/>
        <rFont val="Times New Roman"/>
        <family val="1"/>
      </rPr>
      <t>e,pce</t>
    </r>
    <r>
      <rPr>
        <sz val="10"/>
        <color theme="1"/>
        <rFont val="Times New Roman"/>
        <family val="1"/>
      </rPr>
      <t xml:space="preserve"> = 1130e(-1.0*10^-3)V</t>
    </r>
    <r>
      <rPr>
        <vertAlign val="subscript"/>
        <sz val="10"/>
        <color theme="1"/>
        <rFont val="Times New Roman"/>
        <family val="1"/>
      </rPr>
      <t>e,pce</t>
    </r>
    <phoneticPr fontId="1"/>
  </si>
  <si>
    <r>
      <t>C</t>
    </r>
    <r>
      <rPr>
        <vertAlign val="subscript"/>
        <sz val="10"/>
        <color theme="1"/>
        <rFont val="Times New Roman"/>
        <family val="1"/>
      </rPr>
      <t>e,pce</t>
    </r>
    <r>
      <rPr>
        <sz val="10"/>
        <color theme="1"/>
        <rFont val="Times New Roman"/>
        <family val="1"/>
      </rPr>
      <t xml:space="preserve"> : lane capacity, adjusted for heavy vehicle (pcu/h)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</si>
  <si>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e,pce</t>
    </r>
    <r>
      <rPr>
        <sz val="10"/>
        <color theme="1"/>
        <rFont val="Times New Roman"/>
        <family val="1"/>
      </rPr>
      <t xml:space="preserve"> : conflicting flow rate (pcu/h)</t>
    </r>
    <phoneticPr fontId="1"/>
  </si>
  <si>
    <r>
      <t>C</t>
    </r>
    <r>
      <rPr>
        <vertAlign val="subscript"/>
        <sz val="10"/>
        <color theme="1"/>
        <rFont val="Times New Roman"/>
        <family val="1"/>
      </rPr>
      <t>SB</t>
    </r>
    <phoneticPr fontId="1"/>
  </si>
  <si>
    <r>
      <t>C</t>
    </r>
    <r>
      <rPr>
        <vertAlign val="subscript"/>
        <sz val="10"/>
        <rFont val="Times New Roman"/>
        <family val="1"/>
      </rPr>
      <t>WB</t>
    </r>
    <phoneticPr fontId="1"/>
  </si>
  <si>
    <r>
      <t>C</t>
    </r>
    <r>
      <rPr>
        <vertAlign val="subscript"/>
        <sz val="10"/>
        <rFont val="Times New Roman"/>
        <family val="1"/>
      </rPr>
      <t>NB</t>
    </r>
    <phoneticPr fontId="1"/>
  </si>
  <si>
    <r>
      <t>C</t>
    </r>
    <r>
      <rPr>
        <vertAlign val="subscript"/>
        <sz val="10"/>
        <rFont val="Times New Roman"/>
        <family val="1"/>
      </rPr>
      <t>EB</t>
    </r>
    <phoneticPr fontId="1"/>
  </si>
  <si>
    <r>
      <t>C</t>
    </r>
    <r>
      <rPr>
        <vertAlign val="subscript"/>
        <sz val="10"/>
        <color theme="1"/>
        <rFont val="Times New Roman"/>
        <family val="1"/>
      </rPr>
      <t>e,pce</t>
    </r>
    <phoneticPr fontId="1"/>
  </si>
  <si>
    <t>Step 6. Determine pedestrian impedance to vehicle</t>
    <phoneticPr fontId="5"/>
  </si>
  <si>
    <t>One Lane Entry Capacity Adustment Factor fo Pedestrian</t>
    <phoneticPr fontId="1"/>
  </si>
  <si>
    <r>
      <t>If   V</t>
    </r>
    <r>
      <rPr>
        <vertAlign val="subscript"/>
        <sz val="10"/>
        <color theme="1"/>
        <rFont val="Times New Roman"/>
        <family val="1"/>
      </rPr>
      <t>c</t>
    </r>
    <r>
      <rPr>
        <sz val="10"/>
        <color theme="1"/>
        <rFont val="Times New Roman"/>
        <family val="1"/>
      </rPr>
      <t xml:space="preserve"> &gt; 881</t>
    </r>
    <phoneticPr fontId="1"/>
  </si>
  <si>
    <r>
      <t>f</t>
    </r>
    <r>
      <rPr>
        <vertAlign val="subscript"/>
        <sz val="10"/>
        <color theme="1"/>
        <rFont val="Times New Roman"/>
        <family val="1"/>
      </rPr>
      <t>ped</t>
    </r>
    <r>
      <rPr>
        <sz val="10"/>
        <color theme="1"/>
        <rFont val="Times New Roman"/>
        <family val="1"/>
      </rPr>
      <t xml:space="preserve"> = 1</t>
    </r>
    <phoneticPr fontId="1"/>
  </si>
  <si>
    <r>
      <t>Else if
n</t>
    </r>
    <r>
      <rPr>
        <vertAlign val="subscript"/>
        <sz val="10"/>
        <color theme="1"/>
        <rFont val="Times New Roman"/>
        <family val="1"/>
      </rPr>
      <t>ped</t>
    </r>
    <r>
      <rPr>
        <sz val="10"/>
        <color theme="1"/>
        <rFont val="Times New Roman"/>
        <family val="1"/>
      </rPr>
      <t xml:space="preserve"> &lt;=101</t>
    </r>
    <phoneticPr fontId="1"/>
  </si>
  <si>
    <r>
      <t>f</t>
    </r>
    <r>
      <rPr>
        <vertAlign val="subscript"/>
        <sz val="10"/>
        <color theme="1"/>
        <rFont val="Times New Roman"/>
        <family val="1"/>
      </rPr>
      <t>ped</t>
    </r>
    <r>
      <rPr>
        <sz val="10"/>
        <color theme="1"/>
        <rFont val="Times New Roman"/>
        <family val="1"/>
      </rPr>
      <t xml:space="preserve"> = 1 - 0.000137*n</t>
    </r>
    <r>
      <rPr>
        <vertAlign val="subscript"/>
        <sz val="10"/>
        <color theme="1"/>
        <rFont val="Times New Roman"/>
        <family val="1"/>
      </rPr>
      <t>ped</t>
    </r>
    <phoneticPr fontId="1"/>
  </si>
  <si>
    <t>Else</t>
    <phoneticPr fontId="1"/>
  </si>
  <si>
    <r>
      <t>f</t>
    </r>
    <r>
      <rPr>
        <vertAlign val="subscript"/>
        <sz val="10"/>
        <color theme="1"/>
        <rFont val="Times New Roman"/>
        <family val="1"/>
      </rPr>
      <t>ped</t>
    </r>
    <r>
      <rPr>
        <sz val="10"/>
        <color theme="1"/>
        <rFont val="Times New Roman"/>
        <family val="1"/>
      </rPr>
      <t xml:space="preserve"> =</t>
    </r>
    <phoneticPr fontId="1"/>
  </si>
  <si>
    <r>
      <t>1119.5-0.715*V</t>
    </r>
    <r>
      <rPr>
        <vertAlign val="subscript"/>
        <sz val="10"/>
        <color theme="1"/>
        <rFont val="Times New Roman"/>
        <family val="1"/>
      </rPr>
      <t>c</t>
    </r>
    <r>
      <rPr>
        <sz val="10"/>
        <color theme="1"/>
        <rFont val="Times New Roman"/>
        <family val="1"/>
      </rPr>
      <t>-0.644*n</t>
    </r>
    <r>
      <rPr>
        <vertAlign val="subscript"/>
        <sz val="10"/>
        <color theme="1"/>
        <rFont val="Times New Roman"/>
        <family val="1"/>
      </rPr>
      <t>ped</t>
    </r>
    <r>
      <rPr>
        <sz val="10"/>
        <color theme="1"/>
        <rFont val="Times New Roman"/>
        <family val="1"/>
      </rPr>
      <t>+0.00073*V</t>
    </r>
    <r>
      <rPr>
        <vertAlign val="subscript"/>
        <sz val="10"/>
        <color theme="1"/>
        <rFont val="Times New Roman"/>
        <family val="1"/>
      </rPr>
      <t>c</t>
    </r>
    <r>
      <rPr>
        <sz val="10"/>
        <color theme="1"/>
        <rFont val="Times New Roman"/>
        <family val="1"/>
      </rPr>
      <t>*n</t>
    </r>
    <r>
      <rPr>
        <vertAlign val="subscript"/>
        <sz val="10"/>
        <color theme="1"/>
        <rFont val="Times New Roman"/>
        <family val="1"/>
      </rPr>
      <t>ped</t>
    </r>
    <phoneticPr fontId="1"/>
  </si>
  <si>
    <r>
      <t>1068.6-0.654*V</t>
    </r>
    <r>
      <rPr>
        <vertAlign val="subscript"/>
        <sz val="10"/>
        <color theme="1"/>
        <rFont val="Times New Roman"/>
        <family val="1"/>
      </rPr>
      <t>c</t>
    </r>
    <phoneticPr fontId="1"/>
  </si>
  <si>
    <r>
      <t>f</t>
    </r>
    <r>
      <rPr>
        <vertAlign val="subscript"/>
        <sz val="10"/>
        <color theme="1"/>
        <rFont val="Times New Roman"/>
        <family val="1"/>
      </rPr>
      <t>ped</t>
    </r>
    <r>
      <rPr>
        <sz val="10"/>
        <color theme="1"/>
        <rFont val="Times New Roman"/>
        <family val="1"/>
      </rPr>
      <t xml:space="preserve"> : entry capacity adjustment factor for pedestrian</t>
    </r>
    <phoneticPr fontId="1"/>
  </si>
  <si>
    <r>
      <t>n</t>
    </r>
    <r>
      <rPr>
        <vertAlign val="subscript"/>
        <sz val="10"/>
        <color theme="1"/>
        <rFont val="Times New Roman"/>
        <family val="1"/>
      </rPr>
      <t>ped</t>
    </r>
    <r>
      <rPr>
        <sz val="10"/>
        <color theme="1"/>
        <rFont val="Times New Roman"/>
        <family val="1"/>
      </rPr>
      <t xml:space="preserve"> : number of conflicting pedestrian per hour (ped/h)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</si>
  <si>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c,pce</t>
    </r>
    <r>
      <rPr>
        <sz val="10"/>
        <color theme="1"/>
        <rFont val="Times New Roman"/>
        <family val="1"/>
      </rPr>
      <t xml:space="preserve"> : conflicting vehicle flow rate in the circulatory roadway</t>
    </r>
    <phoneticPr fontId="1"/>
  </si>
  <si>
    <r>
      <t>f</t>
    </r>
    <r>
      <rPr>
        <vertAlign val="subscript"/>
        <sz val="10"/>
        <color theme="1"/>
        <rFont val="Times New Roman"/>
        <family val="1"/>
      </rPr>
      <t>ped</t>
    </r>
    <phoneticPr fontId="1"/>
  </si>
  <si>
    <t>Step 7. Convert lane flow rates and capacities into vehicles per hour</t>
    <phoneticPr fontId="5"/>
  </si>
  <si>
    <r>
      <t>v</t>
    </r>
    <r>
      <rPr>
        <vertAlign val="subscript"/>
        <sz val="10"/>
        <color theme="1"/>
        <rFont val="Times New Roman"/>
        <family val="1"/>
      </rPr>
      <t>i</t>
    </r>
    <r>
      <rPr>
        <sz val="10"/>
        <color theme="1"/>
        <rFont val="Times New Roman"/>
        <family val="1"/>
      </rPr>
      <t xml:space="preserve"> = v</t>
    </r>
    <r>
      <rPr>
        <vertAlign val="subscript"/>
        <sz val="10"/>
        <color theme="1"/>
        <rFont val="Times New Roman"/>
        <family val="1"/>
      </rPr>
      <t>i, PCE</t>
    </r>
    <r>
      <rPr>
        <sz val="10"/>
        <color theme="1"/>
        <rFont val="Times New Roman"/>
        <family val="1"/>
      </rPr>
      <t xml:space="preserve"> × f</t>
    </r>
    <r>
      <rPr>
        <vertAlign val="subscript"/>
        <sz val="10"/>
        <color theme="1"/>
        <rFont val="Times New Roman"/>
        <family val="1"/>
      </rPr>
      <t>HV,e</t>
    </r>
    <r>
      <rPr>
        <sz val="10"/>
        <color theme="1"/>
        <rFont val="Times New Roman"/>
        <family val="1"/>
      </rPr>
      <t/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</si>
  <si>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i</t>
    </r>
    <r>
      <rPr>
        <sz val="10"/>
        <color theme="1"/>
        <rFont val="Times New Roman"/>
        <family val="1"/>
      </rPr>
      <t xml:space="preserve"> : flow rate for lane i (veh/h)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</si>
  <si>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i,pce</t>
    </r>
    <r>
      <rPr>
        <sz val="10"/>
        <color theme="1"/>
        <rFont val="Times New Roman"/>
        <family val="1"/>
      </rPr>
      <t xml:space="preserve"> : flow rate for lane i (pcu/h)</t>
    </r>
    <phoneticPr fontId="1"/>
  </si>
  <si>
    <r>
      <t>f</t>
    </r>
    <r>
      <rPr>
        <vertAlign val="subscript"/>
        <sz val="10"/>
        <color theme="1"/>
        <rFont val="Times New Roman"/>
        <family val="1"/>
      </rPr>
      <t>HV,e</t>
    </r>
    <r>
      <rPr>
        <sz val="10"/>
        <color theme="1"/>
        <rFont val="Times New Roman"/>
        <family val="1"/>
      </rPr>
      <t xml:space="preserve"> : heavy-vehicle adjustment factor for the lane</t>
    </r>
    <phoneticPr fontId="1"/>
  </si>
  <si>
    <r>
      <t>C</t>
    </r>
    <r>
      <rPr>
        <vertAlign val="subscript"/>
        <sz val="10"/>
        <color theme="1"/>
        <rFont val="Times New Roman"/>
        <family val="1"/>
      </rPr>
      <t>i</t>
    </r>
    <r>
      <rPr>
        <sz val="10"/>
        <color theme="1"/>
        <rFont val="Times New Roman"/>
        <family val="1"/>
      </rPr>
      <t xml:space="preserve"> = C</t>
    </r>
    <r>
      <rPr>
        <vertAlign val="subscript"/>
        <sz val="10"/>
        <color theme="1"/>
        <rFont val="Times New Roman"/>
        <family val="1"/>
      </rPr>
      <t>i, PCE</t>
    </r>
    <r>
      <rPr>
        <sz val="10"/>
        <color theme="1"/>
        <rFont val="Times New Roman"/>
        <family val="1"/>
      </rPr>
      <t xml:space="preserve"> × f</t>
    </r>
    <r>
      <rPr>
        <vertAlign val="subscript"/>
        <sz val="10"/>
        <color theme="1"/>
        <rFont val="Times New Roman"/>
        <family val="1"/>
      </rPr>
      <t>HV,e</t>
    </r>
    <r>
      <rPr>
        <sz val="10"/>
        <color theme="1"/>
        <rFont val="Times New Roman"/>
        <family val="1"/>
      </rPr>
      <t xml:space="preserve"> × f</t>
    </r>
    <r>
      <rPr>
        <vertAlign val="subscript"/>
        <sz val="10"/>
        <color theme="1"/>
        <rFont val="Times New Roman"/>
        <family val="1"/>
      </rPr>
      <t>ped</t>
    </r>
    <phoneticPr fontId="1"/>
  </si>
  <si>
    <r>
      <t>C</t>
    </r>
    <r>
      <rPr>
        <vertAlign val="subscript"/>
        <sz val="10"/>
        <color theme="1"/>
        <rFont val="Times New Roman"/>
        <family val="1"/>
      </rPr>
      <t>i</t>
    </r>
    <r>
      <rPr>
        <sz val="10"/>
        <color theme="1"/>
        <rFont val="Times New Roman"/>
        <family val="1"/>
      </rPr>
      <t xml:space="preserve"> : capacity for lane i (veh/h)</t>
    </r>
    <phoneticPr fontId="1"/>
  </si>
  <si>
    <r>
      <t>C</t>
    </r>
    <r>
      <rPr>
        <vertAlign val="subscript"/>
        <sz val="10"/>
        <color theme="1"/>
        <rFont val="Times New Roman"/>
        <family val="1"/>
      </rPr>
      <t>i,pce</t>
    </r>
    <r>
      <rPr>
        <sz val="10"/>
        <color theme="1"/>
        <rFont val="Times New Roman"/>
        <family val="1"/>
      </rPr>
      <t xml:space="preserve"> : capacity for lane i (pcu/h)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</si>
  <si>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i</t>
    </r>
    <r>
      <rPr>
        <sz val="10"/>
        <color theme="1"/>
        <rFont val="Times New Roman"/>
        <family val="1"/>
      </rPr>
      <t/>
    </r>
    <phoneticPr fontId="1"/>
  </si>
  <si>
    <r>
      <t>C</t>
    </r>
    <r>
      <rPr>
        <vertAlign val="subscript"/>
        <sz val="10"/>
        <color theme="1"/>
        <rFont val="Times New Roman"/>
        <family val="1"/>
      </rPr>
      <t>i</t>
    </r>
    <phoneticPr fontId="1"/>
  </si>
  <si>
    <t>Step 8. Compute the volume-to-capacity ratio for each lane</t>
    <phoneticPr fontId="5"/>
  </si>
  <si>
    <r>
      <t>x</t>
    </r>
    <r>
      <rPr>
        <vertAlign val="subscript"/>
        <sz val="10"/>
        <color theme="1"/>
        <rFont val="Times New Roman"/>
        <family val="1"/>
      </rPr>
      <t>i</t>
    </r>
    <r>
      <rPr>
        <sz val="10"/>
        <color theme="1"/>
        <rFont val="Times New Roman"/>
        <family val="1"/>
      </rPr>
      <t xml:space="preserve"> = v</t>
    </r>
    <r>
      <rPr>
        <vertAlign val="subscript"/>
        <sz val="10"/>
        <color theme="1"/>
        <rFont val="Times New Roman"/>
        <family val="1"/>
      </rPr>
      <t>i</t>
    </r>
    <r>
      <rPr>
        <sz val="10"/>
        <color theme="1"/>
        <rFont val="Times New Roman"/>
        <family val="1"/>
      </rPr>
      <t xml:space="preserve"> / c</t>
    </r>
    <r>
      <rPr>
        <vertAlign val="subscript"/>
        <sz val="10"/>
        <color theme="1"/>
        <rFont val="Times New Roman"/>
        <family val="1"/>
      </rPr>
      <t>i</t>
    </r>
    <phoneticPr fontId="1"/>
  </si>
  <si>
    <r>
      <t>x</t>
    </r>
    <r>
      <rPr>
        <vertAlign val="subscript"/>
        <sz val="10"/>
        <color theme="1"/>
        <rFont val="Times New Roman"/>
        <family val="1"/>
      </rPr>
      <t>i</t>
    </r>
    <r>
      <rPr>
        <sz val="10"/>
        <color theme="1"/>
        <rFont val="Times New Roman"/>
        <family val="1"/>
      </rPr>
      <t xml:space="preserve"> : volume-to-capacity ratio of the subject lane i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</si>
  <si>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i</t>
    </r>
    <r>
      <rPr>
        <sz val="10"/>
        <color theme="1"/>
        <rFont val="Times New Roman"/>
        <family val="1"/>
      </rPr>
      <t xml:space="preserve"> : demand flow rate of the subject lane i (veh/h)</t>
    </r>
    <phoneticPr fontId="1"/>
  </si>
  <si>
    <r>
      <t>c</t>
    </r>
    <r>
      <rPr>
        <vertAlign val="subscript"/>
        <sz val="10"/>
        <color theme="1"/>
        <rFont val="Times New Roman"/>
        <family val="1"/>
      </rPr>
      <t>i</t>
    </r>
    <r>
      <rPr>
        <sz val="10"/>
        <color theme="1"/>
        <rFont val="Times New Roman"/>
        <family val="1"/>
      </rPr>
      <t xml:space="preserve"> : capacity of the subject lane i (veh/h)</t>
    </r>
    <phoneticPr fontId="1"/>
  </si>
  <si>
    <r>
      <t>x</t>
    </r>
    <r>
      <rPr>
        <vertAlign val="subscript"/>
        <sz val="10"/>
        <color theme="1"/>
        <rFont val="Times New Roman"/>
        <family val="1"/>
      </rPr>
      <t>i</t>
    </r>
    <phoneticPr fontId="1"/>
  </si>
  <si>
    <t>Step 9. Compute the average control delay for each lane</t>
    <phoneticPr fontId="5"/>
  </si>
  <si>
    <r>
      <t>d = 3600 / c + 900T * (x - 1 + ((x - 1)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+ (3600 * x / c) / 450T))</t>
    </r>
    <r>
      <rPr>
        <vertAlign val="superscript"/>
        <sz val="10"/>
        <color theme="1"/>
        <rFont val="Times New Roman"/>
        <family val="1"/>
      </rPr>
      <t>1/2</t>
    </r>
    <r>
      <rPr>
        <sz val="10"/>
        <color theme="1"/>
        <rFont val="Times New Roman"/>
        <family val="1"/>
      </rPr>
      <t xml:space="preserve"> + 5 * min[x , 1]</t>
    </r>
    <phoneticPr fontId="1"/>
  </si>
  <si>
    <t>d : average control delay (s/veh)</t>
    <phoneticPr fontId="1"/>
  </si>
  <si>
    <t>x : volume-to-capacity ratio of the subject lane</t>
    <phoneticPr fontId="1"/>
  </si>
  <si>
    <t>c : capacity of the subject lane (veh/h)</t>
    <phoneticPr fontId="1"/>
  </si>
  <si>
    <t>T : time period (h) (T = 0,25 h for a 15-min analysis)</t>
    <phoneticPr fontId="1"/>
  </si>
  <si>
    <t>d (s/veh)</t>
    <phoneticPr fontId="1"/>
  </si>
  <si>
    <t>Step 10. Determine LOS for each lane on each approach</t>
    <phoneticPr fontId="5"/>
  </si>
  <si>
    <t>Controle Delay</t>
    <phoneticPr fontId="1"/>
  </si>
  <si>
    <t>v/c &lt;= 1.0</t>
    <phoneticPr fontId="1"/>
  </si>
  <si>
    <t>v/c &gt; 1.0</t>
    <phoneticPr fontId="1"/>
  </si>
  <si>
    <t>0 - 10</t>
    <phoneticPr fontId="1"/>
  </si>
  <si>
    <t>A</t>
    <phoneticPr fontId="1"/>
  </si>
  <si>
    <t>F</t>
    <phoneticPr fontId="1"/>
  </si>
  <si>
    <t>&gt; 10 - 15</t>
    <phoneticPr fontId="1"/>
  </si>
  <si>
    <t>B</t>
    <phoneticPr fontId="1"/>
  </si>
  <si>
    <t>&gt; 15 - 25</t>
    <phoneticPr fontId="1"/>
  </si>
  <si>
    <t>C</t>
    <phoneticPr fontId="1"/>
  </si>
  <si>
    <t>&gt; 25 - 35</t>
    <phoneticPr fontId="1"/>
  </si>
  <si>
    <t>D</t>
    <phoneticPr fontId="1"/>
  </si>
  <si>
    <t>&gt; 35 - 50</t>
    <phoneticPr fontId="1"/>
  </si>
  <si>
    <t>E</t>
    <phoneticPr fontId="1"/>
  </si>
  <si>
    <t>&gt; 50</t>
    <phoneticPr fontId="1"/>
  </si>
  <si>
    <t>LOS</t>
    <phoneticPr fontId="1"/>
  </si>
  <si>
    <t>Step 11. Compute the average control delay and determine LOS for each approach and the roundabout as a whole</t>
    <phoneticPr fontId="5"/>
  </si>
  <si>
    <r>
      <t>d</t>
    </r>
    <r>
      <rPr>
        <vertAlign val="subscript"/>
        <sz val="10"/>
        <color theme="1"/>
        <rFont val="Times New Roman"/>
        <family val="1"/>
      </rPr>
      <t>intersection</t>
    </r>
    <r>
      <rPr>
        <sz val="10"/>
        <color theme="1"/>
        <rFont val="Times New Roman"/>
        <family val="1"/>
      </rPr>
      <t xml:space="preserve"> = </t>
    </r>
    <r>
      <rPr>
        <sz val="10"/>
        <color theme="1"/>
        <rFont val="ＭＳ Ｐ明朝"/>
        <family val="1"/>
        <charset val="128"/>
      </rPr>
      <t>Σ</t>
    </r>
    <r>
      <rPr>
        <sz val="10"/>
        <color theme="1"/>
        <rFont val="Times New Roman"/>
        <family val="1"/>
      </rPr>
      <t>d</t>
    </r>
    <r>
      <rPr>
        <vertAlign val="subscript"/>
        <sz val="10"/>
        <color theme="1"/>
        <rFont val="Times New Roman"/>
        <family val="1"/>
      </rPr>
      <t>i</t>
    </r>
    <r>
      <rPr>
        <sz val="10"/>
        <color theme="1"/>
        <rFont val="Times New Roman"/>
        <family val="1"/>
      </rPr>
      <t>v</t>
    </r>
    <r>
      <rPr>
        <vertAlign val="subscript"/>
        <sz val="10"/>
        <color theme="1"/>
        <rFont val="Times New Roman"/>
        <family val="1"/>
      </rPr>
      <t>i</t>
    </r>
    <r>
      <rPr>
        <sz val="10"/>
        <color theme="1"/>
        <rFont val="Times New Roman"/>
        <family val="1"/>
      </rPr>
      <t xml:space="preserve"> / </t>
    </r>
    <r>
      <rPr>
        <sz val="10"/>
        <color theme="1"/>
        <rFont val="ＭＳ Ｐ明朝"/>
        <family val="1"/>
        <charset val="128"/>
      </rPr>
      <t>Σ</t>
    </r>
    <r>
      <rPr>
        <sz val="10"/>
        <color theme="1"/>
        <rFont val="Times New Roman"/>
        <family val="1"/>
      </rPr>
      <t>v</t>
    </r>
    <r>
      <rPr>
        <vertAlign val="subscript"/>
        <sz val="10"/>
        <color theme="1"/>
        <rFont val="Times New Roman"/>
        <family val="1"/>
      </rPr>
      <t>i</t>
    </r>
    <phoneticPr fontId="1"/>
  </si>
  <si>
    <r>
      <t>d</t>
    </r>
    <r>
      <rPr>
        <vertAlign val="subscript"/>
        <sz val="10"/>
        <color theme="1"/>
        <rFont val="Times New Roman"/>
        <family val="1"/>
      </rPr>
      <t>intersection</t>
    </r>
    <r>
      <rPr>
        <sz val="10"/>
        <color theme="1"/>
        <rFont val="Times New Roman"/>
        <family val="1"/>
      </rPr>
      <t xml:space="preserve"> : control delay of the entire intersection (s/veh)</t>
    </r>
    <phoneticPr fontId="1"/>
  </si>
  <si>
    <r>
      <t xml:space="preserve">d </t>
    </r>
    <r>
      <rPr>
        <vertAlign val="subscript"/>
        <sz val="10"/>
        <color theme="1"/>
        <rFont val="Times New Roman"/>
        <family val="1"/>
      </rPr>
      <t>i</t>
    </r>
    <r>
      <rPr>
        <sz val="10"/>
        <color theme="1"/>
        <rFont val="Times New Roman"/>
        <family val="1"/>
      </rPr>
      <t xml:space="preserve"> : control delay of approach (s/veh)</t>
    </r>
    <phoneticPr fontId="1"/>
  </si>
  <si>
    <r>
      <t xml:space="preserve">v </t>
    </r>
    <r>
      <rPr>
        <vertAlign val="subscript"/>
        <sz val="10"/>
        <color theme="1"/>
        <rFont val="Times New Roman"/>
        <family val="1"/>
      </rPr>
      <t>i</t>
    </r>
    <r>
      <rPr>
        <sz val="10"/>
        <color theme="1"/>
        <rFont val="Times New Roman"/>
        <family val="1"/>
      </rPr>
      <t xml:space="preserve"> : flow rate for approach i (veh/h)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</si>
  <si>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i</t>
    </r>
    <phoneticPr fontId="5"/>
  </si>
  <si>
    <r>
      <t>d</t>
    </r>
    <r>
      <rPr>
        <vertAlign val="subscript"/>
        <sz val="10"/>
        <color theme="1"/>
        <rFont val="Times New Roman"/>
        <family val="1"/>
      </rPr>
      <t>i</t>
    </r>
    <phoneticPr fontId="5"/>
  </si>
  <si>
    <r>
      <t>d</t>
    </r>
    <r>
      <rPr>
        <vertAlign val="subscript"/>
        <sz val="10"/>
        <color theme="1"/>
        <rFont val="Times New Roman"/>
        <family val="1"/>
      </rPr>
      <t>intersection</t>
    </r>
    <phoneticPr fontId="5"/>
  </si>
  <si>
    <t>Step 12. Compute 95th percentile queues for each lane</t>
  </si>
  <si>
    <r>
      <t>Q</t>
    </r>
    <r>
      <rPr>
        <vertAlign val="subscript"/>
        <sz val="10"/>
        <color theme="1"/>
        <rFont val="Times New Roman"/>
        <family val="1"/>
      </rPr>
      <t>95</t>
    </r>
    <r>
      <rPr>
        <sz val="10"/>
        <color theme="1"/>
        <rFont val="Times New Roman"/>
        <family val="1"/>
      </rPr>
      <t xml:space="preserve"> = 900T * (x - 1 + ((x - 1)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+ (3600 * x / c) / 150T))</t>
    </r>
    <r>
      <rPr>
        <vertAlign val="superscript"/>
        <sz val="10"/>
        <color theme="1"/>
        <rFont val="Times New Roman"/>
        <family val="1"/>
      </rPr>
      <t>1/2</t>
    </r>
    <r>
      <rPr>
        <sz val="10"/>
        <color theme="1"/>
        <rFont val="Times New Roman"/>
        <family val="1"/>
      </rPr>
      <t xml:space="preserve"> * (c / 3600)</t>
    </r>
    <phoneticPr fontId="1"/>
  </si>
  <si>
    <r>
      <t>Q</t>
    </r>
    <r>
      <rPr>
        <vertAlign val="subscript"/>
        <sz val="10"/>
        <color theme="1"/>
        <rFont val="Times New Roman"/>
        <family val="1"/>
      </rPr>
      <t>95</t>
    </r>
    <r>
      <rPr>
        <sz val="10"/>
        <color theme="1"/>
        <rFont val="Times New Roman"/>
        <family val="1"/>
      </rPr>
      <t xml:space="preserve"> : 95th percentile queue (veh)</t>
    </r>
    <phoneticPr fontId="1"/>
  </si>
  <si>
    <t>T : time period (h) (T for a 1-h analysis, T = 0.25 for a 15-min analysis)</t>
    <phoneticPr fontId="1"/>
  </si>
  <si>
    <r>
      <t>Q</t>
    </r>
    <r>
      <rPr>
        <vertAlign val="subscript"/>
        <sz val="10"/>
        <color theme="1"/>
        <rFont val="Times New Roman"/>
        <family val="1"/>
      </rPr>
      <t>95</t>
    </r>
    <phoneticPr fontId="1"/>
  </si>
  <si>
    <t>South Bound
(SB)</t>
    <phoneticPr fontId="1"/>
  </si>
  <si>
    <t>West Bound
(WB)</t>
    <phoneticPr fontId="1"/>
  </si>
  <si>
    <t>North Bound
(NB)</t>
    <phoneticPr fontId="1"/>
  </si>
  <si>
    <t>East Bound
(EB)</t>
    <phoneticPr fontId="1"/>
  </si>
  <si>
    <t>Right Turn Bypass</t>
    <phoneticPr fontId="1"/>
  </si>
  <si>
    <r>
      <rPr>
        <sz val="9"/>
        <color theme="1"/>
        <rFont val="Times New Roman"/>
        <family val="1"/>
      </rPr>
      <t>Type of Right Turn Bypass</t>
    </r>
    <r>
      <rPr>
        <sz val="10"/>
        <color theme="1"/>
        <rFont val="Times New Roman"/>
        <family val="1"/>
      </rPr>
      <t xml:space="preserve">
(Inclusive lane: 1, Exclusive lane: 2)</t>
    </r>
    <phoneticPr fontId="1"/>
  </si>
  <si>
    <t>-</t>
    <phoneticPr fontId="1"/>
  </si>
  <si>
    <r>
      <t>v</t>
    </r>
    <r>
      <rPr>
        <vertAlign val="subscript"/>
        <sz val="10"/>
        <color theme="1"/>
        <rFont val="Times New Roman"/>
        <family val="1"/>
      </rPr>
      <t>c, i,pce</t>
    </r>
    <r>
      <rPr>
        <sz val="10"/>
        <color theme="1"/>
        <rFont val="Times New Roman"/>
        <family val="1"/>
      </rPr>
      <t xml:space="preserve"> : cirtulating flow rate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</si>
  <si>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cxc, i,pce</t>
    </r>
    <r>
      <rPr>
        <sz val="10"/>
        <color theme="1"/>
        <rFont val="Times New Roman"/>
        <family val="1"/>
      </rPr>
      <t xml:space="preserve"> : exiting flow rate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</si>
  <si>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ex i,pce</t>
    </r>
    <phoneticPr fontId="1"/>
  </si>
  <si>
    <r>
      <t>C</t>
    </r>
    <r>
      <rPr>
        <vertAlign val="subscript"/>
        <sz val="10"/>
        <color theme="1"/>
        <rFont val="Times New Roman"/>
        <family val="1"/>
      </rPr>
      <t>e,pce</t>
    </r>
    <r>
      <rPr>
        <sz val="10"/>
        <color theme="1"/>
        <rFont val="Times New Roman"/>
        <family val="1"/>
      </rPr>
      <t xml:space="preserve"> = 1130e(-1.0*10^-3)V</t>
    </r>
    <r>
      <rPr>
        <vertAlign val="subscript"/>
        <sz val="10"/>
        <color theme="1"/>
        <rFont val="Times New Roman"/>
        <family val="1"/>
      </rPr>
      <t>c,pce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</si>
  <si>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c,pce</t>
    </r>
    <r>
      <rPr>
        <sz val="10"/>
        <color theme="1"/>
        <rFont val="Times New Roman"/>
        <family val="1"/>
      </rPr>
      <t xml:space="preserve"> : conflicting flow rate (pcu/h)</t>
    </r>
    <phoneticPr fontId="1"/>
  </si>
  <si>
    <r>
      <t>C</t>
    </r>
    <r>
      <rPr>
        <vertAlign val="subscript"/>
        <sz val="10"/>
        <color theme="1"/>
        <rFont val="Times New Roman"/>
        <family val="1"/>
      </rPr>
      <t>bypass,pce</t>
    </r>
    <r>
      <rPr>
        <sz val="10"/>
        <color theme="1"/>
        <rFont val="Times New Roman"/>
        <family val="1"/>
      </rPr>
      <t xml:space="preserve"> : lane capacity for bypass lane, adjusted for heavy vehicle (pcu/h)</t>
    </r>
    <phoneticPr fontId="1"/>
  </si>
  <si>
    <r>
      <t>C</t>
    </r>
    <r>
      <rPr>
        <vertAlign val="subscript"/>
        <sz val="10"/>
        <color theme="1"/>
        <rFont val="Times New Roman"/>
        <family val="1"/>
      </rPr>
      <t>bypass,pce</t>
    </r>
    <phoneticPr fontId="1"/>
  </si>
  <si>
    <r>
      <t>C</t>
    </r>
    <r>
      <rPr>
        <vertAlign val="subscript"/>
        <sz val="10"/>
        <color theme="1"/>
        <rFont val="Times New Roman"/>
        <family val="1"/>
      </rPr>
      <t>ibypass</t>
    </r>
    <r>
      <rPr>
        <sz val="10"/>
        <color theme="1"/>
        <rFont val="Times New Roman"/>
        <family val="1"/>
      </rPr>
      <t xml:space="preserve"> : capacity for bypass lane i (veh/h)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</si>
  <si>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bypass</t>
    </r>
    <phoneticPr fontId="1"/>
  </si>
  <si>
    <r>
      <t>C</t>
    </r>
    <r>
      <rPr>
        <vertAlign val="subscript"/>
        <sz val="10"/>
        <color theme="1"/>
        <rFont val="Times New Roman"/>
        <family val="1"/>
      </rPr>
      <t>bypass</t>
    </r>
    <phoneticPr fontId="1"/>
  </si>
  <si>
    <r>
      <t>x</t>
    </r>
    <r>
      <rPr>
        <vertAlign val="subscript"/>
        <sz val="10"/>
        <color theme="1"/>
        <rFont val="Times New Roman"/>
        <family val="1"/>
      </rPr>
      <t>bypass</t>
    </r>
    <r>
      <rPr>
        <sz val="10"/>
        <color theme="1"/>
        <rFont val="Times New Roman"/>
        <family val="1"/>
      </rPr>
      <t xml:space="preserve"> : volume-to-capacity ratio of the bypass lane i</t>
    </r>
    <phoneticPr fontId="1"/>
  </si>
  <si>
    <r>
      <t>x</t>
    </r>
    <r>
      <rPr>
        <vertAlign val="subscript"/>
        <sz val="10"/>
        <color theme="1"/>
        <rFont val="Times New Roman"/>
        <family val="1"/>
      </rPr>
      <t>bypass</t>
    </r>
    <phoneticPr fontId="1"/>
  </si>
  <si>
    <r>
      <t>d</t>
    </r>
    <r>
      <rPr>
        <vertAlign val="subscript"/>
        <sz val="10"/>
        <color theme="1"/>
        <rFont val="Times New Roman"/>
        <family val="1"/>
      </rPr>
      <t>bypass</t>
    </r>
    <r>
      <rPr>
        <sz val="10"/>
        <color theme="1"/>
        <rFont val="Times New Roman"/>
        <family val="1"/>
      </rPr>
      <t xml:space="preserve"> : average control delay for bypass lane (s/veh)</t>
    </r>
    <phoneticPr fontId="1"/>
  </si>
  <si>
    <r>
      <t>d</t>
    </r>
    <r>
      <rPr>
        <vertAlign val="subscript"/>
        <sz val="10"/>
        <color theme="1"/>
        <rFont val="Times New Roman"/>
        <family val="1"/>
      </rPr>
      <t>bypass</t>
    </r>
    <r>
      <rPr>
        <sz val="10"/>
        <color theme="1"/>
        <rFont val="Times New Roman"/>
        <family val="1"/>
      </rPr>
      <t xml:space="preserve"> (s/veh)</t>
    </r>
    <phoneticPr fontId="1"/>
  </si>
  <si>
    <r>
      <t>LOS</t>
    </r>
    <r>
      <rPr>
        <vertAlign val="subscript"/>
        <sz val="10"/>
        <color theme="1"/>
        <rFont val="Times New Roman"/>
        <family val="1"/>
      </rPr>
      <t>bypass</t>
    </r>
    <phoneticPr fontId="1"/>
  </si>
  <si>
    <r>
      <t>Q</t>
    </r>
    <r>
      <rPr>
        <vertAlign val="subscript"/>
        <sz val="10"/>
        <color theme="1"/>
        <rFont val="Times New Roman"/>
        <family val="1"/>
      </rPr>
      <t>96,bypass</t>
    </r>
    <phoneticPr fontId="1"/>
  </si>
  <si>
    <t>(WB, EB)</t>
    <phoneticPr fontId="1"/>
  </si>
  <si>
    <t>(SB, NB)</t>
    <phoneticPr fontId="1"/>
  </si>
  <si>
    <t>Share on Right Lane</t>
    <phoneticPr fontId="1"/>
  </si>
  <si>
    <t>Share on Left Lane</t>
    <phoneticPr fontId="1"/>
  </si>
  <si>
    <t>Right Lane</t>
    <phoneticPr fontId="1"/>
  </si>
  <si>
    <t>Left Lane</t>
    <phoneticPr fontId="1"/>
  </si>
  <si>
    <r>
      <t>C</t>
    </r>
    <r>
      <rPr>
        <vertAlign val="subscript"/>
        <sz val="10"/>
        <color theme="1"/>
        <rFont val="Times New Roman"/>
        <family val="1"/>
      </rPr>
      <t>e,O,pce</t>
    </r>
    <r>
      <rPr>
        <sz val="10"/>
        <color theme="1"/>
        <rFont val="Times New Roman"/>
        <family val="1"/>
      </rPr>
      <t xml:space="preserve"> = 1130e(-0.7*10^-3)V</t>
    </r>
    <r>
      <rPr>
        <vertAlign val="subscript"/>
        <sz val="10"/>
        <color theme="1"/>
        <rFont val="Times New Roman"/>
        <family val="1"/>
      </rPr>
      <t>c,pce</t>
    </r>
    <phoneticPr fontId="1"/>
  </si>
  <si>
    <r>
      <t>C</t>
    </r>
    <r>
      <rPr>
        <vertAlign val="subscript"/>
        <sz val="10"/>
        <color theme="1"/>
        <rFont val="Times New Roman"/>
        <family val="1"/>
      </rPr>
      <t>e,T,pce</t>
    </r>
    <r>
      <rPr>
        <sz val="10"/>
        <color theme="1"/>
        <rFont val="Times New Roman"/>
        <family val="1"/>
      </rPr>
      <t xml:space="preserve"> = 1130e(-1.0*10^-3)V</t>
    </r>
    <r>
      <rPr>
        <vertAlign val="subscript"/>
        <sz val="10"/>
        <color theme="1"/>
        <rFont val="Times New Roman"/>
        <family val="1"/>
      </rPr>
      <t>c,pce</t>
    </r>
    <phoneticPr fontId="1"/>
  </si>
  <si>
    <r>
      <t>C</t>
    </r>
    <r>
      <rPr>
        <vertAlign val="subscript"/>
        <sz val="10"/>
        <color theme="1"/>
        <rFont val="Times New Roman"/>
        <family val="1"/>
      </rPr>
      <t>e,R,pce</t>
    </r>
    <r>
      <rPr>
        <sz val="10"/>
        <color theme="1"/>
        <rFont val="Times New Roman"/>
        <family val="1"/>
      </rPr>
      <t xml:space="preserve"> = 1130e(-0.7*10^-3)V</t>
    </r>
    <r>
      <rPr>
        <vertAlign val="subscript"/>
        <sz val="10"/>
        <color theme="1"/>
        <rFont val="Times New Roman"/>
        <family val="1"/>
      </rPr>
      <t>c,pce</t>
    </r>
    <phoneticPr fontId="1"/>
  </si>
  <si>
    <r>
      <t>C</t>
    </r>
    <r>
      <rPr>
        <vertAlign val="subscript"/>
        <sz val="10"/>
        <color theme="1"/>
        <rFont val="Times New Roman"/>
        <family val="1"/>
      </rPr>
      <t>e,L,pce</t>
    </r>
    <r>
      <rPr>
        <sz val="10"/>
        <color theme="1"/>
        <rFont val="Times New Roman"/>
        <family val="1"/>
      </rPr>
      <t xml:space="preserve"> = 1130e(-0.75*10^-3)V</t>
    </r>
    <r>
      <rPr>
        <vertAlign val="subscript"/>
        <sz val="10"/>
        <color theme="1"/>
        <rFont val="Times New Roman"/>
        <family val="1"/>
      </rPr>
      <t>c,pce</t>
    </r>
    <phoneticPr fontId="1"/>
  </si>
  <si>
    <r>
      <t>C</t>
    </r>
    <r>
      <rPr>
        <vertAlign val="subscript"/>
        <sz val="10"/>
        <color theme="1"/>
        <rFont val="Times New Roman"/>
        <family val="1"/>
      </rPr>
      <t>e,O,pce</t>
    </r>
    <r>
      <rPr>
        <sz val="10"/>
        <color theme="1"/>
        <rFont val="Times New Roman"/>
        <family val="1"/>
      </rPr>
      <t xml:space="preserve"> : capacity for one lane-entries, adjusted for heavy vehicle (pcu/h)</t>
    </r>
    <phoneticPr fontId="1"/>
  </si>
  <si>
    <r>
      <t>C</t>
    </r>
    <r>
      <rPr>
        <vertAlign val="subscript"/>
        <sz val="10"/>
        <color theme="1"/>
        <rFont val="Times New Roman"/>
        <family val="1"/>
      </rPr>
      <t>e,T,pce</t>
    </r>
    <r>
      <rPr>
        <sz val="10"/>
        <color theme="1"/>
        <rFont val="Times New Roman"/>
        <family val="1"/>
      </rPr>
      <t xml:space="preserve"> : capacity for two-lane entries, adjusted for heavy vehicle (pcu/h)</t>
    </r>
    <phoneticPr fontId="1"/>
  </si>
  <si>
    <r>
      <t>C</t>
    </r>
    <r>
      <rPr>
        <vertAlign val="subscript"/>
        <sz val="10"/>
        <color theme="1"/>
        <rFont val="Times New Roman"/>
        <family val="1"/>
      </rPr>
      <t>e,R,pce</t>
    </r>
    <r>
      <rPr>
        <sz val="10"/>
        <color theme="1"/>
        <rFont val="Times New Roman"/>
        <family val="1"/>
      </rPr>
      <t xml:space="preserve"> : capacity of the right entry lane, adjusted for heavy vehicle (pcu/h)</t>
    </r>
    <phoneticPr fontId="1"/>
  </si>
  <si>
    <r>
      <t>C</t>
    </r>
    <r>
      <rPr>
        <vertAlign val="subscript"/>
        <sz val="10"/>
        <color theme="1"/>
        <rFont val="Times New Roman"/>
        <family val="1"/>
      </rPr>
      <t>e,L,pce</t>
    </r>
    <r>
      <rPr>
        <sz val="10"/>
        <color theme="1"/>
        <rFont val="Times New Roman"/>
        <family val="1"/>
      </rPr>
      <t xml:space="preserve"> : capacity of the left entry lane, adjusted for heavy vehicle (pcu/h)</t>
    </r>
    <phoneticPr fontId="1"/>
  </si>
  <si>
    <r>
      <t>C</t>
    </r>
    <r>
      <rPr>
        <vertAlign val="subscript"/>
        <sz val="10"/>
        <color theme="1"/>
        <rFont val="Times New Roman"/>
        <family val="1"/>
      </rPr>
      <t>e,R,pce</t>
    </r>
    <phoneticPr fontId="1"/>
  </si>
  <si>
    <r>
      <t>C</t>
    </r>
    <r>
      <rPr>
        <vertAlign val="subscript"/>
        <sz val="10"/>
        <color theme="1"/>
        <rFont val="Times New Roman"/>
        <family val="1"/>
      </rPr>
      <t>e,L,pce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</si>
  <si>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i, RT</t>
    </r>
    <phoneticPr fontId="1"/>
  </si>
  <si>
    <r>
      <t>v</t>
    </r>
    <r>
      <rPr>
        <vertAlign val="subscript"/>
        <sz val="10"/>
        <color theme="1"/>
        <rFont val="Times New Roman"/>
        <family val="1"/>
      </rPr>
      <t>i, LT</t>
    </r>
    <phoneticPr fontId="1"/>
  </si>
  <si>
    <r>
      <t>C</t>
    </r>
    <r>
      <rPr>
        <vertAlign val="subscript"/>
        <sz val="10"/>
        <color theme="1"/>
        <rFont val="Times New Roman"/>
        <family val="1"/>
      </rPr>
      <t>i, RT</t>
    </r>
    <phoneticPr fontId="1"/>
  </si>
  <si>
    <r>
      <t>C</t>
    </r>
    <r>
      <rPr>
        <vertAlign val="subscript"/>
        <sz val="10"/>
        <color theme="1"/>
        <rFont val="Times New Roman"/>
        <family val="1"/>
      </rPr>
      <t>i, LT</t>
    </r>
    <phoneticPr fontId="1"/>
  </si>
  <si>
    <r>
      <t>x</t>
    </r>
    <r>
      <rPr>
        <vertAlign val="subscript"/>
        <sz val="10"/>
        <color theme="1"/>
        <rFont val="Times New Roman"/>
        <family val="1"/>
      </rPr>
      <t>i, RT</t>
    </r>
    <phoneticPr fontId="1"/>
  </si>
  <si>
    <r>
      <t>x</t>
    </r>
    <r>
      <rPr>
        <vertAlign val="subscript"/>
        <sz val="10"/>
        <color theme="1"/>
        <rFont val="Times New Roman"/>
        <family val="1"/>
      </rPr>
      <t>i, LT</t>
    </r>
    <phoneticPr fontId="1"/>
  </si>
  <si>
    <r>
      <t>d</t>
    </r>
    <r>
      <rPr>
        <vertAlign val="subscript"/>
        <sz val="10"/>
        <color theme="1"/>
        <rFont val="Times New Roman"/>
        <family val="1"/>
      </rPr>
      <t>RT</t>
    </r>
    <r>
      <rPr>
        <sz val="10"/>
        <color theme="1"/>
        <rFont val="Times New Roman"/>
        <family val="1"/>
      </rPr>
      <t xml:space="preserve"> (s/veh)</t>
    </r>
    <phoneticPr fontId="1"/>
  </si>
  <si>
    <r>
      <t>d</t>
    </r>
    <r>
      <rPr>
        <vertAlign val="subscript"/>
        <sz val="10"/>
        <color theme="1"/>
        <rFont val="Times New Roman"/>
        <family val="1"/>
      </rPr>
      <t>LT</t>
    </r>
    <r>
      <rPr>
        <sz val="10"/>
        <color theme="1"/>
        <rFont val="Times New Roman"/>
        <family val="1"/>
      </rPr>
      <t xml:space="preserve"> (s/veh)</t>
    </r>
    <phoneticPr fontId="1"/>
  </si>
  <si>
    <r>
      <t>Q</t>
    </r>
    <r>
      <rPr>
        <vertAlign val="subscript"/>
        <sz val="10"/>
        <color theme="1"/>
        <rFont val="Times New Roman"/>
        <family val="1"/>
      </rPr>
      <t>95, RT</t>
    </r>
    <phoneticPr fontId="1"/>
  </si>
  <si>
    <r>
      <t>Q</t>
    </r>
    <r>
      <rPr>
        <vertAlign val="subscript"/>
        <sz val="10"/>
        <color theme="1"/>
        <rFont val="Times New Roman"/>
        <family val="1"/>
      </rPr>
      <t>95, LT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</si>
</sst>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_ "/>
    <numFmt numFmtId="177" formatCode="0.0%"/>
    <numFmt numFmtId="178" formatCode="#,##0_);[Red]\(#,##0\)"/>
    <numFmt numFmtId="179" formatCode="0.000_);[Red]\(0.000\)"/>
    <numFmt numFmtId="180" formatCode="0.0_ "/>
    <numFmt numFmtId="181" formatCode="0.00_ "/>
    <numFmt numFmtId="182" formatCode="0.00_);[Red]\(0.00\)"/>
    <numFmt numFmtId="183" formatCode="#,##0.0_ 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ＭＳ Ｐ明朝"/>
      <family val="1"/>
      <charset val="128"/>
    </font>
    <font>
      <sz val="6"/>
      <name val="游ゴシック"/>
      <family val="3"/>
      <charset val="128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vertAlign val="subscript"/>
      <sz val="10"/>
      <name val="Times New Roman"/>
      <family val="1"/>
    </font>
    <font>
      <sz val="10"/>
      <color theme="1"/>
      <name val="Times New Roman"/>
      <family val="1"/>
      <charset val="128"/>
    </font>
    <font>
      <vertAlign val="superscript"/>
      <sz val="10"/>
      <color theme="1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177" fontId="2" fillId="0" borderId="0" xfId="0" applyNumberFormat="1" applyFont="1">
      <alignment vertical="center"/>
    </xf>
    <xf numFmtId="176" fontId="6" fillId="0" borderId="1" xfId="0" applyNumberFormat="1" applyFont="1" applyBorder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176" fontId="2" fillId="0" borderId="0" xfId="0" applyNumberFormat="1" applyFont="1">
      <alignment vertical="center"/>
    </xf>
    <xf numFmtId="0" fontId="7" fillId="0" borderId="0" xfId="0" applyFont="1">
      <alignment vertical="center"/>
    </xf>
    <xf numFmtId="176" fontId="6" fillId="0" borderId="0" xfId="0" applyNumberFormat="1" applyFont="1" applyAlignment="1">
      <alignment horizontal="center" vertical="center"/>
    </xf>
    <xf numFmtId="178" fontId="2" fillId="0" borderId="1" xfId="0" applyNumberFormat="1" applyFont="1" applyBorder="1">
      <alignment vertical="center"/>
    </xf>
    <xf numFmtId="179" fontId="2" fillId="0" borderId="1" xfId="0" applyNumberFormat="1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181" fontId="2" fillId="0" borderId="0" xfId="0" applyNumberFormat="1" applyFont="1">
      <alignment vertical="center"/>
    </xf>
    <xf numFmtId="183" fontId="2" fillId="0" borderId="1" xfId="0" applyNumberFormat="1" applyFont="1" applyBorder="1" applyAlignment="1">
      <alignment horizontal="center" vertical="center"/>
    </xf>
    <xf numFmtId="182" fontId="6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182" fontId="6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left" vertical="center" indent="1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9" fontId="2" fillId="3" borderId="0" xfId="0" applyNumberFormat="1" applyFont="1" applyFill="1">
      <alignment vertical="center"/>
    </xf>
    <xf numFmtId="180" fontId="2" fillId="3" borderId="0" xfId="0" applyNumberFormat="1" applyFont="1" applyFill="1">
      <alignment vertical="center"/>
    </xf>
    <xf numFmtId="176" fontId="2" fillId="3" borderId="1" xfId="0" applyNumberFormat="1" applyFont="1" applyFill="1" applyBorder="1" applyAlignment="1">
      <alignment horizontal="right" vertical="center"/>
    </xf>
    <xf numFmtId="181" fontId="2" fillId="3" borderId="0" xfId="0" applyNumberFormat="1" applyFont="1" applyFill="1">
      <alignment vertical="center"/>
    </xf>
    <xf numFmtId="177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7" fontId="2" fillId="0" borderId="1" xfId="0" applyNumberFormat="1" applyFont="1" applyBorder="1">
      <alignment vertical="center"/>
    </xf>
    <xf numFmtId="178" fontId="2" fillId="3" borderId="1" xfId="0" applyNumberFormat="1" applyFont="1" applyFill="1" applyBorder="1">
      <alignment vertical="center"/>
    </xf>
    <xf numFmtId="178" fontId="6" fillId="3" borderId="1" xfId="0" applyNumberFormat="1" applyFont="1" applyFill="1" applyBorder="1">
      <alignment vertical="center"/>
    </xf>
    <xf numFmtId="0" fontId="2" fillId="3" borderId="10" xfId="0" applyFont="1" applyFill="1" applyBorder="1" applyAlignment="1">
      <alignment horizontal="center" vertical="center"/>
    </xf>
    <xf numFmtId="182" fontId="6" fillId="3" borderId="1" xfId="0" applyNumberFormat="1" applyFont="1" applyFill="1" applyBorder="1" applyAlignment="1">
      <alignment horizontal="center" vertical="center"/>
    </xf>
    <xf numFmtId="183" fontId="2" fillId="3" borderId="1" xfId="0" applyNumberFormat="1" applyFont="1" applyFill="1" applyBorder="1" applyAlignment="1">
      <alignment horizontal="center" vertical="center"/>
    </xf>
    <xf numFmtId="180" fontId="2" fillId="3" borderId="1" xfId="0" applyNumberFormat="1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wrapText="1"/>
    </xf>
    <xf numFmtId="180" fontId="2" fillId="0" borderId="2" xfId="0" applyNumberFormat="1" applyFont="1" applyBorder="1" applyAlignment="1">
      <alignment horizontal="center" vertical="center"/>
    </xf>
    <xf numFmtId="180" fontId="2" fillId="0" borderId="7" xfId="0" applyNumberFormat="1" applyFont="1" applyBorder="1" applyAlignment="1">
      <alignment horizontal="center" vertical="center"/>
    </xf>
    <xf numFmtId="180" fontId="2" fillId="0" borderId="3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258417</xdr:colOff>
      <xdr:row>0</xdr:row>
      <xdr:rowOff>90798</xdr:rowOff>
    </xdr:from>
    <xdr:to>
      <xdr:col>15</xdr:col>
      <xdr:colOff>130533</xdr:colOff>
      <xdr:row>24</xdr:row>
      <xdr:rowOff>48369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5AE17CCF-AA25-695D-F51E-00762C86E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6678" y="90798"/>
          <a:ext cx="4430864" cy="4211519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82062</xdr:colOff>
      <xdr:row>1</xdr:row>
      <xdr:rowOff>17584</xdr:rowOff>
    </xdr:from>
    <xdr:to>
      <xdr:col>14</xdr:col>
      <xdr:colOff>145299</xdr:colOff>
      <xdr:row>8</xdr:row>
      <xdr:rowOff>392485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6E1E43A-3EA8-8754-6B2C-10BAFA515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0924" y="187569"/>
          <a:ext cx="4066667" cy="19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188257</xdr:colOff>
      <xdr:row>1</xdr:row>
      <xdr:rowOff>0</xdr:rowOff>
    </xdr:from>
    <xdr:to>
      <xdr:col>17</xdr:col>
      <xdr:colOff>427594</xdr:colOff>
      <xdr:row>14</xdr:row>
      <xdr:rowOff>61489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0E1D378-95E4-4028-ABA7-E6141766D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9128" y="170329"/>
          <a:ext cx="5241642" cy="26971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289559</xdr:colOff>
      <xdr:row>3</xdr:row>
      <xdr:rowOff>38100</xdr:rowOff>
    </xdr:from>
    <xdr:to>
      <xdr:col>14</xdr:col>
      <xdr:colOff>228442</xdr:colOff>
      <xdr:row>19</xdr:row>
      <xdr:rowOff>137160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E9F8E91-E6DA-55D8-3C2C-6BBEEDA8DF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625" t="2549" r="13536" b="15459"/>
        <a:stretch/>
      </xdr:blipFill>
      <xdr:spPr>
        <a:xfrm>
          <a:off x="5234939" y="548640"/>
          <a:ext cx="3939383" cy="3208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4A88-2237-49CB-83A7-933E3B16C94B}">
  <dimension ref="A1:K162"/>
  <sheetViews>
    <sheetView zoomScaleNormal="100" workbookViewId="0">
      <selection activeCell="A2" sqref="A2"/>
    </sheetView>
  </sheetViews>
  <sheetFormatPr defaultColWidth="7.25" defaultRowHeight="13.15"/>
  <cols>
    <col min="1" max="8" width="8.75" style="1" customWidth="1"/>
    <col min="9" max="16384" width="7.25" style="1"/>
  </cols>
  <sheetData>
    <row r="1" spans="1:8">
      <c r="A1" s="1" t="s">
        <v>0</v>
      </c>
    </row>
    <row r="3" spans="1:8" ht="13.9">
      <c r="A3" s="14" t="s">
        <v>1</v>
      </c>
    </row>
    <row r="4" spans="1:8">
      <c r="A4" s="1" t="s">
        <v>2</v>
      </c>
      <c r="G4" s="42">
        <v>4</v>
      </c>
    </row>
    <row r="5" spans="1:8">
      <c r="A5" s="1" t="s">
        <v>3</v>
      </c>
    </row>
    <row r="6" spans="1:8" ht="26.45">
      <c r="A6" s="57"/>
      <c r="B6" s="58"/>
      <c r="C6" s="23" t="s">
        <v>4</v>
      </c>
      <c r="D6" s="23" t="s">
        <v>5</v>
      </c>
      <c r="E6" s="23" t="s">
        <v>6</v>
      </c>
      <c r="F6" s="23" t="s">
        <v>7</v>
      </c>
      <c r="G6" s="3"/>
    </row>
    <row r="7" spans="1:8">
      <c r="A7" s="57" t="s">
        <v>8</v>
      </c>
      <c r="B7" s="58"/>
      <c r="C7" s="41">
        <v>1</v>
      </c>
      <c r="D7" s="41">
        <v>1</v>
      </c>
      <c r="E7" s="41">
        <v>1</v>
      </c>
      <c r="F7" s="41">
        <v>1</v>
      </c>
      <c r="G7" s="5"/>
    </row>
    <row r="8" spans="1:8">
      <c r="A8" s="57" t="s">
        <v>9</v>
      </c>
      <c r="B8" s="58"/>
      <c r="C8" s="41">
        <v>1</v>
      </c>
      <c r="D8" s="41">
        <v>1</v>
      </c>
      <c r="E8" s="41">
        <v>1</v>
      </c>
      <c r="F8" s="41">
        <v>1</v>
      </c>
      <c r="G8" s="5"/>
      <c r="H8" s="6"/>
    </row>
    <row r="10" spans="1:8">
      <c r="A10" s="22" t="s">
        <v>10</v>
      </c>
      <c r="G10" s="42">
        <v>0.94</v>
      </c>
    </row>
    <row r="11" spans="1:8" ht="15.6">
      <c r="A11" s="22" t="s">
        <v>11</v>
      </c>
      <c r="G11" s="43">
        <v>0.02</v>
      </c>
    </row>
    <row r="12" spans="1:8" ht="15.6">
      <c r="A12" s="22" t="s">
        <v>12</v>
      </c>
      <c r="G12" s="44">
        <v>2</v>
      </c>
    </row>
    <row r="13" spans="1:8" ht="15.6">
      <c r="A13" s="22" t="s">
        <v>13</v>
      </c>
    </row>
    <row r="14" spans="1:8">
      <c r="G14" s="7" t="s">
        <v>14</v>
      </c>
    </row>
    <row r="15" spans="1:8">
      <c r="A15" s="24"/>
      <c r="B15" s="25"/>
      <c r="C15" s="57" t="s">
        <v>15</v>
      </c>
      <c r="D15" s="65"/>
      <c r="E15" s="65"/>
      <c r="F15" s="65"/>
      <c r="G15" s="58"/>
    </row>
    <row r="16" spans="1:8">
      <c r="A16" s="26"/>
      <c r="B16" s="27"/>
      <c r="C16" s="28" t="s">
        <v>16</v>
      </c>
      <c r="D16" s="28" t="s">
        <v>17</v>
      </c>
      <c r="E16" s="28" t="s">
        <v>18</v>
      </c>
      <c r="F16" s="28" t="s">
        <v>19</v>
      </c>
      <c r="G16" s="28" t="s">
        <v>20</v>
      </c>
    </row>
    <row r="17" spans="1:8">
      <c r="A17" s="66" t="s">
        <v>21</v>
      </c>
      <c r="B17" s="28" t="s">
        <v>16</v>
      </c>
      <c r="C17" s="45">
        <v>20</v>
      </c>
      <c r="D17" s="45">
        <v>175</v>
      </c>
      <c r="E17" s="45">
        <v>95</v>
      </c>
      <c r="F17" s="45">
        <v>123</v>
      </c>
      <c r="G17" s="9">
        <f>SUM(C17:F17)</f>
        <v>413</v>
      </c>
      <c r="H17" s="10"/>
    </row>
    <row r="18" spans="1:8">
      <c r="A18" s="67"/>
      <c r="B18" s="28" t="s">
        <v>17</v>
      </c>
      <c r="C18" s="45">
        <v>75</v>
      </c>
      <c r="D18" s="45">
        <v>20</v>
      </c>
      <c r="E18" s="45">
        <v>110</v>
      </c>
      <c r="F18" s="45">
        <v>395</v>
      </c>
      <c r="G18" s="9">
        <f>SUM(C18:F18)</f>
        <v>600</v>
      </c>
      <c r="H18" s="10"/>
    </row>
    <row r="19" spans="1:8">
      <c r="A19" s="67"/>
      <c r="B19" s="28" t="s">
        <v>18</v>
      </c>
      <c r="C19" s="45">
        <v>210</v>
      </c>
      <c r="D19" s="45">
        <v>50</v>
      </c>
      <c r="E19" s="45">
        <v>30</v>
      </c>
      <c r="F19" s="45">
        <v>105</v>
      </c>
      <c r="G19" s="9">
        <f>SUM(C19:F19)</f>
        <v>395</v>
      </c>
      <c r="H19" s="10"/>
    </row>
    <row r="20" spans="1:8">
      <c r="A20" s="67"/>
      <c r="B20" s="28" t="s">
        <v>19</v>
      </c>
      <c r="C20" s="45">
        <v>190</v>
      </c>
      <c r="D20" s="45">
        <v>280</v>
      </c>
      <c r="E20" s="45">
        <v>85</v>
      </c>
      <c r="F20" s="45">
        <v>50</v>
      </c>
      <c r="G20" s="9">
        <f>SUM(C20:F20)</f>
        <v>605</v>
      </c>
      <c r="H20" s="10"/>
    </row>
    <row r="21" spans="1:8">
      <c r="A21" s="68"/>
      <c r="B21" s="28" t="s">
        <v>20</v>
      </c>
      <c r="C21" s="11">
        <f>SUM(C17:C20)</f>
        <v>495</v>
      </c>
      <c r="D21" s="11">
        <f>SUM(D17:D20)</f>
        <v>525</v>
      </c>
      <c r="E21" s="11">
        <f>SUM(E17:E20)</f>
        <v>320</v>
      </c>
      <c r="F21" s="8">
        <f>SUM(F17:F20)</f>
        <v>673</v>
      </c>
      <c r="G21" s="9">
        <f>SUM(C21:F21)</f>
        <v>2013</v>
      </c>
    </row>
    <row r="23" spans="1:8">
      <c r="A23" s="22" t="s">
        <v>22</v>
      </c>
    </row>
    <row r="24" spans="1:8">
      <c r="A24" s="22"/>
      <c r="F24" s="7" t="s">
        <v>23</v>
      </c>
    </row>
    <row r="25" spans="1:8">
      <c r="A25" s="57"/>
      <c r="B25" s="58"/>
      <c r="C25" s="31" t="s">
        <v>16</v>
      </c>
      <c r="D25" s="28" t="s">
        <v>17</v>
      </c>
      <c r="E25" s="28" t="s">
        <v>18</v>
      </c>
      <c r="F25" s="28" t="s">
        <v>19</v>
      </c>
    </row>
    <row r="26" spans="1:8">
      <c r="A26" s="32" t="s">
        <v>24</v>
      </c>
      <c r="B26" s="32"/>
      <c r="C26" s="41">
        <v>0</v>
      </c>
      <c r="D26" s="41">
        <v>0</v>
      </c>
      <c r="E26" s="41">
        <v>50</v>
      </c>
      <c r="F26" s="41">
        <v>0</v>
      </c>
    </row>
    <row r="27" spans="1:8">
      <c r="A27" s="6"/>
      <c r="B27" s="6"/>
      <c r="C27" s="12"/>
      <c r="D27" s="12"/>
      <c r="E27" s="12"/>
      <c r="F27" s="12"/>
      <c r="G27" s="13"/>
    </row>
    <row r="28" spans="1:8" ht="13.9">
      <c r="A28" s="14" t="s">
        <v>25</v>
      </c>
    </row>
    <row r="29" spans="1:8" ht="15.6">
      <c r="A29" s="14"/>
      <c r="B29" s="1" t="s">
        <v>26</v>
      </c>
    </row>
    <row r="30" spans="1:8" ht="15.6">
      <c r="A30" s="14"/>
      <c r="B30" s="40" t="s">
        <v>27</v>
      </c>
    </row>
    <row r="31" spans="1:8" ht="15.6">
      <c r="A31" s="14"/>
      <c r="B31" s="40" t="s">
        <v>28</v>
      </c>
    </row>
    <row r="32" spans="1:8" ht="13.9">
      <c r="A32" s="14"/>
      <c r="B32" s="40" t="s">
        <v>29</v>
      </c>
    </row>
    <row r="33" spans="1:8">
      <c r="G33" s="7" t="s">
        <v>14</v>
      </c>
    </row>
    <row r="34" spans="1:8">
      <c r="A34" s="24"/>
      <c r="B34" s="25"/>
      <c r="C34" s="57" t="s">
        <v>15</v>
      </c>
      <c r="D34" s="65"/>
      <c r="E34" s="65"/>
      <c r="F34" s="65"/>
      <c r="G34" s="58"/>
    </row>
    <row r="35" spans="1:8">
      <c r="A35" s="26"/>
      <c r="B35" s="27"/>
      <c r="C35" s="28" t="s">
        <v>16</v>
      </c>
      <c r="D35" s="28" t="s">
        <v>17</v>
      </c>
      <c r="E35" s="28" t="s">
        <v>18</v>
      </c>
      <c r="F35" s="28" t="s">
        <v>19</v>
      </c>
      <c r="G35" s="28" t="s">
        <v>20</v>
      </c>
    </row>
    <row r="36" spans="1:8">
      <c r="A36" s="66" t="s">
        <v>21</v>
      </c>
      <c r="B36" s="28" t="s">
        <v>16</v>
      </c>
      <c r="C36" s="8">
        <f t="shared" ref="C36:F39" si="0">ROUND(C17/$G$10,0)</f>
        <v>21</v>
      </c>
      <c r="D36" s="8">
        <f t="shared" si="0"/>
        <v>186</v>
      </c>
      <c r="E36" s="8">
        <f t="shared" si="0"/>
        <v>101</v>
      </c>
      <c r="F36" s="8">
        <f t="shared" si="0"/>
        <v>131</v>
      </c>
      <c r="G36" s="9">
        <f>SUM(C36:F36)</f>
        <v>439</v>
      </c>
      <c r="H36" s="15"/>
    </row>
    <row r="37" spans="1:8">
      <c r="A37" s="67"/>
      <c r="B37" s="28" t="s">
        <v>17</v>
      </c>
      <c r="C37" s="8">
        <f t="shared" si="0"/>
        <v>80</v>
      </c>
      <c r="D37" s="8">
        <f t="shared" si="0"/>
        <v>21</v>
      </c>
      <c r="E37" s="8">
        <f t="shared" si="0"/>
        <v>117</v>
      </c>
      <c r="F37" s="8">
        <f t="shared" si="0"/>
        <v>420</v>
      </c>
      <c r="G37" s="9">
        <f>SUM(C37:F37)</f>
        <v>638</v>
      </c>
      <c r="H37" s="15"/>
    </row>
    <row r="38" spans="1:8">
      <c r="A38" s="67"/>
      <c r="B38" s="28" t="s">
        <v>18</v>
      </c>
      <c r="C38" s="8">
        <f t="shared" si="0"/>
        <v>223</v>
      </c>
      <c r="D38" s="8">
        <f t="shared" si="0"/>
        <v>53</v>
      </c>
      <c r="E38" s="8">
        <f t="shared" si="0"/>
        <v>32</v>
      </c>
      <c r="F38" s="8">
        <f t="shared" si="0"/>
        <v>112</v>
      </c>
      <c r="G38" s="9">
        <f>SUM(C38:F38)</f>
        <v>420</v>
      </c>
      <c r="H38" s="15"/>
    </row>
    <row r="39" spans="1:8">
      <c r="A39" s="67"/>
      <c r="B39" s="28" t="s">
        <v>19</v>
      </c>
      <c r="C39" s="8">
        <f t="shared" si="0"/>
        <v>202</v>
      </c>
      <c r="D39" s="8">
        <f t="shared" si="0"/>
        <v>298</v>
      </c>
      <c r="E39" s="8">
        <f t="shared" si="0"/>
        <v>90</v>
      </c>
      <c r="F39" s="8">
        <f t="shared" si="0"/>
        <v>53</v>
      </c>
      <c r="G39" s="9">
        <f>SUM(C39:F39)</f>
        <v>643</v>
      </c>
      <c r="H39" s="15"/>
    </row>
    <row r="40" spans="1:8">
      <c r="A40" s="68"/>
      <c r="B40" s="28" t="s">
        <v>20</v>
      </c>
      <c r="C40" s="11">
        <f>SUM(C36:C39)</f>
        <v>526</v>
      </c>
      <c r="D40" s="11">
        <f>SUM(D36:D39)</f>
        <v>558</v>
      </c>
      <c r="E40" s="11">
        <f>SUM(E36:E39)</f>
        <v>340</v>
      </c>
      <c r="F40" s="8">
        <f>SUM(F36:F39)</f>
        <v>716</v>
      </c>
      <c r="G40" s="9">
        <f>SUM(C40:F40)</f>
        <v>2140</v>
      </c>
    </row>
    <row r="41" spans="1:8">
      <c r="B41" s="6"/>
    </row>
    <row r="42" spans="1:8" ht="13.9">
      <c r="A42" s="14" t="s">
        <v>30</v>
      </c>
    </row>
    <row r="43" spans="1:8" ht="15.6">
      <c r="A43" s="14" t="s">
        <v>31</v>
      </c>
      <c r="B43" s="1" t="s">
        <v>32</v>
      </c>
      <c r="G43" s="34">
        <f>1/(1+$G$11*($G$12-1))</f>
        <v>0.98039215686274506</v>
      </c>
    </row>
    <row r="44" spans="1:8" ht="15.6">
      <c r="A44" s="14"/>
      <c r="B44" s="1" t="s">
        <v>33</v>
      </c>
    </row>
    <row r="45" spans="1:8" ht="15.6">
      <c r="A45" s="14"/>
      <c r="B45" s="40" t="s">
        <v>34</v>
      </c>
    </row>
    <row r="46" spans="1:8" ht="15.6">
      <c r="A46" s="14"/>
      <c r="B46" s="40" t="s">
        <v>27</v>
      </c>
    </row>
    <row r="47" spans="1:8" ht="15.6">
      <c r="A47" s="14"/>
      <c r="B47" s="40" t="s">
        <v>35</v>
      </c>
    </row>
    <row r="48" spans="1:8" ht="15.6">
      <c r="A48" s="14"/>
      <c r="B48" s="40" t="s">
        <v>36</v>
      </c>
    </row>
    <row r="49" spans="1:7" ht="15.6">
      <c r="A49" s="14"/>
      <c r="B49" s="40" t="s">
        <v>37</v>
      </c>
    </row>
    <row r="50" spans="1:7">
      <c r="G50" s="7" t="s">
        <v>38</v>
      </c>
    </row>
    <row r="51" spans="1:7">
      <c r="A51" s="24"/>
      <c r="B51" s="25"/>
      <c r="C51" s="57" t="s">
        <v>15</v>
      </c>
      <c r="D51" s="65"/>
      <c r="E51" s="65"/>
      <c r="F51" s="65"/>
      <c r="G51" s="58"/>
    </row>
    <row r="52" spans="1:7">
      <c r="A52" s="26"/>
      <c r="B52" s="27"/>
      <c r="C52" s="28" t="s">
        <v>16</v>
      </c>
      <c r="D52" s="28" t="s">
        <v>17</v>
      </c>
      <c r="E52" s="28" t="s">
        <v>18</v>
      </c>
      <c r="F52" s="28" t="s">
        <v>19</v>
      </c>
      <c r="G52" s="28" t="s">
        <v>20</v>
      </c>
    </row>
    <row r="53" spans="1:7">
      <c r="A53" s="66" t="s">
        <v>21</v>
      </c>
      <c r="B53" s="28" t="s">
        <v>16</v>
      </c>
      <c r="C53" s="8">
        <f t="shared" ref="C53:F56" si="1">ROUND(C36/$G$43,0)</f>
        <v>21</v>
      </c>
      <c r="D53" s="8">
        <f t="shared" si="1"/>
        <v>190</v>
      </c>
      <c r="E53" s="8">
        <f t="shared" si="1"/>
        <v>103</v>
      </c>
      <c r="F53" s="8">
        <f t="shared" si="1"/>
        <v>134</v>
      </c>
      <c r="G53" s="9">
        <f>SUM(C53:F53)</f>
        <v>448</v>
      </c>
    </row>
    <row r="54" spans="1:7">
      <c r="A54" s="67"/>
      <c r="B54" s="28" t="s">
        <v>17</v>
      </c>
      <c r="C54" s="8">
        <f t="shared" si="1"/>
        <v>82</v>
      </c>
      <c r="D54" s="8">
        <f t="shared" si="1"/>
        <v>21</v>
      </c>
      <c r="E54" s="8">
        <f t="shared" si="1"/>
        <v>119</v>
      </c>
      <c r="F54" s="8">
        <f t="shared" si="1"/>
        <v>428</v>
      </c>
      <c r="G54" s="9">
        <f>SUM(C54:F54)</f>
        <v>650</v>
      </c>
    </row>
    <row r="55" spans="1:7">
      <c r="A55" s="67"/>
      <c r="B55" s="28" t="s">
        <v>18</v>
      </c>
      <c r="C55" s="8">
        <f t="shared" si="1"/>
        <v>227</v>
      </c>
      <c r="D55" s="8">
        <f t="shared" si="1"/>
        <v>54</v>
      </c>
      <c r="E55" s="8">
        <f t="shared" si="1"/>
        <v>33</v>
      </c>
      <c r="F55" s="8">
        <f t="shared" si="1"/>
        <v>114</v>
      </c>
      <c r="G55" s="9">
        <f>SUM(C55:F55)</f>
        <v>428</v>
      </c>
    </row>
    <row r="56" spans="1:7">
      <c r="A56" s="67"/>
      <c r="B56" s="28" t="s">
        <v>19</v>
      </c>
      <c r="C56" s="8">
        <f t="shared" si="1"/>
        <v>206</v>
      </c>
      <c r="D56" s="8">
        <f t="shared" si="1"/>
        <v>304</v>
      </c>
      <c r="E56" s="8">
        <f t="shared" si="1"/>
        <v>92</v>
      </c>
      <c r="F56" s="8">
        <f t="shared" si="1"/>
        <v>54</v>
      </c>
      <c r="G56" s="9">
        <f>SUM(C56:F56)</f>
        <v>656</v>
      </c>
    </row>
    <row r="57" spans="1:7">
      <c r="A57" s="68"/>
      <c r="B57" s="28" t="s">
        <v>20</v>
      </c>
      <c r="C57" s="11">
        <f>SUM(C53:C56)</f>
        <v>536</v>
      </c>
      <c r="D57" s="11">
        <f>SUM(D53:D56)</f>
        <v>569</v>
      </c>
      <c r="E57" s="11">
        <f>SUM(E53:E56)</f>
        <v>347</v>
      </c>
      <c r="F57" s="8">
        <f>SUM(F53:F56)</f>
        <v>730</v>
      </c>
      <c r="G57" s="9">
        <f>SUM(C57:F57)</f>
        <v>2182</v>
      </c>
    </row>
    <row r="58" spans="1:7">
      <c r="A58" s="2"/>
    </row>
    <row r="59" spans="1:7" ht="13.9">
      <c r="A59" s="14" t="s">
        <v>39</v>
      </c>
    </row>
    <row r="60" spans="1:7" ht="15.6">
      <c r="A60" s="14"/>
      <c r="B60" s="1" t="s">
        <v>40</v>
      </c>
    </row>
    <row r="61" spans="1:7" ht="15.6">
      <c r="A61" s="14"/>
      <c r="B61" s="1" t="s">
        <v>41</v>
      </c>
    </row>
    <row r="62" spans="1:7" ht="15.6">
      <c r="A62" s="14"/>
      <c r="B62" s="1" t="s">
        <v>42</v>
      </c>
    </row>
    <row r="63" spans="1:7" ht="15.6">
      <c r="A63" s="14"/>
      <c r="B63" s="1" t="s">
        <v>43</v>
      </c>
    </row>
    <row r="64" spans="1:7" ht="15.6">
      <c r="A64" s="14"/>
      <c r="B64" s="40" t="s">
        <v>44</v>
      </c>
    </row>
    <row r="65" spans="1:11">
      <c r="F65" s="7" t="s">
        <v>38</v>
      </c>
    </row>
    <row r="66" spans="1:11" ht="15.6">
      <c r="A66" s="57"/>
      <c r="B66" s="58"/>
      <c r="C66" s="28" t="s">
        <v>45</v>
      </c>
      <c r="D66" s="28" t="s">
        <v>46</v>
      </c>
      <c r="E66" s="28" t="s">
        <v>47</v>
      </c>
      <c r="F66" s="28" t="s">
        <v>48</v>
      </c>
      <c r="H66" s="13"/>
      <c r="I66" s="13"/>
      <c r="J66" s="13"/>
      <c r="K66" s="13"/>
    </row>
    <row r="67" spans="1:11" ht="15.6">
      <c r="A67" s="57" t="s">
        <v>49</v>
      </c>
      <c r="B67" s="58"/>
      <c r="C67" s="9">
        <f>SUM(D54:F54,E55:F55,F56)</f>
        <v>769</v>
      </c>
      <c r="D67" s="9">
        <f>SUM(C53,C55,E55:F55,F56,C56)</f>
        <v>655</v>
      </c>
      <c r="E67" s="9">
        <f>SUM(C53:D53,D54,C56:D56,F56)</f>
        <v>796</v>
      </c>
      <c r="F67" s="9">
        <f>SUM(C53:E53,D54:E54,E55)</f>
        <v>487</v>
      </c>
      <c r="H67" s="13"/>
      <c r="I67" s="13"/>
      <c r="J67" s="13"/>
      <c r="K67" s="13"/>
    </row>
    <row r="68" spans="1:11" ht="15.6">
      <c r="A68" s="57" t="s">
        <v>50</v>
      </c>
      <c r="B68" s="58"/>
      <c r="C68" s="9">
        <f>SUM(E53:E56)</f>
        <v>347</v>
      </c>
      <c r="D68" s="9">
        <f>SUM(F53:F56)</f>
        <v>730</v>
      </c>
      <c r="E68" s="9">
        <f>SUM(C53:C56)</f>
        <v>536</v>
      </c>
      <c r="F68" s="9">
        <f>SUM(D53:D56)</f>
        <v>569</v>
      </c>
      <c r="H68" s="13"/>
      <c r="I68" s="13"/>
      <c r="J68" s="13"/>
      <c r="K68" s="13"/>
    </row>
    <row r="70" spans="1:11" ht="13.9">
      <c r="A70" s="14" t="s">
        <v>51</v>
      </c>
    </row>
    <row r="71" spans="1:11" ht="15.6">
      <c r="A71" s="14"/>
      <c r="B71" s="1" t="s">
        <v>52</v>
      </c>
    </row>
    <row r="72" spans="1:11" ht="15.6">
      <c r="A72" s="14"/>
      <c r="B72" s="40" t="s">
        <v>53</v>
      </c>
    </row>
    <row r="73" spans="1:11">
      <c r="F73" s="7" t="s">
        <v>38</v>
      </c>
    </row>
    <row r="74" spans="1:11" ht="15.6">
      <c r="A74" s="57"/>
      <c r="B74" s="58"/>
      <c r="C74" s="28" t="s">
        <v>54</v>
      </c>
      <c r="D74" s="28" t="s">
        <v>55</v>
      </c>
      <c r="E74" s="28" t="s">
        <v>56</v>
      </c>
      <c r="F74" s="28" t="s">
        <v>57</v>
      </c>
    </row>
    <row r="75" spans="1:11" ht="15.6">
      <c r="A75" s="57" t="s">
        <v>58</v>
      </c>
      <c r="B75" s="58"/>
      <c r="C75" s="9">
        <f>SUM(C53:F53)</f>
        <v>448</v>
      </c>
      <c r="D75" s="9">
        <f>SUM(C54:F54)</f>
        <v>650</v>
      </c>
      <c r="E75" s="9">
        <f>SUM(C55:F55)</f>
        <v>428</v>
      </c>
      <c r="F75" s="9">
        <f>SUM(C56:F56)</f>
        <v>656</v>
      </c>
    </row>
    <row r="77" spans="1:11" ht="13.9">
      <c r="A77" s="14" t="s">
        <v>59</v>
      </c>
    </row>
    <row r="78" spans="1:11" ht="15.6">
      <c r="A78" s="14"/>
      <c r="B78" s="1" t="s">
        <v>60</v>
      </c>
    </row>
    <row r="79" spans="1:11" ht="15.6">
      <c r="A79" s="14"/>
      <c r="B79" s="40" t="s">
        <v>61</v>
      </c>
    </row>
    <row r="80" spans="1:11" ht="15.6">
      <c r="A80" s="14"/>
      <c r="B80" s="40" t="s">
        <v>62</v>
      </c>
    </row>
    <row r="81" spans="1:8">
      <c r="F81" s="7" t="s">
        <v>38</v>
      </c>
    </row>
    <row r="82" spans="1:8" ht="15.6">
      <c r="A82" s="57"/>
      <c r="B82" s="58"/>
      <c r="C82" s="29" t="s">
        <v>63</v>
      </c>
      <c r="D82" s="30" t="s">
        <v>64</v>
      </c>
      <c r="E82" s="30" t="s">
        <v>65</v>
      </c>
      <c r="F82" s="30" t="s">
        <v>66</v>
      </c>
    </row>
    <row r="83" spans="1:8" ht="15.6">
      <c r="A83" s="57" t="s">
        <v>67</v>
      </c>
      <c r="B83" s="58"/>
      <c r="C83" s="16">
        <f>1130*EXP((-1*10^-3)*(C67))</f>
        <v>523.72823364848557</v>
      </c>
      <c r="D83" s="16">
        <f>1130*EXP((-1*10^-3)*(D67))</f>
        <v>586.96953072336441</v>
      </c>
      <c r="E83" s="16">
        <f>1130*EXP((-1*10^-3)*(E67))</f>
        <v>509.77676372543783</v>
      </c>
      <c r="F83" s="16">
        <f>1130*EXP((-1*10^-3)*(F67))</f>
        <v>694.34774722743282</v>
      </c>
    </row>
    <row r="85" spans="1:8" ht="13.9">
      <c r="A85" s="14" t="s">
        <v>68</v>
      </c>
    </row>
    <row r="86" spans="1:8">
      <c r="A86" s="18" t="s">
        <v>69</v>
      </c>
      <c r="B86" s="18"/>
    </row>
    <row r="87" spans="1:8" ht="15.6">
      <c r="A87" s="61" t="s">
        <v>70</v>
      </c>
      <c r="B87" s="61"/>
      <c r="C87" s="61" t="s">
        <v>71</v>
      </c>
      <c r="D87" s="61"/>
      <c r="E87" s="61"/>
      <c r="F87" s="61"/>
      <c r="G87" s="61"/>
      <c r="H87" s="61"/>
    </row>
    <row r="88" spans="1:8">
      <c r="A88" s="69" t="s">
        <v>72</v>
      </c>
      <c r="B88" s="69"/>
      <c r="C88" s="60" t="s">
        <v>73</v>
      </c>
      <c r="D88" s="60"/>
      <c r="E88" s="60"/>
      <c r="F88" s="60"/>
      <c r="G88" s="60"/>
      <c r="H88" s="60"/>
    </row>
    <row r="89" spans="1:8">
      <c r="A89" s="69"/>
      <c r="B89" s="69"/>
      <c r="C89" s="60"/>
      <c r="D89" s="60"/>
      <c r="E89" s="60"/>
      <c r="F89" s="60"/>
      <c r="G89" s="60"/>
      <c r="H89" s="60"/>
    </row>
    <row r="90" spans="1:8" ht="15.6">
      <c r="A90" s="60" t="s">
        <v>74</v>
      </c>
      <c r="B90" s="60"/>
      <c r="C90" s="60" t="s">
        <v>75</v>
      </c>
      <c r="D90" s="59" t="s">
        <v>76</v>
      </c>
      <c r="E90" s="59"/>
      <c r="F90" s="59"/>
      <c r="G90" s="59"/>
    </row>
    <row r="91" spans="1:8" ht="15.6">
      <c r="A91" s="59"/>
      <c r="B91" s="59"/>
      <c r="C91" s="59"/>
      <c r="D91" s="70" t="s">
        <v>77</v>
      </c>
      <c r="E91" s="70"/>
      <c r="F91" s="70"/>
      <c r="G91" s="70"/>
      <c r="H91" s="18"/>
    </row>
    <row r="92" spans="1:8" ht="15.6">
      <c r="B92" s="40" t="s">
        <v>78</v>
      </c>
    </row>
    <row r="93" spans="1:8" ht="15.6">
      <c r="B93" s="40" t="s">
        <v>79</v>
      </c>
    </row>
    <row r="94" spans="1:8" ht="15.6">
      <c r="B94" s="40" t="s">
        <v>80</v>
      </c>
    </row>
    <row r="96" spans="1:8">
      <c r="A96" s="57"/>
      <c r="B96" s="58"/>
      <c r="C96" s="28" t="s">
        <v>16</v>
      </c>
      <c r="D96" s="28" t="s">
        <v>17</v>
      </c>
      <c r="E96" s="28" t="s">
        <v>18</v>
      </c>
      <c r="F96" s="28" t="s">
        <v>19</v>
      </c>
    </row>
    <row r="97" spans="1:6" ht="15.6">
      <c r="A97" s="71" t="s">
        <v>81</v>
      </c>
      <c r="B97" s="72"/>
      <c r="C97" s="17">
        <f>IF(C26&lt;=101,1-0.000137*C26,(1119.5-0.715*C67-0.644*C26+0.00073*C67*C26)/(1068.6-0.654*C67))</f>
        <v>1</v>
      </c>
      <c r="D97" s="17">
        <f>IF(D26&lt;=101,1-0.000137*D26,(1119.5-0.715*D67-0.644*D26+0.00073*D67*D26)/(1068.6-0.654*D67))</f>
        <v>1</v>
      </c>
      <c r="E97" s="17">
        <f>IF(E26&lt;=101,1-0.000137*E26,(1119.5-0.715*E67-0.644*E26+0.00073*E67*E26)/(1068.6-0.654*E67))</f>
        <v>0.99314999999999998</v>
      </c>
      <c r="F97" s="17">
        <f>IF(F26&lt;=101,1-0.000137*F26,(1119.5-0.715*F67-0.644*F26+0.00073*F67*F26)/(1068.6-0.654*F67))</f>
        <v>1</v>
      </c>
    </row>
    <row r="99" spans="1:6" ht="13.9">
      <c r="A99" s="14" t="s">
        <v>82</v>
      </c>
    </row>
    <row r="100" spans="1:6" ht="15.6">
      <c r="A100" s="14"/>
      <c r="B100" s="1" t="s">
        <v>83</v>
      </c>
    </row>
    <row r="101" spans="1:6" ht="15.6">
      <c r="A101" s="14"/>
      <c r="B101" s="40" t="s">
        <v>84</v>
      </c>
    </row>
    <row r="102" spans="1:6" ht="15.6">
      <c r="A102" s="14"/>
      <c r="B102" s="40" t="s">
        <v>85</v>
      </c>
    </row>
    <row r="103" spans="1:6" ht="15.6">
      <c r="A103" s="14"/>
      <c r="B103" s="40" t="s">
        <v>86</v>
      </c>
    </row>
    <row r="104" spans="1:6" ht="15.6">
      <c r="A104" s="14"/>
      <c r="B104" s="1" t="s">
        <v>87</v>
      </c>
    </row>
    <row r="105" spans="1:6" ht="15.6">
      <c r="A105" s="14"/>
      <c r="B105" s="40" t="s">
        <v>88</v>
      </c>
    </row>
    <row r="106" spans="1:6" ht="15.6">
      <c r="A106" s="14"/>
      <c r="B106" s="40" t="s">
        <v>89</v>
      </c>
    </row>
    <row r="107" spans="1:6" ht="15.6">
      <c r="A107" s="14"/>
      <c r="B107" s="40" t="s">
        <v>78</v>
      </c>
    </row>
    <row r="108" spans="1:6" ht="13.9">
      <c r="A108" s="14"/>
    </row>
    <row r="109" spans="1:6">
      <c r="A109" s="63"/>
      <c r="B109" s="64"/>
      <c r="C109" s="28" t="s">
        <v>16</v>
      </c>
      <c r="D109" s="28" t="s">
        <v>17</v>
      </c>
      <c r="E109" s="28" t="s">
        <v>18</v>
      </c>
      <c r="F109" s="28" t="s">
        <v>19</v>
      </c>
    </row>
    <row r="110" spans="1:6" ht="15.6">
      <c r="A110" s="57" t="s">
        <v>90</v>
      </c>
      <c r="B110" s="58"/>
      <c r="C110" s="33">
        <f>ROUND(C75*$G$43,0)</f>
        <v>439</v>
      </c>
      <c r="D110" s="33">
        <f>ROUNDUP(D75*$G$43,0)</f>
        <v>638</v>
      </c>
      <c r="E110" s="33">
        <f>ROUND(E75*$G$43,0)</f>
        <v>420</v>
      </c>
      <c r="F110" s="33">
        <f>ROUND(F75*$G$43,0)</f>
        <v>643</v>
      </c>
    </row>
    <row r="111" spans="1:6" ht="15.6">
      <c r="A111" s="57" t="s">
        <v>91</v>
      </c>
      <c r="B111" s="58"/>
      <c r="C111" s="4">
        <f>ROUNDUP(C83*$G$43*C97,0)</f>
        <v>514</v>
      </c>
      <c r="D111" s="4">
        <f>ROUND(D83*$G$43*D97,0)</f>
        <v>575</v>
      </c>
      <c r="E111" s="4">
        <f>ROUNDUP(E83*$G$43*E97,0)</f>
        <v>497</v>
      </c>
      <c r="F111" s="4">
        <f>ROUNDDOWN(F83*$G$43*F97,0)</f>
        <v>680</v>
      </c>
    </row>
    <row r="113" spans="1:6" ht="13.9">
      <c r="A113" s="14" t="s">
        <v>92</v>
      </c>
    </row>
    <row r="114" spans="1:6" ht="15.6">
      <c r="B114" s="1" t="s">
        <v>93</v>
      </c>
    </row>
    <row r="115" spans="1:6" ht="15.6">
      <c r="B115" s="40" t="s">
        <v>94</v>
      </c>
    </row>
    <row r="116" spans="1:6" ht="15.6">
      <c r="B116" s="40" t="s">
        <v>95</v>
      </c>
    </row>
    <row r="117" spans="1:6" ht="15.6">
      <c r="B117" s="40" t="s">
        <v>96</v>
      </c>
    </row>
    <row r="118" spans="1:6">
      <c r="A118" s="63"/>
      <c r="B118" s="64"/>
      <c r="C118" s="28" t="s">
        <v>16</v>
      </c>
      <c r="D118" s="28" t="s">
        <v>17</v>
      </c>
      <c r="E118" s="28" t="s">
        <v>18</v>
      </c>
      <c r="F118" s="28" t="s">
        <v>19</v>
      </c>
    </row>
    <row r="119" spans="1:6" ht="15.6">
      <c r="A119" s="57" t="s">
        <v>97</v>
      </c>
      <c r="B119" s="58"/>
      <c r="C119" s="38">
        <f>C110/C111</f>
        <v>0.85408560311284043</v>
      </c>
      <c r="D119" s="38">
        <f>D110/D111</f>
        <v>1.1095652173913044</v>
      </c>
      <c r="E119" s="38">
        <f>E110/E111</f>
        <v>0.84507042253521125</v>
      </c>
      <c r="F119" s="38">
        <f>F110/F111</f>
        <v>0.94558823529411762</v>
      </c>
    </row>
    <row r="121" spans="1:6" ht="13.9">
      <c r="A121" s="14" t="s">
        <v>98</v>
      </c>
    </row>
    <row r="122" spans="1:6" ht="15.6">
      <c r="B122" s="1" t="s">
        <v>99</v>
      </c>
    </row>
    <row r="123" spans="1:6">
      <c r="B123" s="40" t="s">
        <v>100</v>
      </c>
    </row>
    <row r="124" spans="1:6">
      <c r="B124" s="40" t="s">
        <v>101</v>
      </c>
    </row>
    <row r="125" spans="1:6">
      <c r="B125" s="40" t="s">
        <v>102</v>
      </c>
    </row>
    <row r="126" spans="1:6">
      <c r="B126" s="40" t="s">
        <v>103</v>
      </c>
    </row>
    <row r="127" spans="1:6">
      <c r="A127" s="63"/>
      <c r="B127" s="64"/>
      <c r="C127" s="28" t="s">
        <v>16</v>
      </c>
      <c r="D127" s="28" t="s">
        <v>17</v>
      </c>
      <c r="E127" s="28" t="s">
        <v>18</v>
      </c>
      <c r="F127" s="28" t="s">
        <v>19</v>
      </c>
    </row>
    <row r="128" spans="1:6">
      <c r="A128" s="57" t="s">
        <v>104</v>
      </c>
      <c r="B128" s="58"/>
      <c r="C128" s="35">
        <f>3600/C111+900*0.25*(C119-1+(((C119-1)^2+(((3600/C111)*C119)/(450*0.25)))^(1/2)))+5*MIN(C119,1)</f>
        <v>39.84164629466536</v>
      </c>
      <c r="D128" s="35">
        <f>3600/D111+900*0.25*(D119-1+(((D119-1)^2+(((3600/D111)*D119)/(450*0.25)))^(1/2)))+5*MIN(D119,1)</f>
        <v>97.017945685236143</v>
      </c>
      <c r="E128" s="35">
        <f>3600/E111+900*0.25*(E119-1+(((E119-1)^2+(((3600/E111)*E119)/(450*0.25)))^(1/2)))+5*MIN(E119,1)</f>
        <v>39.61534169471426</v>
      </c>
      <c r="F128" s="35">
        <f>3600/F111+900*0.25*(F119-1+(((F119-1)^2+(((3600/F111)*F119)/(450*0.25)))^(1/2)))+5*MIN(F119,1)</f>
        <v>46.795810250332401</v>
      </c>
    </row>
    <row r="130" spans="1:6" ht="13.9">
      <c r="A130" s="14" t="s">
        <v>105</v>
      </c>
    </row>
    <row r="132" spans="1:6">
      <c r="B132" s="61" t="s">
        <v>106</v>
      </c>
      <c r="C132" s="61"/>
      <c r="D132" s="19" t="s">
        <v>107</v>
      </c>
      <c r="E132" s="19" t="s">
        <v>108</v>
      </c>
    </row>
    <row r="133" spans="1:6">
      <c r="B133" s="60" t="s">
        <v>109</v>
      </c>
      <c r="C133" s="60"/>
      <c r="D133" s="6" t="s">
        <v>110</v>
      </c>
      <c r="E133" s="6" t="s">
        <v>111</v>
      </c>
    </row>
    <row r="134" spans="1:6">
      <c r="B134" s="60" t="s">
        <v>112</v>
      </c>
      <c r="C134" s="60"/>
      <c r="D134" s="6" t="s">
        <v>113</v>
      </c>
      <c r="E134" s="6" t="s">
        <v>111</v>
      </c>
    </row>
    <row r="135" spans="1:6">
      <c r="B135" s="60" t="s">
        <v>114</v>
      </c>
      <c r="C135" s="60"/>
      <c r="D135" s="6" t="s">
        <v>115</v>
      </c>
      <c r="E135" s="6" t="s">
        <v>111</v>
      </c>
    </row>
    <row r="136" spans="1:6">
      <c r="B136" s="60" t="s">
        <v>116</v>
      </c>
      <c r="C136" s="60"/>
      <c r="D136" s="6" t="s">
        <v>117</v>
      </c>
      <c r="E136" s="6" t="s">
        <v>111</v>
      </c>
    </row>
    <row r="137" spans="1:6">
      <c r="B137" s="60" t="s">
        <v>118</v>
      </c>
      <c r="C137" s="60"/>
      <c r="D137" s="6" t="s">
        <v>119</v>
      </c>
      <c r="E137" s="6" t="s">
        <v>111</v>
      </c>
    </row>
    <row r="138" spans="1:6">
      <c r="B138" s="59" t="s">
        <v>120</v>
      </c>
      <c r="C138" s="59"/>
      <c r="D138" s="20" t="s">
        <v>111</v>
      </c>
      <c r="E138" s="20" t="s">
        <v>111</v>
      </c>
    </row>
    <row r="140" spans="1:6">
      <c r="A140" s="63"/>
      <c r="B140" s="64"/>
      <c r="C140" s="28" t="s">
        <v>16</v>
      </c>
      <c r="D140" s="28" t="s">
        <v>17</v>
      </c>
      <c r="E140" s="28" t="s">
        <v>18</v>
      </c>
      <c r="F140" s="28" t="s">
        <v>19</v>
      </c>
    </row>
    <row r="141" spans="1:6">
      <c r="A141" s="57" t="s">
        <v>121</v>
      </c>
      <c r="B141" s="58"/>
      <c r="C141" s="38" t="str">
        <f>IF(C128&lt;=10,"A",IF(C128&lt;=15,"B",IF(C128&lt;=25,"C",IF(C128&lt;=35,"D",IF(C128&lt;=50,"E",IF(C128&gt;50,"F"))))))</f>
        <v>E</v>
      </c>
      <c r="D141" s="38" t="str">
        <f t="shared" ref="D141:F141" si="2">IF(D128&lt;=10,"A",IF(D128&lt;=15,"B",IF(D128&lt;=25,"C",IF(D128&lt;=35,"D",IF(D128&lt;=50,"E",IF(D128&gt;50,"F"))))))</f>
        <v>F</v>
      </c>
      <c r="E141" s="38" t="str">
        <f t="shared" si="2"/>
        <v>E</v>
      </c>
      <c r="F141" s="38" t="str">
        <f t="shared" si="2"/>
        <v>E</v>
      </c>
    </row>
    <row r="142" spans="1:6">
      <c r="A142" s="37"/>
      <c r="B142" s="37"/>
      <c r="C142" s="36"/>
      <c r="D142" s="36"/>
      <c r="E142" s="36"/>
      <c r="F142" s="36"/>
    </row>
    <row r="143" spans="1:6" ht="13.9">
      <c r="A143" s="14" t="s">
        <v>122</v>
      </c>
      <c r="B143" s="37"/>
      <c r="C143" s="36"/>
      <c r="D143" s="36"/>
      <c r="E143" s="36"/>
      <c r="F143" s="36"/>
    </row>
    <row r="144" spans="1:6" ht="15.6">
      <c r="A144" s="37"/>
      <c r="B144" s="37" t="s">
        <v>123</v>
      </c>
      <c r="C144" s="36"/>
      <c r="D144" s="36"/>
      <c r="E144" s="36"/>
      <c r="F144" s="36"/>
    </row>
    <row r="145" spans="1:7" ht="15.6">
      <c r="A145" s="37"/>
      <c r="B145" s="40" t="s">
        <v>124</v>
      </c>
      <c r="C145" s="36"/>
      <c r="D145" s="36"/>
      <c r="E145" s="36"/>
      <c r="F145" s="36"/>
    </row>
    <row r="146" spans="1:7" ht="15.6">
      <c r="A146" s="37"/>
      <c r="B146" s="40" t="s">
        <v>125</v>
      </c>
      <c r="C146" s="36"/>
      <c r="D146" s="36"/>
      <c r="E146" s="36"/>
      <c r="F146" s="36"/>
    </row>
    <row r="147" spans="1:7" ht="15.6">
      <c r="A147" s="37"/>
      <c r="B147" s="40" t="s">
        <v>126</v>
      </c>
      <c r="C147" s="36"/>
      <c r="D147" s="36"/>
      <c r="E147" s="36"/>
      <c r="F147" s="36"/>
    </row>
    <row r="148" spans="1:7">
      <c r="A148" s="2"/>
    </row>
    <row r="149" spans="1:7">
      <c r="A149" s="57"/>
      <c r="B149" s="58"/>
      <c r="C149" s="28" t="s">
        <v>16</v>
      </c>
      <c r="D149" s="28" t="s">
        <v>17</v>
      </c>
      <c r="E149" s="28" t="s">
        <v>18</v>
      </c>
      <c r="F149" s="28" t="s">
        <v>19</v>
      </c>
    </row>
    <row r="150" spans="1:7" ht="15.6">
      <c r="A150" s="57" t="s">
        <v>127</v>
      </c>
      <c r="B150" s="58"/>
      <c r="C150" s="21">
        <f>C110</f>
        <v>439</v>
      </c>
      <c r="D150" s="21">
        <f>D110</f>
        <v>638</v>
      </c>
      <c r="E150" s="21">
        <f t="shared" ref="E150:F150" si="3">E110</f>
        <v>420</v>
      </c>
      <c r="F150" s="21">
        <f t="shared" si="3"/>
        <v>643</v>
      </c>
    </row>
    <row r="151" spans="1:7" ht="15.6">
      <c r="A151" s="57" t="s">
        <v>128</v>
      </c>
      <c r="B151" s="58"/>
      <c r="C151" s="35">
        <f>C128</f>
        <v>39.84164629466536</v>
      </c>
      <c r="D151" s="35">
        <f t="shared" ref="D151:F151" si="4">D128</f>
        <v>97.017945685236143</v>
      </c>
      <c r="E151" s="35">
        <f t="shared" si="4"/>
        <v>39.61534169471426</v>
      </c>
      <c r="F151" s="35">
        <f t="shared" si="4"/>
        <v>46.795810250332401</v>
      </c>
      <c r="G151" s="13"/>
    </row>
    <row r="152" spans="1:7" ht="15.6">
      <c r="A152" s="57" t="s">
        <v>129</v>
      </c>
      <c r="B152" s="58"/>
      <c r="C152" s="62">
        <f>(C150*C151+D150*D151+E150*E151+F150*F151)/SUM(C150:F150)</f>
        <v>58.932748398730126</v>
      </c>
      <c r="D152" s="62"/>
      <c r="E152" s="62"/>
      <c r="F152" s="62"/>
    </row>
    <row r="154" spans="1:7" ht="13.9">
      <c r="A154" s="14" t="s">
        <v>130</v>
      </c>
    </row>
    <row r="155" spans="1:7" ht="15.6">
      <c r="B155" s="1" t="s">
        <v>131</v>
      </c>
    </row>
    <row r="156" spans="1:7" ht="15.6">
      <c r="B156" s="40" t="s">
        <v>132</v>
      </c>
    </row>
    <row r="157" spans="1:7">
      <c r="B157" s="40" t="s">
        <v>101</v>
      </c>
    </row>
    <row r="158" spans="1:7">
      <c r="B158" s="40" t="s">
        <v>102</v>
      </c>
    </row>
    <row r="159" spans="1:7">
      <c r="B159" s="40" t="s">
        <v>133</v>
      </c>
    </row>
    <row r="161" spans="1:6">
      <c r="A161" s="57"/>
      <c r="B161" s="58"/>
      <c r="C161" s="28" t="s">
        <v>16</v>
      </c>
      <c r="D161" s="28" t="s">
        <v>17</v>
      </c>
      <c r="E161" s="28" t="s">
        <v>18</v>
      </c>
      <c r="F161" s="28" t="s">
        <v>19</v>
      </c>
    </row>
    <row r="162" spans="1:6" ht="15.6">
      <c r="A162" s="56" t="s">
        <v>134</v>
      </c>
      <c r="B162" s="56"/>
      <c r="C162" s="39">
        <f>900*0.25*(C119-1+((1-C119)^2+(3600/497*C119)/(150*0.25))^(1/2))*C111/3600</f>
        <v>9.1771562332898746</v>
      </c>
      <c r="D162" s="39">
        <f>900*0.25*(D119-1+((1-D119)^2+(3600/497*D119)/(150*0.25))^(1/2))*D111/3600</f>
        <v>21.034347545335102</v>
      </c>
      <c r="E162" s="39">
        <f>900*0.25*(E119-1+((1-E119)^2+(3600/497*E119)/(150*0.25))^(1/2))*E111/3600</f>
        <v>8.6284879194202073</v>
      </c>
      <c r="F162" s="39">
        <f>900*0.25*(F119-1+((1-F119)^2+(3600/497*F119)/(150*0.25))^(1/2))*F111/3600</f>
        <v>15.997527662197637</v>
      </c>
    </row>
  </sheetData>
  <mergeCells count="50">
    <mergeCell ref="A25:B25"/>
    <mergeCell ref="A109:B109"/>
    <mergeCell ref="A87:B87"/>
    <mergeCell ref="A97:B97"/>
    <mergeCell ref="A149:B149"/>
    <mergeCell ref="A68:B68"/>
    <mergeCell ref="A119:B119"/>
    <mergeCell ref="A127:B127"/>
    <mergeCell ref="A128:B128"/>
    <mergeCell ref="A140:B140"/>
    <mergeCell ref="A141:B141"/>
    <mergeCell ref="C87:H87"/>
    <mergeCell ref="A88:B89"/>
    <mergeCell ref="C88:H89"/>
    <mergeCell ref="A83:B83"/>
    <mergeCell ref="A96:B96"/>
    <mergeCell ref="D90:G90"/>
    <mergeCell ref="D91:G91"/>
    <mergeCell ref="A90:B91"/>
    <mergeCell ref="C90:C91"/>
    <mergeCell ref="C34:G34"/>
    <mergeCell ref="A36:A40"/>
    <mergeCell ref="A66:B66"/>
    <mergeCell ref="A67:B67"/>
    <mergeCell ref="A82:B82"/>
    <mergeCell ref="C51:G51"/>
    <mergeCell ref="A53:A57"/>
    <mergeCell ref="A74:B74"/>
    <mergeCell ref="A75:B75"/>
    <mergeCell ref="A6:B6"/>
    <mergeCell ref="A7:B7"/>
    <mergeCell ref="A8:B8"/>
    <mergeCell ref="C15:G15"/>
    <mergeCell ref="A17:A21"/>
    <mergeCell ref="A162:B162"/>
    <mergeCell ref="A111:B111"/>
    <mergeCell ref="A110:B110"/>
    <mergeCell ref="B138:C138"/>
    <mergeCell ref="B137:C137"/>
    <mergeCell ref="B136:C136"/>
    <mergeCell ref="B135:C135"/>
    <mergeCell ref="B134:C134"/>
    <mergeCell ref="B133:C133"/>
    <mergeCell ref="B132:C132"/>
    <mergeCell ref="A152:B152"/>
    <mergeCell ref="C152:F152"/>
    <mergeCell ref="A151:B151"/>
    <mergeCell ref="A161:B161"/>
    <mergeCell ref="A150:B150"/>
    <mergeCell ref="A118:B118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3D6C-9FED-4267-B536-D0622D490713}">
  <dimension ref="A1:H176"/>
  <sheetViews>
    <sheetView zoomScaleNormal="100" workbookViewId="0">
      <selection activeCell="B2" sqref="B2"/>
    </sheetView>
  </sheetViews>
  <sheetFormatPr defaultColWidth="7.25" defaultRowHeight="13.15"/>
  <cols>
    <col min="1" max="2" width="8.75" style="1" customWidth="1"/>
    <col min="3" max="7" width="9.5" style="1" customWidth="1"/>
    <col min="8" max="8" width="8.75" style="1" customWidth="1"/>
    <col min="9" max="16384" width="7.25" style="1"/>
  </cols>
  <sheetData>
    <row r="1" spans="1:8">
      <c r="A1" s="1" t="s">
        <v>0</v>
      </c>
    </row>
    <row r="3" spans="1:8" ht="13.9">
      <c r="A3" s="14" t="s">
        <v>1</v>
      </c>
    </row>
    <row r="4" spans="1:8">
      <c r="A4" s="1" t="s">
        <v>2</v>
      </c>
      <c r="G4" s="42">
        <v>4</v>
      </c>
    </row>
    <row r="5" spans="1:8">
      <c r="A5" s="1" t="s">
        <v>3</v>
      </c>
    </row>
    <row r="6" spans="1:8" ht="39.6">
      <c r="A6" s="57"/>
      <c r="B6" s="58"/>
      <c r="C6" s="23" t="s">
        <v>135</v>
      </c>
      <c r="D6" s="23" t="s">
        <v>136</v>
      </c>
      <c r="E6" s="23" t="s">
        <v>137</v>
      </c>
      <c r="F6" s="23" t="s">
        <v>138</v>
      </c>
      <c r="G6" s="3"/>
    </row>
    <row r="7" spans="1:8">
      <c r="A7" s="57" t="s">
        <v>8</v>
      </c>
      <c r="B7" s="58"/>
      <c r="C7" s="41">
        <v>1</v>
      </c>
      <c r="D7" s="41">
        <v>1</v>
      </c>
      <c r="E7" s="41">
        <v>1</v>
      </c>
      <c r="F7" s="41">
        <v>1</v>
      </c>
      <c r="G7" s="5"/>
    </row>
    <row r="8" spans="1:8">
      <c r="A8" s="73" t="s">
        <v>139</v>
      </c>
      <c r="B8" s="58"/>
      <c r="C8" s="41">
        <v>1</v>
      </c>
      <c r="D8" s="41">
        <v>1</v>
      </c>
      <c r="E8" s="41">
        <v>0</v>
      </c>
      <c r="F8" s="41">
        <v>0</v>
      </c>
      <c r="G8" s="5"/>
    </row>
    <row r="9" spans="1:8" ht="42.6" customHeight="1">
      <c r="A9" s="73" t="s">
        <v>140</v>
      </c>
      <c r="B9" s="58"/>
      <c r="C9" s="41">
        <v>2</v>
      </c>
      <c r="D9" s="41">
        <v>1</v>
      </c>
      <c r="E9" s="41" t="s">
        <v>141</v>
      </c>
      <c r="F9" s="41" t="s">
        <v>141</v>
      </c>
      <c r="G9" s="5"/>
    </row>
    <row r="10" spans="1:8">
      <c r="A10" s="57" t="s">
        <v>9</v>
      </c>
      <c r="B10" s="58"/>
      <c r="C10" s="41">
        <v>1</v>
      </c>
      <c r="D10" s="41">
        <v>1</v>
      </c>
      <c r="E10" s="41">
        <v>1</v>
      </c>
      <c r="F10" s="41">
        <v>1</v>
      </c>
      <c r="G10" s="5"/>
      <c r="H10" s="6"/>
    </row>
    <row r="12" spans="1:8">
      <c r="A12" s="22" t="s">
        <v>10</v>
      </c>
      <c r="G12" s="42">
        <v>0.94</v>
      </c>
    </row>
    <row r="13" spans="1:8" ht="15.6">
      <c r="A13" s="22" t="s">
        <v>11</v>
      </c>
      <c r="G13" s="43">
        <v>0.02</v>
      </c>
    </row>
    <row r="14" spans="1:8" ht="15.6">
      <c r="A14" s="22" t="s">
        <v>12</v>
      </c>
      <c r="G14" s="44">
        <v>2</v>
      </c>
    </row>
    <row r="15" spans="1:8" ht="15.6">
      <c r="A15" s="22" t="s">
        <v>13</v>
      </c>
    </row>
    <row r="16" spans="1:8">
      <c r="G16" s="7" t="s">
        <v>14</v>
      </c>
    </row>
    <row r="17" spans="1:8">
      <c r="A17" s="24"/>
      <c r="B17" s="25"/>
      <c r="C17" s="57" t="s">
        <v>15</v>
      </c>
      <c r="D17" s="65"/>
      <c r="E17" s="65"/>
      <c r="F17" s="65"/>
      <c r="G17" s="58"/>
    </row>
    <row r="18" spans="1:8">
      <c r="A18" s="26"/>
      <c r="B18" s="27"/>
      <c r="C18" s="28" t="s">
        <v>16</v>
      </c>
      <c r="D18" s="28" t="s">
        <v>17</v>
      </c>
      <c r="E18" s="28" t="s">
        <v>18</v>
      </c>
      <c r="F18" s="28" t="s">
        <v>19</v>
      </c>
      <c r="G18" s="28" t="s">
        <v>20</v>
      </c>
    </row>
    <row r="19" spans="1:8">
      <c r="A19" s="66" t="s">
        <v>21</v>
      </c>
      <c r="B19" s="28" t="s">
        <v>16</v>
      </c>
      <c r="C19" s="45">
        <v>20</v>
      </c>
      <c r="D19" s="45">
        <v>175</v>
      </c>
      <c r="E19" s="45">
        <v>95</v>
      </c>
      <c r="F19" s="45">
        <v>580</v>
      </c>
      <c r="G19" s="9">
        <f>SUM(C19:F19)</f>
        <v>870</v>
      </c>
      <c r="H19" s="10"/>
    </row>
    <row r="20" spans="1:8">
      <c r="A20" s="67"/>
      <c r="B20" s="28" t="s">
        <v>17</v>
      </c>
      <c r="C20" s="45">
        <v>610</v>
      </c>
      <c r="D20" s="45">
        <v>20</v>
      </c>
      <c r="E20" s="45">
        <v>110</v>
      </c>
      <c r="F20" s="45">
        <v>395</v>
      </c>
      <c r="G20" s="9">
        <f>SUM(C20:F20)</f>
        <v>1135</v>
      </c>
      <c r="H20" s="10"/>
    </row>
    <row r="21" spans="1:8">
      <c r="A21" s="67"/>
      <c r="B21" s="28" t="s">
        <v>18</v>
      </c>
      <c r="C21" s="45">
        <v>210</v>
      </c>
      <c r="D21" s="45">
        <v>50</v>
      </c>
      <c r="E21" s="45">
        <v>30</v>
      </c>
      <c r="F21" s="45">
        <v>105</v>
      </c>
      <c r="G21" s="9">
        <f>SUM(C21:F21)</f>
        <v>395</v>
      </c>
      <c r="H21" s="10"/>
    </row>
    <row r="22" spans="1:8">
      <c r="A22" s="67"/>
      <c r="B22" s="28" t="s">
        <v>19</v>
      </c>
      <c r="C22" s="45">
        <v>190</v>
      </c>
      <c r="D22" s="45">
        <v>280</v>
      </c>
      <c r="E22" s="45">
        <v>85</v>
      </c>
      <c r="F22" s="45">
        <v>50</v>
      </c>
      <c r="G22" s="9">
        <f>SUM(C22:F22)</f>
        <v>605</v>
      </c>
      <c r="H22" s="10"/>
    </row>
    <row r="23" spans="1:8">
      <c r="A23" s="68"/>
      <c r="B23" s="28" t="s">
        <v>20</v>
      </c>
      <c r="C23" s="11">
        <f>SUM(C19:C22)</f>
        <v>1030</v>
      </c>
      <c r="D23" s="11">
        <f>SUM(D19:D22)</f>
        <v>525</v>
      </c>
      <c r="E23" s="11">
        <f>SUM(E19:E22)</f>
        <v>320</v>
      </c>
      <c r="F23" s="8">
        <f>SUM(F19:F22)</f>
        <v>1130</v>
      </c>
      <c r="G23" s="9">
        <f>SUM(C23:F23)</f>
        <v>3005</v>
      </c>
    </row>
    <row r="25" spans="1:8">
      <c r="A25" s="22" t="s">
        <v>22</v>
      </c>
    </row>
    <row r="26" spans="1:8">
      <c r="A26" s="22"/>
      <c r="F26" s="7" t="s">
        <v>23</v>
      </c>
    </row>
    <row r="27" spans="1:8">
      <c r="A27" s="57"/>
      <c r="B27" s="58"/>
      <c r="C27" s="31" t="s">
        <v>16</v>
      </c>
      <c r="D27" s="28" t="s">
        <v>17</v>
      </c>
      <c r="E27" s="28" t="s">
        <v>18</v>
      </c>
      <c r="F27" s="28" t="s">
        <v>19</v>
      </c>
    </row>
    <row r="28" spans="1:8">
      <c r="A28" s="32" t="s">
        <v>24</v>
      </c>
      <c r="B28" s="32"/>
      <c r="C28" s="41">
        <v>0</v>
      </c>
      <c r="D28" s="41">
        <v>0</v>
      </c>
      <c r="E28" s="41">
        <v>50</v>
      </c>
      <c r="F28" s="41">
        <v>0</v>
      </c>
    </row>
    <row r="29" spans="1:8">
      <c r="A29" s="6"/>
      <c r="B29" s="6"/>
      <c r="C29" s="12"/>
      <c r="D29" s="12"/>
      <c r="E29" s="12"/>
      <c r="F29" s="12"/>
      <c r="G29" s="13"/>
    </row>
    <row r="30" spans="1:8" ht="13.9">
      <c r="A30" s="14" t="s">
        <v>25</v>
      </c>
    </row>
    <row r="31" spans="1:8" ht="15.6">
      <c r="A31" s="14"/>
      <c r="B31" s="1" t="s">
        <v>26</v>
      </c>
    </row>
    <row r="32" spans="1:8" ht="15.6">
      <c r="A32" s="14"/>
      <c r="B32" s="40" t="s">
        <v>27</v>
      </c>
    </row>
    <row r="33" spans="1:8" ht="15.6">
      <c r="A33" s="14"/>
      <c r="B33" s="40" t="s">
        <v>28</v>
      </c>
    </row>
    <row r="34" spans="1:8" ht="13.9">
      <c r="A34" s="14"/>
      <c r="B34" s="40" t="s">
        <v>29</v>
      </c>
    </row>
    <row r="35" spans="1:8">
      <c r="G35" s="7" t="s">
        <v>14</v>
      </c>
    </row>
    <row r="36" spans="1:8">
      <c r="A36" s="24"/>
      <c r="B36" s="25"/>
      <c r="C36" s="57" t="s">
        <v>15</v>
      </c>
      <c r="D36" s="65"/>
      <c r="E36" s="65"/>
      <c r="F36" s="65"/>
      <c r="G36" s="58"/>
    </row>
    <row r="37" spans="1:8">
      <c r="A37" s="26"/>
      <c r="B37" s="27"/>
      <c r="C37" s="28" t="s">
        <v>16</v>
      </c>
      <c r="D37" s="28" t="s">
        <v>17</v>
      </c>
      <c r="E37" s="28" t="s">
        <v>18</v>
      </c>
      <c r="F37" s="28" t="s">
        <v>19</v>
      </c>
      <c r="G37" s="28" t="s">
        <v>20</v>
      </c>
    </row>
    <row r="38" spans="1:8">
      <c r="A38" s="66" t="s">
        <v>21</v>
      </c>
      <c r="B38" s="28" t="s">
        <v>16</v>
      </c>
      <c r="C38" s="8">
        <f t="shared" ref="C38:F41" si="0">ROUND(C19/$G$12,0)</f>
        <v>21</v>
      </c>
      <c r="D38" s="8">
        <f t="shared" si="0"/>
        <v>186</v>
      </c>
      <c r="E38" s="8">
        <f t="shared" si="0"/>
        <v>101</v>
      </c>
      <c r="F38" s="8">
        <f t="shared" si="0"/>
        <v>617</v>
      </c>
      <c r="G38" s="9">
        <f>SUM(C38:F38)</f>
        <v>925</v>
      </c>
      <c r="H38" s="15"/>
    </row>
    <row r="39" spans="1:8">
      <c r="A39" s="67"/>
      <c r="B39" s="28" t="s">
        <v>17</v>
      </c>
      <c r="C39" s="8">
        <f t="shared" si="0"/>
        <v>649</v>
      </c>
      <c r="D39" s="8">
        <f t="shared" si="0"/>
        <v>21</v>
      </c>
      <c r="E39" s="8">
        <f t="shared" si="0"/>
        <v>117</v>
      </c>
      <c r="F39" s="8">
        <f t="shared" si="0"/>
        <v>420</v>
      </c>
      <c r="G39" s="9">
        <f>SUM(C39:F39)</f>
        <v>1207</v>
      </c>
      <c r="H39" s="15"/>
    </row>
    <row r="40" spans="1:8">
      <c r="A40" s="67"/>
      <c r="B40" s="28" t="s">
        <v>18</v>
      </c>
      <c r="C40" s="8">
        <f t="shared" si="0"/>
        <v>223</v>
      </c>
      <c r="D40" s="8">
        <f t="shared" si="0"/>
        <v>53</v>
      </c>
      <c r="E40" s="8">
        <f t="shared" si="0"/>
        <v>32</v>
      </c>
      <c r="F40" s="8">
        <f t="shared" si="0"/>
        <v>112</v>
      </c>
      <c r="G40" s="9">
        <f>SUM(C40:F40)</f>
        <v>420</v>
      </c>
      <c r="H40" s="15"/>
    </row>
    <row r="41" spans="1:8">
      <c r="A41" s="67"/>
      <c r="B41" s="28" t="s">
        <v>19</v>
      </c>
      <c r="C41" s="8">
        <f t="shared" si="0"/>
        <v>202</v>
      </c>
      <c r="D41" s="8">
        <f t="shared" si="0"/>
        <v>298</v>
      </c>
      <c r="E41" s="8">
        <f t="shared" si="0"/>
        <v>90</v>
      </c>
      <c r="F41" s="8">
        <f t="shared" si="0"/>
        <v>53</v>
      </c>
      <c r="G41" s="9">
        <f>SUM(C41:F41)</f>
        <v>643</v>
      </c>
      <c r="H41" s="15"/>
    </row>
    <row r="42" spans="1:8">
      <c r="A42" s="68"/>
      <c r="B42" s="28" t="s">
        <v>20</v>
      </c>
      <c r="C42" s="11">
        <f>SUM(C38:C41)</f>
        <v>1095</v>
      </c>
      <c r="D42" s="11">
        <f>SUM(D38:D41)</f>
        <v>558</v>
      </c>
      <c r="E42" s="11">
        <f>SUM(E38:E41)</f>
        <v>340</v>
      </c>
      <c r="F42" s="8">
        <f>SUM(F38:F41)</f>
        <v>1202</v>
      </c>
      <c r="G42" s="9">
        <f>SUM(C42:F42)</f>
        <v>3195</v>
      </c>
    </row>
    <row r="43" spans="1:8">
      <c r="B43" s="6"/>
    </row>
    <row r="44" spans="1:8" ht="13.9">
      <c r="A44" s="14" t="s">
        <v>30</v>
      </c>
    </row>
    <row r="45" spans="1:8" ht="15.6">
      <c r="A45" s="14" t="s">
        <v>31</v>
      </c>
      <c r="B45" s="1" t="s">
        <v>32</v>
      </c>
      <c r="G45" s="34">
        <f>1/(1+$G$13*($G$14-1))</f>
        <v>0.98039215686274506</v>
      </c>
    </row>
    <row r="46" spans="1:8" ht="15.6">
      <c r="A46" s="14"/>
      <c r="B46" s="1" t="s">
        <v>33</v>
      </c>
    </row>
    <row r="47" spans="1:8" ht="15.6">
      <c r="A47" s="14"/>
      <c r="B47" s="40" t="s">
        <v>34</v>
      </c>
    </row>
    <row r="48" spans="1:8" ht="15.6">
      <c r="A48" s="14"/>
      <c r="B48" s="40" t="s">
        <v>27</v>
      </c>
    </row>
    <row r="49" spans="1:7" ht="15.6">
      <c r="A49" s="14"/>
      <c r="B49" s="40" t="s">
        <v>35</v>
      </c>
    </row>
    <row r="50" spans="1:7" ht="15.6">
      <c r="A50" s="14"/>
      <c r="B50" s="40" t="s">
        <v>36</v>
      </c>
    </row>
    <row r="51" spans="1:7" ht="15.6">
      <c r="A51" s="14"/>
      <c r="B51" s="40" t="s">
        <v>37</v>
      </c>
    </row>
    <row r="52" spans="1:7">
      <c r="G52" s="7" t="s">
        <v>38</v>
      </c>
    </row>
    <row r="53" spans="1:7">
      <c r="A53" s="24"/>
      <c r="B53" s="25"/>
      <c r="C53" s="57" t="s">
        <v>15</v>
      </c>
      <c r="D53" s="65"/>
      <c r="E53" s="65"/>
      <c r="F53" s="65"/>
      <c r="G53" s="58"/>
    </row>
    <row r="54" spans="1:7">
      <c r="A54" s="26"/>
      <c r="B54" s="27"/>
      <c r="C54" s="28" t="s">
        <v>16</v>
      </c>
      <c r="D54" s="28" t="s">
        <v>17</v>
      </c>
      <c r="E54" s="28" t="s">
        <v>18</v>
      </c>
      <c r="F54" s="28" t="s">
        <v>19</v>
      </c>
      <c r="G54" s="28" t="s">
        <v>20</v>
      </c>
    </row>
    <row r="55" spans="1:7">
      <c r="A55" s="66" t="s">
        <v>21</v>
      </c>
      <c r="B55" s="28" t="s">
        <v>16</v>
      </c>
      <c r="C55" s="8">
        <f t="shared" ref="C55:F58" si="1">ROUND(C38/$G$45,0)</f>
        <v>21</v>
      </c>
      <c r="D55" s="8">
        <f t="shared" si="1"/>
        <v>190</v>
      </c>
      <c r="E55" s="8">
        <f t="shared" si="1"/>
        <v>103</v>
      </c>
      <c r="F55" s="8">
        <f t="shared" si="1"/>
        <v>629</v>
      </c>
      <c r="G55" s="9">
        <f>SUM(C55:F55)</f>
        <v>943</v>
      </c>
    </row>
    <row r="56" spans="1:7">
      <c r="A56" s="67"/>
      <c r="B56" s="28" t="s">
        <v>17</v>
      </c>
      <c r="C56" s="8">
        <f t="shared" si="1"/>
        <v>662</v>
      </c>
      <c r="D56" s="8">
        <f t="shared" si="1"/>
        <v>21</v>
      </c>
      <c r="E56" s="8">
        <f t="shared" si="1"/>
        <v>119</v>
      </c>
      <c r="F56" s="8">
        <f t="shared" si="1"/>
        <v>428</v>
      </c>
      <c r="G56" s="9">
        <f>SUM(C56:F56)</f>
        <v>1230</v>
      </c>
    </row>
    <row r="57" spans="1:7">
      <c r="A57" s="67"/>
      <c r="B57" s="28" t="s">
        <v>18</v>
      </c>
      <c r="C57" s="8">
        <f t="shared" si="1"/>
        <v>227</v>
      </c>
      <c r="D57" s="8">
        <f t="shared" si="1"/>
        <v>54</v>
      </c>
      <c r="E57" s="8">
        <f t="shared" si="1"/>
        <v>33</v>
      </c>
      <c r="F57" s="8">
        <f t="shared" si="1"/>
        <v>114</v>
      </c>
      <c r="G57" s="9">
        <f>SUM(C57:F57)</f>
        <v>428</v>
      </c>
    </row>
    <row r="58" spans="1:7">
      <c r="A58" s="67"/>
      <c r="B58" s="28" t="s">
        <v>19</v>
      </c>
      <c r="C58" s="8">
        <f t="shared" si="1"/>
        <v>206</v>
      </c>
      <c r="D58" s="8">
        <f t="shared" si="1"/>
        <v>304</v>
      </c>
      <c r="E58" s="8">
        <f t="shared" si="1"/>
        <v>92</v>
      </c>
      <c r="F58" s="8">
        <f t="shared" si="1"/>
        <v>54</v>
      </c>
      <c r="G58" s="9">
        <f>SUM(C58:F58)</f>
        <v>656</v>
      </c>
    </row>
    <row r="59" spans="1:7">
      <c r="A59" s="68"/>
      <c r="B59" s="28" t="s">
        <v>20</v>
      </c>
      <c r="C59" s="11">
        <f>SUM(C55:C58)</f>
        <v>1116</v>
      </c>
      <c r="D59" s="11">
        <f>SUM(D55:D58)</f>
        <v>569</v>
      </c>
      <c r="E59" s="11">
        <f>SUM(E55:E58)</f>
        <v>347</v>
      </c>
      <c r="F59" s="8">
        <f>SUM(F55:F58)</f>
        <v>1225</v>
      </c>
      <c r="G59" s="9">
        <f>SUM(C59:F59)</f>
        <v>3257</v>
      </c>
    </row>
    <row r="60" spans="1:7">
      <c r="A60" s="2"/>
    </row>
    <row r="61" spans="1:7" ht="13.9">
      <c r="A61" s="14" t="s">
        <v>39</v>
      </c>
    </row>
    <row r="62" spans="1:7" ht="15.6">
      <c r="A62" s="14"/>
      <c r="B62" s="1" t="s">
        <v>40</v>
      </c>
    </row>
    <row r="63" spans="1:7" ht="15.6">
      <c r="A63" s="14"/>
      <c r="B63" s="1" t="s">
        <v>41</v>
      </c>
    </row>
    <row r="64" spans="1:7" ht="15.6">
      <c r="A64" s="14"/>
      <c r="B64" s="1" t="s">
        <v>42</v>
      </c>
    </row>
    <row r="65" spans="1:6" ht="15.6">
      <c r="A65" s="14"/>
      <c r="B65" s="1" t="s">
        <v>43</v>
      </c>
    </row>
    <row r="66" spans="1:6" ht="15.6">
      <c r="A66" s="14"/>
      <c r="B66" s="40" t="s">
        <v>142</v>
      </c>
    </row>
    <row r="67" spans="1:6" ht="15.6">
      <c r="A67" s="14"/>
      <c r="B67" s="40" t="s">
        <v>143</v>
      </c>
    </row>
    <row r="68" spans="1:6">
      <c r="F68" s="7" t="s">
        <v>38</v>
      </c>
    </row>
    <row r="69" spans="1:6" ht="15.6">
      <c r="A69" s="57"/>
      <c r="B69" s="58"/>
      <c r="C69" s="28" t="s">
        <v>45</v>
      </c>
      <c r="D69" s="28" t="s">
        <v>46</v>
      </c>
      <c r="E69" s="28" t="s">
        <v>47</v>
      </c>
      <c r="F69" s="28" t="s">
        <v>48</v>
      </c>
    </row>
    <row r="70" spans="1:6" ht="15.6">
      <c r="A70" s="57" t="s">
        <v>49</v>
      </c>
      <c r="B70" s="58"/>
      <c r="C70" s="9">
        <f>SUM(D56:F56,E57:F57,F58)</f>
        <v>769</v>
      </c>
      <c r="D70" s="9">
        <f>SUM(C55,C57,E57:F57,F58,C58)</f>
        <v>655</v>
      </c>
      <c r="E70" s="9">
        <f>SUM(C55:D55,D56,C58:D58,F58)</f>
        <v>796</v>
      </c>
      <c r="F70" s="9">
        <f>SUM(C55:E55,D56:E56,E57)</f>
        <v>487</v>
      </c>
    </row>
    <row r="71" spans="1:6" ht="15.6">
      <c r="A71" s="57" t="s">
        <v>144</v>
      </c>
      <c r="B71" s="58"/>
      <c r="C71" s="9">
        <f>SUM(E55:E58)-IF(F8&gt;=1,E58,0)</f>
        <v>347</v>
      </c>
      <c r="D71" s="9">
        <f>SUM(D55:D58)-IF(E8&gt;=1,D57)</f>
        <v>569</v>
      </c>
      <c r="E71" s="9">
        <f>SUM(C55:C58)-IF(D8&gt;=1,C56)</f>
        <v>454</v>
      </c>
      <c r="F71" s="9">
        <f>SUM(F55:F58)-IF(C8&gt;=1,F55)</f>
        <v>596</v>
      </c>
    </row>
    <row r="73" spans="1:6" ht="13.9">
      <c r="A73" s="14" t="s">
        <v>51</v>
      </c>
    </row>
    <row r="74" spans="1:6" ht="15.6">
      <c r="A74" s="14"/>
      <c r="B74" s="1" t="s">
        <v>52</v>
      </c>
    </row>
    <row r="75" spans="1:6" ht="15.6">
      <c r="A75" s="14"/>
      <c r="B75" s="40" t="s">
        <v>53</v>
      </c>
    </row>
    <row r="76" spans="1:6">
      <c r="F76" s="7" t="s">
        <v>38</v>
      </c>
    </row>
    <row r="77" spans="1:6" ht="15.6">
      <c r="A77" s="57"/>
      <c r="B77" s="58"/>
      <c r="C77" s="28" t="s">
        <v>54</v>
      </c>
      <c r="D77" s="28" t="s">
        <v>55</v>
      </c>
      <c r="E77" s="28" t="s">
        <v>56</v>
      </c>
      <c r="F77" s="28" t="s">
        <v>57</v>
      </c>
    </row>
    <row r="78" spans="1:6" ht="15.6">
      <c r="A78" s="57" t="s">
        <v>58</v>
      </c>
      <c r="B78" s="58"/>
      <c r="C78" s="9">
        <f>SUM(C55:F55)-IF(C8&gt;=1,F55,0)</f>
        <v>314</v>
      </c>
      <c r="D78" s="9">
        <f>SUM(C56:F56)-IF(D8&gt;=1,C56,0)</f>
        <v>568</v>
      </c>
      <c r="E78" s="9">
        <f>SUM(C57:F57)-IF(E8&gt;=1,D57,0)</f>
        <v>428</v>
      </c>
      <c r="F78" s="9">
        <f>SUM(C58:F58)-IF(F8&gt;=1,E58,0)</f>
        <v>656</v>
      </c>
    </row>
    <row r="80" spans="1:6" ht="13.9">
      <c r="A80" s="14" t="s">
        <v>59</v>
      </c>
    </row>
    <row r="81" spans="1:8" ht="15.6">
      <c r="A81" s="14"/>
      <c r="B81" s="1" t="s">
        <v>145</v>
      </c>
    </row>
    <row r="82" spans="1:8" ht="15.6">
      <c r="A82" s="14"/>
      <c r="B82" s="40" t="s">
        <v>61</v>
      </c>
    </row>
    <row r="83" spans="1:8" ht="15.6">
      <c r="A83" s="14"/>
      <c r="B83" s="40" t="s">
        <v>146</v>
      </c>
    </row>
    <row r="84" spans="1:8" ht="15.6">
      <c r="A84" s="14"/>
      <c r="B84" s="40" t="s">
        <v>147</v>
      </c>
    </row>
    <row r="85" spans="1:8">
      <c r="F85" s="7" t="s">
        <v>38</v>
      </c>
    </row>
    <row r="86" spans="1:8" ht="15.6">
      <c r="A86" s="57"/>
      <c r="B86" s="58"/>
      <c r="C86" s="29" t="s">
        <v>63</v>
      </c>
      <c r="D86" s="30" t="s">
        <v>64</v>
      </c>
      <c r="E86" s="30" t="s">
        <v>65</v>
      </c>
      <c r="F86" s="30" t="s">
        <v>66</v>
      </c>
    </row>
    <row r="87" spans="1:8" ht="15.6">
      <c r="A87" s="57" t="s">
        <v>67</v>
      </c>
      <c r="B87" s="58"/>
      <c r="C87" s="16">
        <f>1130*EXP((-1*10^-3)*(C70))</f>
        <v>523.72823364848557</v>
      </c>
      <c r="D87" s="16">
        <f>1130*EXP((-1*10^-3)*(D70))</f>
        <v>586.96953072336441</v>
      </c>
      <c r="E87" s="16">
        <f>1130*EXP((-1*10^-3)*(E70))</f>
        <v>509.77676372543783</v>
      </c>
      <c r="F87" s="16">
        <f>1130*EXP((-1*10^-3)*(F70))</f>
        <v>694.34774722743282</v>
      </c>
    </row>
    <row r="88" spans="1:8" ht="15.6">
      <c r="A88" s="57" t="s">
        <v>148</v>
      </c>
      <c r="B88" s="58"/>
      <c r="C88" s="16">
        <f>IF(AND(C8&gt;=1,C9=1),1130*EXP((-1*10^-3)*(D71)),0)</f>
        <v>0</v>
      </c>
      <c r="D88" s="16">
        <f>IF(AND(D8&gt;=1,D9=1),1130*EXP((-1*10^-3)*(E71)),0)</f>
        <v>717.64348856789877</v>
      </c>
      <c r="E88" s="16">
        <f>IF(AND(E8&gt;=1,E9=1),1130*EXP((-1*10^-3)*(F71)),0)</f>
        <v>0</v>
      </c>
      <c r="F88" s="16">
        <f>IF(AND(F8&gt;=1,F9=1),1130*EXP((-1*10^-3)*(C71)),0)</f>
        <v>0</v>
      </c>
    </row>
    <row r="90" spans="1:8" ht="13.9">
      <c r="A90" s="14" t="s">
        <v>68</v>
      </c>
    </row>
    <row r="91" spans="1:8">
      <c r="A91" s="18" t="s">
        <v>69</v>
      </c>
      <c r="B91" s="18"/>
    </row>
    <row r="92" spans="1:8" ht="15.6">
      <c r="A92" s="61" t="s">
        <v>70</v>
      </c>
      <c r="B92" s="61"/>
      <c r="C92" s="61" t="s">
        <v>71</v>
      </c>
      <c r="D92" s="61"/>
      <c r="E92" s="61"/>
      <c r="F92" s="61"/>
      <c r="G92" s="61"/>
      <c r="H92" s="61"/>
    </row>
    <row r="93" spans="1:8">
      <c r="A93" s="69" t="s">
        <v>72</v>
      </c>
      <c r="B93" s="69"/>
      <c r="C93" s="60" t="s">
        <v>73</v>
      </c>
      <c r="D93" s="60"/>
      <c r="E93" s="60"/>
      <c r="F93" s="60"/>
      <c r="G93" s="60"/>
      <c r="H93" s="60"/>
    </row>
    <row r="94" spans="1:8">
      <c r="A94" s="69"/>
      <c r="B94" s="69"/>
      <c r="C94" s="60"/>
      <c r="D94" s="60"/>
      <c r="E94" s="60"/>
      <c r="F94" s="60"/>
      <c r="G94" s="60"/>
      <c r="H94" s="60"/>
    </row>
    <row r="95" spans="1:8" ht="15.6">
      <c r="A95" s="60" t="s">
        <v>74</v>
      </c>
      <c r="B95" s="60"/>
      <c r="C95" s="60" t="s">
        <v>75</v>
      </c>
      <c r="D95" s="59" t="s">
        <v>76</v>
      </c>
      <c r="E95" s="59"/>
      <c r="F95" s="59"/>
      <c r="G95" s="59"/>
    </row>
    <row r="96" spans="1:8" ht="15.6">
      <c r="A96" s="59"/>
      <c r="B96" s="59"/>
      <c r="C96" s="59"/>
      <c r="D96" s="70" t="s">
        <v>77</v>
      </c>
      <c r="E96" s="70"/>
      <c r="F96" s="70"/>
      <c r="G96" s="70"/>
      <c r="H96" s="18"/>
    </row>
    <row r="97" spans="1:6" ht="15.6">
      <c r="B97" s="40" t="s">
        <v>78</v>
      </c>
    </row>
    <row r="98" spans="1:6" ht="15.6">
      <c r="B98" s="40" t="s">
        <v>79</v>
      </c>
    </row>
    <row r="99" spans="1:6" ht="15.6">
      <c r="B99" s="40" t="s">
        <v>80</v>
      </c>
    </row>
    <row r="101" spans="1:6">
      <c r="A101" s="57"/>
      <c r="B101" s="58"/>
      <c r="C101" s="28" t="s">
        <v>16</v>
      </c>
      <c r="D101" s="28" t="s">
        <v>17</v>
      </c>
      <c r="E101" s="28" t="s">
        <v>18</v>
      </c>
      <c r="F101" s="28" t="s">
        <v>19</v>
      </c>
    </row>
    <row r="102" spans="1:6" ht="15.6">
      <c r="A102" s="71" t="s">
        <v>81</v>
      </c>
      <c r="B102" s="72"/>
      <c r="C102" s="17">
        <f>IF(C28&lt;=101,1-0.000137*C28,(1119.5-0.715*C70-0.644*C28+0.00073*C70*C28)/(1068.6-0.654*C70))</f>
        <v>1</v>
      </c>
      <c r="D102" s="17">
        <f>IF(D28&lt;=101,1-0.000137*D28,(1119.5-0.715*D70-0.644*D28+0.00073*D70*D28)/(1068.6-0.654*D70))</f>
        <v>1</v>
      </c>
      <c r="E102" s="17">
        <f>IF(E28&lt;=101,1-0.000137*E28,(1119.5-0.715*E70-0.644*E28+0.00073*E70*E28)/(1068.6-0.654*E70))</f>
        <v>0.99314999999999998</v>
      </c>
      <c r="F102" s="17">
        <f>IF(F28&lt;=101,1-0.000137*F28,(1119.5-0.715*F70-0.644*F28+0.00073*F70*F28)/(1068.6-0.654*F70))</f>
        <v>1</v>
      </c>
    </row>
    <row r="104" spans="1:6" ht="13.9">
      <c r="A104" s="14" t="s">
        <v>82</v>
      </c>
    </row>
    <row r="105" spans="1:6" ht="15.6">
      <c r="A105" s="14"/>
      <c r="B105" s="1" t="s">
        <v>83</v>
      </c>
    </row>
    <row r="106" spans="1:6" ht="15.6">
      <c r="A106" s="14"/>
      <c r="B106" s="40" t="s">
        <v>84</v>
      </c>
    </row>
    <row r="107" spans="1:6" ht="15.6">
      <c r="A107" s="14"/>
      <c r="B107" s="40" t="s">
        <v>85</v>
      </c>
    </row>
    <row r="108" spans="1:6" ht="15.6">
      <c r="A108" s="14"/>
      <c r="B108" s="40" t="s">
        <v>86</v>
      </c>
    </row>
    <row r="109" spans="1:6" ht="15.6">
      <c r="A109" s="14"/>
      <c r="B109" s="1" t="s">
        <v>87</v>
      </c>
    </row>
    <row r="110" spans="1:6" ht="15.6">
      <c r="A110" s="14"/>
      <c r="B110" s="40" t="s">
        <v>88</v>
      </c>
    </row>
    <row r="111" spans="1:6" ht="15.6">
      <c r="A111" s="14"/>
      <c r="B111" s="40" t="s">
        <v>89</v>
      </c>
    </row>
    <row r="112" spans="1:6" ht="15.6">
      <c r="A112" s="14"/>
      <c r="B112" s="40" t="s">
        <v>78</v>
      </c>
    </row>
    <row r="113" spans="1:6" ht="15.6">
      <c r="A113" s="14"/>
      <c r="B113" s="40" t="s">
        <v>149</v>
      </c>
    </row>
    <row r="114" spans="1:6" ht="13.9">
      <c r="A114" s="14"/>
    </row>
    <row r="115" spans="1:6">
      <c r="A115" s="63"/>
      <c r="B115" s="64"/>
      <c r="C115" s="28" t="s">
        <v>16</v>
      </c>
      <c r="D115" s="28" t="s">
        <v>17</v>
      </c>
      <c r="E115" s="28" t="s">
        <v>18</v>
      </c>
      <c r="F115" s="28" t="s">
        <v>19</v>
      </c>
    </row>
    <row r="116" spans="1:6" ht="15.6">
      <c r="A116" s="57" t="s">
        <v>90</v>
      </c>
      <c r="B116" s="58"/>
      <c r="C116" s="33">
        <f>ROUND(C78*$G$45,0)</f>
        <v>308</v>
      </c>
      <c r="D116" s="33">
        <f>ROUND(D78*$G$45,0)</f>
        <v>557</v>
      </c>
      <c r="E116" s="33">
        <f>ROUND(E78*$G$45,0)</f>
        <v>420</v>
      </c>
      <c r="F116" s="33">
        <f>ROUND(F78*$G$45,0)</f>
        <v>643</v>
      </c>
    </row>
    <row r="117" spans="1:6" ht="15.6">
      <c r="A117" s="57" t="s">
        <v>91</v>
      </c>
      <c r="B117" s="58"/>
      <c r="C117" s="4">
        <f>ROUNDUP(C87*$G$45*C102,0)</f>
        <v>514</v>
      </c>
      <c r="D117" s="4">
        <f>ROUND(D87*$G$45*D102,0)</f>
        <v>575</v>
      </c>
      <c r="E117" s="4">
        <f>ROUNDUP(E87*$G$45*E102,0)</f>
        <v>497</v>
      </c>
      <c r="F117" s="4">
        <f>ROUNDDOWN(F87*$G$45*F102,0)</f>
        <v>680</v>
      </c>
    </row>
    <row r="118" spans="1:6" ht="15.6">
      <c r="A118" s="57" t="s">
        <v>150</v>
      </c>
      <c r="B118" s="58"/>
      <c r="C118" s="4">
        <f>IF(C8&gt;=1,ROUND(F55*$G$45,0),0)</f>
        <v>617</v>
      </c>
      <c r="D118" s="4">
        <f>IF(AND(D8&gt;=1,D9=1),ROUND(C56*$G$45,0),0)</f>
        <v>649</v>
      </c>
      <c r="E118" s="4">
        <f>IF(E8&gt;=1,ROUND(D57*$G$45,0),0)</f>
        <v>0</v>
      </c>
      <c r="F118" s="4">
        <f>IF(F8&gt;=1,ROUND(E58*$G$45,0),0)</f>
        <v>0</v>
      </c>
    </row>
    <row r="119" spans="1:6" ht="15.6">
      <c r="A119" s="57" t="s">
        <v>151</v>
      </c>
      <c r="B119" s="58"/>
      <c r="C119" s="4">
        <f>ROUNDUP(C88*$G$45*C102,0)</f>
        <v>0</v>
      </c>
      <c r="D119" s="4">
        <f>ROUNDUP(D88*$G$45*D102,0)</f>
        <v>704</v>
      </c>
      <c r="E119" s="4">
        <f t="shared" ref="E119:F119" si="2">ROUNDUP(E88*$G$45*E102,0)</f>
        <v>0</v>
      </c>
      <c r="F119" s="4">
        <f t="shared" si="2"/>
        <v>0</v>
      </c>
    </row>
    <row r="121" spans="1:6" ht="13.9">
      <c r="A121" s="14" t="s">
        <v>92</v>
      </c>
    </row>
    <row r="122" spans="1:6" ht="15.6">
      <c r="B122" s="1" t="s">
        <v>93</v>
      </c>
    </row>
    <row r="123" spans="1:6" ht="15.6">
      <c r="B123" s="40" t="s">
        <v>94</v>
      </c>
    </row>
    <row r="124" spans="1:6" ht="15.6">
      <c r="B124" s="40" t="s">
        <v>95</v>
      </c>
    </row>
    <row r="125" spans="1:6" ht="15.6">
      <c r="B125" s="40" t="s">
        <v>96</v>
      </c>
    </row>
    <row r="126" spans="1:6" ht="15.6">
      <c r="B126" s="40" t="s">
        <v>152</v>
      </c>
    </row>
    <row r="127" spans="1:6">
      <c r="A127" s="63"/>
      <c r="B127" s="64"/>
      <c r="C127" s="28" t="s">
        <v>16</v>
      </c>
      <c r="D127" s="28" t="s">
        <v>17</v>
      </c>
      <c r="E127" s="28" t="s">
        <v>18</v>
      </c>
      <c r="F127" s="28" t="s">
        <v>19</v>
      </c>
    </row>
    <row r="128" spans="1:6" ht="15.6">
      <c r="A128" s="57" t="s">
        <v>97</v>
      </c>
      <c r="B128" s="58"/>
      <c r="C128" s="38">
        <f>C116/C117</f>
        <v>0.59922178988326846</v>
      </c>
      <c r="D128" s="38">
        <f>D116/D117</f>
        <v>0.96869565217391307</v>
      </c>
      <c r="E128" s="38">
        <f>E116/E117</f>
        <v>0.84507042253521125</v>
      </c>
      <c r="F128" s="38">
        <f>F116/F117</f>
        <v>0.94558823529411762</v>
      </c>
    </row>
    <row r="129" spans="1:6" ht="15.6">
      <c r="A129" s="57" t="s">
        <v>153</v>
      </c>
      <c r="B129" s="58"/>
      <c r="C129" s="38" t="str">
        <f>IF(AND(C8&gt;=1,C9=1),C118/C119,"-")</f>
        <v>-</v>
      </c>
      <c r="D129" s="38">
        <f>IF(AND(D8&gt;=1,D9=1),D118/D119,"-")</f>
        <v>0.921875</v>
      </c>
      <c r="E129" s="38" t="str">
        <f>IF(AND(E8&gt;=1,E9=1),E118/E119,"-")</f>
        <v>-</v>
      </c>
      <c r="F129" s="38" t="str">
        <f>IF(AND(F8&gt;=1,F9=1),F118/F119,"-")</f>
        <v>-</v>
      </c>
    </row>
    <row r="131" spans="1:6" ht="13.9">
      <c r="A131" s="14" t="s">
        <v>98</v>
      </c>
    </row>
    <row r="132" spans="1:6" ht="15.6">
      <c r="B132" s="1" t="s">
        <v>99</v>
      </c>
    </row>
    <row r="133" spans="1:6">
      <c r="B133" s="40" t="s">
        <v>100</v>
      </c>
    </row>
    <row r="134" spans="1:6">
      <c r="B134" s="40" t="s">
        <v>101</v>
      </c>
    </row>
    <row r="135" spans="1:6">
      <c r="B135" s="40" t="s">
        <v>102</v>
      </c>
    </row>
    <row r="136" spans="1:6">
      <c r="B136" s="40" t="s">
        <v>103</v>
      </c>
    </row>
    <row r="137" spans="1:6" ht="15.6">
      <c r="B137" s="40" t="s">
        <v>154</v>
      </c>
    </row>
    <row r="138" spans="1:6">
      <c r="A138" s="63"/>
      <c r="B138" s="64"/>
      <c r="C138" s="28" t="s">
        <v>16</v>
      </c>
      <c r="D138" s="28" t="s">
        <v>17</v>
      </c>
      <c r="E138" s="28" t="s">
        <v>18</v>
      </c>
      <c r="F138" s="28" t="s">
        <v>19</v>
      </c>
    </row>
    <row r="139" spans="1:6">
      <c r="A139" s="57" t="s">
        <v>104</v>
      </c>
      <c r="B139" s="58"/>
      <c r="C139" s="35">
        <f>3600/C117+900*0.25*(C128-1+(((C128-1)^2+(((3600/C117)*C128)/(450*0.25)))^(1/2)))+5*MIN(C128,1)</f>
        <v>19.925582181713846</v>
      </c>
      <c r="D139" s="35">
        <f>3600/D117+900*0.25*(D128-1+(((D128-1)^2+(((3600/D117)*D128)/(450*0.25)))^(1/2)))+5*MIN(D128,1)</f>
        <v>56.775244198761818</v>
      </c>
      <c r="E139" s="35">
        <f>3600/E117+900*0.25*(E128-1+(((E128-1)^2+(((3600/E117)*E128)/(450*0.25)))^(1/2)))+5*MIN(E128,1)</f>
        <v>39.61534169471426</v>
      </c>
      <c r="F139" s="35">
        <f>3600/F117+900*0.25*(F128-1+(((F128-1)^2+(((3600/F117)*F128)/(450*0.25)))^(1/2)))+5*MIN(F128,1)</f>
        <v>46.795810250332401</v>
      </c>
    </row>
    <row r="140" spans="1:6" ht="15.6">
      <c r="A140" s="57" t="s">
        <v>155</v>
      </c>
      <c r="B140" s="58"/>
      <c r="C140" s="35">
        <f>IF(AND(C8&gt;=1,C9=1),3600/C118+900*0.25*(C129-1+(((C129-1)^2+(((3600/C118)*C129)/(450*0.25)))^(1/2)))+5*MIN(C129,1),0)</f>
        <v>0</v>
      </c>
      <c r="D140" s="35">
        <f>IF(AND(D8&gt;=1,D9=1),3600/D119+900*0.25*(D129-1+(((D129-1)^2+(((3600/D119)*D129)/(450*0.25)))^(1/2)))+5*MIN(D129,1),"-")</f>
        <v>41.443472182530776</v>
      </c>
      <c r="E140" s="35">
        <f>IF(AND(E8&gt;=1,E9=1),3600/E118+900*0.25*(E129-1+(((E129-1)^2+(((3600/E118)*E129)/(450*0.25)))^(1/2)))+5*MIN(E129,1),0)</f>
        <v>0</v>
      </c>
      <c r="F140" s="35">
        <f>IF(AND(F8&gt;=1,F9=1),3600/F118+900*0.25*(F129-1+(((F129-1)^2+(((3600/F118)*F129)/(450*0.25)))^(1/2)))+5*MIN(F129,1),0)</f>
        <v>0</v>
      </c>
    </row>
    <row r="142" spans="1:6" ht="13.9">
      <c r="A142" s="14" t="s">
        <v>105</v>
      </c>
    </row>
    <row r="144" spans="1:6">
      <c r="B144" s="61" t="s">
        <v>106</v>
      </c>
      <c r="C144" s="61"/>
      <c r="D144" s="19" t="s">
        <v>107</v>
      </c>
      <c r="E144" s="19" t="s">
        <v>108</v>
      </c>
    </row>
    <row r="145" spans="1:6">
      <c r="B145" s="60" t="s">
        <v>109</v>
      </c>
      <c r="C145" s="60"/>
      <c r="D145" s="6" t="s">
        <v>110</v>
      </c>
      <c r="E145" s="6" t="s">
        <v>111</v>
      </c>
    </row>
    <row r="146" spans="1:6">
      <c r="B146" s="60" t="s">
        <v>112</v>
      </c>
      <c r="C146" s="60"/>
      <c r="D146" s="6" t="s">
        <v>113</v>
      </c>
      <c r="E146" s="6" t="s">
        <v>111</v>
      </c>
    </row>
    <row r="147" spans="1:6">
      <c r="B147" s="60" t="s">
        <v>114</v>
      </c>
      <c r="C147" s="60"/>
      <c r="D147" s="6" t="s">
        <v>115</v>
      </c>
      <c r="E147" s="6" t="s">
        <v>111</v>
      </c>
    </row>
    <row r="148" spans="1:6">
      <c r="B148" s="60" t="s">
        <v>116</v>
      </c>
      <c r="C148" s="60"/>
      <c r="D148" s="6" t="s">
        <v>117</v>
      </c>
      <c r="E148" s="6" t="s">
        <v>111</v>
      </c>
    </row>
    <row r="149" spans="1:6">
      <c r="B149" s="60" t="s">
        <v>118</v>
      </c>
      <c r="C149" s="60"/>
      <c r="D149" s="6" t="s">
        <v>119</v>
      </c>
      <c r="E149" s="6" t="s">
        <v>111</v>
      </c>
    </row>
    <row r="150" spans="1:6">
      <c r="B150" s="59" t="s">
        <v>120</v>
      </c>
      <c r="C150" s="59"/>
      <c r="D150" s="20" t="s">
        <v>111</v>
      </c>
      <c r="E150" s="20" t="s">
        <v>111</v>
      </c>
    </row>
    <row r="152" spans="1:6">
      <c r="A152" s="63"/>
      <c r="B152" s="64"/>
      <c r="C152" s="28" t="s">
        <v>16</v>
      </c>
      <c r="D152" s="28" t="s">
        <v>17</v>
      </c>
      <c r="E152" s="28" t="s">
        <v>18</v>
      </c>
      <c r="F152" s="28" t="s">
        <v>19</v>
      </c>
    </row>
    <row r="153" spans="1:6">
      <c r="A153" s="57" t="s">
        <v>121</v>
      </c>
      <c r="B153" s="58"/>
      <c r="C153" s="38" t="str">
        <f>IF(C139&lt;=10,"A",IF(C139&lt;=15,"B",IF(C139&lt;=25,"C",IF(C139&lt;=35,"D",IF(C139&lt;=50,"E",IF(C139&gt;50,"F"))))))</f>
        <v>C</v>
      </c>
      <c r="D153" s="38" t="str">
        <f t="shared" ref="D153:F153" si="3">IF(D139&lt;=10,"A",IF(D139&lt;=15,"B",IF(D139&lt;=25,"C",IF(D139&lt;=35,"D",IF(D139&lt;=50,"E",IF(D139&gt;50,"F"))))))</f>
        <v>F</v>
      </c>
      <c r="E153" s="38" t="str">
        <f t="shared" si="3"/>
        <v>E</v>
      </c>
      <c r="F153" s="38" t="str">
        <f t="shared" si="3"/>
        <v>E</v>
      </c>
    </row>
    <row r="154" spans="1:6" ht="15.6">
      <c r="A154" s="57" t="s">
        <v>156</v>
      </c>
      <c r="B154" s="58"/>
      <c r="C154" s="38" t="str">
        <f>IF(AND(C8&gt;=1,C9=1),IF(C140&lt;=10,"A",IF(C140&lt;=15,"B",IF(C140&lt;=25,"C",IF(C140&lt;=35,"D",IF(C140&lt;=50,"E",IF(C140&gt;50,"F")))))),"-")</f>
        <v>-</v>
      </c>
      <c r="D154" s="38" t="str">
        <f>IF(AND(D8&gt;=1,D9=1),IF(D140&lt;=10,"A",IF(D140&lt;=15,"B",IF(D140&lt;=25,"C",IF(D140&lt;=35,"D",IF(D140&lt;=50,"E",IF(D140&gt;50,"F")))))),"-")</f>
        <v>E</v>
      </c>
      <c r="E154" s="38" t="str">
        <f>IF(AND(E8&gt;=1,E9=1),IF(E140&lt;=10,"A",IF(E140&lt;=15,"B",IF(E140&lt;=25,"C",IF(E140&lt;=35,"D",IF(E140&lt;=50,"E",IF(E140&gt;50,"F")))))),"-")</f>
        <v>-</v>
      </c>
      <c r="F154" s="38" t="str">
        <f>IF(AND(F8&gt;=1,F9=1),IF(F140&lt;=10,"A",IF(F140&lt;=15,"B",IF(F140&lt;=25,"C",IF(F140&lt;=35,"D",IF(F140&lt;=50,"E",IF(F140&gt;50,"F")))))),"-")</f>
        <v>-</v>
      </c>
    </row>
    <row r="155" spans="1:6">
      <c r="A155" s="37"/>
      <c r="B155" s="37"/>
      <c r="C155" s="36"/>
      <c r="D155" s="36"/>
      <c r="E155" s="36"/>
      <c r="F155" s="36"/>
    </row>
    <row r="156" spans="1:6" ht="13.9">
      <c r="A156" s="14" t="s">
        <v>122</v>
      </c>
      <c r="B156" s="37"/>
      <c r="C156" s="36"/>
      <c r="D156" s="36"/>
      <c r="E156" s="36"/>
      <c r="F156" s="36"/>
    </row>
    <row r="157" spans="1:6" ht="15.6">
      <c r="A157" s="37"/>
      <c r="B157" s="37" t="s">
        <v>123</v>
      </c>
      <c r="C157" s="36"/>
      <c r="D157" s="36"/>
      <c r="E157" s="36"/>
      <c r="F157" s="36"/>
    </row>
    <row r="158" spans="1:6" ht="15.6">
      <c r="A158" s="37"/>
      <c r="B158" s="40" t="s">
        <v>124</v>
      </c>
      <c r="C158" s="36"/>
      <c r="D158" s="36"/>
      <c r="E158" s="36"/>
      <c r="F158" s="36"/>
    </row>
    <row r="159" spans="1:6" ht="15.6">
      <c r="A159" s="37"/>
      <c r="B159" s="40" t="s">
        <v>125</v>
      </c>
      <c r="C159" s="36"/>
      <c r="D159" s="36"/>
      <c r="E159" s="36"/>
      <c r="F159" s="36"/>
    </row>
    <row r="160" spans="1:6" ht="15.6">
      <c r="A160" s="37"/>
      <c r="B160" s="40" t="s">
        <v>126</v>
      </c>
      <c r="C160" s="36"/>
      <c r="D160" s="36"/>
      <c r="E160" s="36"/>
      <c r="F160" s="36"/>
    </row>
    <row r="161" spans="1:7">
      <c r="A161" s="2"/>
      <c r="E161" s="1">
        <f>(C139*C116+C140*C118)/SUM(C116,C118)</f>
        <v>6.634680337262556</v>
      </c>
    </row>
    <row r="162" spans="1:7">
      <c r="A162" s="57"/>
      <c r="B162" s="58"/>
      <c r="C162" s="28" t="s">
        <v>16</v>
      </c>
      <c r="D162" s="28" t="s">
        <v>17</v>
      </c>
      <c r="E162" s="28" t="s">
        <v>18</v>
      </c>
      <c r="F162" s="28" t="s">
        <v>19</v>
      </c>
    </row>
    <row r="163" spans="1:7" ht="15.6">
      <c r="A163" s="57" t="s">
        <v>127</v>
      </c>
      <c r="B163" s="58"/>
      <c r="C163" s="21">
        <f>IF(C8&gt;=1,SUM($C55:$F55)*$G$45,C116)</f>
        <v>924.50980392156862</v>
      </c>
      <c r="D163" s="21">
        <f>IF(D8&gt;=1,SUM($C56:$F56)*$G$45,D116)</f>
        <v>1205.8823529411764</v>
      </c>
      <c r="E163" s="21">
        <f>IF(E8&gt;=1,SUM($C57:$F57)*$G$45,E116)</f>
        <v>420</v>
      </c>
      <c r="F163" s="21">
        <f>IF(F8&gt;=1,SUM($C58:$F58)*$G$45,F116)</f>
        <v>643</v>
      </c>
    </row>
    <row r="164" spans="1:7" ht="15.6">
      <c r="A164" s="57" t="s">
        <v>128</v>
      </c>
      <c r="B164" s="58"/>
      <c r="C164" s="35">
        <f>IF(C8=0,C139,(C139*C116+C140*C118)/SUM(C116,C118))</f>
        <v>6.634680337262556</v>
      </c>
      <c r="D164" s="35">
        <f>IF(D8=0,D139,(D139*D116+D140*D118)/SUM(D116,D118))</f>
        <v>48.524564233144943</v>
      </c>
      <c r="E164" s="35">
        <f>IF(E8=0,E139,(E139*E116+E140*E118)/SUM(E116,E118))</f>
        <v>39.61534169471426</v>
      </c>
      <c r="F164" s="35">
        <f>IF(F8=0,F139,(F139*F116+F140*F118)/SUM(F116,F118))</f>
        <v>46.795810250332401</v>
      </c>
      <c r="G164" s="13"/>
    </row>
    <row r="165" spans="1:7" ht="15.6">
      <c r="A165" s="57" t="s">
        <v>129</v>
      </c>
      <c r="B165" s="58"/>
      <c r="C165" s="74">
        <f>(C163*C164+D163*D164+E163*E164+F163*F164)/SUM(C163:F163)</f>
        <v>34.877298728871956</v>
      </c>
      <c r="D165" s="75"/>
      <c r="E165" s="75"/>
      <c r="F165" s="76"/>
    </row>
    <row r="167" spans="1:7" ht="13.9">
      <c r="A167" s="14" t="s">
        <v>130</v>
      </c>
    </row>
    <row r="168" spans="1:7" ht="15.6">
      <c r="B168" s="1" t="s">
        <v>131</v>
      </c>
    </row>
    <row r="169" spans="1:7" ht="15.6">
      <c r="B169" s="40" t="s">
        <v>132</v>
      </c>
    </row>
    <row r="170" spans="1:7">
      <c r="B170" s="40" t="s">
        <v>101</v>
      </c>
    </row>
    <row r="171" spans="1:7">
      <c r="B171" s="40" t="s">
        <v>102</v>
      </c>
    </row>
    <row r="172" spans="1:7">
      <c r="B172" s="40" t="s">
        <v>133</v>
      </c>
    </row>
    <row r="174" spans="1:7">
      <c r="A174" s="57"/>
      <c r="B174" s="58"/>
      <c r="C174" s="28" t="s">
        <v>16</v>
      </c>
      <c r="D174" s="28" t="s">
        <v>17</v>
      </c>
      <c r="E174" s="28" t="s">
        <v>18</v>
      </c>
      <c r="F174" s="28" t="s">
        <v>19</v>
      </c>
    </row>
    <row r="175" spans="1:7" ht="15.6">
      <c r="A175" s="56" t="s">
        <v>134</v>
      </c>
      <c r="B175" s="56"/>
      <c r="C175" s="39">
        <f>900*0.25*(C128-1+((1-C128)^2+(3600/C117*C128)/(150*0.25))^(1/2))*C117/3600</f>
        <v>3.8959756722738113</v>
      </c>
      <c r="D175" s="39">
        <f>900*0.25*(D128-1+((1-D128)^2+(3600/D117*D128)/(150*0.25))^(1/2))*D117/3600</f>
        <v>13.371227957644708</v>
      </c>
      <c r="E175" s="39">
        <f>900*0.25*(E128-1+((1-E128)^2+(3600/E117*E128)/(150*0.25))^(1/2))*E117/3600</f>
        <v>8.6284879194202073</v>
      </c>
      <c r="F175" s="39">
        <f>900*0.25*(F128-1+((1-F128)^2+(3600/F117*F128)/(150*0.25))^(1/2))*F117/3600</f>
        <v>13.386947641557331</v>
      </c>
    </row>
    <row r="176" spans="1:7" ht="15.6">
      <c r="A176" s="56" t="s">
        <v>157</v>
      </c>
      <c r="B176" s="56"/>
      <c r="C176" s="39" t="str">
        <f>IF(AND(C8&gt;=1,C9=1),900*0.25*(C129-1+((1-C129)^2+(3600/C119*C129)/(150*0.25))^(1/2))*C119/3600,"-")</f>
        <v>-</v>
      </c>
      <c r="D176" s="39">
        <f>IF(AND(D8&gt;=1,D9=1),900*0.25*(D129-1+((1-D129)^2+(3600/D119*D129)/(150*0.25))^(1/2))*D119/3600,"-")</f>
        <v>12.537211460617996</v>
      </c>
      <c r="E176" s="39" t="str">
        <f>IF(AND(E8&gt;=1,E9=1),900*0.25*(E129-1+((1-E129)^2+(3600/E119*E129)/(150*0.25))^(1/2))*E119/3600,"-")</f>
        <v>-</v>
      </c>
      <c r="F176" s="39" t="str">
        <f>IF(AND(F8&gt;=1,F9=1),900*0.25*(F129-1+((1-F129)^2+(3600/F119*F129)/(150*0.25))^(1/2))*F119/3600,"-")</f>
        <v>-</v>
      </c>
    </row>
  </sheetData>
  <mergeCells count="59">
    <mergeCell ref="A176:B176"/>
    <mergeCell ref="A27:B27"/>
    <mergeCell ref="A6:B6"/>
    <mergeCell ref="A7:B7"/>
    <mergeCell ref="A10:B10"/>
    <mergeCell ref="A93:B94"/>
    <mergeCell ref="A139:B139"/>
    <mergeCell ref="B144:C144"/>
    <mergeCell ref="B145:C145"/>
    <mergeCell ref="B146:C146"/>
    <mergeCell ref="A101:B101"/>
    <mergeCell ref="A102:B102"/>
    <mergeCell ref="A115:B115"/>
    <mergeCell ref="A116:B116"/>
    <mergeCell ref="A117:B117"/>
    <mergeCell ref="A127:B127"/>
    <mergeCell ref="C17:G17"/>
    <mergeCell ref="A19:A23"/>
    <mergeCell ref="A9:B9"/>
    <mergeCell ref="C92:H92"/>
    <mergeCell ref="C36:G36"/>
    <mergeCell ref="A38:A42"/>
    <mergeCell ref="C53:G53"/>
    <mergeCell ref="A55:A59"/>
    <mergeCell ref="A69:B69"/>
    <mergeCell ref="A70:B70"/>
    <mergeCell ref="A77:B77"/>
    <mergeCell ref="A78:B78"/>
    <mergeCell ref="A86:B86"/>
    <mergeCell ref="A87:B87"/>
    <mergeCell ref="A92:B92"/>
    <mergeCell ref="C93:H94"/>
    <mergeCell ref="A95:B96"/>
    <mergeCell ref="C95:C96"/>
    <mergeCell ref="D95:G95"/>
    <mergeCell ref="D96:G96"/>
    <mergeCell ref="C165:F165"/>
    <mergeCell ref="A174:B174"/>
    <mergeCell ref="B147:C147"/>
    <mergeCell ref="B148:C148"/>
    <mergeCell ref="B149:C149"/>
    <mergeCell ref="B150:C150"/>
    <mergeCell ref="A152:B152"/>
    <mergeCell ref="A153:B153"/>
    <mergeCell ref="A175:B175"/>
    <mergeCell ref="A8:B8"/>
    <mergeCell ref="A71:B71"/>
    <mergeCell ref="A88:B88"/>
    <mergeCell ref="A119:B119"/>
    <mergeCell ref="A129:B129"/>
    <mergeCell ref="A118:B118"/>
    <mergeCell ref="A140:B140"/>
    <mergeCell ref="A154:B154"/>
    <mergeCell ref="A162:B162"/>
    <mergeCell ref="A163:B163"/>
    <mergeCell ref="A164:B164"/>
    <mergeCell ref="A165:B165"/>
    <mergeCell ref="A128:B128"/>
    <mergeCell ref="A138:B13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EEC6-E4FB-4CC7-B9AA-F57CA283E694}">
  <dimension ref="A1:H193"/>
  <sheetViews>
    <sheetView zoomScaleNormal="100" workbookViewId="0">
      <selection activeCell="A2" sqref="A2"/>
    </sheetView>
  </sheetViews>
  <sheetFormatPr defaultColWidth="7.25" defaultRowHeight="13.15"/>
  <cols>
    <col min="1" max="2" width="8.75" style="1" customWidth="1"/>
    <col min="3" max="7" width="9.5" style="1" customWidth="1"/>
    <col min="8" max="8" width="8.75" style="1" customWidth="1"/>
    <col min="9" max="16384" width="7.25" style="1"/>
  </cols>
  <sheetData>
    <row r="1" spans="1:8">
      <c r="A1" s="1" t="s">
        <v>0</v>
      </c>
    </row>
    <row r="3" spans="1:8" ht="13.9">
      <c r="A3" s="14" t="s">
        <v>1</v>
      </c>
    </row>
    <row r="4" spans="1:8">
      <c r="A4" s="1" t="s">
        <v>2</v>
      </c>
      <c r="G4" s="42">
        <v>4</v>
      </c>
    </row>
    <row r="5" spans="1:8">
      <c r="A5" s="1" t="s">
        <v>3</v>
      </c>
    </row>
    <row r="6" spans="1:8" ht="39.6">
      <c r="A6" s="57"/>
      <c r="B6" s="58"/>
      <c r="C6" s="23" t="s">
        <v>135</v>
      </c>
      <c r="D6" s="23" t="s">
        <v>136</v>
      </c>
      <c r="E6" s="23" t="s">
        <v>137</v>
      </c>
      <c r="F6" s="23" t="s">
        <v>138</v>
      </c>
      <c r="G6" s="3"/>
    </row>
    <row r="7" spans="1:8">
      <c r="A7" s="57" t="s">
        <v>8</v>
      </c>
      <c r="B7" s="58"/>
      <c r="C7" s="41">
        <v>2</v>
      </c>
      <c r="D7" s="41">
        <v>2</v>
      </c>
      <c r="E7" s="41">
        <v>1</v>
      </c>
      <c r="F7" s="41">
        <v>2</v>
      </c>
      <c r="G7" s="5"/>
    </row>
    <row r="8" spans="1:8">
      <c r="A8" s="57" t="s">
        <v>9</v>
      </c>
      <c r="B8" s="58"/>
      <c r="C8" s="41">
        <v>2</v>
      </c>
      <c r="D8" s="41">
        <v>1</v>
      </c>
      <c r="E8" s="41">
        <v>2</v>
      </c>
      <c r="F8" s="41">
        <v>1</v>
      </c>
      <c r="G8" s="5"/>
      <c r="H8" s="6"/>
    </row>
    <row r="10" spans="1:8">
      <c r="A10" s="22" t="s">
        <v>10</v>
      </c>
      <c r="G10" s="42">
        <v>0.95</v>
      </c>
    </row>
    <row r="11" spans="1:8" ht="15.6">
      <c r="A11" s="22" t="s">
        <v>11</v>
      </c>
      <c r="G11" s="43">
        <v>0.05</v>
      </c>
      <c r="H11" s="42" t="s">
        <v>158</v>
      </c>
    </row>
    <row r="12" spans="1:8">
      <c r="A12" s="22"/>
      <c r="G12" s="43">
        <v>0.02</v>
      </c>
      <c r="H12" s="43" t="s">
        <v>159</v>
      </c>
    </row>
    <row r="13" spans="1:8" ht="15.6">
      <c r="A13" s="22" t="s">
        <v>12</v>
      </c>
      <c r="G13" s="44">
        <v>2</v>
      </c>
    </row>
    <row r="14" spans="1:8" ht="15.6">
      <c r="A14" s="22" t="s">
        <v>13</v>
      </c>
    </row>
    <row r="15" spans="1:8">
      <c r="G15" s="7" t="s">
        <v>14</v>
      </c>
    </row>
    <row r="16" spans="1:8">
      <c r="A16" s="24"/>
      <c r="B16" s="25"/>
      <c r="C16" s="57" t="s">
        <v>15</v>
      </c>
      <c r="D16" s="65"/>
      <c r="E16" s="65"/>
      <c r="F16" s="65"/>
      <c r="G16" s="58"/>
    </row>
    <row r="17" spans="1:8">
      <c r="A17" s="26"/>
      <c r="B17" s="27"/>
      <c r="C17" s="28" t="s">
        <v>16</v>
      </c>
      <c r="D17" s="28" t="s">
        <v>17</v>
      </c>
      <c r="E17" s="28" t="s">
        <v>18</v>
      </c>
      <c r="F17" s="28" t="s">
        <v>19</v>
      </c>
      <c r="G17" s="28" t="s">
        <v>20</v>
      </c>
    </row>
    <row r="18" spans="1:8">
      <c r="A18" s="66" t="s">
        <v>21</v>
      </c>
      <c r="B18" s="28" t="s">
        <v>16</v>
      </c>
      <c r="C18" s="45">
        <v>0</v>
      </c>
      <c r="D18" s="45">
        <v>240</v>
      </c>
      <c r="E18" s="45">
        <v>60</v>
      </c>
      <c r="F18" s="45">
        <v>400</v>
      </c>
      <c r="G18" s="9">
        <f>SUM(C18:F18)</f>
        <v>700</v>
      </c>
      <c r="H18" s="10"/>
    </row>
    <row r="19" spans="1:8">
      <c r="A19" s="67"/>
      <c r="B19" s="28" t="s">
        <v>17</v>
      </c>
      <c r="C19" s="45">
        <v>90</v>
      </c>
      <c r="D19" s="45">
        <v>0</v>
      </c>
      <c r="E19" s="45">
        <v>400</v>
      </c>
      <c r="F19" s="45">
        <v>250</v>
      </c>
      <c r="G19" s="9">
        <f>SUM(C19:F19)</f>
        <v>740</v>
      </c>
      <c r="H19" s="10"/>
    </row>
    <row r="20" spans="1:8">
      <c r="A20" s="67"/>
      <c r="B20" s="28" t="s">
        <v>18</v>
      </c>
      <c r="C20" s="45">
        <v>60</v>
      </c>
      <c r="D20" s="45">
        <v>120</v>
      </c>
      <c r="E20" s="45">
        <v>0</v>
      </c>
      <c r="F20" s="45">
        <v>50</v>
      </c>
      <c r="G20" s="9">
        <f>SUM(C20:F20)</f>
        <v>230</v>
      </c>
      <c r="H20" s="10"/>
    </row>
    <row r="21" spans="1:8">
      <c r="A21" s="67"/>
      <c r="B21" s="28" t="s">
        <v>19</v>
      </c>
      <c r="C21" s="45">
        <v>230</v>
      </c>
      <c r="D21" s="45">
        <v>420</v>
      </c>
      <c r="E21" s="45">
        <v>80</v>
      </c>
      <c r="F21" s="45">
        <v>0</v>
      </c>
      <c r="G21" s="9">
        <f>SUM(C21:F21)</f>
        <v>730</v>
      </c>
      <c r="H21" s="10"/>
    </row>
    <row r="22" spans="1:8">
      <c r="A22" s="68"/>
      <c r="B22" s="28" t="s">
        <v>20</v>
      </c>
      <c r="C22" s="11">
        <f>SUM(C18:C21)</f>
        <v>380</v>
      </c>
      <c r="D22" s="11">
        <f>SUM(D18:D21)</f>
        <v>780</v>
      </c>
      <c r="E22" s="11">
        <f>SUM(E18:E21)</f>
        <v>540</v>
      </c>
      <c r="F22" s="8">
        <f>SUM(F18:F21)</f>
        <v>700</v>
      </c>
      <c r="G22" s="9">
        <f>SUM(C22:F22)</f>
        <v>2400</v>
      </c>
    </row>
    <row r="24" spans="1:8">
      <c r="A24" s="22" t="s">
        <v>22</v>
      </c>
    </row>
    <row r="25" spans="1:8">
      <c r="A25" s="22"/>
      <c r="F25" s="7" t="s">
        <v>23</v>
      </c>
    </row>
    <row r="26" spans="1:8">
      <c r="A26" s="57"/>
      <c r="B26" s="58"/>
      <c r="C26" s="31" t="s">
        <v>16</v>
      </c>
      <c r="D26" s="28" t="s">
        <v>17</v>
      </c>
      <c r="E26" s="28" t="s">
        <v>18</v>
      </c>
      <c r="F26" s="28" t="s">
        <v>19</v>
      </c>
    </row>
    <row r="27" spans="1:8">
      <c r="A27" s="32" t="s">
        <v>24</v>
      </c>
      <c r="B27" s="32"/>
      <c r="C27" s="41">
        <v>0</v>
      </c>
      <c r="D27" s="41">
        <v>0</v>
      </c>
      <c r="E27" s="41">
        <v>0</v>
      </c>
      <c r="F27" s="41">
        <v>0</v>
      </c>
    </row>
    <row r="28" spans="1:8">
      <c r="A28" s="6"/>
      <c r="B28" s="6"/>
      <c r="C28" s="12"/>
      <c r="D28" s="12"/>
      <c r="E28" s="12"/>
      <c r="F28" s="12"/>
      <c r="G28" s="13"/>
    </row>
    <row r="29" spans="1:8" ht="13.9">
      <c r="A29" s="14" t="s">
        <v>25</v>
      </c>
    </row>
    <row r="30" spans="1:8" ht="15.6">
      <c r="A30" s="14"/>
      <c r="B30" s="1" t="s">
        <v>26</v>
      </c>
    </row>
    <row r="31" spans="1:8" ht="15.6">
      <c r="A31" s="14"/>
      <c r="B31" s="40" t="s">
        <v>27</v>
      </c>
    </row>
    <row r="32" spans="1:8" ht="15.6">
      <c r="A32" s="14"/>
      <c r="B32" s="40" t="s">
        <v>28</v>
      </c>
    </row>
    <row r="33" spans="1:8" ht="13.9">
      <c r="A33" s="14"/>
      <c r="B33" s="40" t="s">
        <v>29</v>
      </c>
    </row>
    <row r="34" spans="1:8">
      <c r="G34" s="7" t="s">
        <v>14</v>
      </c>
    </row>
    <row r="35" spans="1:8">
      <c r="A35" s="24"/>
      <c r="B35" s="25"/>
      <c r="C35" s="57" t="s">
        <v>15</v>
      </c>
      <c r="D35" s="65"/>
      <c r="E35" s="65"/>
      <c r="F35" s="65"/>
      <c r="G35" s="58"/>
    </row>
    <row r="36" spans="1:8">
      <c r="A36" s="26"/>
      <c r="B36" s="27"/>
      <c r="C36" s="28" t="s">
        <v>16</v>
      </c>
      <c r="D36" s="28" t="s">
        <v>17</v>
      </c>
      <c r="E36" s="28" t="s">
        <v>18</v>
      </c>
      <c r="F36" s="28" t="s">
        <v>19</v>
      </c>
      <c r="G36" s="28" t="s">
        <v>20</v>
      </c>
    </row>
    <row r="37" spans="1:8">
      <c r="A37" s="66" t="s">
        <v>21</v>
      </c>
      <c r="B37" s="28" t="s">
        <v>16</v>
      </c>
      <c r="C37" s="8">
        <f t="shared" ref="C37:F40" si="0">ROUND(C18/$G$10,0)</f>
        <v>0</v>
      </c>
      <c r="D37" s="8">
        <f t="shared" si="0"/>
        <v>253</v>
      </c>
      <c r="E37" s="8">
        <f t="shared" si="0"/>
        <v>63</v>
      </c>
      <c r="F37" s="8">
        <f t="shared" si="0"/>
        <v>421</v>
      </c>
      <c r="G37" s="9">
        <f>SUM(C37:F37)</f>
        <v>737</v>
      </c>
      <c r="H37" s="15"/>
    </row>
    <row r="38" spans="1:8">
      <c r="A38" s="67"/>
      <c r="B38" s="28" t="s">
        <v>17</v>
      </c>
      <c r="C38" s="8">
        <f t="shared" si="0"/>
        <v>95</v>
      </c>
      <c r="D38" s="8">
        <f t="shared" si="0"/>
        <v>0</v>
      </c>
      <c r="E38" s="8">
        <f t="shared" si="0"/>
        <v>421</v>
      </c>
      <c r="F38" s="8">
        <f t="shared" si="0"/>
        <v>263</v>
      </c>
      <c r="G38" s="9">
        <f>SUM(C38:F38)</f>
        <v>779</v>
      </c>
      <c r="H38" s="15"/>
    </row>
    <row r="39" spans="1:8">
      <c r="A39" s="67"/>
      <c r="B39" s="28" t="s">
        <v>18</v>
      </c>
      <c r="C39" s="8">
        <f t="shared" si="0"/>
        <v>63</v>
      </c>
      <c r="D39" s="8">
        <f t="shared" si="0"/>
        <v>126</v>
      </c>
      <c r="E39" s="8">
        <f t="shared" si="0"/>
        <v>0</v>
      </c>
      <c r="F39" s="8">
        <f t="shared" si="0"/>
        <v>53</v>
      </c>
      <c r="G39" s="9">
        <f>SUM(C39:F39)</f>
        <v>242</v>
      </c>
      <c r="H39" s="15"/>
    </row>
    <row r="40" spans="1:8">
      <c r="A40" s="67"/>
      <c r="B40" s="28" t="s">
        <v>19</v>
      </c>
      <c r="C40" s="8">
        <f t="shared" si="0"/>
        <v>242</v>
      </c>
      <c r="D40" s="8">
        <f t="shared" si="0"/>
        <v>442</v>
      </c>
      <c r="E40" s="8">
        <f t="shared" si="0"/>
        <v>84</v>
      </c>
      <c r="F40" s="8">
        <f t="shared" si="0"/>
        <v>0</v>
      </c>
      <c r="G40" s="9">
        <f>SUM(C40:F40)</f>
        <v>768</v>
      </c>
      <c r="H40" s="15"/>
    </row>
    <row r="41" spans="1:8">
      <c r="A41" s="68"/>
      <c r="B41" s="28" t="s">
        <v>20</v>
      </c>
      <c r="C41" s="11">
        <f>SUM(C37:C40)</f>
        <v>400</v>
      </c>
      <c r="D41" s="11">
        <f>SUM(D37:D40)</f>
        <v>821</v>
      </c>
      <c r="E41" s="11">
        <f>SUM(E37:E40)</f>
        <v>568</v>
      </c>
      <c r="F41" s="8">
        <f>SUM(F37:F40)</f>
        <v>737</v>
      </c>
      <c r="G41" s="9">
        <f>SUM(C41:F41)</f>
        <v>2526</v>
      </c>
    </row>
    <row r="42" spans="1:8">
      <c r="B42" s="6"/>
    </row>
    <row r="43" spans="1:8" ht="13.9">
      <c r="A43" s="14" t="s">
        <v>30</v>
      </c>
    </row>
    <row r="44" spans="1:8" ht="15.6">
      <c r="A44" s="14" t="s">
        <v>31</v>
      </c>
      <c r="B44" s="1" t="s">
        <v>32</v>
      </c>
      <c r="G44" s="46">
        <f>1/(1+$G$11*($G$13-1))</f>
        <v>0.95238095238095233</v>
      </c>
      <c r="H44" s="42" t="s">
        <v>158</v>
      </c>
    </row>
    <row r="45" spans="1:8" ht="13.9">
      <c r="A45" s="14"/>
      <c r="G45" s="46">
        <f>1/(1+$G$12*($G$13-1))</f>
        <v>0.98039215686274506</v>
      </c>
      <c r="H45" s="43" t="s">
        <v>159</v>
      </c>
    </row>
    <row r="46" spans="1:8" ht="15.6">
      <c r="A46" s="14"/>
      <c r="B46" s="1" t="s">
        <v>33</v>
      </c>
    </row>
    <row r="47" spans="1:8" ht="15.6">
      <c r="A47" s="14"/>
      <c r="B47" s="40" t="s">
        <v>34</v>
      </c>
    </row>
    <row r="48" spans="1:8" ht="15.6">
      <c r="A48" s="14"/>
      <c r="B48" s="40" t="s">
        <v>27</v>
      </c>
    </row>
    <row r="49" spans="1:7" ht="15.6">
      <c r="A49" s="14"/>
      <c r="B49" s="40" t="s">
        <v>35</v>
      </c>
    </row>
    <row r="50" spans="1:7" ht="15.6">
      <c r="A50" s="14"/>
      <c r="B50" s="40" t="s">
        <v>36</v>
      </c>
    </row>
    <row r="51" spans="1:7" ht="15.6">
      <c r="A51" s="14"/>
      <c r="B51" s="40" t="s">
        <v>37</v>
      </c>
    </row>
    <row r="52" spans="1:7">
      <c r="G52" s="7" t="s">
        <v>38</v>
      </c>
    </row>
    <row r="53" spans="1:7">
      <c r="A53" s="24"/>
      <c r="B53" s="25"/>
      <c r="C53" s="57" t="s">
        <v>15</v>
      </c>
      <c r="D53" s="65"/>
      <c r="E53" s="65"/>
      <c r="F53" s="65"/>
      <c r="G53" s="58"/>
    </row>
    <row r="54" spans="1:7">
      <c r="A54" s="26"/>
      <c r="B54" s="27"/>
      <c r="C54" s="28" t="s">
        <v>16</v>
      </c>
      <c r="D54" s="28" t="s">
        <v>17</v>
      </c>
      <c r="E54" s="28" t="s">
        <v>18</v>
      </c>
      <c r="F54" s="28" t="s">
        <v>19</v>
      </c>
      <c r="G54" s="28" t="s">
        <v>20</v>
      </c>
    </row>
    <row r="55" spans="1:7">
      <c r="A55" s="66" t="s">
        <v>21</v>
      </c>
      <c r="B55" s="28" t="s">
        <v>16</v>
      </c>
      <c r="C55" s="45">
        <f>ROUND(C37/$G$45,0)</f>
        <v>0</v>
      </c>
      <c r="D55" s="45">
        <f>ROUND(D37/$G$45,0)</f>
        <v>258</v>
      </c>
      <c r="E55" s="45">
        <f>ROUND(E37/$G$45,0)</f>
        <v>64</v>
      </c>
      <c r="F55" s="45">
        <f>ROUND(F37/$G$45,0)</f>
        <v>429</v>
      </c>
      <c r="G55" s="9">
        <f>SUM(C55:F55)</f>
        <v>751</v>
      </c>
    </row>
    <row r="56" spans="1:7">
      <c r="A56" s="67"/>
      <c r="B56" s="28" t="s">
        <v>17</v>
      </c>
      <c r="C56" s="45">
        <f>ROUND(C38/$G$44,0)</f>
        <v>100</v>
      </c>
      <c r="D56" s="45">
        <f>ROUND(D38/$G$44,0)</f>
        <v>0</v>
      </c>
      <c r="E56" s="45">
        <f>ROUND(E38/$G$44,0)</f>
        <v>442</v>
      </c>
      <c r="F56" s="45">
        <f>ROUND(F38/$G$44,0)</f>
        <v>276</v>
      </c>
      <c r="G56" s="9">
        <f>SUM(C56:F56)</f>
        <v>818</v>
      </c>
    </row>
    <row r="57" spans="1:7">
      <c r="A57" s="67"/>
      <c r="B57" s="28" t="s">
        <v>18</v>
      </c>
      <c r="C57" s="45">
        <f>ROUND(C39/$G$45,0)</f>
        <v>64</v>
      </c>
      <c r="D57" s="45">
        <f t="shared" ref="D57:F57" si="1">ROUND(D39/$G$45,0)</f>
        <v>129</v>
      </c>
      <c r="E57" s="45">
        <f t="shared" si="1"/>
        <v>0</v>
      </c>
      <c r="F57" s="45">
        <f t="shared" si="1"/>
        <v>54</v>
      </c>
      <c r="G57" s="9">
        <f>SUM(C57:F57)</f>
        <v>247</v>
      </c>
    </row>
    <row r="58" spans="1:7">
      <c r="A58" s="67"/>
      <c r="B58" s="28" t="s">
        <v>19</v>
      </c>
      <c r="C58" s="45">
        <f>ROUND(C40/$G$44,0)</f>
        <v>254</v>
      </c>
      <c r="D58" s="45">
        <f>ROUND(D40/$G$44,0)</f>
        <v>464</v>
      </c>
      <c r="E58" s="45">
        <f>ROUND(E40/$G$44,0)</f>
        <v>88</v>
      </c>
      <c r="F58" s="45">
        <f>ROUND(F40/$G$44,0)</f>
        <v>0</v>
      </c>
      <c r="G58" s="9">
        <f>SUM(C58:F58)</f>
        <v>806</v>
      </c>
    </row>
    <row r="59" spans="1:7">
      <c r="A59" s="68"/>
      <c r="B59" s="28" t="s">
        <v>20</v>
      </c>
      <c r="C59" s="11">
        <f>SUM(C55:C58)</f>
        <v>418</v>
      </c>
      <c r="D59" s="11">
        <f>SUM(D55:D58)</f>
        <v>851</v>
      </c>
      <c r="E59" s="11">
        <f>SUM(E55:E58)</f>
        <v>594</v>
      </c>
      <c r="F59" s="8">
        <f>SUM(F55:F58)</f>
        <v>759</v>
      </c>
      <c r="G59" s="9">
        <f>SUM(C59:F59)</f>
        <v>2622</v>
      </c>
    </row>
    <row r="60" spans="1:7">
      <c r="A60" s="2"/>
    </row>
    <row r="61" spans="1:7" ht="13.9">
      <c r="A61" s="14" t="s">
        <v>39</v>
      </c>
    </row>
    <row r="62" spans="1:7" ht="15.6">
      <c r="A62" s="14"/>
      <c r="B62" s="1" t="s">
        <v>40</v>
      </c>
    </row>
    <row r="63" spans="1:7" ht="15.6">
      <c r="A63" s="14"/>
      <c r="B63" s="1" t="s">
        <v>41</v>
      </c>
    </row>
    <row r="64" spans="1:7" ht="15.6">
      <c r="A64" s="14"/>
      <c r="B64" s="1" t="s">
        <v>42</v>
      </c>
    </row>
    <row r="65" spans="1:6" ht="15.6">
      <c r="A65" s="14"/>
      <c r="B65" s="1" t="s">
        <v>43</v>
      </c>
    </row>
    <row r="66" spans="1:6" ht="15.6">
      <c r="A66" s="14"/>
      <c r="B66" s="40" t="s">
        <v>142</v>
      </c>
    </row>
    <row r="67" spans="1:6" ht="15.6">
      <c r="A67" s="14"/>
      <c r="B67" s="40" t="s">
        <v>143</v>
      </c>
    </row>
    <row r="68" spans="1:6">
      <c r="F68" s="7" t="s">
        <v>38</v>
      </c>
    </row>
    <row r="69" spans="1:6" ht="15.6">
      <c r="A69" s="57"/>
      <c r="B69" s="58"/>
      <c r="C69" s="28" t="s">
        <v>45</v>
      </c>
      <c r="D69" s="28" t="s">
        <v>46</v>
      </c>
      <c r="E69" s="28" t="s">
        <v>47</v>
      </c>
      <c r="F69" s="28" t="s">
        <v>48</v>
      </c>
    </row>
    <row r="70" spans="1:6" ht="15.6">
      <c r="A70" s="57" t="s">
        <v>49</v>
      </c>
      <c r="B70" s="58"/>
      <c r="C70" s="9">
        <f>SUM(D56:F56,E57:F57,F58)</f>
        <v>772</v>
      </c>
      <c r="D70" s="9">
        <f>SUM(C55,C57,E57:F57,F58,C58)</f>
        <v>372</v>
      </c>
      <c r="E70" s="9">
        <f>SUM(C55:D55,D56,C58:D58,F58)</f>
        <v>976</v>
      </c>
      <c r="F70" s="9">
        <f>SUM(C55:E55,D56:E56,E57)</f>
        <v>764</v>
      </c>
    </row>
    <row r="71" spans="1:6" ht="15.6">
      <c r="A71" s="57" t="s">
        <v>144</v>
      </c>
      <c r="B71" s="58"/>
      <c r="C71" s="9">
        <f>SUM(E55:E58)</f>
        <v>594</v>
      </c>
      <c r="D71" s="9">
        <f>SUM(D55:D58)</f>
        <v>851</v>
      </c>
      <c r="E71" s="9">
        <f>SUM(C55:C58)</f>
        <v>418</v>
      </c>
      <c r="F71" s="9">
        <f>SUM(F55:F58)</f>
        <v>759</v>
      </c>
    </row>
    <row r="73" spans="1:6" ht="13.9">
      <c r="A73" s="14" t="s">
        <v>51</v>
      </c>
    </row>
    <row r="74" spans="1:6" ht="15.6">
      <c r="A74" s="14"/>
      <c r="B74" s="1" t="s">
        <v>52</v>
      </c>
    </row>
    <row r="75" spans="1:6" ht="15.6">
      <c r="A75" s="14"/>
      <c r="B75" s="40" t="s">
        <v>53</v>
      </c>
    </row>
    <row r="76" spans="1:6">
      <c r="F76" s="7" t="s">
        <v>38</v>
      </c>
    </row>
    <row r="77" spans="1:6" ht="15.6">
      <c r="A77" s="57"/>
      <c r="B77" s="58"/>
      <c r="C77" s="28" t="s">
        <v>54</v>
      </c>
      <c r="D77" s="28" t="s">
        <v>55</v>
      </c>
      <c r="E77" s="28" t="s">
        <v>56</v>
      </c>
      <c r="F77" s="28" t="s">
        <v>57</v>
      </c>
    </row>
    <row r="78" spans="1:6">
      <c r="A78" s="57" t="s">
        <v>160</v>
      </c>
      <c r="B78" s="58"/>
      <c r="C78" s="47">
        <f>F55/SUM(C55:F55)</f>
        <v>0.57123834886817582</v>
      </c>
      <c r="D78" s="47">
        <f>E56/SUM(C56:F56)</f>
        <v>0.54034229828850855</v>
      </c>
      <c r="E78" s="47"/>
      <c r="F78" s="47">
        <v>0.53</v>
      </c>
    </row>
    <row r="79" spans="1:6">
      <c r="A79" s="57" t="s">
        <v>161</v>
      </c>
      <c r="B79" s="58"/>
      <c r="C79" s="47">
        <f>1-C78</f>
        <v>0.42876165113182418</v>
      </c>
      <c r="D79" s="47">
        <f>1-D78</f>
        <v>0.45965770171149145</v>
      </c>
      <c r="E79" s="47"/>
      <c r="F79" s="47">
        <f>1-F78</f>
        <v>0.47</v>
      </c>
    </row>
    <row r="80" spans="1:6">
      <c r="A80" s="6"/>
      <c r="B80" s="6"/>
      <c r="C80" s="10"/>
      <c r="D80" s="10"/>
      <c r="E80" s="10"/>
      <c r="F80" s="10"/>
    </row>
    <row r="81" spans="1:6">
      <c r="F81" s="7" t="s">
        <v>38</v>
      </c>
    </row>
    <row r="82" spans="1:6" ht="15.6">
      <c r="A82" s="57"/>
      <c r="B82" s="58"/>
      <c r="C82" s="28" t="s">
        <v>54</v>
      </c>
      <c r="D82" s="28" t="s">
        <v>55</v>
      </c>
      <c r="E82" s="28" t="s">
        <v>56</v>
      </c>
      <c r="F82" s="28" t="s">
        <v>57</v>
      </c>
    </row>
    <row r="83" spans="1:6">
      <c r="A83" s="57" t="s">
        <v>162</v>
      </c>
      <c r="B83" s="58"/>
      <c r="C83" s="48">
        <f>SUM(C55:F55)*C78</f>
        <v>429.00000000000006</v>
      </c>
      <c r="D83" s="48">
        <f>SUM(C56:F56)*D78</f>
        <v>442</v>
      </c>
      <c r="E83" s="48"/>
      <c r="F83" s="48">
        <f>SUM(C58:F58)*F78</f>
        <v>427.18</v>
      </c>
    </row>
    <row r="84" spans="1:6">
      <c r="A84" s="57" t="s">
        <v>163</v>
      </c>
      <c r="B84" s="58"/>
      <c r="C84" s="48">
        <f>SUM(C55:F55)*C79</f>
        <v>321.99999999999994</v>
      </c>
      <c r="D84" s="48">
        <f>SUM(C56:F56)*D79</f>
        <v>376</v>
      </c>
      <c r="E84" s="48"/>
      <c r="F84" s="48">
        <f>SUM(C58:F58)-F83</f>
        <v>378.82</v>
      </c>
    </row>
    <row r="85" spans="1:6" ht="15.6">
      <c r="A85" s="57" t="s">
        <v>58</v>
      </c>
      <c r="B85" s="58"/>
      <c r="C85" s="48">
        <f>SUM(C55:F55)</f>
        <v>751</v>
      </c>
      <c r="D85" s="48">
        <f>SUM(C56:F56)</f>
        <v>818</v>
      </c>
      <c r="E85" s="48">
        <f>SUM(C57:F57)</f>
        <v>247</v>
      </c>
      <c r="F85" s="48">
        <f>SUM(F84:F84)</f>
        <v>378.82</v>
      </c>
    </row>
    <row r="87" spans="1:6" ht="13.9">
      <c r="A87" s="14" t="s">
        <v>59</v>
      </c>
    </row>
    <row r="88" spans="1:6" ht="15.6">
      <c r="A88" s="14"/>
      <c r="B88" s="1" t="s">
        <v>164</v>
      </c>
    </row>
    <row r="89" spans="1:6" ht="15.6">
      <c r="A89" s="14"/>
      <c r="B89" s="1" t="s">
        <v>165</v>
      </c>
    </row>
    <row r="90" spans="1:6" ht="15.6">
      <c r="A90" s="14"/>
      <c r="B90" s="1" t="s">
        <v>166</v>
      </c>
    </row>
    <row r="91" spans="1:6" ht="15.6">
      <c r="A91" s="14"/>
      <c r="B91" s="1" t="s">
        <v>167</v>
      </c>
    </row>
    <row r="92" spans="1:6" ht="15.6">
      <c r="A92" s="14"/>
      <c r="B92" s="40" t="s">
        <v>168</v>
      </c>
    </row>
    <row r="93" spans="1:6" ht="15.6">
      <c r="A93" s="14"/>
      <c r="B93" s="40" t="s">
        <v>169</v>
      </c>
    </row>
    <row r="94" spans="1:6" ht="15.6">
      <c r="A94" s="14"/>
      <c r="B94" s="40" t="s">
        <v>170</v>
      </c>
    </row>
    <row r="95" spans="1:6" ht="15.6">
      <c r="A95" s="14"/>
      <c r="B95" s="40" t="s">
        <v>171</v>
      </c>
    </row>
    <row r="96" spans="1:6" ht="15.6">
      <c r="A96" s="14"/>
      <c r="B96" s="40" t="s">
        <v>146</v>
      </c>
    </row>
    <row r="97" spans="1:8">
      <c r="F97" s="7" t="s">
        <v>38</v>
      </c>
    </row>
    <row r="98" spans="1:8" ht="15.6">
      <c r="A98" s="57"/>
      <c r="B98" s="58"/>
      <c r="C98" s="29" t="s">
        <v>63</v>
      </c>
      <c r="D98" s="30" t="s">
        <v>64</v>
      </c>
      <c r="E98" s="30" t="s">
        <v>65</v>
      </c>
      <c r="F98" s="30" t="s">
        <v>66</v>
      </c>
    </row>
    <row r="99" spans="1:8" ht="15.6">
      <c r="A99" s="57" t="s">
        <v>172</v>
      </c>
      <c r="B99" s="58"/>
      <c r="C99" s="50">
        <f>1130*EXP((-0.7*10^-3)*(C70))</f>
        <v>658.24217564595392</v>
      </c>
      <c r="D99" s="50">
        <f>1130*EXP((-1*10^-3)*(D70))</f>
        <v>778.97029405237129</v>
      </c>
      <c r="E99" s="50"/>
      <c r="F99" s="50">
        <f>1130*EXP((-1*10^-3)*(F70))</f>
        <v>526.35343234430593</v>
      </c>
    </row>
    <row r="100" spans="1:8" ht="15.6">
      <c r="A100" s="57" t="s">
        <v>173</v>
      </c>
      <c r="B100" s="58"/>
      <c r="C100" s="50">
        <f>1130*EXP((-0.75*10^-3)*(C70))</f>
        <v>633.31815582117417</v>
      </c>
      <c r="D100" s="50">
        <f>1130*EXP((-1*10^-3)*(D70))</f>
        <v>778.97029405237129</v>
      </c>
      <c r="E100" s="50"/>
      <c r="F100" s="50">
        <f>1130*EXP((-1*10^-3)*(F70))</f>
        <v>526.35343234430593</v>
      </c>
    </row>
    <row r="101" spans="1:8" ht="15.6">
      <c r="A101" s="57" t="s">
        <v>67</v>
      </c>
      <c r="B101" s="58"/>
      <c r="C101" s="51">
        <f>1130*EXP((-0.7*10^-3)*(C70))</f>
        <v>658.24217564595392</v>
      </c>
      <c r="D101" s="51">
        <f>1130*EXP((-1*10^-3)*(D70))</f>
        <v>778.97029405237129</v>
      </c>
      <c r="E101" s="51">
        <f>1130*EXP((-0.7*10^-3)*(E70))</f>
        <v>570.64820228800409</v>
      </c>
      <c r="F101" s="51">
        <f>1130*EXP((-1*10^-3)*(F70))</f>
        <v>526.35343234430593</v>
      </c>
    </row>
    <row r="103" spans="1:8" ht="13.9">
      <c r="A103" s="14" t="s">
        <v>68</v>
      </c>
    </row>
    <row r="104" spans="1:8">
      <c r="A104" s="18" t="s">
        <v>69</v>
      </c>
      <c r="B104" s="18"/>
    </row>
    <row r="105" spans="1:8" ht="15.6">
      <c r="A105" s="61" t="s">
        <v>70</v>
      </c>
      <c r="B105" s="61"/>
      <c r="C105" s="61" t="s">
        <v>71</v>
      </c>
      <c r="D105" s="61"/>
      <c r="E105" s="61"/>
      <c r="F105" s="61"/>
      <c r="G105" s="61"/>
      <c r="H105" s="61"/>
    </row>
    <row r="106" spans="1:8">
      <c r="A106" s="69" t="s">
        <v>72</v>
      </c>
      <c r="B106" s="69"/>
      <c r="C106" s="60" t="s">
        <v>73</v>
      </c>
      <c r="D106" s="60"/>
      <c r="E106" s="60"/>
      <c r="F106" s="60"/>
      <c r="G106" s="60"/>
      <c r="H106" s="60"/>
    </row>
    <row r="107" spans="1:8">
      <c r="A107" s="69"/>
      <c r="B107" s="69"/>
      <c r="C107" s="60"/>
      <c r="D107" s="60"/>
      <c r="E107" s="60"/>
      <c r="F107" s="60"/>
      <c r="G107" s="60"/>
      <c r="H107" s="60"/>
    </row>
    <row r="108" spans="1:8" ht="15.6">
      <c r="A108" s="60" t="s">
        <v>74</v>
      </c>
      <c r="B108" s="60"/>
      <c r="C108" s="60" t="s">
        <v>75</v>
      </c>
      <c r="D108" s="59" t="s">
        <v>76</v>
      </c>
      <c r="E108" s="59"/>
      <c r="F108" s="59"/>
      <c r="G108" s="59"/>
    </row>
    <row r="109" spans="1:8" ht="15.6">
      <c r="A109" s="59"/>
      <c r="B109" s="59"/>
      <c r="C109" s="59"/>
      <c r="D109" s="70" t="s">
        <v>77</v>
      </c>
      <c r="E109" s="70"/>
      <c r="F109" s="70"/>
      <c r="G109" s="70"/>
      <c r="H109" s="18"/>
    </row>
    <row r="110" spans="1:8" ht="15.6">
      <c r="B110" s="40" t="s">
        <v>78</v>
      </c>
    </row>
    <row r="111" spans="1:8" ht="15.6">
      <c r="B111" s="40" t="s">
        <v>79</v>
      </c>
    </row>
    <row r="112" spans="1:8" ht="15.6">
      <c r="B112" s="40" t="s">
        <v>80</v>
      </c>
    </row>
    <row r="114" spans="1:6">
      <c r="A114" s="57"/>
      <c r="B114" s="58"/>
      <c r="C114" s="28" t="s">
        <v>16</v>
      </c>
      <c r="D114" s="28" t="s">
        <v>17</v>
      </c>
      <c r="E114" s="28" t="s">
        <v>18</v>
      </c>
      <c r="F114" s="28" t="s">
        <v>19</v>
      </c>
    </row>
    <row r="115" spans="1:6" ht="15.6">
      <c r="A115" s="71" t="s">
        <v>81</v>
      </c>
      <c r="B115" s="72"/>
      <c r="C115" s="17">
        <f>IF(C27&lt;=101,1-0.000137*C27,(1119.5-0.715*C70-0.644*C27+0.00073*C70*C27)/(1068.6-0.654*C70))</f>
        <v>1</v>
      </c>
      <c r="D115" s="17">
        <f>IF(D27&lt;=101,1-0.000137*D27,(1119.5-0.715*D70-0.644*D27+0.00073*D70*D27)/(1068.6-0.654*D70))</f>
        <v>1</v>
      </c>
      <c r="E115" s="17">
        <f>IF(E27&lt;=101,1-0.000137*E27,(1119.5-0.715*E70-0.644*E27+0.00073*E70*E27)/(1068.6-0.654*E70))</f>
        <v>1</v>
      </c>
      <c r="F115" s="17">
        <f>IF(F27&lt;=101,1-0.000137*F27,(1119.5-0.715*F70-0.644*F27+0.00073*F70*F27)/(1068.6-0.654*F70))</f>
        <v>1</v>
      </c>
    </row>
    <row r="117" spans="1:6" ht="13.9">
      <c r="A117" s="14" t="s">
        <v>82</v>
      </c>
    </row>
    <row r="118" spans="1:6" ht="15.6">
      <c r="A118" s="14"/>
      <c r="B118" s="1" t="s">
        <v>83</v>
      </c>
    </row>
    <row r="119" spans="1:6" ht="15.6">
      <c r="A119" s="14"/>
      <c r="B119" s="40" t="s">
        <v>84</v>
      </c>
    </row>
    <row r="120" spans="1:6" ht="15.6">
      <c r="A120" s="14"/>
      <c r="B120" s="40" t="s">
        <v>85</v>
      </c>
    </row>
    <row r="121" spans="1:6" ht="15.6">
      <c r="A121" s="14"/>
      <c r="B121" s="40" t="s">
        <v>86</v>
      </c>
    </row>
    <row r="122" spans="1:6" ht="15.6">
      <c r="A122" s="14"/>
      <c r="B122" s="1" t="s">
        <v>87</v>
      </c>
    </row>
    <row r="123" spans="1:6" ht="15.6">
      <c r="A123" s="14"/>
      <c r="B123" s="40" t="s">
        <v>88</v>
      </c>
    </row>
    <row r="124" spans="1:6" ht="15.6">
      <c r="A124" s="14"/>
      <c r="B124" s="40" t="s">
        <v>89</v>
      </c>
    </row>
    <row r="125" spans="1:6" ht="15.6">
      <c r="A125" s="14"/>
      <c r="B125" s="40" t="s">
        <v>78</v>
      </c>
    </row>
    <row r="126" spans="1:6" ht="15.6">
      <c r="A126" s="14"/>
      <c r="B126" s="40" t="s">
        <v>149</v>
      </c>
    </row>
    <row r="127" spans="1:6" ht="13.9">
      <c r="A127" s="14"/>
    </row>
    <row r="128" spans="1:6">
      <c r="A128" s="63"/>
      <c r="B128" s="64"/>
      <c r="C128" s="28" t="s">
        <v>16</v>
      </c>
      <c r="D128" s="28" t="s">
        <v>17</v>
      </c>
      <c r="E128" s="28" t="s">
        <v>18</v>
      </c>
      <c r="F128" s="28" t="s">
        <v>19</v>
      </c>
    </row>
    <row r="129" spans="1:6" ht="15.6">
      <c r="A129" s="57" t="s">
        <v>174</v>
      </c>
      <c r="B129" s="58"/>
      <c r="C129" s="52">
        <f>ROUND(C83*$G$45,0)</f>
        <v>421</v>
      </c>
      <c r="D129" s="52">
        <f>ROUND(D83*$G$44,0)</f>
        <v>421</v>
      </c>
      <c r="E129" s="52"/>
      <c r="F129" s="52">
        <f t="shared" ref="F129:F130" si="2">ROUND(F83*$G$44,0)</f>
        <v>407</v>
      </c>
    </row>
    <row r="130" spans="1:6" ht="15.6">
      <c r="A130" s="57" t="s">
        <v>175</v>
      </c>
      <c r="B130" s="58"/>
      <c r="C130" s="52">
        <f>ROUND(C84*$G$45,0)</f>
        <v>316</v>
      </c>
      <c r="D130" s="52">
        <f>ROUND(D84*$G$44,0)</f>
        <v>358</v>
      </c>
      <c r="E130" s="52"/>
      <c r="F130" s="52">
        <f t="shared" si="2"/>
        <v>361</v>
      </c>
    </row>
    <row r="131" spans="1:6" ht="15.6">
      <c r="A131" s="57" t="s">
        <v>90</v>
      </c>
      <c r="B131" s="58"/>
      <c r="C131" s="52"/>
      <c r="D131" s="52"/>
      <c r="E131" s="52">
        <f>ROUND(E85*$G$45,0)</f>
        <v>242</v>
      </c>
      <c r="F131" s="52"/>
    </row>
    <row r="132" spans="1:6" ht="15.6" customHeight="1">
      <c r="A132" s="57" t="s">
        <v>176</v>
      </c>
      <c r="B132" s="58"/>
      <c r="C132" s="41">
        <f>ROUNDUP(C99*$G$45*C115,0)</f>
        <v>646</v>
      </c>
      <c r="D132" s="41">
        <f>ROUND(D99*$G$44*D115,0)</f>
        <v>742</v>
      </c>
      <c r="E132" s="41"/>
      <c r="F132" s="41">
        <f>ROUNDDOWN(F99*$G$44*F115,0)</f>
        <v>501</v>
      </c>
    </row>
    <row r="133" spans="1:6" ht="15.6">
      <c r="A133" s="57" t="s">
        <v>177</v>
      </c>
      <c r="B133" s="58"/>
      <c r="C133" s="41">
        <f>ROUNDUP(C100*$G$45*C115,0)</f>
        <v>621</v>
      </c>
      <c r="D133" s="41">
        <f>ROUND(D100*$G$44*D115,0)</f>
        <v>742</v>
      </c>
      <c r="E133" s="41"/>
      <c r="F133" s="41">
        <f>ROUNDDOWN(F100*$G$44*F115,0)</f>
        <v>501</v>
      </c>
    </row>
    <row r="134" spans="1:6" ht="15.6">
      <c r="A134" s="57" t="s">
        <v>91</v>
      </c>
      <c r="B134" s="58"/>
      <c r="C134" s="41"/>
      <c r="D134" s="41"/>
      <c r="E134" s="41">
        <f>ROUNDUP(E101*$G$45*E115,0)</f>
        <v>560</v>
      </c>
      <c r="F134" s="41"/>
    </row>
    <row r="136" spans="1:6" ht="13.9">
      <c r="A136" s="14" t="s">
        <v>92</v>
      </c>
    </row>
    <row r="137" spans="1:6" ht="15.6">
      <c r="B137" s="1" t="s">
        <v>93</v>
      </c>
    </row>
    <row r="138" spans="1:6" ht="15.6">
      <c r="B138" s="40" t="s">
        <v>94</v>
      </c>
    </row>
    <row r="139" spans="1:6" ht="15.6">
      <c r="B139" s="40" t="s">
        <v>95</v>
      </c>
    </row>
    <row r="140" spans="1:6" ht="15.6">
      <c r="B140" s="40" t="s">
        <v>96</v>
      </c>
    </row>
    <row r="141" spans="1:6" ht="15.6">
      <c r="B141" s="40" t="s">
        <v>152</v>
      </c>
    </row>
    <row r="142" spans="1:6">
      <c r="A142" s="63"/>
      <c r="B142" s="64"/>
      <c r="C142" s="28" t="s">
        <v>16</v>
      </c>
      <c r="D142" s="28" t="s">
        <v>17</v>
      </c>
      <c r="E142" s="28" t="s">
        <v>18</v>
      </c>
      <c r="F142" s="28" t="s">
        <v>19</v>
      </c>
    </row>
    <row r="143" spans="1:6" ht="15.6">
      <c r="A143" s="57" t="s">
        <v>178</v>
      </c>
      <c r="B143" s="58"/>
      <c r="C143" s="53">
        <f t="shared" ref="C143:F144" si="3">C129/C132</f>
        <v>0.65170278637770895</v>
      </c>
      <c r="D143" s="53">
        <f t="shared" si="3"/>
        <v>0.56738544474393526</v>
      </c>
      <c r="E143" s="53"/>
      <c r="F143" s="53">
        <f t="shared" si="3"/>
        <v>0.81237524950099804</v>
      </c>
    </row>
    <row r="144" spans="1:6" ht="15.6">
      <c r="A144" s="57" t="s">
        <v>179</v>
      </c>
      <c r="B144" s="58"/>
      <c r="C144" s="53">
        <f t="shared" si="3"/>
        <v>0.50885668276972629</v>
      </c>
      <c r="D144" s="53">
        <f t="shared" si="3"/>
        <v>0.48247978436657685</v>
      </c>
      <c r="E144" s="53"/>
      <c r="F144" s="53">
        <f t="shared" si="3"/>
        <v>0.720558882235529</v>
      </c>
    </row>
    <row r="145" spans="1:6" ht="15.6">
      <c r="A145" s="57" t="s">
        <v>97</v>
      </c>
      <c r="B145" s="58"/>
      <c r="C145" s="53"/>
      <c r="D145" s="53"/>
      <c r="E145" s="53">
        <f>E131/E134</f>
        <v>0.43214285714285716</v>
      </c>
      <c r="F145" s="53"/>
    </row>
    <row r="147" spans="1:6" ht="13.9">
      <c r="A147" s="14" t="s">
        <v>98</v>
      </c>
    </row>
    <row r="148" spans="1:6" ht="15.6">
      <c r="B148" s="1" t="s">
        <v>99</v>
      </c>
    </row>
    <row r="149" spans="1:6">
      <c r="B149" s="40" t="s">
        <v>100</v>
      </c>
    </row>
    <row r="150" spans="1:6">
      <c r="B150" s="40" t="s">
        <v>101</v>
      </c>
    </row>
    <row r="151" spans="1:6">
      <c r="B151" s="40" t="s">
        <v>102</v>
      </c>
    </row>
    <row r="152" spans="1:6">
      <c r="B152" s="40" t="s">
        <v>103</v>
      </c>
    </row>
    <row r="153" spans="1:6" ht="15.6">
      <c r="B153" s="40" t="s">
        <v>154</v>
      </c>
    </row>
    <row r="154" spans="1:6">
      <c r="A154" s="63"/>
      <c r="B154" s="64"/>
      <c r="C154" s="28" t="s">
        <v>16</v>
      </c>
      <c r="D154" s="28" t="s">
        <v>17</v>
      </c>
      <c r="E154" s="28" t="s">
        <v>18</v>
      </c>
      <c r="F154" s="28" t="s">
        <v>19</v>
      </c>
    </row>
    <row r="155" spans="1:6" ht="15.6">
      <c r="A155" s="57" t="s">
        <v>180</v>
      </c>
      <c r="B155" s="58"/>
      <c r="C155" s="54">
        <f>3600/C132+900*0.25*(C143-1+(((C143-1)^2+(((3600/C132)*C143)/(450*0.25)))^(1/2)))+5*MIN(C143,1)</f>
        <v>18.644143954835965</v>
      </c>
      <c r="D155" s="54">
        <f t="shared" ref="D155:D156" si="4">3600/D132+900*0.25*(D143-1+(((D143-1)^2+(((3600/D132)*D143)/(450*0.25)))^(1/2)))+5*MIN(D143,1)</f>
        <v>13.856470957098347</v>
      </c>
      <c r="E155" s="54"/>
      <c r="F155" s="54">
        <f t="shared" ref="F155:F156" si="5">3600/F132+900*0.25*(F143-1+(((F143-1)^2+(((3600/F132)*F143)/(450*0.25)))^(1/2)))+5*MIN(F143,1)</f>
        <v>35.43221006167105</v>
      </c>
    </row>
    <row r="156" spans="1:6" ht="15.6">
      <c r="A156" s="57" t="s">
        <v>181</v>
      </c>
      <c r="B156" s="58"/>
      <c r="C156" s="54">
        <f>3600/C133+900*0.25*(C144-1+(((C144-1)^2+(((3600/C133)*C144)/(450*0.25)))^(1/2)))+5*MIN(C144,1)</f>
        <v>14.192652217394254</v>
      </c>
      <c r="D156" s="54">
        <f t="shared" si="4"/>
        <v>11.702800571114743</v>
      </c>
      <c r="E156" s="54"/>
      <c r="F156" s="54">
        <f t="shared" si="5"/>
        <v>27.180320661154457</v>
      </c>
    </row>
    <row r="157" spans="1:6">
      <c r="A157" s="57" t="s">
        <v>104</v>
      </c>
      <c r="B157" s="58"/>
      <c r="C157" s="54">
        <f>(C129*C155+C130*C156)/SUM(C129:C131)</f>
        <v>16.735498922228665</v>
      </c>
      <c r="D157" s="54">
        <f>(D129*D155+D130*D156)/SUM(D129:D131)</f>
        <v>12.86672256405325</v>
      </c>
      <c r="E157" s="54">
        <f>3600/E134+900*0.25*(E145-1+(((E145-1)^2+(((3600/E134)*E145)/(450*0.25)))^(1/2)))+5*MIN(E145,1)</f>
        <v>13.391232334947649</v>
      </c>
      <c r="F157" s="54">
        <f>(F129*F155+F130*F156)/SUM(F129:F131)</f>
        <v>31.553392257521978</v>
      </c>
    </row>
    <row r="159" spans="1:6" ht="13.9">
      <c r="A159" s="14" t="s">
        <v>105</v>
      </c>
    </row>
    <row r="161" spans="1:6">
      <c r="B161" s="61" t="s">
        <v>106</v>
      </c>
      <c r="C161" s="61"/>
      <c r="D161" s="19" t="s">
        <v>107</v>
      </c>
      <c r="E161" s="19" t="s">
        <v>108</v>
      </c>
    </row>
    <row r="162" spans="1:6">
      <c r="B162" s="60" t="s">
        <v>109</v>
      </c>
      <c r="C162" s="60"/>
      <c r="D162" s="6" t="s">
        <v>110</v>
      </c>
      <c r="E162" s="6" t="s">
        <v>111</v>
      </c>
    </row>
    <row r="163" spans="1:6">
      <c r="B163" s="60" t="s">
        <v>112</v>
      </c>
      <c r="C163" s="60"/>
      <c r="D163" s="6" t="s">
        <v>113</v>
      </c>
      <c r="E163" s="6" t="s">
        <v>111</v>
      </c>
    </row>
    <row r="164" spans="1:6">
      <c r="B164" s="60" t="s">
        <v>114</v>
      </c>
      <c r="C164" s="60"/>
      <c r="D164" s="6" t="s">
        <v>115</v>
      </c>
      <c r="E164" s="6" t="s">
        <v>111</v>
      </c>
    </row>
    <row r="165" spans="1:6">
      <c r="B165" s="60" t="s">
        <v>116</v>
      </c>
      <c r="C165" s="60"/>
      <c r="D165" s="6" t="s">
        <v>117</v>
      </c>
      <c r="E165" s="6" t="s">
        <v>111</v>
      </c>
    </row>
    <row r="166" spans="1:6">
      <c r="B166" s="60" t="s">
        <v>118</v>
      </c>
      <c r="C166" s="60"/>
      <c r="D166" s="6" t="s">
        <v>119</v>
      </c>
      <c r="E166" s="6" t="s">
        <v>111</v>
      </c>
    </row>
    <row r="167" spans="1:6">
      <c r="B167" s="59" t="s">
        <v>120</v>
      </c>
      <c r="C167" s="59"/>
      <c r="D167" s="20" t="s">
        <v>111</v>
      </c>
      <c r="E167" s="20" t="s">
        <v>111</v>
      </c>
    </row>
    <row r="169" spans="1:6">
      <c r="A169" s="63"/>
      <c r="B169" s="64"/>
      <c r="C169" s="28" t="s">
        <v>16</v>
      </c>
      <c r="D169" s="28" t="s">
        <v>17</v>
      </c>
      <c r="E169" s="28" t="s">
        <v>18</v>
      </c>
      <c r="F169" s="28" t="s">
        <v>19</v>
      </c>
    </row>
    <row r="170" spans="1:6">
      <c r="A170" s="57" t="s">
        <v>121</v>
      </c>
      <c r="B170" s="58"/>
      <c r="C170" s="38" t="str">
        <f>IF(C157&lt;=10,"A",IF(C157&lt;=15,"B",IF(C157&lt;=25,"C",IF(C157&lt;=35,"D",IF(C157&lt;=50,"E",IF(C157&gt;50,"F"))))))</f>
        <v>C</v>
      </c>
      <c r="D170" s="38" t="str">
        <f t="shared" ref="D170:F170" si="6">IF(D157&lt;=10,"A",IF(D157&lt;=15,"B",IF(D157&lt;=25,"C",IF(D157&lt;=35,"D",IF(D157&lt;=50,"E",IF(D157&gt;50,"F"))))))</f>
        <v>B</v>
      </c>
      <c r="E170" s="38" t="str">
        <f t="shared" si="6"/>
        <v>B</v>
      </c>
      <c r="F170" s="38" t="str">
        <f t="shared" si="6"/>
        <v>D</v>
      </c>
    </row>
    <row r="171" spans="1:6">
      <c r="A171" s="37"/>
      <c r="B171" s="37"/>
      <c r="C171" s="36"/>
      <c r="D171" s="36"/>
      <c r="E171" s="36"/>
      <c r="F171" s="36"/>
    </row>
    <row r="172" spans="1:6" ht="13.9">
      <c r="A172" s="14" t="s">
        <v>122</v>
      </c>
      <c r="B172" s="37"/>
      <c r="C172" s="36"/>
      <c r="D172" s="36"/>
      <c r="E172" s="36"/>
      <c r="F172" s="36"/>
    </row>
    <row r="173" spans="1:6" ht="15.6">
      <c r="A173" s="37"/>
      <c r="B173" s="37" t="s">
        <v>123</v>
      </c>
      <c r="C173" s="36"/>
      <c r="D173" s="36"/>
      <c r="E173" s="36"/>
      <c r="F173" s="36"/>
    </row>
    <row r="174" spans="1:6" ht="15.6">
      <c r="A174" s="37"/>
      <c r="B174" s="40" t="s">
        <v>124</v>
      </c>
      <c r="C174" s="36"/>
      <c r="D174" s="36"/>
      <c r="E174" s="36"/>
      <c r="F174" s="36"/>
    </row>
    <row r="175" spans="1:6" ht="15.6">
      <c r="A175" s="37"/>
      <c r="B175" s="40" t="s">
        <v>125</v>
      </c>
      <c r="C175" s="36"/>
      <c r="D175" s="36"/>
      <c r="E175" s="36"/>
      <c r="F175" s="36"/>
    </row>
    <row r="176" spans="1:6" ht="15.6">
      <c r="A176" s="37"/>
      <c r="B176" s="40" t="s">
        <v>126</v>
      </c>
      <c r="C176" s="36"/>
      <c r="D176" s="36"/>
      <c r="E176" s="36"/>
      <c r="F176" s="36"/>
    </row>
    <row r="177" spans="1:7">
      <c r="A177" s="2"/>
    </row>
    <row r="178" spans="1:7">
      <c r="A178" s="57"/>
      <c r="B178" s="58"/>
      <c r="C178" s="28" t="s">
        <v>16</v>
      </c>
      <c r="D178" s="28" t="s">
        <v>17</v>
      </c>
      <c r="E178" s="28" t="s">
        <v>18</v>
      </c>
      <c r="F178" s="28" t="s">
        <v>19</v>
      </c>
    </row>
    <row r="179" spans="1:7" ht="15.6">
      <c r="A179" s="57" t="s">
        <v>127</v>
      </c>
      <c r="B179" s="58"/>
      <c r="C179" s="21">
        <f>SUM($C55:$F55)*$G$45</f>
        <v>736.27450980392155</v>
      </c>
      <c r="D179" s="21">
        <f>SUM($C56:$F56)*$G$44</f>
        <v>779.04761904761904</v>
      </c>
      <c r="E179" s="21">
        <f>SUM($C57:$F57)*$G$45</f>
        <v>242.15686274509804</v>
      </c>
      <c r="F179" s="21">
        <f>SUM($C58:$F58)*$G$44</f>
        <v>767.61904761904759</v>
      </c>
    </row>
    <row r="180" spans="1:7" ht="15.6">
      <c r="A180" s="57" t="s">
        <v>128</v>
      </c>
      <c r="B180" s="58"/>
      <c r="C180" s="35">
        <f>C157</f>
        <v>16.735498922228665</v>
      </c>
      <c r="D180" s="35">
        <f t="shared" ref="D180:F180" si="7">D157</f>
        <v>12.86672256405325</v>
      </c>
      <c r="E180" s="35">
        <f t="shared" si="7"/>
        <v>13.391232334947649</v>
      </c>
      <c r="F180" s="35">
        <f t="shared" si="7"/>
        <v>31.553392257521978</v>
      </c>
      <c r="G180" s="13"/>
    </row>
    <row r="181" spans="1:7" ht="15.6">
      <c r="A181" s="57" t="s">
        <v>129</v>
      </c>
      <c r="B181" s="58"/>
      <c r="C181" s="74">
        <f>(C179*C180+D179*D180+E179*E180+F179*F180)/SUM(C179:F179)</f>
        <v>19.725758681283519</v>
      </c>
      <c r="D181" s="75"/>
      <c r="E181" s="75"/>
      <c r="F181" s="76"/>
    </row>
    <row r="183" spans="1:7" ht="13.9">
      <c r="A183" s="14" t="s">
        <v>130</v>
      </c>
    </row>
    <row r="184" spans="1:7" ht="15.6">
      <c r="B184" s="1" t="s">
        <v>131</v>
      </c>
    </row>
    <row r="185" spans="1:7" ht="15.6">
      <c r="B185" s="40" t="s">
        <v>132</v>
      </c>
    </row>
    <row r="186" spans="1:7">
      <c r="B186" s="40" t="s">
        <v>101</v>
      </c>
    </row>
    <row r="187" spans="1:7">
      <c r="B187" s="40" t="s">
        <v>102</v>
      </c>
    </row>
    <row r="188" spans="1:7">
      <c r="B188" s="40" t="s">
        <v>133</v>
      </c>
    </row>
    <row r="190" spans="1:7">
      <c r="A190" s="57"/>
      <c r="B190" s="58"/>
      <c r="C190" s="28" t="s">
        <v>16</v>
      </c>
      <c r="D190" s="28" t="s">
        <v>17</v>
      </c>
      <c r="E190" s="28" t="s">
        <v>18</v>
      </c>
      <c r="F190" s="28" t="s">
        <v>19</v>
      </c>
    </row>
    <row r="191" spans="1:7" ht="15.6">
      <c r="A191" s="56" t="s">
        <v>182</v>
      </c>
      <c r="B191" s="56"/>
      <c r="C191" s="55">
        <f t="shared" ref="C191:F192" si="8">900*0.25*(C143-1+((1-C143)^2+(3600/C132*C143)/(150*0.25))^(1/2))*C132/3600</f>
        <v>4.7956257353428411</v>
      </c>
      <c r="D191" s="55">
        <f t="shared" si="8"/>
        <v>3.6098236343625518</v>
      </c>
      <c r="E191" s="55"/>
      <c r="F191" s="55">
        <f t="shared" si="8"/>
        <v>7.8049351241151745</v>
      </c>
    </row>
    <row r="192" spans="1:7" ht="15.6">
      <c r="A192" s="56" t="s">
        <v>183</v>
      </c>
      <c r="B192" s="56"/>
      <c r="C192" s="55">
        <f t="shared" si="8"/>
        <v>2.8892403922786967</v>
      </c>
      <c r="D192" s="55">
        <f t="shared" si="8"/>
        <v>2.6505159424728557</v>
      </c>
      <c r="E192" s="55"/>
      <c r="F192" s="55">
        <f t="shared" si="8"/>
        <v>5.8080733615406697</v>
      </c>
    </row>
    <row r="193" spans="1:6" ht="15.6">
      <c r="A193" s="56" t="s">
        <v>134</v>
      </c>
      <c r="B193" s="56"/>
      <c r="C193" s="55"/>
      <c r="D193" s="55"/>
      <c r="E193" s="55">
        <f>900*0.25*(E145-1+((1-E145)^2+(3600/E134*E145)/(150*0.25))^(1/2))*E134/3600</f>
        <v>2.1650913110631183</v>
      </c>
      <c r="F193" s="55"/>
    </row>
  </sheetData>
  <mergeCells count="67">
    <mergeCell ref="A55:A59"/>
    <mergeCell ref="A6:B6"/>
    <mergeCell ref="A7:B7"/>
    <mergeCell ref="A8:B8"/>
    <mergeCell ref="C16:G16"/>
    <mergeCell ref="A18:A22"/>
    <mergeCell ref="A26:B26"/>
    <mergeCell ref="C35:G35"/>
    <mergeCell ref="A37:A41"/>
    <mergeCell ref="C53:G53"/>
    <mergeCell ref="A99:B99"/>
    <mergeCell ref="A69:B69"/>
    <mergeCell ref="A70:B70"/>
    <mergeCell ref="A71:B71"/>
    <mergeCell ref="A77:B77"/>
    <mergeCell ref="A78:B78"/>
    <mergeCell ref="A79:B79"/>
    <mergeCell ref="A82:B82"/>
    <mergeCell ref="A83:B83"/>
    <mergeCell ref="A84:B84"/>
    <mergeCell ref="A85:B85"/>
    <mergeCell ref="A98:B98"/>
    <mergeCell ref="A100:B100"/>
    <mergeCell ref="A101:B101"/>
    <mergeCell ref="A105:B105"/>
    <mergeCell ref="C105:H105"/>
    <mergeCell ref="A106:B107"/>
    <mergeCell ref="C106:H107"/>
    <mergeCell ref="A133:B133"/>
    <mergeCell ref="A108:B109"/>
    <mergeCell ref="C108:C109"/>
    <mergeCell ref="D108:G108"/>
    <mergeCell ref="D109:G109"/>
    <mergeCell ref="A114:B114"/>
    <mergeCell ref="A115:B115"/>
    <mergeCell ref="A128:B128"/>
    <mergeCell ref="A129:B129"/>
    <mergeCell ref="A130:B130"/>
    <mergeCell ref="A131:B131"/>
    <mergeCell ref="A132:B132"/>
    <mergeCell ref="B163:C163"/>
    <mergeCell ref="A134:B134"/>
    <mergeCell ref="A142:B142"/>
    <mergeCell ref="A143:B143"/>
    <mergeCell ref="A144:B144"/>
    <mergeCell ref="A145:B145"/>
    <mergeCell ref="A154:B154"/>
    <mergeCell ref="A155:B155"/>
    <mergeCell ref="A156:B156"/>
    <mergeCell ref="A157:B157"/>
    <mergeCell ref="B161:C161"/>
    <mergeCell ref="B162:C162"/>
    <mergeCell ref="C181:F181"/>
    <mergeCell ref="A190:B190"/>
    <mergeCell ref="B164:C164"/>
    <mergeCell ref="B165:C165"/>
    <mergeCell ref="B166:C166"/>
    <mergeCell ref="B167:C167"/>
    <mergeCell ref="A169:B169"/>
    <mergeCell ref="A170:B170"/>
    <mergeCell ref="A191:B191"/>
    <mergeCell ref="A192:B192"/>
    <mergeCell ref="A193:B193"/>
    <mergeCell ref="A178:B178"/>
    <mergeCell ref="A179:B179"/>
    <mergeCell ref="A180:B180"/>
    <mergeCell ref="A181:B18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1F768-70C9-4D63-8ACC-6D67C94B7AA8}">
  <dimension ref="A1:H181"/>
  <sheetViews>
    <sheetView tabSelected="1" zoomScaleNormal="100" workbookViewId="0">
      <selection activeCell="A2" sqref="A2"/>
    </sheetView>
  </sheetViews>
  <sheetFormatPr defaultColWidth="7.25" defaultRowHeight="13.15"/>
  <cols>
    <col min="1" max="2" width="8.75" style="1" customWidth="1"/>
    <col min="3" max="7" width="9.5" style="1" customWidth="1"/>
    <col min="8" max="8" width="8.75" style="1" customWidth="1"/>
    <col min="9" max="16384" width="7.25" style="1"/>
  </cols>
  <sheetData>
    <row r="1" spans="1:8">
      <c r="A1" s="1" t="s">
        <v>0</v>
      </c>
    </row>
    <row r="3" spans="1:8" ht="13.9">
      <c r="A3" s="14" t="s">
        <v>1</v>
      </c>
    </row>
    <row r="4" spans="1:8">
      <c r="A4" s="1" t="s">
        <v>2</v>
      </c>
      <c r="G4" s="42">
        <v>4</v>
      </c>
    </row>
    <row r="5" spans="1:8">
      <c r="A5" s="1" t="s">
        <v>3</v>
      </c>
    </row>
    <row r="6" spans="1:8" ht="39.6">
      <c r="A6" s="57"/>
      <c r="B6" s="58"/>
      <c r="C6" s="23" t="s">
        <v>135</v>
      </c>
      <c r="D6" s="23" t="s">
        <v>136</v>
      </c>
      <c r="E6" s="23" t="s">
        <v>137</v>
      </c>
      <c r="F6" s="23" t="s">
        <v>138</v>
      </c>
      <c r="G6" s="3"/>
    </row>
    <row r="7" spans="1:8">
      <c r="A7" s="57" t="s">
        <v>8</v>
      </c>
      <c r="B7" s="58"/>
      <c r="C7" s="41">
        <v>2</v>
      </c>
      <c r="D7" s="41">
        <v>2</v>
      </c>
      <c r="E7" s="41">
        <v>2</v>
      </c>
      <c r="F7" s="41">
        <v>2</v>
      </c>
      <c r="G7" s="5"/>
    </row>
    <row r="8" spans="1:8">
      <c r="A8" s="57" t="s">
        <v>9</v>
      </c>
      <c r="B8" s="58"/>
      <c r="C8" s="41">
        <v>2</v>
      </c>
      <c r="D8" s="41">
        <v>2</v>
      </c>
      <c r="E8" s="41">
        <v>2</v>
      </c>
      <c r="F8" s="41">
        <v>2</v>
      </c>
      <c r="G8" s="5"/>
      <c r="H8" s="6"/>
    </row>
    <row r="10" spans="1:8">
      <c r="A10" s="22" t="s">
        <v>10</v>
      </c>
      <c r="G10" s="42">
        <v>0.95</v>
      </c>
    </row>
    <row r="11" spans="1:8" ht="15.6">
      <c r="A11" s="22" t="s">
        <v>11</v>
      </c>
      <c r="G11" s="43">
        <v>0.05</v>
      </c>
    </row>
    <row r="12" spans="1:8" ht="15.6">
      <c r="A12" s="22" t="s">
        <v>12</v>
      </c>
      <c r="G12" s="44">
        <v>2</v>
      </c>
    </row>
    <row r="13" spans="1:8" ht="15.6">
      <c r="A13" s="22" t="s">
        <v>13</v>
      </c>
    </row>
    <row r="14" spans="1:8">
      <c r="G14" s="7" t="s">
        <v>14</v>
      </c>
    </row>
    <row r="15" spans="1:8">
      <c r="A15" s="24"/>
      <c r="B15" s="25"/>
      <c r="C15" s="57" t="s">
        <v>15</v>
      </c>
      <c r="D15" s="65"/>
      <c r="E15" s="65"/>
      <c r="F15" s="65"/>
      <c r="G15" s="58"/>
    </row>
    <row r="16" spans="1:8">
      <c r="A16" s="26"/>
      <c r="B16" s="27"/>
      <c r="C16" s="28" t="s">
        <v>16</v>
      </c>
      <c r="D16" s="28" t="s">
        <v>17</v>
      </c>
      <c r="E16" s="28" t="s">
        <v>18</v>
      </c>
      <c r="F16" s="28" t="s">
        <v>19</v>
      </c>
      <c r="G16" s="28" t="s">
        <v>20</v>
      </c>
    </row>
    <row r="17" spans="1:8">
      <c r="A17" s="66" t="s">
        <v>21</v>
      </c>
      <c r="B17" s="28" t="s">
        <v>16</v>
      </c>
      <c r="C17" s="45">
        <v>0</v>
      </c>
      <c r="D17" s="45">
        <v>240</v>
      </c>
      <c r="E17" s="45">
        <v>60</v>
      </c>
      <c r="F17" s="45">
        <v>400</v>
      </c>
      <c r="G17" s="9">
        <f>SUM(C17:F17)</f>
        <v>700</v>
      </c>
      <c r="H17" s="10"/>
    </row>
    <row r="18" spans="1:8">
      <c r="A18" s="67"/>
      <c r="B18" s="28" t="s">
        <v>17</v>
      </c>
      <c r="C18" s="45">
        <v>90</v>
      </c>
      <c r="D18" s="45">
        <v>0</v>
      </c>
      <c r="E18" s="45">
        <v>400</v>
      </c>
      <c r="F18" s="45">
        <v>250</v>
      </c>
      <c r="G18" s="9">
        <f>SUM(C18:F18)</f>
        <v>740</v>
      </c>
      <c r="H18" s="10"/>
    </row>
    <row r="19" spans="1:8">
      <c r="A19" s="67"/>
      <c r="B19" s="28" t="s">
        <v>18</v>
      </c>
      <c r="C19" s="45">
        <v>60</v>
      </c>
      <c r="D19" s="45">
        <v>120</v>
      </c>
      <c r="E19" s="45">
        <v>0</v>
      </c>
      <c r="F19" s="45">
        <v>50</v>
      </c>
      <c r="G19" s="9">
        <f>SUM(C19:F19)</f>
        <v>230</v>
      </c>
      <c r="H19" s="10"/>
    </row>
    <row r="20" spans="1:8">
      <c r="A20" s="67"/>
      <c r="B20" s="28" t="s">
        <v>19</v>
      </c>
      <c r="C20" s="45">
        <v>230</v>
      </c>
      <c r="D20" s="45">
        <v>420</v>
      </c>
      <c r="E20" s="45">
        <v>80</v>
      </c>
      <c r="F20" s="45">
        <v>0</v>
      </c>
      <c r="G20" s="9">
        <f>SUM(C20:F20)</f>
        <v>730</v>
      </c>
      <c r="H20" s="10"/>
    </row>
    <row r="21" spans="1:8">
      <c r="A21" s="68"/>
      <c r="B21" s="28" t="s">
        <v>20</v>
      </c>
      <c r="C21" s="11">
        <f>SUM(C17:C20)</f>
        <v>380</v>
      </c>
      <c r="D21" s="11">
        <f>SUM(D17:D20)</f>
        <v>780</v>
      </c>
      <c r="E21" s="11">
        <f>SUM(E17:E20)</f>
        <v>540</v>
      </c>
      <c r="F21" s="8">
        <f>SUM(F17:F20)</f>
        <v>700</v>
      </c>
      <c r="G21" s="9">
        <f>SUM(C21:F21)</f>
        <v>2400</v>
      </c>
    </row>
    <row r="23" spans="1:8">
      <c r="A23" s="22" t="s">
        <v>22</v>
      </c>
    </row>
    <row r="24" spans="1:8">
      <c r="A24" s="22"/>
      <c r="F24" s="7" t="s">
        <v>23</v>
      </c>
    </row>
    <row r="25" spans="1:8">
      <c r="A25" s="57"/>
      <c r="B25" s="58"/>
      <c r="C25" s="31" t="s">
        <v>16</v>
      </c>
      <c r="D25" s="28" t="s">
        <v>17</v>
      </c>
      <c r="E25" s="28" t="s">
        <v>18</v>
      </c>
      <c r="F25" s="28" t="s">
        <v>19</v>
      </c>
    </row>
    <row r="26" spans="1:8">
      <c r="A26" s="32" t="s">
        <v>24</v>
      </c>
      <c r="B26" s="32"/>
      <c r="C26" s="41">
        <v>0</v>
      </c>
      <c r="D26" s="41">
        <v>0</v>
      </c>
      <c r="E26" s="41">
        <v>0</v>
      </c>
      <c r="F26" s="41">
        <v>0</v>
      </c>
    </row>
    <row r="27" spans="1:8">
      <c r="A27" s="6"/>
      <c r="B27" s="6"/>
      <c r="C27" s="12"/>
      <c r="D27" s="12"/>
      <c r="E27" s="12"/>
      <c r="F27" s="12"/>
      <c r="G27" s="13"/>
    </row>
    <row r="28" spans="1:8" ht="13.9">
      <c r="A28" s="14" t="s">
        <v>25</v>
      </c>
    </row>
    <row r="29" spans="1:8" ht="15.6">
      <c r="A29" s="14"/>
      <c r="B29" s="1" t="s">
        <v>26</v>
      </c>
    </row>
    <row r="30" spans="1:8" ht="15.6">
      <c r="A30" s="14"/>
      <c r="B30" s="40" t="s">
        <v>27</v>
      </c>
    </row>
    <row r="31" spans="1:8" ht="15.6">
      <c r="A31" s="14"/>
      <c r="B31" s="40" t="s">
        <v>28</v>
      </c>
    </row>
    <row r="32" spans="1:8" ht="13.9">
      <c r="A32" s="14"/>
      <c r="B32" s="40" t="s">
        <v>29</v>
      </c>
    </row>
    <row r="33" spans="1:8">
      <c r="G33" s="7" t="s">
        <v>14</v>
      </c>
    </row>
    <row r="34" spans="1:8">
      <c r="A34" s="24"/>
      <c r="B34" s="25"/>
      <c r="C34" s="57" t="s">
        <v>15</v>
      </c>
      <c r="D34" s="65"/>
      <c r="E34" s="65"/>
      <c r="F34" s="65"/>
      <c r="G34" s="58"/>
    </row>
    <row r="35" spans="1:8">
      <c r="A35" s="26"/>
      <c r="B35" s="27"/>
      <c r="C35" s="28" t="s">
        <v>16</v>
      </c>
      <c r="D35" s="28" t="s">
        <v>17</v>
      </c>
      <c r="E35" s="28" t="s">
        <v>18</v>
      </c>
      <c r="F35" s="28" t="s">
        <v>19</v>
      </c>
      <c r="G35" s="28" t="s">
        <v>20</v>
      </c>
    </row>
    <row r="36" spans="1:8">
      <c r="A36" s="66" t="s">
        <v>21</v>
      </c>
      <c r="B36" s="28" t="s">
        <v>16</v>
      </c>
      <c r="C36" s="8">
        <f t="shared" ref="C36:F39" si="0">ROUND(C17/$G$10,0)</f>
        <v>0</v>
      </c>
      <c r="D36" s="8">
        <f t="shared" si="0"/>
        <v>253</v>
      </c>
      <c r="E36" s="8">
        <f t="shared" si="0"/>
        <v>63</v>
      </c>
      <c r="F36" s="8">
        <f t="shared" si="0"/>
        <v>421</v>
      </c>
      <c r="G36" s="9">
        <f>SUM(C36:F36)</f>
        <v>737</v>
      </c>
      <c r="H36" s="15"/>
    </row>
    <row r="37" spans="1:8">
      <c r="A37" s="67"/>
      <c r="B37" s="28" t="s">
        <v>17</v>
      </c>
      <c r="C37" s="8">
        <f t="shared" si="0"/>
        <v>95</v>
      </c>
      <c r="D37" s="8">
        <f t="shared" si="0"/>
        <v>0</v>
      </c>
      <c r="E37" s="8">
        <f t="shared" si="0"/>
        <v>421</v>
      </c>
      <c r="F37" s="8">
        <f t="shared" si="0"/>
        <v>263</v>
      </c>
      <c r="G37" s="9">
        <f>SUM(C37:F37)</f>
        <v>779</v>
      </c>
      <c r="H37" s="15"/>
    </row>
    <row r="38" spans="1:8">
      <c r="A38" s="67"/>
      <c r="B38" s="28" t="s">
        <v>18</v>
      </c>
      <c r="C38" s="8">
        <f t="shared" si="0"/>
        <v>63</v>
      </c>
      <c r="D38" s="8">
        <f t="shared" si="0"/>
        <v>126</v>
      </c>
      <c r="E38" s="8">
        <f t="shared" si="0"/>
        <v>0</v>
      </c>
      <c r="F38" s="8">
        <f t="shared" si="0"/>
        <v>53</v>
      </c>
      <c r="G38" s="9">
        <f>SUM(C38:F38)</f>
        <v>242</v>
      </c>
      <c r="H38" s="15"/>
    </row>
    <row r="39" spans="1:8">
      <c r="A39" s="67"/>
      <c r="B39" s="28" t="s">
        <v>19</v>
      </c>
      <c r="C39" s="8">
        <f t="shared" si="0"/>
        <v>242</v>
      </c>
      <c r="D39" s="8">
        <f t="shared" si="0"/>
        <v>442</v>
      </c>
      <c r="E39" s="8">
        <f t="shared" si="0"/>
        <v>84</v>
      </c>
      <c r="F39" s="8">
        <f t="shared" si="0"/>
        <v>0</v>
      </c>
      <c r="G39" s="9">
        <f>SUM(C39:F39)</f>
        <v>768</v>
      </c>
      <c r="H39" s="15"/>
    </row>
    <row r="40" spans="1:8">
      <c r="A40" s="68"/>
      <c r="B40" s="28" t="s">
        <v>20</v>
      </c>
      <c r="C40" s="11">
        <f>SUM(C36:C39)</f>
        <v>400</v>
      </c>
      <c r="D40" s="11">
        <f>SUM(D36:D39)</f>
        <v>821</v>
      </c>
      <c r="E40" s="11">
        <f>SUM(E36:E39)</f>
        <v>568</v>
      </c>
      <c r="F40" s="8">
        <f>SUM(F36:F39)</f>
        <v>737</v>
      </c>
      <c r="G40" s="9">
        <f>SUM(C40:F40)</f>
        <v>2526</v>
      </c>
    </row>
    <row r="41" spans="1:8">
      <c r="B41" s="6"/>
    </row>
    <row r="42" spans="1:8" ht="13.9">
      <c r="A42" s="14" t="s">
        <v>30</v>
      </c>
    </row>
    <row r="43" spans="1:8" ht="15.6">
      <c r="A43" s="14" t="s">
        <v>31</v>
      </c>
      <c r="B43" s="1" t="s">
        <v>32</v>
      </c>
      <c r="G43" s="34">
        <f>1/(1+$G$11*($G$12-1))</f>
        <v>0.95238095238095233</v>
      </c>
    </row>
    <row r="44" spans="1:8" ht="15.6">
      <c r="A44" s="14"/>
      <c r="B44" s="1" t="s">
        <v>33</v>
      </c>
    </row>
    <row r="45" spans="1:8" ht="15.6">
      <c r="A45" s="14"/>
      <c r="B45" s="40" t="s">
        <v>34</v>
      </c>
    </row>
    <row r="46" spans="1:8" ht="15.6">
      <c r="A46" s="14"/>
      <c r="B46" s="40" t="s">
        <v>27</v>
      </c>
    </row>
    <row r="47" spans="1:8" ht="15.6">
      <c r="A47" s="14"/>
      <c r="B47" s="40" t="s">
        <v>35</v>
      </c>
    </row>
    <row r="48" spans="1:8" ht="15.6">
      <c r="A48" s="14"/>
      <c r="B48" s="40" t="s">
        <v>36</v>
      </c>
    </row>
    <row r="49" spans="1:7" ht="15.6">
      <c r="A49" s="14"/>
      <c r="B49" s="40" t="s">
        <v>37</v>
      </c>
    </row>
    <row r="50" spans="1:7">
      <c r="G50" s="7" t="s">
        <v>38</v>
      </c>
    </row>
    <row r="51" spans="1:7">
      <c r="A51" s="24"/>
      <c r="B51" s="25"/>
      <c r="C51" s="57" t="s">
        <v>15</v>
      </c>
      <c r="D51" s="65"/>
      <c r="E51" s="65"/>
      <c r="F51" s="65"/>
      <c r="G51" s="58"/>
    </row>
    <row r="52" spans="1:7">
      <c r="A52" s="26"/>
      <c r="B52" s="27"/>
      <c r="C52" s="28" t="s">
        <v>16</v>
      </c>
      <c r="D52" s="28" t="s">
        <v>17</v>
      </c>
      <c r="E52" s="28" t="s">
        <v>18</v>
      </c>
      <c r="F52" s="28" t="s">
        <v>19</v>
      </c>
      <c r="G52" s="28" t="s">
        <v>20</v>
      </c>
    </row>
    <row r="53" spans="1:7">
      <c r="A53" s="66" t="s">
        <v>21</v>
      </c>
      <c r="B53" s="28" t="s">
        <v>16</v>
      </c>
      <c r="C53" s="8">
        <f t="shared" ref="C53:F56" si="1">ROUND(C36/$G$43,0)</f>
        <v>0</v>
      </c>
      <c r="D53" s="8">
        <f t="shared" si="1"/>
        <v>266</v>
      </c>
      <c r="E53" s="8">
        <f t="shared" si="1"/>
        <v>66</v>
      </c>
      <c r="F53" s="8">
        <f t="shared" si="1"/>
        <v>442</v>
      </c>
      <c r="G53" s="9">
        <f>SUM(C53:F53)</f>
        <v>774</v>
      </c>
    </row>
    <row r="54" spans="1:7">
      <c r="A54" s="67"/>
      <c r="B54" s="28" t="s">
        <v>17</v>
      </c>
      <c r="C54" s="8">
        <f t="shared" si="1"/>
        <v>100</v>
      </c>
      <c r="D54" s="8">
        <f t="shared" si="1"/>
        <v>0</v>
      </c>
      <c r="E54" s="8">
        <f t="shared" si="1"/>
        <v>442</v>
      </c>
      <c r="F54" s="8">
        <f t="shared" si="1"/>
        <v>276</v>
      </c>
      <c r="G54" s="9">
        <f>SUM(C54:F54)</f>
        <v>818</v>
      </c>
    </row>
    <row r="55" spans="1:7">
      <c r="A55" s="67"/>
      <c r="B55" s="28" t="s">
        <v>18</v>
      </c>
      <c r="C55" s="8">
        <f t="shared" si="1"/>
        <v>66</v>
      </c>
      <c r="D55" s="8">
        <f t="shared" si="1"/>
        <v>132</v>
      </c>
      <c r="E55" s="8">
        <f t="shared" si="1"/>
        <v>0</v>
      </c>
      <c r="F55" s="8">
        <f t="shared" si="1"/>
        <v>56</v>
      </c>
      <c r="G55" s="9">
        <f>SUM(C55:F55)</f>
        <v>254</v>
      </c>
    </row>
    <row r="56" spans="1:7">
      <c r="A56" s="67"/>
      <c r="B56" s="28" t="s">
        <v>19</v>
      </c>
      <c r="C56" s="8">
        <f t="shared" si="1"/>
        <v>254</v>
      </c>
      <c r="D56" s="8">
        <f t="shared" si="1"/>
        <v>464</v>
      </c>
      <c r="E56" s="8">
        <f t="shared" si="1"/>
        <v>88</v>
      </c>
      <c r="F56" s="8">
        <f t="shared" si="1"/>
        <v>0</v>
      </c>
      <c r="G56" s="9">
        <f>SUM(C56:F56)</f>
        <v>806</v>
      </c>
    </row>
    <row r="57" spans="1:7">
      <c r="A57" s="68"/>
      <c r="B57" s="28" t="s">
        <v>20</v>
      </c>
      <c r="C57" s="11">
        <f>SUM(C53:C56)</f>
        <v>420</v>
      </c>
      <c r="D57" s="11">
        <f>SUM(D53:D56)</f>
        <v>862</v>
      </c>
      <c r="E57" s="11">
        <f>SUM(E53:E56)</f>
        <v>596</v>
      </c>
      <c r="F57" s="8">
        <f>SUM(F53:F56)</f>
        <v>774</v>
      </c>
      <c r="G57" s="9">
        <f>SUM(C57:F57)</f>
        <v>2652</v>
      </c>
    </row>
    <row r="58" spans="1:7">
      <c r="A58" s="2"/>
    </row>
    <row r="59" spans="1:7" ht="13.9">
      <c r="A59" s="14" t="s">
        <v>39</v>
      </c>
    </row>
    <row r="60" spans="1:7" ht="15.6">
      <c r="A60" s="14"/>
      <c r="B60" s="1" t="s">
        <v>40</v>
      </c>
    </row>
    <row r="61" spans="1:7" ht="15.6">
      <c r="A61" s="14"/>
      <c r="B61" s="1" t="s">
        <v>41</v>
      </c>
    </row>
    <row r="62" spans="1:7" ht="15.6">
      <c r="A62" s="14"/>
      <c r="B62" s="1" t="s">
        <v>42</v>
      </c>
    </row>
    <row r="63" spans="1:7" ht="15.6">
      <c r="A63" s="14"/>
      <c r="B63" s="1" t="s">
        <v>43</v>
      </c>
    </row>
    <row r="64" spans="1:7" ht="15.6">
      <c r="A64" s="14"/>
      <c r="B64" s="40" t="s">
        <v>142</v>
      </c>
    </row>
    <row r="65" spans="1:6" ht="15.6">
      <c r="A65" s="14"/>
      <c r="B65" s="40" t="s">
        <v>143</v>
      </c>
    </row>
    <row r="66" spans="1:6">
      <c r="F66" s="7" t="s">
        <v>38</v>
      </c>
    </row>
    <row r="67" spans="1:6" ht="15.6">
      <c r="A67" s="57"/>
      <c r="B67" s="58"/>
      <c r="C67" s="28" t="s">
        <v>45</v>
      </c>
      <c r="D67" s="28" t="s">
        <v>46</v>
      </c>
      <c r="E67" s="28" t="s">
        <v>47</v>
      </c>
      <c r="F67" s="28" t="s">
        <v>48</v>
      </c>
    </row>
    <row r="68" spans="1:6" ht="15.6">
      <c r="A68" s="57" t="s">
        <v>49</v>
      </c>
      <c r="B68" s="58"/>
      <c r="C68" s="9">
        <f>SUM(D54:F54,E55:F55,F56)</f>
        <v>774</v>
      </c>
      <c r="D68" s="9">
        <f>SUM(C53,C55,E55:F55,F56,C56)</f>
        <v>376</v>
      </c>
      <c r="E68" s="9">
        <f>SUM(C53:D53,D54,C56:D56,F56)</f>
        <v>984</v>
      </c>
      <c r="F68" s="9">
        <f>SUM(C53:E53,D54:E54,E55)</f>
        <v>774</v>
      </c>
    </row>
    <row r="69" spans="1:6" ht="15.6">
      <c r="A69" s="57" t="s">
        <v>144</v>
      </c>
      <c r="B69" s="58"/>
      <c r="C69" s="9">
        <f>SUM(E53:E56)</f>
        <v>596</v>
      </c>
      <c r="D69" s="9">
        <f>SUM(D53:D56)</f>
        <v>862</v>
      </c>
      <c r="E69" s="9">
        <f>SUM(C53:C56)</f>
        <v>420</v>
      </c>
      <c r="F69" s="9">
        <f>SUM(F53:F56)</f>
        <v>774</v>
      </c>
    </row>
    <row r="71" spans="1:6" ht="13.9">
      <c r="A71" s="14" t="s">
        <v>51</v>
      </c>
    </row>
    <row r="72" spans="1:6" ht="15.6">
      <c r="A72" s="14"/>
      <c r="B72" s="1" t="s">
        <v>52</v>
      </c>
    </row>
    <row r="73" spans="1:6" ht="15.6">
      <c r="A73" s="14"/>
      <c r="B73" s="40" t="s">
        <v>53</v>
      </c>
    </row>
    <row r="74" spans="1:6">
      <c r="F74" s="7" t="s">
        <v>38</v>
      </c>
    </row>
    <row r="75" spans="1:6" ht="15.6">
      <c r="A75" s="57"/>
      <c r="B75" s="58"/>
      <c r="C75" s="28" t="s">
        <v>54</v>
      </c>
      <c r="D75" s="28" t="s">
        <v>55</v>
      </c>
      <c r="E75" s="28" t="s">
        <v>56</v>
      </c>
      <c r="F75" s="28" t="s">
        <v>57</v>
      </c>
    </row>
    <row r="76" spans="1:6">
      <c r="A76" s="57" t="s">
        <v>160</v>
      </c>
      <c r="B76" s="58"/>
      <c r="C76" s="49">
        <f>IF(AND(F53/SUM(C53:F53)&gt;=0.45,F53/SUM(C53:F53)&lt;=0.55),F53/SUM(C53:F53),IF(F53/SUM(C53:F53)&lt;0.45,0.45,IF(F53/SUM(C53:F53)&gt;0.55,0.55)))</f>
        <v>0.55000000000000004</v>
      </c>
      <c r="D76" s="49">
        <f>IF(AND(E54/SUM(C54:F54)&gt;=0.45,E54/SUM(C54:F54)&lt;=0.55),E54/SUM(C54:F54),IF(E54/SUM(C54:F54)&lt;0.45,0.45,IF(E54/SUM(C54:F54)&gt;0.55,0.55)))</f>
        <v>0.54034229828850855</v>
      </c>
      <c r="E76" s="49">
        <f>IF(AND(D55/SUM(C55:F55)&gt;=0.45,D55/SUM(C55:F55)&lt;=0.55),D55/SUM(C55:F55),IF(D55/SUM(C55:F55)&lt;0.45,0.45,IF(D55/SUM(C55:F55)&gt;0.55,0.55)))</f>
        <v>0.51968503937007871</v>
      </c>
      <c r="F76" s="49">
        <f>IF(AND(C56/SUM(C56:F56)&gt;=0.45,C56/SUM(C56:F56)&lt;=0.55),C56/SUM(C56:F56),IF(C56/SUM(C56:F56)&lt;0.45,0.45,IF(C56/SUM(C56:F56)&gt;0.55,0.55)))</f>
        <v>0.45</v>
      </c>
    </row>
    <row r="77" spans="1:6">
      <c r="A77" s="57" t="s">
        <v>161</v>
      </c>
      <c r="B77" s="58"/>
      <c r="C77" s="49">
        <f>1-C76</f>
        <v>0.44999999999999996</v>
      </c>
      <c r="D77" s="49">
        <f>1-D76</f>
        <v>0.45965770171149145</v>
      </c>
      <c r="E77" s="49">
        <f>1-E76</f>
        <v>0.48031496062992129</v>
      </c>
      <c r="F77" s="49">
        <f>1-F76</f>
        <v>0.55000000000000004</v>
      </c>
    </row>
    <row r="78" spans="1:6">
      <c r="A78" s="6"/>
      <c r="B78" s="6"/>
      <c r="C78" s="10"/>
      <c r="D78" s="10"/>
      <c r="E78" s="10"/>
      <c r="F78" s="10"/>
    </row>
    <row r="79" spans="1:6">
      <c r="F79" s="7" t="s">
        <v>38</v>
      </c>
    </row>
    <row r="80" spans="1:6" ht="15.6">
      <c r="A80" s="57"/>
      <c r="B80" s="58"/>
      <c r="C80" s="28" t="s">
        <v>54</v>
      </c>
      <c r="D80" s="28" t="s">
        <v>55</v>
      </c>
      <c r="E80" s="28" t="s">
        <v>56</v>
      </c>
      <c r="F80" s="28" t="s">
        <v>57</v>
      </c>
    </row>
    <row r="81" spans="1:6">
      <c r="A81" s="57" t="s">
        <v>162</v>
      </c>
      <c r="B81" s="58"/>
      <c r="C81" s="9">
        <f>SUM(C53:F53)*C76</f>
        <v>425.70000000000005</v>
      </c>
      <c r="D81" s="9">
        <f>SUM(C54:F54)*D76</f>
        <v>442</v>
      </c>
      <c r="E81" s="9">
        <f>SUM(C55:F55)*E76</f>
        <v>132</v>
      </c>
      <c r="F81" s="9">
        <f>SUM(C56:F56)*F76</f>
        <v>362.7</v>
      </c>
    </row>
    <row r="82" spans="1:6">
      <c r="A82" s="57" t="s">
        <v>163</v>
      </c>
      <c r="B82" s="58"/>
      <c r="C82" s="9">
        <f>SUM(C53:F53)*C77</f>
        <v>348.29999999999995</v>
      </c>
      <c r="D82" s="9">
        <f>SUM(C54:F54)*D77</f>
        <v>376</v>
      </c>
      <c r="E82" s="9">
        <f>SUM(C55:F55)*E77</f>
        <v>122.00000000000001</v>
      </c>
      <c r="F82" s="9">
        <f>SUM(C56:F56)-F81</f>
        <v>443.3</v>
      </c>
    </row>
    <row r="84" spans="1:6" ht="13.9">
      <c r="A84" s="14" t="s">
        <v>59</v>
      </c>
    </row>
    <row r="85" spans="1:6" ht="15.6">
      <c r="A85" s="14"/>
      <c r="B85" s="1" t="s">
        <v>166</v>
      </c>
    </row>
    <row r="86" spans="1:6" ht="15.6">
      <c r="A86" s="14"/>
      <c r="B86" s="1" t="s">
        <v>167</v>
      </c>
    </row>
    <row r="87" spans="1:6" ht="15.6">
      <c r="A87" s="14"/>
      <c r="B87" s="40" t="s">
        <v>170</v>
      </c>
    </row>
    <row r="88" spans="1:6" ht="15.6">
      <c r="A88" s="14"/>
      <c r="B88" s="40" t="s">
        <v>171</v>
      </c>
    </row>
    <row r="89" spans="1:6" ht="15.6">
      <c r="A89" s="14"/>
      <c r="B89" s="40" t="s">
        <v>146</v>
      </c>
    </row>
    <row r="90" spans="1:6">
      <c r="F90" s="7" t="s">
        <v>38</v>
      </c>
    </row>
    <row r="91" spans="1:6" ht="15.6">
      <c r="A91" s="57"/>
      <c r="B91" s="58"/>
      <c r="C91" s="29" t="s">
        <v>63</v>
      </c>
      <c r="D91" s="30" t="s">
        <v>64</v>
      </c>
      <c r="E91" s="30" t="s">
        <v>65</v>
      </c>
      <c r="F91" s="30" t="s">
        <v>66</v>
      </c>
    </row>
    <row r="92" spans="1:6" ht="15.6">
      <c r="A92" s="57" t="s">
        <v>172</v>
      </c>
      <c r="B92" s="58"/>
      <c r="C92" s="16">
        <f>1130*EXP((-0.7*10^-3)*(C68))</f>
        <v>657.321281376451</v>
      </c>
      <c r="D92" s="16">
        <f>1130*EXP((-0.7*10^-3)*(D68))</f>
        <v>868.50462566522754</v>
      </c>
      <c r="E92" s="16">
        <f>1130*EXP((-0.7*10^-3)*(E68))</f>
        <v>567.46150343986801</v>
      </c>
      <c r="F92" s="16">
        <f>1130*EXP((-0.7*10^-3)*(F68))</f>
        <v>657.321281376451</v>
      </c>
    </row>
    <row r="93" spans="1:6" ht="15.6">
      <c r="A93" s="57" t="s">
        <v>173</v>
      </c>
      <c r="B93" s="58"/>
      <c r="C93" s="16">
        <f>1130*EXP((-0.75*10^-3)*(C68))</f>
        <v>632.36889071425992</v>
      </c>
      <c r="D93" s="16">
        <f>1130*EXP((-0.75*10^-3)*(D68))</f>
        <v>852.32926352239053</v>
      </c>
      <c r="E93" s="16">
        <f>1130*EXP((-0.75*10^-3)*(E68))</f>
        <v>540.21808098450674</v>
      </c>
      <c r="F93" s="16">
        <f>1130*EXP((-0.75*10^-3)*(F68))</f>
        <v>632.36889071425992</v>
      </c>
    </row>
    <row r="95" spans="1:6" ht="13.9">
      <c r="A95" s="14" t="s">
        <v>68</v>
      </c>
    </row>
    <row r="96" spans="1:6">
      <c r="A96" s="18" t="s">
        <v>69</v>
      </c>
      <c r="B96" s="18"/>
    </row>
    <row r="97" spans="1:8" ht="15.6">
      <c r="A97" s="61" t="s">
        <v>70</v>
      </c>
      <c r="B97" s="61"/>
      <c r="C97" s="61" t="s">
        <v>71</v>
      </c>
      <c r="D97" s="61"/>
      <c r="E97" s="61"/>
      <c r="F97" s="61"/>
      <c r="G97" s="61"/>
      <c r="H97" s="61"/>
    </row>
    <row r="98" spans="1:8">
      <c r="A98" s="69" t="s">
        <v>72</v>
      </c>
      <c r="B98" s="69"/>
      <c r="C98" s="60" t="s">
        <v>73</v>
      </c>
      <c r="D98" s="60"/>
      <c r="E98" s="60"/>
      <c r="F98" s="60"/>
      <c r="G98" s="60"/>
      <c r="H98" s="60"/>
    </row>
    <row r="99" spans="1:8">
      <c r="A99" s="69"/>
      <c r="B99" s="69"/>
      <c r="C99" s="60"/>
      <c r="D99" s="60"/>
      <c r="E99" s="60"/>
      <c r="F99" s="60"/>
      <c r="G99" s="60"/>
      <c r="H99" s="60"/>
    </row>
    <row r="100" spans="1:8" ht="15.6">
      <c r="A100" s="60" t="s">
        <v>74</v>
      </c>
      <c r="B100" s="60"/>
      <c r="C100" s="60" t="s">
        <v>75</v>
      </c>
      <c r="D100" s="59" t="s">
        <v>76</v>
      </c>
      <c r="E100" s="59"/>
      <c r="F100" s="59"/>
      <c r="G100" s="59"/>
    </row>
    <row r="101" spans="1:8" ht="15.6">
      <c r="A101" s="59"/>
      <c r="B101" s="59"/>
      <c r="C101" s="59"/>
      <c r="D101" s="70" t="s">
        <v>77</v>
      </c>
      <c r="E101" s="70"/>
      <c r="F101" s="70"/>
      <c r="G101" s="70"/>
      <c r="H101" s="18"/>
    </row>
    <row r="102" spans="1:8" ht="15.6">
      <c r="B102" s="40" t="s">
        <v>78</v>
      </c>
    </row>
    <row r="103" spans="1:8" ht="15.6">
      <c r="B103" s="40" t="s">
        <v>79</v>
      </c>
    </row>
    <row r="104" spans="1:8" ht="15.6">
      <c r="B104" s="40" t="s">
        <v>80</v>
      </c>
    </row>
    <row r="106" spans="1:8">
      <c r="A106" s="57"/>
      <c r="B106" s="58"/>
      <c r="C106" s="28" t="s">
        <v>16</v>
      </c>
      <c r="D106" s="28" t="s">
        <v>17</v>
      </c>
      <c r="E106" s="28" t="s">
        <v>18</v>
      </c>
      <c r="F106" s="28" t="s">
        <v>19</v>
      </c>
    </row>
    <row r="107" spans="1:8" ht="15.6">
      <c r="A107" s="71" t="s">
        <v>81</v>
      </c>
      <c r="B107" s="72"/>
      <c r="C107" s="17">
        <f>IF(C26&lt;=101,1-0.000137*C26,(1119.5-0.715*C68-0.644*C26+0.00073*C68*C26)/(1068.6-0.654*C68))</f>
        <v>1</v>
      </c>
      <c r="D107" s="17">
        <f>IF(D26&lt;=101,1-0.000137*D26,(1119.5-0.715*D68-0.644*D26+0.00073*D68*D26)/(1068.6-0.654*D68))</f>
        <v>1</v>
      </c>
      <c r="E107" s="17">
        <f>IF(E26&lt;=101,1-0.000137*E26,(1119.5-0.715*E68-0.644*E26+0.00073*E68*E26)/(1068.6-0.654*E68))</f>
        <v>1</v>
      </c>
      <c r="F107" s="17">
        <f>IF(F26&lt;=101,1-0.000137*F26,(1119.5-0.715*F68-0.644*F26+0.00073*F68*F26)/(1068.6-0.654*F68))</f>
        <v>1</v>
      </c>
    </row>
    <row r="109" spans="1:8" ht="13.9">
      <c r="A109" s="14" t="s">
        <v>82</v>
      </c>
    </row>
    <row r="110" spans="1:8" ht="15.6">
      <c r="A110" s="14"/>
      <c r="B110" s="1" t="s">
        <v>83</v>
      </c>
    </row>
    <row r="111" spans="1:8" ht="15.6">
      <c r="A111" s="14"/>
      <c r="B111" s="40" t="s">
        <v>84</v>
      </c>
    </row>
    <row r="112" spans="1:8" ht="15.6">
      <c r="A112" s="14"/>
      <c r="B112" s="40" t="s">
        <v>85</v>
      </c>
    </row>
    <row r="113" spans="1:6" ht="15.6">
      <c r="A113" s="14"/>
      <c r="B113" s="40" t="s">
        <v>86</v>
      </c>
    </row>
    <row r="114" spans="1:6" ht="15.6">
      <c r="A114" s="14"/>
      <c r="B114" s="1" t="s">
        <v>87</v>
      </c>
    </row>
    <row r="115" spans="1:6" ht="15.6">
      <c r="A115" s="14"/>
      <c r="B115" s="40" t="s">
        <v>88</v>
      </c>
    </row>
    <row r="116" spans="1:6" ht="15.6">
      <c r="A116" s="14"/>
      <c r="B116" s="40" t="s">
        <v>89</v>
      </c>
    </row>
    <row r="117" spans="1:6" ht="15.6">
      <c r="A117" s="14"/>
      <c r="B117" s="40" t="s">
        <v>78</v>
      </c>
    </row>
    <row r="118" spans="1:6" ht="15.6">
      <c r="A118" s="14"/>
      <c r="B118" s="40" t="s">
        <v>149</v>
      </c>
    </row>
    <row r="119" spans="1:6" ht="13.9">
      <c r="A119" s="14"/>
    </row>
    <row r="120" spans="1:6">
      <c r="A120" s="63"/>
      <c r="B120" s="64"/>
      <c r="C120" s="28" t="s">
        <v>16</v>
      </c>
      <c r="D120" s="28" t="s">
        <v>17</v>
      </c>
      <c r="E120" s="28" t="s">
        <v>18</v>
      </c>
      <c r="F120" s="28" t="s">
        <v>19</v>
      </c>
    </row>
    <row r="121" spans="1:6" ht="15.6">
      <c r="A121" s="57" t="s">
        <v>174</v>
      </c>
      <c r="B121" s="58"/>
      <c r="C121" s="33">
        <f t="shared" ref="C121:F122" si="2">ROUND(C81*$G$43,0)</f>
        <v>405</v>
      </c>
      <c r="D121" s="33">
        <f t="shared" si="2"/>
        <v>421</v>
      </c>
      <c r="E121" s="33">
        <f t="shared" si="2"/>
        <v>126</v>
      </c>
      <c r="F121" s="33">
        <f t="shared" si="2"/>
        <v>345</v>
      </c>
    </row>
    <row r="122" spans="1:6" ht="15.6">
      <c r="A122" s="57" t="s">
        <v>175</v>
      </c>
      <c r="B122" s="58"/>
      <c r="C122" s="33">
        <f t="shared" si="2"/>
        <v>332</v>
      </c>
      <c r="D122" s="33">
        <f t="shared" si="2"/>
        <v>358</v>
      </c>
      <c r="E122" s="33">
        <f t="shared" si="2"/>
        <v>116</v>
      </c>
      <c r="F122" s="33">
        <f t="shared" si="2"/>
        <v>422</v>
      </c>
    </row>
    <row r="123" spans="1:6" ht="15.6" customHeight="1">
      <c r="A123" s="57" t="s">
        <v>176</v>
      </c>
      <c r="B123" s="58"/>
      <c r="C123" s="4">
        <f>ROUNDUP(C92*$G$43*C107,0)</f>
        <v>627</v>
      </c>
      <c r="D123" s="4">
        <f>ROUND(D92*$G$43*D107,0)</f>
        <v>827</v>
      </c>
      <c r="E123" s="4">
        <f>ROUND(E92*$G$43*E107,0)</f>
        <v>540</v>
      </c>
      <c r="F123" s="4">
        <f>ROUNDDOWN(F92*$G$43*F107,0)</f>
        <v>626</v>
      </c>
    </row>
    <row r="124" spans="1:6" ht="15.6">
      <c r="A124" s="57" t="s">
        <v>177</v>
      </c>
      <c r="B124" s="58"/>
      <c r="C124" s="4">
        <f>ROUNDUP(C93*$G$43*C107,0)</f>
        <v>603</v>
      </c>
      <c r="D124" s="4">
        <f>ROUND(D93*$G$43*D107,0)</f>
        <v>812</v>
      </c>
      <c r="E124" s="4">
        <f>ROUND(E93*$G$43*E107,0)</f>
        <v>514</v>
      </c>
      <c r="F124" s="4">
        <f>ROUNDDOWN(F93*$G$43*F107,0)</f>
        <v>602</v>
      </c>
    </row>
    <row r="126" spans="1:6" ht="13.9">
      <c r="A126" s="14" t="s">
        <v>92</v>
      </c>
    </row>
    <row r="127" spans="1:6" ht="15.6">
      <c r="B127" s="1" t="s">
        <v>93</v>
      </c>
    </row>
    <row r="128" spans="1:6" ht="15.6">
      <c r="B128" s="40" t="s">
        <v>94</v>
      </c>
    </row>
    <row r="129" spans="1:6" ht="15.6">
      <c r="B129" s="40" t="s">
        <v>95</v>
      </c>
    </row>
    <row r="130" spans="1:6" ht="15.6">
      <c r="B130" s="40" t="s">
        <v>96</v>
      </c>
    </row>
    <row r="131" spans="1:6" ht="15.6">
      <c r="B131" s="40" t="s">
        <v>152</v>
      </c>
    </row>
    <row r="132" spans="1:6">
      <c r="A132" s="63"/>
      <c r="B132" s="64"/>
      <c r="C132" s="28" t="s">
        <v>16</v>
      </c>
      <c r="D132" s="28" t="s">
        <v>17</v>
      </c>
      <c r="E132" s="28" t="s">
        <v>18</v>
      </c>
      <c r="F132" s="28" t="s">
        <v>19</v>
      </c>
    </row>
    <row r="133" spans="1:6" ht="15.6">
      <c r="A133" s="57" t="s">
        <v>178</v>
      </c>
      <c r="B133" s="58"/>
      <c r="C133" s="38">
        <f t="shared" ref="C133:F134" si="3">C121/C123</f>
        <v>0.64593301435406703</v>
      </c>
      <c r="D133" s="38">
        <f t="shared" si="3"/>
        <v>0.50906892382103985</v>
      </c>
      <c r="E133" s="38">
        <f t="shared" si="3"/>
        <v>0.23333333333333334</v>
      </c>
      <c r="F133" s="38">
        <f t="shared" si="3"/>
        <v>0.55111821086261981</v>
      </c>
    </row>
    <row r="134" spans="1:6" ht="15.6">
      <c r="A134" s="57" t="s">
        <v>179</v>
      </c>
      <c r="B134" s="58"/>
      <c r="C134" s="38">
        <f t="shared" si="3"/>
        <v>0.55058043117744615</v>
      </c>
      <c r="D134" s="38">
        <f t="shared" si="3"/>
        <v>0.44088669950738918</v>
      </c>
      <c r="E134" s="38">
        <f t="shared" si="3"/>
        <v>0.22568093385214008</v>
      </c>
      <c r="F134" s="38">
        <f t="shared" si="3"/>
        <v>0.70099667774086383</v>
      </c>
    </row>
    <row r="136" spans="1:6" ht="13.9">
      <c r="A136" s="14" t="s">
        <v>98</v>
      </c>
    </row>
    <row r="137" spans="1:6" ht="15.6">
      <c r="B137" s="1" t="s">
        <v>99</v>
      </c>
    </row>
    <row r="138" spans="1:6">
      <c r="B138" s="40" t="s">
        <v>100</v>
      </c>
    </row>
    <row r="139" spans="1:6">
      <c r="B139" s="40" t="s">
        <v>101</v>
      </c>
    </row>
    <row r="140" spans="1:6">
      <c r="B140" s="40" t="s">
        <v>102</v>
      </c>
    </row>
    <row r="141" spans="1:6">
      <c r="B141" s="40" t="s">
        <v>103</v>
      </c>
    </row>
    <row r="142" spans="1:6" ht="15.6">
      <c r="B142" s="40" t="s">
        <v>154</v>
      </c>
    </row>
    <row r="143" spans="1:6">
      <c r="A143" s="63"/>
      <c r="B143" s="64"/>
      <c r="C143" s="28" t="s">
        <v>16</v>
      </c>
      <c r="D143" s="28" t="s">
        <v>17</v>
      </c>
      <c r="E143" s="28" t="s">
        <v>18</v>
      </c>
      <c r="F143" s="28" t="s">
        <v>19</v>
      </c>
    </row>
    <row r="144" spans="1:6" ht="15.6">
      <c r="A144" s="57" t="s">
        <v>180</v>
      </c>
      <c r="B144" s="58"/>
      <c r="C144" s="35">
        <f t="shared" ref="C144:F145" si="4">3600/C123+900*0.25*(C133-1+(((C133-1)^2+(((3600/C123)*C133)/(450*0.25)))^(1/2)))+5*MIN(C133,1)</f>
        <v>18.835218170634505</v>
      </c>
      <c r="D144" s="35">
        <f t="shared" si="4"/>
        <v>11.323696340422856</v>
      </c>
      <c r="E144" s="35">
        <f t="shared" si="4"/>
        <v>9.8505244636056659</v>
      </c>
      <c r="F144" s="35">
        <f t="shared" si="4"/>
        <v>15.33606229865549</v>
      </c>
    </row>
    <row r="145" spans="1:6" ht="15.6">
      <c r="A145" s="57" t="s">
        <v>181</v>
      </c>
      <c r="B145" s="58"/>
      <c r="C145" s="35">
        <f t="shared" si="4"/>
        <v>15.790084578522233</v>
      </c>
      <c r="D145" s="35">
        <f t="shared" si="4"/>
        <v>10.086676272390676</v>
      </c>
      <c r="E145" s="35">
        <f t="shared" si="4"/>
        <v>10.161809868438885</v>
      </c>
      <c r="F145" s="35">
        <f t="shared" si="4"/>
        <v>22.286947287427729</v>
      </c>
    </row>
    <row r="146" spans="1:6">
      <c r="A146" s="57" t="s">
        <v>104</v>
      </c>
      <c r="B146" s="58"/>
      <c r="C146" s="35">
        <f>SUMPRODUCT(C144:C145,C121:C122)/SUM(C121:C122)</f>
        <v>17.463461925612425</v>
      </c>
      <c r="D146" s="35">
        <f>SUMPRODUCT(D144:D145,D121:D122)/SUM(D121:D122)</f>
        <v>10.755207015191122</v>
      </c>
      <c r="E146" s="35">
        <f>SUMPRODUCT(E144:E145,E121:E122)/SUM(E121:E122)</f>
        <v>9.9997356493934895</v>
      </c>
      <c r="F146" s="35">
        <f>SUMPRODUCT(F144:F145,F121:F122)/SUM(F121:F122)</f>
        <v>19.160408407210749</v>
      </c>
    </row>
    <row r="148" spans="1:6" ht="13.9">
      <c r="A148" s="14" t="s">
        <v>105</v>
      </c>
    </row>
    <row r="150" spans="1:6">
      <c r="B150" s="61" t="s">
        <v>106</v>
      </c>
      <c r="C150" s="61"/>
      <c r="D150" s="19" t="s">
        <v>107</v>
      </c>
      <c r="E150" s="19" t="s">
        <v>108</v>
      </c>
    </row>
    <row r="151" spans="1:6">
      <c r="B151" s="60" t="s">
        <v>109</v>
      </c>
      <c r="C151" s="60"/>
      <c r="D151" s="6" t="s">
        <v>110</v>
      </c>
      <c r="E151" s="6" t="s">
        <v>111</v>
      </c>
    </row>
    <row r="152" spans="1:6">
      <c r="B152" s="60" t="s">
        <v>112</v>
      </c>
      <c r="C152" s="60"/>
      <c r="D152" s="6" t="s">
        <v>113</v>
      </c>
      <c r="E152" s="6" t="s">
        <v>111</v>
      </c>
    </row>
    <row r="153" spans="1:6">
      <c r="B153" s="60" t="s">
        <v>114</v>
      </c>
      <c r="C153" s="60"/>
      <c r="D153" s="6" t="s">
        <v>115</v>
      </c>
      <c r="E153" s="6" t="s">
        <v>111</v>
      </c>
    </row>
    <row r="154" spans="1:6">
      <c r="B154" s="60" t="s">
        <v>116</v>
      </c>
      <c r="C154" s="60"/>
      <c r="D154" s="6" t="s">
        <v>117</v>
      </c>
      <c r="E154" s="6" t="s">
        <v>111</v>
      </c>
    </row>
    <row r="155" spans="1:6">
      <c r="B155" s="60" t="s">
        <v>118</v>
      </c>
      <c r="C155" s="60"/>
      <c r="D155" s="6" t="s">
        <v>119</v>
      </c>
      <c r="E155" s="6" t="s">
        <v>111</v>
      </c>
    </row>
    <row r="156" spans="1:6">
      <c r="B156" s="59" t="s">
        <v>120</v>
      </c>
      <c r="C156" s="59"/>
      <c r="D156" s="20" t="s">
        <v>111</v>
      </c>
      <c r="E156" s="20" t="s">
        <v>111</v>
      </c>
    </row>
    <row r="158" spans="1:6">
      <c r="A158" s="63"/>
      <c r="B158" s="64"/>
      <c r="C158" s="28" t="s">
        <v>16</v>
      </c>
      <c r="D158" s="28" t="s">
        <v>17</v>
      </c>
      <c r="E158" s="28" t="s">
        <v>18</v>
      </c>
      <c r="F158" s="28" t="s">
        <v>19</v>
      </c>
    </row>
    <row r="159" spans="1:6">
      <c r="A159" s="57" t="s">
        <v>121</v>
      </c>
      <c r="B159" s="58"/>
      <c r="C159" s="38" t="str">
        <f>IF(C146&lt;=10,"A",IF(C146&lt;=15,"B",IF(C146&lt;=25,"C",IF(C146&lt;=35,"D",IF(C146&lt;=50,"E",IF(C146&gt;50,"F"))))))</f>
        <v>C</v>
      </c>
      <c r="D159" s="38" t="str">
        <f>IF(D146&lt;=10,"A",IF(D146&lt;=15,"B",IF(D146&lt;=25,"C",IF(D146&lt;=35,"D",IF(D146&lt;=50,"E",IF(D146&gt;50,"F"))))))</f>
        <v>B</v>
      </c>
      <c r="E159" s="38" t="str">
        <f>IF(E146&lt;=10,"A",IF(E146&lt;=15,"B",IF(E146&lt;=25,"C",IF(E146&lt;=35,"D",IF(E146&lt;=50,"E",IF(E146&gt;50,"F"))))))</f>
        <v>A</v>
      </c>
      <c r="F159" s="38" t="str">
        <f>IF(F146&lt;=10,"A",IF(F146&lt;=15,"B",IF(F146&lt;=25,"C",IF(F146&lt;=35,"D",IF(F146&lt;=50,"E",IF(F146&gt;50,"F"))))))</f>
        <v>C</v>
      </c>
    </row>
    <row r="160" spans="1:6">
      <c r="A160" s="37"/>
      <c r="B160" s="37"/>
      <c r="C160" s="36"/>
      <c r="D160" s="36"/>
      <c r="E160" s="36"/>
      <c r="F160" s="36"/>
    </row>
    <row r="161" spans="1:7" ht="13.9">
      <c r="A161" s="14" t="s">
        <v>122</v>
      </c>
      <c r="B161" s="37"/>
      <c r="C161" s="36"/>
      <c r="D161" s="36"/>
      <c r="E161" s="36"/>
      <c r="F161" s="36"/>
    </row>
    <row r="162" spans="1:7" ht="15.6">
      <c r="A162" s="37"/>
      <c r="B162" s="37" t="s">
        <v>123</v>
      </c>
      <c r="C162" s="36"/>
      <c r="D162" s="36"/>
      <c r="E162" s="36"/>
      <c r="F162" s="36"/>
    </row>
    <row r="163" spans="1:7" ht="15.6">
      <c r="A163" s="37"/>
      <c r="B163" s="40" t="s">
        <v>124</v>
      </c>
      <c r="C163" s="36"/>
      <c r="D163" s="36"/>
      <c r="E163" s="36"/>
      <c r="F163" s="36"/>
    </row>
    <row r="164" spans="1:7" ht="15.6">
      <c r="A164" s="37"/>
      <c r="B164" s="40" t="s">
        <v>125</v>
      </c>
      <c r="C164" s="36"/>
      <c r="D164" s="36"/>
      <c r="E164" s="36"/>
      <c r="F164" s="36"/>
    </row>
    <row r="165" spans="1:7" ht="15.6">
      <c r="A165" s="37"/>
      <c r="B165" s="40" t="s">
        <v>126</v>
      </c>
      <c r="C165" s="36"/>
      <c r="D165" s="36"/>
      <c r="E165" s="36"/>
      <c r="F165" s="36"/>
    </row>
    <row r="166" spans="1:7">
      <c r="A166" s="2"/>
    </row>
    <row r="167" spans="1:7">
      <c r="A167" s="57"/>
      <c r="B167" s="58"/>
      <c r="C167" s="28" t="s">
        <v>16</v>
      </c>
      <c r="D167" s="28" t="s">
        <v>17</v>
      </c>
      <c r="E167" s="28" t="s">
        <v>18</v>
      </c>
      <c r="F167" s="28" t="s">
        <v>19</v>
      </c>
    </row>
    <row r="168" spans="1:7" ht="15.6">
      <c r="A168" s="57" t="s">
        <v>127</v>
      </c>
      <c r="B168" s="58"/>
      <c r="C168" s="21">
        <f>SUM($C53:$F53)*$G$43</f>
        <v>737.14285714285711</v>
      </c>
      <c r="D168" s="21">
        <f>SUM($C54:$F54)*$G$43</f>
        <v>779.04761904761904</v>
      </c>
      <c r="E168" s="21">
        <f>SUM($C55:$F55)*$G$43</f>
        <v>241.9047619047619</v>
      </c>
      <c r="F168" s="21">
        <f>SUM($C56:$F56)*$G$43</f>
        <v>767.61904761904759</v>
      </c>
    </row>
    <row r="169" spans="1:7" ht="15.6">
      <c r="A169" s="57" t="s">
        <v>128</v>
      </c>
      <c r="B169" s="58"/>
      <c r="C169" s="35">
        <f>C146</f>
        <v>17.463461925612425</v>
      </c>
      <c r="D169" s="35">
        <f>D146</f>
        <v>10.755207015191122</v>
      </c>
      <c r="E169" s="35">
        <f>E146</f>
        <v>9.9997356493934895</v>
      </c>
      <c r="F169" s="35">
        <f>F146</f>
        <v>19.160408407210749</v>
      </c>
      <c r="G169" s="13"/>
    </row>
    <row r="170" spans="1:7" ht="15.6">
      <c r="A170" s="57" t="s">
        <v>129</v>
      </c>
      <c r="B170" s="58"/>
      <c r="C170" s="74">
        <f>(C168*C169+D168*D169+E168*E169+F168*F169)/SUM(C168:F168)</f>
        <v>15.195211500757228</v>
      </c>
      <c r="D170" s="75"/>
      <c r="E170" s="75"/>
      <c r="F170" s="76"/>
    </row>
    <row r="172" spans="1:7" ht="13.9">
      <c r="A172" s="14" t="s">
        <v>130</v>
      </c>
    </row>
    <row r="173" spans="1:7" ht="15.6">
      <c r="B173" s="1" t="s">
        <v>131</v>
      </c>
    </row>
    <row r="174" spans="1:7" ht="15.6">
      <c r="B174" s="40" t="s">
        <v>132</v>
      </c>
    </row>
    <row r="175" spans="1:7">
      <c r="B175" s="40" t="s">
        <v>101</v>
      </c>
    </row>
    <row r="176" spans="1:7">
      <c r="B176" s="40" t="s">
        <v>102</v>
      </c>
    </row>
    <row r="177" spans="1:6">
      <c r="B177" s="40" t="s">
        <v>133</v>
      </c>
    </row>
    <row r="179" spans="1:6">
      <c r="A179" s="57"/>
      <c r="B179" s="58"/>
      <c r="C179" s="28" t="s">
        <v>16</v>
      </c>
      <c r="D179" s="28" t="s">
        <v>17</v>
      </c>
      <c r="E179" s="28" t="s">
        <v>18</v>
      </c>
      <c r="F179" s="28" t="s">
        <v>19</v>
      </c>
    </row>
    <row r="180" spans="1:6" ht="15.6">
      <c r="A180" s="56" t="s">
        <v>182</v>
      </c>
      <c r="B180" s="56"/>
      <c r="C180" s="39">
        <f t="shared" ref="C180:F181" si="5">900*0.25*(C133-1+((1-C133)^2+(3600/C123*C133)/(150*0.25))^(1/2))*C123/3600</f>
        <v>4.6827645474879329</v>
      </c>
      <c r="D180" s="39">
        <f t="shared" si="5"/>
        <v>2.9404661801638015</v>
      </c>
      <c r="E180" s="39">
        <f t="shared" si="5"/>
        <v>0.89747887290229933</v>
      </c>
      <c r="F180" s="39">
        <f t="shared" si="5"/>
        <v>3.3615628523716672</v>
      </c>
    </row>
    <row r="181" spans="1:6" ht="15.6">
      <c r="A181" s="56" t="s">
        <v>183</v>
      </c>
      <c r="B181" s="56"/>
      <c r="C181" s="39">
        <f t="shared" si="5"/>
        <v>3.3449778133737911</v>
      </c>
      <c r="D181" s="39">
        <f t="shared" si="5"/>
        <v>2.2744800119023227</v>
      </c>
      <c r="E181" s="39">
        <f t="shared" si="5"/>
        <v>0.85952204724230175</v>
      </c>
      <c r="F181" s="39">
        <f t="shared" si="5"/>
        <v>5.6263888317376729</v>
      </c>
    </row>
  </sheetData>
  <mergeCells count="61">
    <mergeCell ref="A68:B68"/>
    <mergeCell ref="A6:B6"/>
    <mergeCell ref="A7:B7"/>
    <mergeCell ref="A8:B8"/>
    <mergeCell ref="C15:G15"/>
    <mergeCell ref="A17:A21"/>
    <mergeCell ref="A25:B25"/>
    <mergeCell ref="C34:G34"/>
    <mergeCell ref="A36:A40"/>
    <mergeCell ref="C51:G51"/>
    <mergeCell ref="A53:A57"/>
    <mergeCell ref="A67:B67"/>
    <mergeCell ref="A82:B82"/>
    <mergeCell ref="A91:B91"/>
    <mergeCell ref="A92:B92"/>
    <mergeCell ref="A93:B93"/>
    <mergeCell ref="A69:B69"/>
    <mergeCell ref="A75:B75"/>
    <mergeCell ref="A76:B76"/>
    <mergeCell ref="A77:B77"/>
    <mergeCell ref="A80:B80"/>
    <mergeCell ref="A81:B81"/>
    <mergeCell ref="A97:B97"/>
    <mergeCell ref="C97:H97"/>
    <mergeCell ref="A98:B99"/>
    <mergeCell ref="C98:H99"/>
    <mergeCell ref="A100:B101"/>
    <mergeCell ref="C100:C101"/>
    <mergeCell ref="D100:G100"/>
    <mergeCell ref="D101:G101"/>
    <mergeCell ref="A106:B106"/>
    <mergeCell ref="A107:B107"/>
    <mergeCell ref="A120:B120"/>
    <mergeCell ref="A121:B121"/>
    <mergeCell ref="A122:B122"/>
    <mergeCell ref="A123:B123"/>
    <mergeCell ref="A124:B124"/>
    <mergeCell ref="A132:B132"/>
    <mergeCell ref="A133:B133"/>
    <mergeCell ref="A134:B134"/>
    <mergeCell ref="B156:C156"/>
    <mergeCell ref="A143:B143"/>
    <mergeCell ref="A144:B144"/>
    <mergeCell ref="A145:B145"/>
    <mergeCell ref="A146:B146"/>
    <mergeCell ref="B150:C150"/>
    <mergeCell ref="B151:C151"/>
    <mergeCell ref="B152:C152"/>
    <mergeCell ref="B153:C153"/>
    <mergeCell ref="B154:C154"/>
    <mergeCell ref="B155:C155"/>
    <mergeCell ref="C170:F170"/>
    <mergeCell ref="A179:B179"/>
    <mergeCell ref="A180:B180"/>
    <mergeCell ref="A181:B181"/>
    <mergeCell ref="A158:B158"/>
    <mergeCell ref="A159:B159"/>
    <mergeCell ref="A167:B167"/>
    <mergeCell ref="A168:B168"/>
    <mergeCell ref="A169:B169"/>
    <mergeCell ref="A170:B170"/>
  </mergeCells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9B489CD37E864DB61352412561AA6E" ma:contentTypeVersion="16" ma:contentTypeDescription="新しいドキュメントを作成します。" ma:contentTypeScope="" ma:versionID="8df7c057c88a61bc81eb2cdf1e6efeaa">
  <xsd:schema xmlns:xsd="http://www.w3.org/2001/XMLSchema" xmlns:xs="http://www.w3.org/2001/XMLSchema" xmlns:p="http://schemas.microsoft.com/office/2006/metadata/properties" xmlns:ns2="ef0163ab-d5be-4e8d-85f3-1e9ae15f574e" xmlns:ns3="cd140f35-72fa-4068-ad3a-795f4b1578eb" targetNamespace="http://schemas.microsoft.com/office/2006/metadata/properties" ma:root="true" ma:fieldsID="40536e861875240b2c353b5e3a702eda" ns2:_="" ns3:_="">
    <xsd:import namespace="ef0163ab-d5be-4e8d-85f3-1e9ae15f574e"/>
    <xsd:import namespace="cd140f35-72fa-4068-ad3a-795f4b1578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163ab-d5be-4e8d-85f3-1e9ae15f57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画像タグ" ma:readOnly="false" ma:fieldId="{5cf76f15-5ced-4ddc-b409-7134ff3c332f}" ma:taxonomyMulti="true" ma:sspId="87369404-55ef-400a-bfde-7777e30ffd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40f35-72fa-4068-ad3a-795f4b1578e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a6ac211-fb3f-4168-b0bc-604e840744fd}" ma:internalName="TaxCatchAll" ma:showField="CatchAllData" ma:web="cd140f35-72fa-4068-ad3a-795f4b1578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4DE145-49F7-478D-A19A-FE4D808477C7}"/>
</file>

<file path=customXml/itemProps2.xml><?xml version="1.0" encoding="utf-8"?>
<ds:datastoreItem xmlns:ds="http://schemas.openxmlformats.org/officeDocument/2006/customXml" ds:itemID="{C239D489-E58A-41BC-BCB7-156FFE1473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Nishino</dc:creator>
  <cp:keywords/>
  <dc:description/>
  <cp:lastModifiedBy>Takaaki Tanaka(田中　敬明)</cp:lastModifiedBy>
  <cp:revision/>
  <dcterms:created xsi:type="dcterms:W3CDTF">2022-10-20T08:50:02Z</dcterms:created>
  <dcterms:modified xsi:type="dcterms:W3CDTF">2023-02-22T07:05:43Z</dcterms:modified>
  <cp:category/>
  <cp:contentStatus/>
</cp:coreProperties>
</file>